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12.xml" ContentType="application/vnd.openxmlformats-officedocument.spreadsheetml.table+xml"/>
  <Override PartName="/xl/drawings/drawing1.xml" ContentType="application/vnd.openxmlformats-officedocument.drawing+xml"/>
  <Override PartName="/xl/tables/table13.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4.xml" ContentType="application/vnd.openxmlformats-officedocument.spreadsheetml.tab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0.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1.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OneDrive\OneDrive - Pontificia Universidad Católica del Ecuador Sede Esmeraldas\DOCTORADO\UCLM\RecopilacionPapers\MSR2020\"/>
    </mc:Choice>
  </mc:AlternateContent>
  <xr:revisionPtr revIDLastSave="0" documentId="13_ncr:1_{0C1FE1AA-6F45-4CAB-AAC2-46D4109B91BD}" xr6:coauthVersionLast="44" xr6:coauthVersionMax="44" xr10:uidLastSave="{00000000-0000-0000-0000-000000000000}"/>
  <bookViews>
    <workbookView xWindow="-120" yWindow="-120" windowWidth="29040" windowHeight="14595" tabRatio="901" firstSheet="3" activeTab="17" xr2:uid="{00000000-000D-0000-FFFF-FFFF00000000}"/>
  </bookViews>
  <sheets>
    <sheet name="DataBaseFinal" sheetId="31" r:id="rId1"/>
    <sheet name="Hoja1" sheetId="22" r:id="rId2"/>
    <sheet name="CategoriesFinal" sheetId="33" r:id="rId3"/>
    <sheet name="Categories" sheetId="1" r:id="rId4"/>
    <sheet name="BddCountry" sheetId="35" r:id="rId5"/>
    <sheet name="EXTRACTION_FORM" sheetId="21" r:id="rId6"/>
    <sheet name="ClassificationCategories" sheetId="34" r:id="rId7"/>
    <sheet name="PRINCIPAL" sheetId="32" r:id="rId8"/>
    <sheet name="Country" sheetId="10" r:id="rId9"/>
    <sheet name="Year" sheetId="8" r:id="rId10"/>
    <sheet name="Authors" sheetId="9" r:id="rId11"/>
    <sheet name="Input" sheetId="13" r:id="rId12"/>
    <sheet name="Methods-Techniques" sheetId="15" r:id="rId13"/>
    <sheet name="SubCategorieIA" sheetId="38" r:id="rId14"/>
    <sheet name="Output" sheetId="14" r:id="rId15"/>
    <sheet name="CategoriesAndPapers" sheetId="37" r:id="rId16"/>
    <sheet name="SORT" sheetId="39" r:id="rId17"/>
    <sheet name="Type" sheetId="12" r:id="rId18"/>
    <sheet name="Quality" sheetId="19" r:id="rId19"/>
    <sheet name="Bubble" sheetId="20" r:id="rId20"/>
  </sheets>
  <externalReferences>
    <externalReference r:id="rId21"/>
    <externalReference r:id="rId22"/>
  </externalReferences>
  <definedNames>
    <definedName name="_xlnm._FilterDatabase" localSheetId="3" hidden="1">Categories!$C$1:$C$16</definedName>
    <definedName name="_xlnm._FilterDatabase" localSheetId="2" hidden="1">CategoriesFinal!$G$1:$G$49</definedName>
    <definedName name="_xlnm._FilterDatabase" localSheetId="6" hidden="1">ClassificationCategories!#REF!</definedName>
    <definedName name="_xlnm._FilterDatabase" localSheetId="8" hidden="1">Country!$A$44:$B$44</definedName>
    <definedName name="_xlnm._FilterDatabase" localSheetId="0" hidden="1">DataBaseFinal!$N$1:$Z$1</definedName>
    <definedName name="_xlnm._FilterDatabase" localSheetId="7" hidden="1">PRINCIPAL!$AF$1:$BR$1</definedName>
    <definedName name="_xlnm._FilterDatabase" localSheetId="13" hidden="1">SubCategorieIA!$C$2:$F$2</definedName>
    <definedName name="_xlnm._FilterDatabase" localSheetId="17" hidden="1">Type!$A$1:$C$7</definedName>
    <definedName name="_Hlk37778435" localSheetId="15">CategoriesAndPapers!$D$4</definedName>
    <definedName name="_xlchart.v5.0" hidden="1">Country!$A$1:$A$42</definedName>
    <definedName name="_xlchart.v5.1" hidden="1">Country!$A$44</definedName>
    <definedName name="_xlchart.v5.2" hidden="1">Country!$A$45:$A$85</definedName>
    <definedName name="_xlchart.v5.3" hidden="1">Country!$B$1:$B$42</definedName>
    <definedName name="Language">Categories!#REF!</definedName>
    <definedName name="Scale" localSheetId="0">Categories!$I$1:$I$14</definedName>
    <definedName name="Scale">Categories!$I$1:$I$14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39" l="1"/>
  <c r="F12" i="38" l="1"/>
  <c r="F4" i="38"/>
  <c r="F8" i="38"/>
  <c r="F6" i="38"/>
  <c r="F13" i="38"/>
  <c r="F14" i="38"/>
  <c r="F3" i="38"/>
  <c r="F15" i="38"/>
  <c r="F9" i="38"/>
  <c r="F16" i="38"/>
  <c r="F17" i="38"/>
  <c r="F7" i="38"/>
  <c r="F18" i="38"/>
  <c r="F19" i="38"/>
  <c r="F20" i="38"/>
  <c r="F10" i="38"/>
  <c r="F11" i="38"/>
  <c r="F5" i="38"/>
  <c r="C2"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K21" i="9"/>
  <c r="K4" i="9" l="1"/>
  <c r="W4" i="14" l="1"/>
  <c r="W5" i="14"/>
  <c r="W6" i="14"/>
  <c r="W7" i="14"/>
  <c r="W8" i="14"/>
  <c r="W9" i="14"/>
  <c r="W10" i="14"/>
  <c r="W11" i="14"/>
  <c r="W12" i="14"/>
  <c r="W13" i="14"/>
  <c r="W14" i="14"/>
  <c r="W15" i="14"/>
  <c r="W16" i="14"/>
  <c r="W3" i="14"/>
  <c r="V17" i="14"/>
  <c r="AV238" i="32"/>
  <c r="AT238" i="32"/>
  <c r="AU238" i="32"/>
  <c r="AW238" i="32"/>
  <c r="AX238" i="32"/>
  <c r="AY238" i="32"/>
  <c r="AZ238" i="32"/>
  <c r="BA238" i="32"/>
  <c r="BB238" i="32"/>
  <c r="BC238" i="32"/>
  <c r="BD238" i="32"/>
  <c r="BE238" i="32"/>
  <c r="BF238" i="32"/>
  <c r="BG238" i="32"/>
  <c r="V3" i="15"/>
  <c r="V4" i="15"/>
  <c r="V5" i="15"/>
  <c r="V6" i="15"/>
  <c r="V7" i="15"/>
  <c r="V8" i="15"/>
  <c r="V9" i="15"/>
  <c r="V10" i="15"/>
  <c r="V11" i="15"/>
  <c r="V12" i="15"/>
  <c r="V2" i="15"/>
  <c r="W17" i="14" l="1"/>
  <c r="U13" i="15"/>
  <c r="J19" i="13"/>
  <c r="J6" i="13"/>
  <c r="J7" i="13"/>
  <c r="J8" i="13"/>
  <c r="J9" i="13"/>
  <c r="J10" i="13"/>
  <c r="J11" i="13"/>
  <c r="J12" i="13"/>
  <c r="J13" i="13"/>
  <c r="J14" i="13"/>
  <c r="J15" i="13"/>
  <c r="J16" i="13"/>
  <c r="J17" i="13"/>
  <c r="J18" i="13"/>
  <c r="J5" i="13"/>
  <c r="I19" i="13"/>
  <c r="V13" i="15" l="1"/>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45" i="10"/>
  <c r="C331" i="20" l="1"/>
  <c r="C330" i="20"/>
  <c r="C329" i="20"/>
  <c r="C328" i="20"/>
  <c r="C327" i="20"/>
  <c r="C326" i="20"/>
  <c r="C325" i="20"/>
  <c r="C324" i="20"/>
  <c r="C323" i="20"/>
  <c r="C322" i="20"/>
  <c r="C321" i="20"/>
  <c r="C320" i="20"/>
  <c r="C319" i="20"/>
  <c r="C318" i="20"/>
  <c r="C317" i="20"/>
  <c r="C316" i="20"/>
  <c r="C315" i="20"/>
  <c r="C314" i="20"/>
  <c r="C313" i="20"/>
  <c r="C312" i="20"/>
  <c r="C311" i="20"/>
  <c r="C310" i="20"/>
  <c r="C309" i="20"/>
  <c r="C308" i="20"/>
  <c r="C307" i="20"/>
  <c r="C306" i="20"/>
  <c r="C305" i="20"/>
  <c r="C304" i="20"/>
  <c r="C303" i="20"/>
  <c r="C302" i="20"/>
  <c r="C301" i="20"/>
  <c r="C300" i="20"/>
  <c r="C299" i="20"/>
  <c r="C298" i="20"/>
  <c r="C297" i="20"/>
  <c r="C296" i="20"/>
  <c r="C295" i="20"/>
  <c r="C294" i="20"/>
  <c r="C293" i="20"/>
  <c r="C292" i="20"/>
  <c r="C291" i="20"/>
  <c r="C290" i="20"/>
  <c r="C289" i="20"/>
  <c r="C288" i="20"/>
  <c r="C287" i="20"/>
  <c r="C286" i="20"/>
  <c r="C285" i="20"/>
  <c r="C284" i="20"/>
  <c r="C283" i="20"/>
  <c r="C282" i="20"/>
  <c r="C281" i="20"/>
  <c r="C280" i="20"/>
  <c r="C279" i="20"/>
  <c r="C278" i="20"/>
  <c r="C277" i="20"/>
  <c r="C276" i="20"/>
  <c r="C275" i="20"/>
  <c r="C274" i="20"/>
  <c r="C273" i="20"/>
  <c r="C272" i="20"/>
  <c r="C271" i="20"/>
  <c r="C270" i="20"/>
  <c r="C269" i="20"/>
  <c r="C268" i="20"/>
  <c r="C267" i="20"/>
  <c r="C266" i="20"/>
  <c r="C265" i="20"/>
  <c r="C264" i="20"/>
  <c r="C263" i="20"/>
  <c r="C262" i="20"/>
  <c r="C261" i="20"/>
  <c r="C260" i="20"/>
  <c r="C259" i="20"/>
  <c r="C258" i="20"/>
  <c r="C257" i="20"/>
  <c r="C256" i="20"/>
  <c r="C255" i="20"/>
  <c r="C254" i="20"/>
  <c r="C253" i="20"/>
  <c r="C252" i="20"/>
  <c r="C251" i="20"/>
  <c r="C250" i="20"/>
  <c r="C249" i="20"/>
  <c r="C248" i="20"/>
  <c r="C247" i="20"/>
  <c r="C246" i="20"/>
  <c r="C245" i="20"/>
  <c r="C244" i="20"/>
  <c r="C243" i="20"/>
  <c r="C242" i="20"/>
  <c r="C241" i="20"/>
  <c r="C240" i="20"/>
  <c r="C239" i="20"/>
  <c r="C238" i="20"/>
  <c r="C237" i="20"/>
  <c r="C236" i="20"/>
  <c r="C235" i="20"/>
  <c r="C234" i="20"/>
  <c r="C233" i="20"/>
  <c r="C232" i="20"/>
  <c r="C231" i="20"/>
  <c r="C230" i="20"/>
  <c r="C229" i="20"/>
  <c r="C228" i="20"/>
  <c r="C227" i="20"/>
  <c r="C226" i="20"/>
  <c r="C225" i="20"/>
  <c r="C224" i="20"/>
  <c r="C223" i="20"/>
  <c r="C222" i="20"/>
  <c r="C221" i="20"/>
  <c r="C220" i="20"/>
  <c r="C219" i="20"/>
  <c r="C218" i="20"/>
  <c r="C217" i="20"/>
  <c r="C216" i="20"/>
  <c r="C215" i="20"/>
  <c r="C214" i="20"/>
  <c r="C213" i="20"/>
  <c r="C212" i="20"/>
  <c r="C211" i="20"/>
  <c r="C210" i="20"/>
  <c r="C209" i="20"/>
  <c r="C208" i="20"/>
  <c r="C207" i="20"/>
  <c r="C206" i="20"/>
  <c r="C205" i="20"/>
  <c r="C204" i="20"/>
  <c r="C203" i="20"/>
  <c r="C202" i="20"/>
  <c r="C201" i="20"/>
  <c r="C200" i="20"/>
  <c r="C199" i="20"/>
  <c r="C198" i="20"/>
  <c r="C197" i="20"/>
  <c r="C196" i="20"/>
  <c r="C195" i="20"/>
  <c r="C194" i="20"/>
  <c r="C193" i="20"/>
  <c r="C192" i="20"/>
  <c r="C191" i="20"/>
  <c r="C190" i="20"/>
  <c r="C189" i="20"/>
  <c r="C188" i="20"/>
  <c r="C187" i="20"/>
  <c r="C186" i="20"/>
  <c r="C185" i="20"/>
  <c r="C184" i="20"/>
  <c r="C183" i="20"/>
  <c r="C182" i="20"/>
  <c r="C181" i="20"/>
  <c r="C180" i="20"/>
  <c r="C179" i="20"/>
  <c r="C178" i="20"/>
  <c r="C155" i="20"/>
  <c r="C154" i="20"/>
  <c r="C153" i="20"/>
  <c r="C152" i="20"/>
  <c r="C151" i="20"/>
  <c r="C150" i="20"/>
  <c r="C149" i="20"/>
  <c r="C148" i="20"/>
  <c r="C147" i="20"/>
  <c r="C146" i="20"/>
  <c r="C145" i="20"/>
  <c r="C144" i="20"/>
  <c r="C143" i="20"/>
  <c r="C142" i="20"/>
  <c r="C141" i="20"/>
  <c r="C140" i="20"/>
  <c r="C139" i="20"/>
  <c r="C138" i="20"/>
  <c r="C137" i="20"/>
  <c r="C136" i="20"/>
  <c r="C135" i="20"/>
  <c r="C134" i="20"/>
  <c r="C133" i="20"/>
  <c r="C132" i="20"/>
  <c r="C131" i="20"/>
  <c r="C130" i="20"/>
  <c r="C129" i="20"/>
  <c r="C128" i="20"/>
  <c r="C127" i="20"/>
  <c r="C126" i="20"/>
  <c r="C125" i="20"/>
  <c r="C124" i="20"/>
  <c r="C123" i="20"/>
  <c r="C122" i="20"/>
  <c r="C121" i="20"/>
  <c r="C120" i="20"/>
  <c r="C119" i="20"/>
  <c r="C118" i="20"/>
  <c r="C117" i="20"/>
  <c r="C116" i="20"/>
  <c r="C115" i="20"/>
  <c r="C114" i="20"/>
  <c r="C113" i="20"/>
  <c r="C112" i="20"/>
  <c r="C111" i="20"/>
  <c r="C110" i="20"/>
  <c r="C109" i="20"/>
  <c r="C108" i="20"/>
  <c r="C107" i="20"/>
  <c r="C106" i="20"/>
  <c r="C105" i="20"/>
  <c r="C104" i="20"/>
  <c r="C103" i="20"/>
  <c r="C102" i="20"/>
  <c r="C101" i="20"/>
  <c r="C100" i="20"/>
  <c r="C99" i="20"/>
  <c r="C98" i="20"/>
  <c r="C97" i="20"/>
  <c r="C96" i="20"/>
  <c r="C95" i="20"/>
  <c r="C94" i="20"/>
  <c r="C93" i="20"/>
  <c r="C92" i="20"/>
  <c r="C91" i="20"/>
  <c r="C90" i="20"/>
  <c r="C89" i="20"/>
  <c r="C88" i="20"/>
  <c r="C87" i="20"/>
  <c r="C86" i="20"/>
  <c r="C85" i="20"/>
  <c r="C84" i="20"/>
  <c r="C83" i="20"/>
  <c r="C82" i="20"/>
  <c r="C81" i="20"/>
  <c r="C80" i="20"/>
  <c r="C79" i="20"/>
  <c r="C78" i="20" l="1"/>
  <c r="C77" i="20"/>
  <c r="C76" i="20"/>
  <c r="C75" i="20"/>
  <c r="C74" i="20"/>
  <c r="C73" i="20"/>
  <c r="C72" i="20"/>
  <c r="C71" i="20"/>
  <c r="C70" i="20"/>
  <c r="C69" i="20"/>
  <c r="C68" i="20"/>
  <c r="C67" i="20"/>
  <c r="C66" i="20"/>
  <c r="C65" i="20"/>
  <c r="C64" i="20"/>
  <c r="C63" i="20"/>
  <c r="C62" i="20"/>
  <c r="C61" i="20"/>
  <c r="C60" i="20"/>
  <c r="C59" i="20"/>
  <c r="C58" i="20"/>
  <c r="C57" i="20"/>
  <c r="C56" i="20"/>
  <c r="C55" i="20"/>
  <c r="C54" i="20"/>
  <c r="C53" i="20"/>
  <c r="C52" i="20"/>
  <c r="C51" i="20"/>
  <c r="C50" i="20"/>
  <c r="C49" i="20"/>
  <c r="C48" i="20"/>
  <c r="C47" i="20"/>
  <c r="C46" i="20"/>
  <c r="C45" i="20"/>
  <c r="C44" i="20"/>
  <c r="C43" i="20"/>
  <c r="C41" i="20"/>
  <c r="C42" i="20"/>
  <c r="C40" i="20"/>
  <c r="C39" i="20"/>
  <c r="C38" i="20" l="1"/>
  <c r="C37" i="20"/>
  <c r="C36" i="20"/>
  <c r="C35" i="20"/>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G10" i="19"/>
  <c r="G9" i="19"/>
  <c r="G8" i="19"/>
  <c r="N8" i="19" s="1"/>
  <c r="G6" i="19"/>
  <c r="G5" i="19"/>
  <c r="G4" i="19"/>
  <c r="G3" i="19"/>
  <c r="G2" i="19"/>
  <c r="F2" i="19"/>
  <c r="F6" i="19"/>
  <c r="F5" i="19"/>
  <c r="F4" i="19"/>
  <c r="F3" i="19"/>
  <c r="F7" i="19"/>
  <c r="F10" i="19"/>
  <c r="F9" i="19"/>
  <c r="F8" i="19"/>
  <c r="E10" i="19"/>
  <c r="E9" i="19"/>
  <c r="E8" i="19"/>
  <c r="E7" i="19"/>
  <c r="E6" i="19"/>
  <c r="E5" i="19"/>
  <c r="E4" i="19"/>
  <c r="E3" i="19"/>
  <c r="E2" i="19"/>
  <c r="D10" i="19"/>
  <c r="D9" i="19"/>
  <c r="D8" i="19"/>
  <c r="D7" i="19"/>
  <c r="D3" i="19"/>
  <c r="D4" i="19"/>
  <c r="D5" i="19"/>
  <c r="D6" i="19"/>
  <c r="D2" i="19"/>
  <c r="C10" i="19"/>
  <c r="C9" i="19"/>
  <c r="K4" i="19" s="1"/>
  <c r="C8" i="19"/>
  <c r="C7" i="19"/>
  <c r="C3" i="19"/>
  <c r="C4" i="19"/>
  <c r="C5" i="19"/>
  <c r="C6" i="19"/>
  <c r="C2" i="19"/>
  <c r="B10" i="19"/>
  <c r="B9" i="19"/>
  <c r="K3" i="19" s="1"/>
  <c r="B8" i="19"/>
  <c r="N3" i="19" s="1"/>
  <c r="B7" i="19"/>
  <c r="B3" i="19"/>
  <c r="B4" i="19"/>
  <c r="B5" i="19"/>
  <c r="B6" i="19"/>
  <c r="B2" i="19"/>
  <c r="C2" i="8"/>
  <c r="C32" i="12" l="1"/>
  <c r="C33" i="12"/>
  <c r="C34" i="12"/>
  <c r="C31" i="12"/>
  <c r="C18" i="12"/>
  <c r="C19" i="12"/>
  <c r="C20" i="12"/>
  <c r="C21" i="12"/>
  <c r="C22" i="12"/>
  <c r="C23" i="12"/>
  <c r="C17" i="12"/>
  <c r="C7" i="12"/>
  <c r="C6" i="12"/>
  <c r="C5" i="12"/>
  <c r="C4" i="12"/>
  <c r="C3" i="12"/>
  <c r="C2" i="12"/>
  <c r="K18" i="9"/>
  <c r="K9" i="9"/>
  <c r="K16" i="9"/>
  <c r="K19" i="9"/>
  <c r="K10" i="9"/>
  <c r="K8" i="9"/>
  <c r="K7" i="9"/>
  <c r="K12" i="9"/>
  <c r="K13" i="9"/>
  <c r="K11" i="9"/>
  <c r="K6" i="9"/>
  <c r="K14" i="9"/>
  <c r="K20" i="9"/>
  <c r="K15" i="9"/>
  <c r="K17" i="9"/>
  <c r="K5" i="9"/>
  <c r="H8" i="9" l="1"/>
  <c r="E148" i="9"/>
  <c r="E83" i="9"/>
  <c r="E91" i="9"/>
  <c r="E186" i="9"/>
  <c r="E158" i="9"/>
  <c r="E111" i="9"/>
  <c r="E3" i="9"/>
  <c r="E134" i="9"/>
  <c r="E156" i="9"/>
  <c r="E181" i="9"/>
  <c r="E119" i="9"/>
  <c r="E27" i="9"/>
  <c r="E39" i="9"/>
  <c r="E121" i="9"/>
  <c r="E196" i="9"/>
  <c r="E93" i="9"/>
  <c r="E198" i="9"/>
  <c r="E166" i="9"/>
  <c r="E167" i="9"/>
  <c r="E50" i="9"/>
  <c r="E221" i="9"/>
  <c r="E223" i="9"/>
  <c r="E113" i="9"/>
  <c r="E79" i="9"/>
  <c r="E88" i="9"/>
  <c r="E145" i="9"/>
  <c r="E118" i="9"/>
  <c r="E84" i="9"/>
  <c r="E172" i="9"/>
  <c r="E194" i="9"/>
  <c r="E115" i="9"/>
  <c r="E182" i="9"/>
  <c r="E42" i="9"/>
  <c r="E16" i="9"/>
  <c r="E188" i="9"/>
  <c r="E15" i="9"/>
  <c r="E125" i="9"/>
  <c r="E126" i="9"/>
  <c r="E41" i="9"/>
  <c r="E75" i="9"/>
  <c r="E20" i="9"/>
  <c r="E109" i="9"/>
  <c r="E78" i="9"/>
  <c r="E141" i="9"/>
  <c r="E89" i="9"/>
  <c r="E2" i="9"/>
  <c r="E46" i="9"/>
  <c r="E117" i="9"/>
  <c r="E25" i="9"/>
  <c r="E67" i="9"/>
  <c r="E38" i="9"/>
  <c r="E68" i="9"/>
  <c r="E218" i="9"/>
  <c r="E37" i="9"/>
  <c r="E199" i="9"/>
  <c r="E157" i="9"/>
  <c r="E179" i="9"/>
  <c r="E47" i="9"/>
  <c r="E154" i="9"/>
  <c r="E195" i="9"/>
  <c r="E74" i="9"/>
  <c r="E17" i="9"/>
  <c r="E204" i="9"/>
  <c r="E99" i="9"/>
  <c r="E163" i="9"/>
  <c r="E30" i="9"/>
  <c r="E62" i="9"/>
  <c r="E43" i="9"/>
  <c r="E208" i="9"/>
  <c r="E214" i="9"/>
  <c r="E169" i="9"/>
  <c r="E215" i="9"/>
  <c r="E234" i="9"/>
  <c r="E65" i="9"/>
  <c r="E146" i="9"/>
  <c r="E130" i="9"/>
  <c r="E131" i="9"/>
  <c r="E203" i="9"/>
  <c r="E87" i="9"/>
  <c r="E168" i="9"/>
  <c r="E44" i="9"/>
  <c r="E193" i="9"/>
  <c r="E220" i="9"/>
  <c r="E108" i="9"/>
  <c r="E81" i="9"/>
  <c r="E34" i="9"/>
  <c r="E137" i="9"/>
  <c r="E19" i="9"/>
  <c r="E22" i="9"/>
  <c r="E152" i="9"/>
  <c r="E96" i="9"/>
  <c r="E123" i="9"/>
  <c r="E162" i="9"/>
  <c r="E26" i="9"/>
  <c r="E210" i="9"/>
  <c r="E136" i="9"/>
  <c r="E147" i="9"/>
  <c r="E133" i="9"/>
  <c r="E56" i="9"/>
  <c r="E105" i="9"/>
  <c r="E138" i="9"/>
  <c r="E94" i="9"/>
  <c r="E225" i="9"/>
  <c r="E187" i="9"/>
  <c r="E128" i="9"/>
  <c r="E184" i="9"/>
  <c r="E73" i="9"/>
  <c r="E153" i="9"/>
  <c r="E6" i="9"/>
  <c r="E159" i="9"/>
  <c r="E36" i="9"/>
  <c r="E209" i="9"/>
  <c r="E35" i="9"/>
  <c r="E53" i="9"/>
  <c r="E217" i="9"/>
  <c r="E24" i="9"/>
  <c r="E142" i="9"/>
  <c r="E226" i="9"/>
  <c r="E229" i="9"/>
  <c r="E230" i="9"/>
  <c r="E233" i="9"/>
  <c r="E139" i="9"/>
  <c r="E197" i="9"/>
  <c r="E63" i="9"/>
  <c r="E33" i="9"/>
  <c r="E189" i="9"/>
  <c r="E18" i="9"/>
  <c r="E12" i="9"/>
  <c r="E98" i="9"/>
  <c r="E70" i="9"/>
  <c r="E55" i="9"/>
  <c r="E237" i="9"/>
  <c r="E206" i="9"/>
  <c r="E183" i="9"/>
  <c r="E61" i="9"/>
  <c r="E100" i="9"/>
  <c r="E102" i="9"/>
  <c r="E13" i="9"/>
  <c r="E14" i="9"/>
  <c r="E107" i="9"/>
  <c r="E135" i="9"/>
  <c r="E54" i="9"/>
  <c r="E222" i="9"/>
  <c r="E227" i="9"/>
  <c r="E175" i="9"/>
  <c r="E176" i="9"/>
  <c r="E232" i="9"/>
  <c r="E235" i="9"/>
  <c r="E236" i="9"/>
  <c r="E129" i="9"/>
  <c r="E112" i="9"/>
  <c r="E173" i="9"/>
  <c r="E207" i="9"/>
  <c r="E185" i="9"/>
  <c r="E120" i="9"/>
  <c r="E80" i="9"/>
  <c r="E114" i="9"/>
  <c r="E77" i="9"/>
  <c r="E71" i="9"/>
  <c r="E150" i="9"/>
  <c r="E29" i="9"/>
  <c r="E164" i="9"/>
  <c r="E86" i="9"/>
  <c r="E177" i="9"/>
  <c r="E205" i="9"/>
  <c r="E11" i="9"/>
  <c r="E191" i="9"/>
  <c r="E101" i="9"/>
  <c r="E171" i="9"/>
  <c r="E216" i="9"/>
  <c r="E60" i="9"/>
  <c r="E58" i="9"/>
  <c r="E97" i="9"/>
  <c r="E69" i="9"/>
  <c r="E161" i="9"/>
  <c r="E110" i="9"/>
  <c r="E213" i="9"/>
  <c r="E149" i="9"/>
  <c r="E122" i="9"/>
  <c r="E23" i="9"/>
  <c r="E51" i="9"/>
  <c r="E140" i="9"/>
  <c r="E9" i="9"/>
  <c r="E85" i="9"/>
  <c r="E106" i="9"/>
  <c r="E82" i="9"/>
  <c r="E155" i="9"/>
  <c r="E52" i="9"/>
  <c r="E49" i="9"/>
  <c r="E48" i="9"/>
  <c r="E76" i="9"/>
  <c r="E228" i="9"/>
  <c r="E231" i="9"/>
  <c r="E5" i="9"/>
  <c r="E92" i="9"/>
  <c r="E116" i="9"/>
  <c r="E72" i="9"/>
  <c r="E151" i="9"/>
  <c r="E66" i="9"/>
  <c r="E190" i="9"/>
  <c r="E40" i="9"/>
  <c r="E95" i="9"/>
  <c r="E21" i="9"/>
  <c r="E200" i="9"/>
  <c r="E201" i="9"/>
  <c r="E103" i="9"/>
  <c r="E104" i="9"/>
  <c r="E8" i="9"/>
  <c r="E165" i="9"/>
  <c r="E211" i="9"/>
  <c r="E212" i="9"/>
  <c r="E10" i="9"/>
  <c r="E170" i="9"/>
  <c r="E219" i="9"/>
  <c r="E174" i="9"/>
  <c r="E7" i="9"/>
  <c r="E59" i="9"/>
  <c r="E224" i="9"/>
  <c r="E28" i="9"/>
  <c r="E143" i="9"/>
  <c r="E64" i="9"/>
  <c r="E144" i="9"/>
  <c r="E178" i="9"/>
  <c r="E32" i="9"/>
  <c r="E45" i="9"/>
  <c r="E90" i="9"/>
  <c r="E4" i="9"/>
  <c r="E127" i="9"/>
  <c r="E124" i="9"/>
  <c r="E160" i="9"/>
  <c r="E180" i="9"/>
  <c r="E132" i="9"/>
  <c r="E57" i="9"/>
  <c r="E192" i="9"/>
  <c r="E31" i="9"/>
  <c r="E202" i="9"/>
  <c r="B81" i="10"/>
  <c r="B58" i="10"/>
  <c r="B65" i="10"/>
  <c r="B46" i="10"/>
  <c r="B47" i="10"/>
  <c r="B66" i="10"/>
  <c r="B48" i="10"/>
  <c r="B67" i="10"/>
  <c r="B72" i="10"/>
  <c r="B73" i="10"/>
  <c r="B61" i="10"/>
  <c r="B53" i="10"/>
  <c r="B51" i="10"/>
  <c r="B59" i="10"/>
  <c r="B74" i="10"/>
  <c r="B68" i="10"/>
  <c r="B50" i="10"/>
  <c r="B75" i="10"/>
  <c r="B76" i="10"/>
  <c r="B52" i="10"/>
  <c r="B49" i="10"/>
  <c r="B77" i="10"/>
  <c r="B78" i="10"/>
  <c r="B79" i="10"/>
  <c r="B54" i="10"/>
  <c r="B55" i="10"/>
  <c r="B69" i="10"/>
  <c r="B62" i="10"/>
  <c r="B80" i="10"/>
  <c r="B82" i="10"/>
  <c r="B83" i="10"/>
  <c r="B84" i="10"/>
  <c r="B63" i="10"/>
  <c r="B56" i="10"/>
  <c r="B64" i="10"/>
  <c r="B57" i="10"/>
  <c r="B85" i="10"/>
  <c r="B70" i="10"/>
  <c r="B71" i="10"/>
  <c r="B45" i="10"/>
  <c r="B60" i="10"/>
  <c r="H7" i="9" l="1"/>
  <c r="H6" i="9"/>
  <c r="H5" i="9"/>
  <c r="H4" i="9"/>
  <c r="AG238" i="32" l="1"/>
  <c r="AH238" i="32"/>
  <c r="AI238" i="32"/>
  <c r="AJ238" i="32"/>
  <c r="AK238" i="32"/>
  <c r="AL238" i="32"/>
  <c r="AM238" i="32"/>
  <c r="AN238" i="32"/>
  <c r="AO238" i="32"/>
  <c r="AP238" i="32"/>
  <c r="AQ238" i="32"/>
  <c r="AR238" i="32"/>
  <c r="AS238" i="32"/>
  <c r="BH238" i="32"/>
  <c r="BI238" i="32"/>
  <c r="BJ238" i="32"/>
  <c r="BK238" i="32"/>
  <c r="BL238" i="32"/>
  <c r="BM238" i="32"/>
  <c r="BN238" i="32"/>
  <c r="BO238" i="32"/>
  <c r="BP238" i="32"/>
  <c r="BQ238" i="32"/>
  <c r="BR238" i="32"/>
  <c r="AF238" i="32"/>
  <c r="F2" i="8" l="1"/>
  <c r="B43" i="10" l="1"/>
  <c r="B2" i="8"/>
  <c r="AD44" i="32" l="1"/>
  <c r="AD175" i="32" l="1"/>
  <c r="AD54" i="32"/>
  <c r="AD73" i="32" l="1"/>
  <c r="AD2" i="32" l="1"/>
  <c r="AD24" i="32"/>
  <c r="AD15" i="32"/>
  <c r="AD116" i="32"/>
  <c r="AD100" i="32"/>
  <c r="AD39" i="32"/>
  <c r="AD189" i="32"/>
  <c r="AD5" i="32"/>
  <c r="AD192" i="32"/>
  <c r="AD181" i="32"/>
  <c r="AD122" i="32"/>
  <c r="AD13" i="32"/>
  <c r="AD203" i="32"/>
  <c r="AD184" i="32"/>
  <c r="AD46" i="32"/>
  <c r="AD204" i="32"/>
  <c r="AD101" i="32"/>
  <c r="AD41" i="32"/>
  <c r="AD188" i="32"/>
  <c r="AD200" i="32"/>
  <c r="AD148" i="32"/>
  <c r="AD14" i="32"/>
  <c r="AD23" i="32"/>
  <c r="AD4" i="32"/>
  <c r="AD102" i="32"/>
  <c r="AD135" i="32"/>
  <c r="AD32" i="32"/>
  <c r="AD160" i="32"/>
  <c r="AD17" i="32"/>
  <c r="AD19" i="32"/>
  <c r="AD22" i="32"/>
  <c r="AD186" i="32"/>
  <c r="AD26" i="32"/>
  <c r="AD30" i="32"/>
  <c r="AD37" i="32"/>
  <c r="AD38" i="32"/>
  <c r="AD42" i="32"/>
  <c r="AD43" i="32"/>
  <c r="AD83" i="32"/>
  <c r="AD158" i="32"/>
  <c r="AD70" i="32"/>
  <c r="AD45" i="32"/>
  <c r="AD112" i="32"/>
  <c r="AD18" i="32"/>
  <c r="AD182" i="32"/>
  <c r="AD150" i="32"/>
  <c r="AD60" i="32"/>
  <c r="AD61" i="32"/>
  <c r="AD149" i="32"/>
  <c r="AD67" i="32"/>
  <c r="AD87" i="32"/>
  <c r="AD127" i="32"/>
  <c r="AD34" i="32"/>
  <c r="AD157" i="32"/>
  <c r="AD65" i="32"/>
  <c r="AD201" i="32"/>
  <c r="AD178" i="32"/>
  <c r="AD80" i="32"/>
  <c r="AD6" i="32"/>
  <c r="AD198" i="32"/>
  <c r="AD58" i="32"/>
  <c r="AD95" i="32"/>
  <c r="AD12" i="32"/>
  <c r="AD94" i="32"/>
  <c r="AD16" i="32"/>
  <c r="AD85" i="32"/>
  <c r="AD190" i="32"/>
  <c r="AD209" i="32"/>
  <c r="AD92" i="32"/>
  <c r="AD98" i="32"/>
  <c r="AD64" i="32"/>
  <c r="AD191" i="32"/>
  <c r="AD115" i="32"/>
  <c r="AD114" i="32"/>
  <c r="AD202" i="32"/>
  <c r="AD154" i="32"/>
  <c r="AD236" i="32"/>
  <c r="AD40" i="32"/>
  <c r="AD227" i="32"/>
  <c r="AD229" i="32"/>
  <c r="AD72" i="32"/>
  <c r="AD99" i="32"/>
  <c r="AD125" i="32"/>
  <c r="AD20" i="32"/>
  <c r="AD47" i="32"/>
  <c r="AD237" i="32"/>
  <c r="AD10" i="32"/>
  <c r="AD49" i="32"/>
  <c r="AD124" i="32"/>
  <c r="AD168" i="32"/>
  <c r="AD77" i="32"/>
  <c r="AD169" i="32"/>
  <c r="AD55" i="32"/>
  <c r="AD75" i="32"/>
  <c r="AD35" i="32"/>
  <c r="AD147" i="32"/>
  <c r="AD167" i="32"/>
  <c r="AD155" i="32"/>
  <c r="AD62" i="32"/>
  <c r="AD53" i="32"/>
  <c r="AD79" i="32"/>
  <c r="AD59" i="32"/>
  <c r="AD214" i="32"/>
  <c r="AD90" i="32"/>
  <c r="AD36" i="32"/>
  <c r="AD91" i="32"/>
  <c r="AD197" i="32"/>
  <c r="AD143" i="32"/>
  <c r="AD113" i="32"/>
  <c r="AD84" i="32"/>
  <c r="AD88" i="32"/>
  <c r="AD106" i="32"/>
  <c r="AD97" i="32"/>
  <c r="AD231" i="32"/>
  <c r="AD217" i="32"/>
  <c r="AD163" i="32"/>
  <c r="AD29" i="32"/>
  <c r="AD68" i="32"/>
  <c r="AD199" i="32"/>
  <c r="AD86" i="32"/>
  <c r="AD142" i="32"/>
  <c r="AD232" i="32"/>
  <c r="AD152" i="32"/>
  <c r="AD183" i="32"/>
  <c r="AD208" i="32"/>
  <c r="AD117" i="32"/>
  <c r="AD151" i="32"/>
  <c r="AD93" i="32"/>
  <c r="AD96" i="32"/>
  <c r="AD105" i="32"/>
  <c r="AD128" i="32"/>
  <c r="AD131" i="32"/>
  <c r="AD139" i="32"/>
  <c r="AD145" i="32"/>
  <c r="AD140" i="32"/>
  <c r="AD159" i="32"/>
  <c r="AD81" i="32"/>
  <c r="AD234" i="32"/>
  <c r="AD118" i="32"/>
  <c r="AD161" i="32"/>
  <c r="AD126" i="32"/>
  <c r="AD33" i="32"/>
  <c r="AD111" i="32"/>
  <c r="AD108" i="32"/>
  <c r="AD110" i="32"/>
  <c r="AD121" i="32"/>
  <c r="AD212" i="32"/>
  <c r="AD109" i="32"/>
  <c r="AD174" i="32"/>
  <c r="AD48" i="32"/>
  <c r="AD156" i="32"/>
  <c r="AD129" i="32"/>
  <c r="AD27" i="32"/>
  <c r="AD31" i="32"/>
  <c r="AD11" i="32"/>
  <c r="AD146" i="32"/>
  <c r="AD137" i="32"/>
  <c r="AD76" i="32"/>
  <c r="AD176" i="32"/>
  <c r="AD171" i="32"/>
  <c r="AD9" i="32"/>
  <c r="AD8" i="32"/>
  <c r="AD164" i="32"/>
  <c r="AD166" i="32"/>
  <c r="AD225" i="32"/>
  <c r="AD165" i="32"/>
  <c r="AD218" i="32"/>
  <c r="AD173" i="32"/>
  <c r="AD177" i="32"/>
  <c r="AD224" i="32"/>
  <c r="AD78" i="32"/>
  <c r="AD50" i="32"/>
  <c r="AD133" i="32"/>
  <c r="AD51" i="32"/>
  <c r="AD219" i="32"/>
  <c r="AD220" i="32"/>
  <c r="AD56" i="32"/>
  <c r="AD179" i="32"/>
  <c r="AD103" i="32"/>
  <c r="AD216" i="32"/>
  <c r="AD3" i="32"/>
  <c r="AD7" i="32"/>
  <c r="AD57" i="32"/>
  <c r="AD226" i="32"/>
  <c r="AD63" i="32"/>
  <c r="AD52" i="32"/>
  <c r="AD221" i="32"/>
  <c r="AD180" i="32"/>
  <c r="AD66" i="32"/>
  <c r="AD120" i="32"/>
  <c r="AD21" i="32"/>
  <c r="AD74" i="32"/>
  <c r="AD107" i="32"/>
  <c r="AD136" i="32"/>
  <c r="AD82" i="32"/>
  <c r="AD69" i="32"/>
  <c r="AD89" i="32"/>
  <c r="AD141" i="32"/>
  <c r="AD144" i="32"/>
  <c r="AD25" i="32"/>
  <c r="AD123" i="32"/>
  <c r="AD187" i="32"/>
  <c r="AD134" i="32"/>
  <c r="AD138" i="32"/>
  <c r="AD211" i="32"/>
  <c r="AD132" i="32"/>
  <c r="AD213" i="32"/>
  <c r="AD193" i="32"/>
  <c r="AD130" i="32"/>
  <c r="AD222" i="32"/>
  <c r="AD223" i="32"/>
  <c r="AD233" i="32"/>
  <c r="AD71" i="32"/>
  <c r="AD172" i="32"/>
  <c r="AD119" i="32"/>
  <c r="AD170" i="32"/>
  <c r="AD104" i="32"/>
  <c r="AD195" i="32"/>
  <c r="AD162" i="32"/>
  <c r="AD153" i="32"/>
  <c r="AD28" i="32"/>
  <c r="AD205" i="32"/>
  <c r="AD207" i="32"/>
  <c r="AD194" i="32"/>
  <c r="AD196" i="32"/>
  <c r="AD206" i="32"/>
  <c r="AD210" i="32"/>
  <c r="AD215" i="32"/>
  <c r="AD228" i="32"/>
  <c r="AD230" i="32"/>
  <c r="AD235" i="32"/>
  <c r="AD185" i="32"/>
  <c r="C3" i="8"/>
  <c r="F3" i="8" s="1"/>
  <c r="C4" i="8"/>
  <c r="F4" i="8" s="1"/>
  <c r="C5" i="8"/>
  <c r="F5" i="8" s="1"/>
  <c r="C6" i="8"/>
  <c r="F6" i="8" s="1"/>
  <c r="C7" i="8"/>
  <c r="F7" i="8" s="1"/>
  <c r="C8" i="8"/>
  <c r="F8" i="8" s="1"/>
  <c r="C9" i="8"/>
  <c r="F9" i="8" s="1"/>
  <c r="B3" i="8"/>
  <c r="B4" i="8"/>
  <c r="B5" i="8"/>
  <c r="B6" i="8"/>
  <c r="B7" i="8"/>
  <c r="B8" i="8"/>
  <c r="B9" i="8"/>
  <c r="H3" i="19" l="1"/>
  <c r="H4" i="19"/>
  <c r="H5" i="19"/>
  <c r="H6" i="19"/>
  <c r="H10" i="19"/>
  <c r="L9" i="19" s="1"/>
  <c r="H9" i="19"/>
  <c r="K9" i="19" s="1"/>
  <c r="H2" i="19"/>
  <c r="H8" i="19"/>
  <c r="N9" i="19" s="1"/>
  <c r="G7" i="19"/>
  <c r="H7" i="19"/>
  <c r="M9" i="19" s="1"/>
  <c r="C11" i="8"/>
  <c r="B11" i="8"/>
  <c r="D5" i="22" l="1"/>
  <c r="D6" i="22"/>
  <c r="D7" i="22"/>
  <c r="D4" i="22"/>
  <c r="K7" i="19" l="1"/>
  <c r="K6" i="19"/>
  <c r="K5" i="19"/>
  <c r="L7" i="19"/>
  <c r="L6" i="19"/>
  <c r="L5" i="19"/>
  <c r="L4" i="19"/>
  <c r="L3" i="19"/>
  <c r="N7" i="19" l="1"/>
  <c r="N6" i="19"/>
  <c r="N5" i="19"/>
  <c r="N4" i="19"/>
  <c r="M7" i="19"/>
  <c r="M4" i="19"/>
  <c r="M5" i="19"/>
  <c r="M6" i="19"/>
  <c r="M3" i="19"/>
  <c r="K8" i="19" l="1"/>
  <c r="L8" i="19"/>
  <c r="M8"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tc={2568CE76-A4A8-444E-BCD9-3E4CB50A9025}</author>
    <author>tc={E00DF57A-0219-4A76-9609-6A9FB74AA8BB}</author>
    <author>tc={60B6AF2A-C892-462B-8FF1-081DFD5039F9}</author>
    <author>tc={D588BBCA-C7E4-4900-8566-ABA734B1C412}</author>
    <author>tc={5615A23A-9ED1-4599-9C10-BB996FC9E5A5}</author>
  </authors>
  <commentList>
    <comment ref="F3" authorId="0" shapeId="0" xr:uid="{2568CE76-A4A8-444E-BCD9-3E4CB50A9025}">
      <text>
        <t>[Comentario encadenado]
Su versión de Excel le permite leer este comentario encadenado; sin embargo, las ediciones que se apliquen se quitarán si el archivo se abre en una versión más reciente de Excel. Más información: https://go.microsoft.com/fwlink/?linkid=870924
Comentario:
    he invertido las palabras, el adjetivo siempre primero en inglés</t>
      </text>
    </comment>
    <comment ref="N3" authorId="1" shapeId="0" xr:uid="{E00DF57A-0219-4A76-9609-6A9FB74AA8BB}">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Repository info??
Respuesta:
    Si, asi que cambie el nombre</t>
      </text>
    </comment>
    <comment ref="A9" authorId="2" shapeId="0" xr:uid="{60B6AF2A-C892-462B-8FF1-081DFD5039F9}">
      <text>
        <t>[Comentario encadenado]
Su versión de Excel le permite leer este comentario encadenado; sin embargo, las ediciones que se apliquen se quitarán si el archivo se abre en una versión más reciente de Excel. Más información: https://go.microsoft.com/fwlink/?linkid=870924
Comentario:
    Especificar que es esto
Respuesta:
    es un caracteristica de cantidad de contributions al project por eso le puse ahora en esta categoria</t>
      </text>
    </comment>
    <comment ref="M11" authorId="3" shapeId="0" xr:uid="{D588BBCA-C7E4-4900-8566-ABA734B1C412}">
      <text>
        <t>[Comentario encadenado]
Su versión de Excel le permite leer este comentario encadenado; sin embargo, las ediciones que se apliquen se quitarán si el archivo se abre en una versión más reciente de Excel. Más información: https://go.microsoft.com/fwlink/?linkid=870924
Comentario:
    12 y 14 podrían ser un subgrupo dentro de 13, que es más amplio. pero lo dejamos así. En el paper hay que explicar que aunque pueden ser considerados subgrupos, hay bastantes trabajos que abordarn quality metrics relacionadas con maintenability (12) y source code metrics (14)</t>
      </text>
    </comment>
    <comment ref="H28" authorId="4" shapeId="0" xr:uid="{5615A23A-9ED1-4599-9C10-BB996FC9E5A5}">
      <text>
        <t>[Comentario encadenado]
Su versión de Excel le permite leer este comentario encadenado; sin embargo, las ediciones que se apliquen se quitarán si el archivo se abre en una versión más reciente de Excel. Más información: https://go.microsoft.com/fwlink/?linkid=870924
Comentario:
    Integrar con 8</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tc={09DDC983-AF0D-4754-B369-BEB165E58136}</author>
    <author>tc={AE436235-87A8-4985-9588-CEDA7C41A663}</author>
    <author>tc={96880F10-F106-4371-ABA9-D64A83012CE5}</author>
  </authors>
  <commentList>
    <comment ref="H7" authorId="0" shapeId="0" xr:uid="{09DDC983-AF0D-4754-B369-BEB165E58136}">
      <text>
        <t>[Comentario encadenado]
Su versión de Excel le permite leer este comentario encadenado; sin embargo, las ediciones que se apliquen se quitarán si el archivo se abre en una versión más reciente de Excel. Más información: https://go.microsoft.com/fwlink/?linkid=870924
Comentario:
    Especificar que es esto
Respuesta:
    es un caracteristica de cantidad de contributions al project por eso le puse ahora en esta categoria</t>
      </text>
    </comment>
    <comment ref="B9" authorId="1" shapeId="0" xr:uid="{AE436235-87A8-4985-9588-CEDA7C41A663}">
      <text>
        <t>[Comentario encadenado]
Su versión de Excel le permite leer este comentario encadenado; sin embargo, las ediciones que se apliquen se quitarán si el archivo se abre en una versión más reciente de Excel. Más información: https://go.microsoft.com/fwlink/?linkid=870924
Comentario:
    he invertido las palabras, el adjetivo siempre primero en inglés</t>
      </text>
    </comment>
    <comment ref="B16" authorId="2" shapeId="0" xr:uid="{96880F10-F106-4371-ABA9-D64A83012CE5}">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Repository info??
Respuesta:
    Si, asi que cambie el nombre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tc={318649EC-3E90-4491-8A50-5B72E588E38A}</author>
    <author>tc={54E8C434-0220-4465-A330-F6F672A53B39}</author>
  </authors>
  <commentList>
    <comment ref="B12" authorId="0" shapeId="0" xr:uid="{318649EC-3E90-4491-8A50-5B72E588E38A}">
      <text>
        <t>[Comentario encadenado]
Su versión de Excel le permite leer este comentario encadenado; sin embargo, las ediciones que se apliquen se quitarán si el archivo se abre en una versión más reciente de Excel. Más información: https://go.microsoft.com/fwlink/?linkid=870924
Comentario:
    12 y 14 podrían ser un subgrupo dentro de 13, que es más amplio. pero lo dejamos así. En el paper hay que explicar que aunque pueden ser considerados subgrupos, hay bastantes trabajos que abordarn quality metrics relacionadas con maintenability (12) y source code metrics (14)</t>
      </text>
    </comment>
    <comment ref="S13" authorId="1" shapeId="0" xr:uid="{54E8C434-0220-4465-A330-F6F672A53B39}">
      <text>
        <t>[Comentario encadenado]
Su versión de Excel le permite leer este comentario encadenado; sin embargo, las ediciones que se apliquen se quitarán si el archivo se abre en una versión más reciente de Excel. Más información: https://go.microsoft.com/fwlink/?linkid=870924
Comentario:
    Integrar con 8</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tc={59E9D452-9B80-41DB-887C-52FDD2901828}</author>
    <author>tc={485C7C9E-BD38-4D5F-86E4-91FE8F3D2CBE}</author>
    <author>tc={8368FA14-61A8-4129-83A3-7480338AC2AB}</author>
  </authors>
  <commentList>
    <comment ref="L7" authorId="0" shapeId="0" xr:uid="{59E9D452-9B80-41DB-887C-52FDD2901828}">
      <text>
        <t>[Comentario encadenado]
Su versión de Excel le permite leer este comentario encadenado; sin embargo, las ediciones que se apliquen se quitarán si el archivo se abre en una versión más reciente de Excel. Más información: https://go.microsoft.com/fwlink/?linkid=870924
Comentario:
    he invertido las palabras, el adjetivo siempre primero en inglés</t>
      </text>
    </comment>
    <comment ref="L15" authorId="1" shapeId="0" xr:uid="{485C7C9E-BD38-4D5F-86E4-91FE8F3D2CBE}">
      <text>
        <t>[Comentario encadenado]
Su versión de Excel le permite leer este comentario encadenado; sin embargo, las ediciones que se apliquen se quitarán si el archivo se abre en una versión más reciente de Excel. Más información: https://go.microsoft.com/fwlink/?linkid=870924
Comentario:
    Repository info??
Respuesta:
    Si, asi que cambie el nombre</t>
      </text>
    </comment>
    <comment ref="L29" authorId="2" shapeId="0" xr:uid="{8368FA14-61A8-4129-83A3-7480338AC2AB}">
      <text>
        <t>[Comentario encadenado]
Su versión de Excel le permite leer este comentario encadenado; sin embargo, las ediciones que se apliquen se quitarán si el archivo se abre en una versión más reciente de Excel. Más información: https://go.microsoft.com/fwlink/?linkid=870924
Comentario:
    12 y 14 podrían ser un subgrupo dentro de 13, que es más amplio. pero lo dejamos así. En el paper hay que explicar que aunque pueden ser considerados subgrupos, hay bastantes trabajos que abordarn quality metrics relacionadas con maintenability (12) y source code metrics (14)</t>
      </text>
    </comment>
  </commentList>
</comments>
</file>

<file path=xl/sharedStrings.xml><?xml version="1.0" encoding="utf-8"?>
<sst xmlns="http://schemas.openxmlformats.org/spreadsheetml/2006/main" count="14636" uniqueCount="4244">
  <si>
    <t>Conference Proceedings</t>
  </si>
  <si>
    <t>Journal Article</t>
  </si>
  <si>
    <t>Book Section</t>
  </si>
  <si>
    <t>Book</t>
  </si>
  <si>
    <t>Software Quality Journal</t>
  </si>
  <si>
    <t>Serial</t>
  </si>
  <si>
    <t>Conference Paper</t>
  </si>
  <si>
    <t>Procedia Computer Science</t>
  </si>
  <si>
    <t>Type</t>
  </si>
  <si>
    <t>Author</t>
  </si>
  <si>
    <t>Year</t>
  </si>
  <si>
    <t>Title</t>
  </si>
  <si>
    <t>keywords</t>
  </si>
  <si>
    <t>Abstract</t>
  </si>
  <si>
    <t>I-A1</t>
  </si>
  <si>
    <t>E-A1</t>
  </si>
  <si>
    <t>I-A2</t>
  </si>
  <si>
    <t>E-A2</t>
  </si>
  <si>
    <t>Input</t>
  </si>
  <si>
    <t>Output</t>
  </si>
  <si>
    <t>Serie</t>
  </si>
  <si>
    <t>IET Software</t>
  </si>
  <si>
    <t>Journal of Systems and Software</t>
  </si>
  <si>
    <t>Big data</t>
  </si>
  <si>
    <t>Information and Software Technology</t>
  </si>
  <si>
    <t>2017 IEEE 19th Conference on Business Informatics (CBI)</t>
  </si>
  <si>
    <t>2017 IEEE 41st Annual Computer Software and Applications Conference (COMPSAC)</t>
  </si>
  <si>
    <t>Knowledge and Information Systems</t>
  </si>
  <si>
    <t>IEEE Software</t>
  </si>
  <si>
    <t>2016 IEEE International Conference on Software Quality, Reliability and Security (QRS)</t>
  </si>
  <si>
    <t>2015 IEEE International Conference on Software Maintenance and Evolution (ICSME)</t>
  </si>
  <si>
    <t>Reference Type</t>
  </si>
  <si>
    <t>Number</t>
  </si>
  <si>
    <t>DOI</t>
  </si>
  <si>
    <t>Keywords</t>
  </si>
  <si>
    <t>Type of publication</t>
  </si>
  <si>
    <t>Type of research</t>
  </si>
  <si>
    <t>Evaluation research</t>
  </si>
  <si>
    <t>Proposal of solution</t>
  </si>
  <si>
    <t>Validation research</t>
  </si>
  <si>
    <t>Philosophical papers</t>
  </si>
  <si>
    <t>Opinion papers</t>
  </si>
  <si>
    <t>Personal experience papers</t>
  </si>
  <si>
    <t>Scale</t>
  </si>
  <si>
    <t>Type of Publication</t>
  </si>
  <si>
    <t>Type of Research</t>
  </si>
  <si>
    <t>Selected</t>
  </si>
  <si>
    <t>Aplication</t>
  </si>
  <si>
    <t>Score</t>
  </si>
  <si>
    <t>Workshop paper</t>
  </si>
  <si>
    <t xml:space="preserve"> </t>
  </si>
  <si>
    <t># papers</t>
  </si>
  <si>
    <t>Country</t>
  </si>
  <si>
    <t>Austria</t>
  </si>
  <si>
    <t>Germany</t>
  </si>
  <si>
    <t>USA</t>
  </si>
  <si>
    <t>Italy</t>
  </si>
  <si>
    <t>Canada</t>
  </si>
  <si>
    <t>Greece</t>
  </si>
  <si>
    <t>China</t>
  </si>
  <si>
    <t>Finland</t>
  </si>
  <si>
    <t>Brazil</t>
  </si>
  <si>
    <t>Switzerland</t>
  </si>
  <si>
    <t>Colombia</t>
  </si>
  <si>
    <t>Australia</t>
  </si>
  <si>
    <t>Sweden</t>
  </si>
  <si>
    <t>Netherlands</t>
  </si>
  <si>
    <t>Turkey</t>
  </si>
  <si>
    <t>#papers</t>
  </si>
  <si>
    <t>Academia</t>
  </si>
  <si>
    <t>Industry</t>
  </si>
  <si>
    <t>A</t>
  </si>
  <si>
    <t>Freelance</t>
  </si>
  <si>
    <t>#Authors</t>
  </si>
  <si>
    <t>#Authors from Industry</t>
  </si>
  <si>
    <t>cited by (*Scopus)</t>
  </si>
  <si>
    <t>Citations</t>
  </si>
  <si>
    <t>Application</t>
  </si>
  <si>
    <t>QUALIS</t>
  </si>
  <si>
    <t>JCR</t>
  </si>
  <si>
    <t>#</t>
  </si>
  <si>
    <t>B3</t>
  </si>
  <si>
    <t>B</t>
  </si>
  <si>
    <t>B4</t>
  </si>
  <si>
    <t>C</t>
  </si>
  <si>
    <t>A2</t>
  </si>
  <si>
    <t>Q-JCR</t>
  </si>
  <si>
    <t>ERA</t>
  </si>
  <si>
    <t>B1</t>
  </si>
  <si>
    <t>Relevance of Conference/Journal</t>
  </si>
  <si>
    <t>Level</t>
  </si>
  <si>
    <t>Q-cited</t>
  </si>
  <si>
    <t>selected (1st iteration)</t>
  </si>
  <si>
    <t>Industry/Academia</t>
  </si>
  <si>
    <t>Industry / Academia</t>
  </si>
  <si>
    <t>Process mining</t>
  </si>
  <si>
    <t>Input/Output</t>
  </si>
  <si>
    <t>Evaluation Question</t>
  </si>
  <si>
    <t>Average</t>
  </si>
  <si>
    <t>Standard deviation</t>
  </si>
  <si>
    <t>Mode</t>
  </si>
  <si>
    <t>Median</t>
  </si>
  <si>
    <t>Meta-Information</t>
  </si>
  <si>
    <t>Classification</t>
  </si>
  <si>
    <t>Quality Assessment</t>
  </si>
  <si>
    <t>AQ1</t>
  </si>
  <si>
    <t>AQ2</t>
  </si>
  <si>
    <t>AQ3</t>
  </si>
  <si>
    <t>AQ4</t>
  </si>
  <si>
    <t>AQ5</t>
  </si>
  <si>
    <t>AQ6</t>
  </si>
  <si>
    <t>RQ1</t>
  </si>
  <si>
    <t>RQ2</t>
  </si>
  <si>
    <t>RQ3</t>
  </si>
  <si>
    <t>RQ4</t>
  </si>
  <si>
    <t>RQ5</t>
  </si>
  <si>
    <t>RQ6</t>
  </si>
  <si>
    <t>Journal and conference relevance / citations</t>
  </si>
  <si>
    <t>…</t>
  </si>
  <si>
    <t>Tracking information about the selection of primary studies</t>
  </si>
  <si>
    <t>Conference/Journal</t>
  </si>
  <si>
    <t>IEEE Transactions on Software Engineering</t>
  </si>
  <si>
    <t>IEEE Access</t>
  </si>
  <si>
    <t>Smart Innovation, Systems and Technologies</t>
  </si>
  <si>
    <t>B2</t>
  </si>
  <si>
    <t>A systematic mapping study on mining software repositories</t>
  </si>
  <si>
    <t>Aalst, Wil van der</t>
  </si>
  <si>
    <t>Big software on the run: in vivo software analytics based on process mining (keynote)</t>
  </si>
  <si>
    <t>Abdullin, Azat and Akhin, Marat</t>
  </si>
  <si>
    <t>By the power of SMT! mining function contracts to better bounded model checking</t>
  </si>
  <si>
    <t>Abuasad, Arwa and Alsmadi, Izzat M.</t>
  </si>
  <si>
    <t>The correlation between source code analysis change recommendations and software metrics</t>
  </si>
  <si>
    <t>Acharya, Mithun and Robinson, Brian</t>
  </si>
  <si>
    <t>Practical change impact analysis based on static program slicing for industrial software systems</t>
  </si>
  <si>
    <t>Alves, Francisco Vanderson de Moura, Alc, Pedro de, #226, Neto, ntara dos Santos, Lira, Werney Ayala Luz and Ibiapina, Irvayne Matheus de Sousa</t>
  </si>
  <si>
    <t>Analysis of Code Familiarity in Module and Functionality Perspectives</t>
  </si>
  <si>
    <t>Asaduzzaman, Muhammad, Ahasanuzzaman, Muhammad, Roy, Chanchal K. and Schneider, Kevin A.</t>
  </si>
  <si>
    <t>How developers use exception handling in Java?</t>
  </si>
  <si>
    <t>A large-scale empirical study on self-admitted technical debt</t>
  </si>
  <si>
    <t>Bosu, Amiangshu</t>
  </si>
  <si>
    <t>Mining repositories to reveal the community structures of open source software projects</t>
  </si>
  <si>
    <t>Breckel, Alexander</t>
  </si>
  <si>
    <t>Error mining: bug detection through comparison with large code databases</t>
  </si>
  <si>
    <t>Chapman, Carl and Stolee, Kathryn T.</t>
  </si>
  <si>
    <t>Exploring regular expression usage and context in Python</t>
  </si>
  <si>
    <t>Christakis, Maria and Bird, Christian</t>
  </si>
  <si>
    <t>What developers want and need from program analysis: an empirical study</t>
  </si>
  <si>
    <t>SIGSOFT Softw. Eng. Notes</t>
  </si>
  <si>
    <t>Decan, Alexandre, Mens, Tom, Claes, Maelick and Grosjean, Philippe</t>
  </si>
  <si>
    <t>On the Development and Distribution of R Packages: An Empirical Analysis of the R Ecosystem</t>
  </si>
  <si>
    <t>Dem, #243, Sena, stenes, Coelho, Roberta, Uir, #225, Kulesza, Bonif, Rodrigo, #225 and cio</t>
  </si>
  <si>
    <t>Understanding the exception handling strategies of Java libraries: an empirical study</t>
  </si>
  <si>
    <t>Ding, Jin, Sun, Hailong, Wang, Xu and Liu, Xudong</t>
  </si>
  <si>
    <t>Entity-level sentiment analysis of issue comments</t>
  </si>
  <si>
    <t>Dit, Bogdan, Wagner, Michael, Wen, Shasha, Wang, Weilin, Linares-V, Mario, #225, squez, Poshyvanyk, Denys and Kagdi, Huzefa</t>
  </si>
  <si>
    <t>ImpactMiner: a tool for change impact analysis</t>
  </si>
  <si>
    <t>Du, Hao, Su, Yongchi and Li, Chunping</t>
  </si>
  <si>
    <t>Discriminative Sequential Pattern Mining for Software Failure Detection</t>
  </si>
  <si>
    <t>An architectural blueprint for a pluggable version control system for software (evolution) analysis</t>
  </si>
  <si>
    <t>Gupta, Monika and Sureka, Ashish</t>
  </si>
  <si>
    <t>Nirikshan: mining bug report history for discovering process maps, inefficiencies and inconsistencies</t>
  </si>
  <si>
    <t>Gupta, Monika, Sureka, Ashish and Padmanabhuni, Srinivas</t>
  </si>
  <si>
    <t>Process mining multiple repositories for software defect resolution from control and organizational perspective</t>
  </si>
  <si>
    <t>The promises and perils of mining GitHub</t>
  </si>
  <si>
    <t>Keertipati, Smitha, Licorish, Sherlock A. and Savarimuthu, Bastin Tony Roy</t>
  </si>
  <si>
    <t>Exploring decision-making processes in Python</t>
  </si>
  <si>
    <t>Kili, Yunus, #231, S, Hasan, #246 and zer</t>
  </si>
  <si>
    <t>Generating runtime verification specifications based on static code analysis alerts</t>
  </si>
  <si>
    <t>Krutz, Daniel E., Malachowsky, Samuel A. and Shihab, Emad</t>
  </si>
  <si>
    <t>Examining the effectiveness of using concolic analysis to detect code clones</t>
  </si>
  <si>
    <t>Lamba, Yash, Khattar, Manisha and Sureka, Ashish</t>
  </si>
  <si>
    <t>Pravaaha: Mining Android Applications for Discovering API Call Usage Patterns and Trends</t>
  </si>
  <si>
    <t>Lee, Amanda</t>
  </si>
  <si>
    <t>One-Time Contributors to FLOSS: Surveys and Data Analysis</t>
  </si>
  <si>
    <t>Licorish, Sherlock A. and MacDonell, Stephen G.</t>
  </si>
  <si>
    <t>What affects team behavior?: preliminary linguistic analysis of communications in the jazz repository</t>
  </si>
  <si>
    <t>Lin, Bin, Zampetti, Fiorella, Bavota, Gabriele, Penta, Massimiliano Di, Lanza, Michele and Oliveto, Rocco</t>
  </si>
  <si>
    <t>Sentiment analysis for software engineering: how far can we go?</t>
  </si>
  <si>
    <t>Lovro, #352, ubelj and Bajec, Marko</t>
  </si>
  <si>
    <t>Software systems through complex networks science: review, analysis and applications</t>
  </si>
  <si>
    <t>Improving enterprise software maintenance efficiency through mining software repositories in an industry context</t>
  </si>
  <si>
    <t>Merten, Thorsten, Mager, Bastian, B, Simone, #252, rsner and Paech, Barbara</t>
  </si>
  <si>
    <t>Classifying unstructured data into natural language text and technical information</t>
  </si>
  <si>
    <t>Murgia, Alessandro, Tourani, Parastou, Adams, Bram and Ortu, Marco</t>
  </si>
  <si>
    <t>Do developers feel emotions? an exploratory analysis of emotions in software artifacts</t>
  </si>
  <si>
    <t>Mining fine-grained code changes to detect unknown change patterns</t>
  </si>
  <si>
    <t>Nguyen, Hoan Anh, Dyer, Robert, Nguyen, Tien N. and Rajan, Hridesh</t>
  </si>
  <si>
    <t>Mining preconditions of APIs in large-scale code corpus</t>
  </si>
  <si>
    <t>Novielli, Nicole, Calefato, Fabio and Lanubile, Filippo</t>
  </si>
  <si>
    <t>A gold standard for emotion annotation in stack overflow</t>
  </si>
  <si>
    <t>Novielli, Nicole, Girardi, Daniela and Lanubile, Filippo</t>
  </si>
  <si>
    <t>A benchmark study on sentiment analysis for software engineering research</t>
  </si>
  <si>
    <t>Ortu, Marco, Murgia, Alessandro, Destefanis, Giuseppe, Tourani, Parastou, Tonelli, Roberto, Marchesi, Michele and Adams, Bram</t>
  </si>
  <si>
    <t>The emotional side of software developers in JIRA</t>
  </si>
  <si>
    <t>Pakhira, Anjan and Andras, Peter</t>
  </si>
  <si>
    <t>Using network analysis metrics to discover functionally important methods in large-scale software systems</t>
  </si>
  <si>
    <t>Parashar, Anshu and Chhabra, Jitender Kumar</t>
  </si>
  <si>
    <t>Measuring Change-Readiness of Classes by Mining Change-History</t>
  </si>
  <si>
    <t>Park, Jeonghyeok, Son, Daeyeon, Kang, Dongwoo, Choi, Jongmoo and Jeon, Gwangil</t>
  </si>
  <si>
    <t>Software similarity analysis based on dynamic stack usage patterns</t>
  </si>
  <si>
    <t>Pashchenko, Ivan</t>
  </si>
  <si>
    <t>FOSS version differentiation as a benchmark for static analysis security testing tools</t>
  </si>
  <si>
    <t>Raki, Gordana, #263, Budimac, Zoran, Milo, #353, Savi and #263</t>
  </si>
  <si>
    <t>Language independent framework for static code analysis</t>
  </si>
  <si>
    <t>Rausch, Thomas, Hummer, Waldemar, Leitner, Philipp and Schulte, Stefan</t>
  </si>
  <si>
    <t>An empirical analysis of build failures in the continuous integration workflows of Java-based open-source software</t>
  </si>
  <si>
    <t>Reichelt, David Georg, K, Stefan, #252 and hne</t>
  </si>
  <si>
    <t>How to Detect Performance Changes in Software History: Performance Analysis of Software System Versions</t>
  </si>
  <si>
    <t>An extensive dataset of UML models in GitHub</t>
  </si>
  <si>
    <t>Ruohonen, Jukka, Hyrynsalmi, Sami, Lepp, Ville, #228 and nen</t>
  </si>
  <si>
    <t>Software evolution and time series volatility: an empirical exploration</t>
  </si>
  <si>
    <t>Automated support for human resource allocation in software process by cluster analysis</t>
  </si>
  <si>
    <t>Shihab, Emad, Kamei, Yasutaka and Bhattacharya, Pamela</t>
  </si>
  <si>
    <t>Mining challenge 2012: the Android platform</t>
  </si>
  <si>
    <t>Silva, Jefferson O., Wiese, Igor S., Steinmacher, Igor and Gerosa, Marco A.</t>
  </si>
  <si>
    <t>Students' Engagement in Open Source Projects: An Analysis of Google Summer of Code</t>
  </si>
  <si>
    <t>Souza, Rodrigo and Silva, Bruno</t>
  </si>
  <si>
    <t>Sentiment analysis of Travis CI builds</t>
  </si>
  <si>
    <t>PyDriller: Python framework for mining software repositories</t>
  </si>
  <si>
    <t>Srisopha, Kamonphop and Alfayez, Reem</t>
  </si>
  <si>
    <t>Software quality through the eyes of the end-user and static analysis tools: a study on Android OSS applications</t>
  </si>
  <si>
    <t>Incremental origin analysis of source code files</t>
  </si>
  <si>
    <t>Sureka, Ashish, Kumar, Atul and Gupta, Shrinath</t>
  </si>
  <si>
    <t>Ahaan: Software Process Intelligence: Mining Software Process Data for Extracting Actionable Information</t>
  </si>
  <si>
    <t>Syeed, M. M. Mahbubul, Hammouda, Imed and Berko, Csaba</t>
  </si>
  <si>
    <t>Exploring Socio-Technical Dependencies in Open Source Software Projects: Towards an Automated Data-driven Approach</t>
  </si>
  <si>
    <t>Tang, Wensheng</t>
  </si>
  <si>
    <t>Identifying error code misuses in complex system</t>
  </si>
  <si>
    <t>Adressing problems with external validity of repository mining studies through a smart data platform</t>
  </si>
  <si>
    <t>Upadhyaya, Ganesha and Rajan, Hridesh</t>
  </si>
  <si>
    <t>On accelerating ultra-large-scale mining</t>
  </si>
  <si>
    <t>Collective program analysis</t>
  </si>
  <si>
    <t>Vassallo, Carmine, Panichella, Sebastiano, Penta, Massimiliano Di and Canfora, Gerardo</t>
  </si>
  <si>
    <t>CODES: mining source code descriptions from developers discussions</t>
  </si>
  <si>
    <t>Wan, Chengcheng, Zhu, Zece, Zhang, Yuchen and Chen, Yuting</t>
  </si>
  <si>
    <t>Multi-perspective change impact analysis using linked data of software engineering</t>
  </si>
  <si>
    <t>Wang, Ningfei, Ji, Shouling and Wang, Ting</t>
  </si>
  <si>
    <t>Integration of Static and Dynamic Code Stylometry Analysis for Programmer De-anonymization</t>
  </si>
  <si>
    <t>Werder, Karl</t>
  </si>
  <si>
    <t>The evolution of emotional displays in open source software development teams: an individual growth curve analysis</t>
  </si>
  <si>
    <t>Wu, Tianyong, Liu, Jierui, Deng, Xi, Yan, Jun and Zhang, Jian</t>
  </si>
  <si>
    <t>Relda2: an effective static analysis tool for resource leak detection in Android apps</t>
  </si>
  <si>
    <t>Modular construction of an analysis tool for mining software repositories</t>
  </si>
  <si>
    <t>Yang, Di, Hussain, Aftab and Lopes, Cristina Videira</t>
  </si>
  <si>
    <t>From query to usable code: an analysis of stack overflow code snippets</t>
  </si>
  <si>
    <t>Yang, Di, Martins, Pedro, Saini, Vaibhav and Lopes, Cristina</t>
  </si>
  <si>
    <t>Stack overflow in github: any snippets there?</t>
  </si>
  <si>
    <t>Mining and recommending software features across multiple web repositories</t>
  </si>
  <si>
    <t>Zhang, Tao, Yang, Geunseok, Lee, Byungjeong and Chan, Alvin T. S.</t>
  </si>
  <si>
    <t>Predicting severity of bug report by mining bug repository with concept profile</t>
  </si>
  <si>
    <t>Classifying software issue reports through association mining</t>
  </si>
  <si>
    <t>AUTOR</t>
  </si>
  <si>
    <t>TITLE</t>
  </si>
  <si>
    <t>http://delivery.acm.org/10.1145/2790000/2785593/p1-aalst.pdf?ip=181.39.85.168&amp;id=2785593&amp;acc=ACTIVE%20SERVICE&amp;key=D910738817C0A376%2E0FCE28A66847B0AF%2E4D4702B0C3E38B35%2E4D4702B0C3E38B35&amp;__acm__=1562953827_0d92d4aa9a1a977b364d3b0de2cb5ca5</t>
  </si>
  <si>
    <t>http://delivery.acm.org/10.1145/2980000/2975963/p11-abdullin.pdf?ip=181.39.85.168&amp;id=2975963&amp;acc=ACTIVE%20SERVICE&amp;key=D910738817C0A376%2E0FCE28A66847B0AF%2E4D4702B0C3E38B35%2E4D4702B0C3E38B35&amp;__acm__=1562953832_1a3753c1364f2556e95ce2d0d3dd97f9</t>
  </si>
  <si>
    <t>http://delivery.acm.org/10.1145/2230000/2222446/a2-abuasad.pdf?ip=181.39.85.168&amp;id=2222446&amp;acc=ACTIVE%20SERVICE&amp;key=D910738817C0A376%2E0FCE28A66847B0AF%2E4D4702B0C3E38B35%2E4D4702B0C3E38B35&amp;__acm__=1562953837_7c27a42e4f598acdce7d37b77a81100a</t>
  </si>
  <si>
    <t>http://delivery.acm.org/10.1145/2400000/2393610/a13-acharya.pdf?ip=181.39.85.168&amp;id=2393610&amp;acc=ACTIVE%20SERVICE&amp;key=D910738817C0A376%2E0FCE28A66847B0AF%2E4D4702B0C3E38B35%2E4D4702B0C3E38B35&amp;__acm__=1562953845_97a5ed68804c5cde3ee05032c59a37f0</t>
  </si>
  <si>
    <t>http://delivery.acm.org/10.1145/3280000/3275250/p41-de_Moura_Alves.pdf?ip=181.39.85.168&amp;id=3275250&amp;acc=ACTIVE%20SERVICE&amp;key=D910738817C0A376%2E0FCE28A66847B0AF%2E4D4702B0C3E38B35%2E4D4702B0C3E38B35&amp;__acm__=1562953849_9811caea96924d93931b048f2e5a7ec5</t>
  </si>
  <si>
    <t>http://delivery.acm.org/10.1145/2910000/2903500/p516-asaduzzaman.pdf?ip=181.39.85.168&amp;id=2903500&amp;acc=ACTIVE%20SERVICE&amp;key=D910738817C0A376%2E0FCE28A66847B0AF%2E4D4702B0C3E38B35%2E4D4702B0C3E38B35&amp;__acm__=1562953862_d45963a683a099dbe4edafa24372fb40</t>
  </si>
  <si>
    <t>http://delivery.acm.org/10.1145/2190000/2184623/p397-bosu.pdf?ip=181.39.85.168&amp;id=2184623&amp;acc=ACTIVE%20SERVICE&amp;key=D910738817C0A376%2E0FCE28A66847B0AF%2E4D4702B0C3E38B35%2E4D4702B0C3E38B35&amp;__acm__=1562953908_5b318cf6738418baa4863d7742c89325</t>
  </si>
  <si>
    <t>http://delivery.acm.org/10.1145/2940000/2931073/p282-chapman.pdf?ip=181.39.85.168&amp;id=2931073&amp;acc=ACTIVE%20SERVICE&amp;key=D910738817C0A376%2E0FCE28A66847B0AF%2E4D4702B0C3E38B35%2E4D4702B0C3E38B35&amp;__acm__=1562953939_ed16cd8d1e458112ccc4b2474f1f0d8a</t>
  </si>
  <si>
    <t>http://delivery.acm.org/10.1145/2980000/2970347/p332-christakis.pdf?ip=181.39.85.168&amp;id=2970347&amp;acc=ACTIVE%20SERVICE&amp;key=D910738817C0A376%2E0FCE28A66847B0AF%2E4D4702B0C3E38B35%2E4D4702B0C3E38B35&amp;__acm__=1562953949_242ddb4f32e84e95b46df8af90ead7cc</t>
  </si>
  <si>
    <t>http://delivery.acm.org/10.1145/2800000/2797476/a41-decan.pdf?ip=181.39.85.168&amp;id=2797476&amp;acc=ACTIVE%20SERVICE&amp;key=D910738817C0A376%2E0FCE28A66847B0AF%2E4D4702B0C3E38B35%2E4D4702B0C3E38B35&amp;__acm__=1562953980_c86da6ef43f17c770e430c682429e5d3</t>
  </si>
  <si>
    <t>http://delivery.acm.org/10.1145/2910000/2901757/p212-sena.pdf?ip=181.39.85.168&amp;id=2901757&amp;acc=ACTIVE%20SERVICE&amp;key=D910738817C0A376%2E0FCE28A66847B0AF%2E4D4702B0C3E38B35%2E4D4702B0C3E38B35&amp;__acm__=1562953984_a89078e5e1c514ad26a381c28f7474cb</t>
  </si>
  <si>
    <t>http://delivery.acm.org/10.1145/3200000/3194935/p7-ding.pdf?ip=181.39.85.168&amp;id=3194935&amp;acc=ACTIVE%20SERVICE&amp;key=D910738817C0A376%2E0FCE28A66847B0AF%2E4D4702B0C3E38B35%2E4D4702B0C3E38B35&amp;__acm__=1562953990_ef211d92dfb60ce7742b736c27cb122a</t>
  </si>
  <si>
    <t>http://delivery.acm.org/10.1145/2600000/2591064/p540-dit.pdf?ip=181.39.85.168&amp;id=2591064&amp;acc=ACTIVE%20SERVICE&amp;key=D910738817C0A376%2E0FCE28A66847B0AF%2E4D4702B0C3E38B35%2E4D4702B0C3E38B35&amp;__acm__=1562953994_0a70971931da488caaca405f6cc00ac5</t>
  </si>
  <si>
    <t>http://delivery.acm.org/10.1145/2910000/2908453/p153-du.pdf?ip=181.39.85.168&amp;id=2908453&amp;acc=ACTIVE%20SERVICE&amp;key=D910738817C0A376%2E0FCE28A66847B0AF%2E4D4702B0C3E38B35%2E4D4702B0C3E38B35&amp;__acm__=1562954008_5a0687e26a8b2adc7e48dba2a0e99633</t>
  </si>
  <si>
    <t>http://delivery.acm.org/10.1145/2600000/2590749/a1-gupta.pdf?ip=181.39.85.168&amp;id=2590749&amp;acc=ACTIVE%20SERVICE&amp;key=D910738817C0A376%2E0FCE28A66847B0AF%2E4D4702B0C3E38B35%2E4D4702B0C3E38B35&amp;__acm__=1562954093_a6e5ff4b9352fce6071fc28ad67ff1da</t>
  </si>
  <si>
    <t>http://delivery.acm.org/10.1145/2600000/2597081/p122-gupta.pdf?ip=181.39.85.168&amp;id=2597081&amp;acc=ACTIVE%20SERVICE&amp;key=D910738817C0A376%2E0FCE28A66847B0AF%2E4D4702B0C3E38B35%2E4D4702B0C3E38B35&amp;__acm__=1562954097_2f9d9a82591c194fa5cd676453c9e875</t>
  </si>
  <si>
    <t>http://delivery.acm.org/10.1145/2920000/2915993/a43-keertipati.pdf?ip=181.39.85.168&amp;id=2915993&amp;acc=ACTIVE%20SERVICE&amp;key=D910738817C0A376%2E0FCE28A66847B0AF%2E4D4702B0C3E38B35%2E4D4702B0C3E38B35&amp;__acm__=1562954169_40867fa0d0828288889b4278343789bb</t>
  </si>
  <si>
    <t>http://delivery.acm.org/10.1145/3020000/3019822/p1342-kilic.pdf?ip=181.39.85.168&amp;id=3019822&amp;acc=ACTIVE%20SERVICE&amp;key=D910738817C0A376%2E0FCE28A66847B0AF%2E4D4702B0C3E38B35%2E4D4702B0C3E38B35&amp;__acm__=1562954173_31e5f00b3d1d321460ba0e869d42cc40</t>
  </si>
  <si>
    <t>http://delivery.acm.org/10.1145/2700000/2695929/p1610-krutz.pdf?ip=181.39.85.168&amp;id=2695929&amp;acc=ACTIVE%20SERVICE&amp;key=D910738817C0A376%2E0FCE28A66847B0AF%2E4D4702B0C3E38B35%2E4D4702B0C3E38B35&amp;__acm__=1562955965_113ed4b20442c8bf85a7534e39b89267</t>
  </si>
  <si>
    <t>http://delivery.acm.org/10.1145/2730000/2723743/ISEC-2015-PAPER-ID-16.pdf?ip=181.39.85.168&amp;id=2723743&amp;acc=ACTIVE%20SERVICE&amp;key=D910738817C0A376%2E0FCE28A66847B0AF%2E4D4702B0C3E38B35%2E4D4702B0C3E38B35&amp;__acm__=1562954216_677be4457ce2c37707365e11f65c8490</t>
  </si>
  <si>
    <t>http://delivery.acm.org/10.1145/3190000/3180195/p94-lin.pdf?ip=181.39.85.168&amp;id=3180195&amp;acc=ACTIVE%20SERVICE&amp;key=D910738817C0A376%2E0FCE28A66847B0AF%2E4D4702B0C3E38B35%2E4D4702B0C3E38B35&amp;__acm__=1562954291_8b3ad2de1804689bc96f0826bef4356a</t>
  </si>
  <si>
    <t>http://delivery.acm.org/10.1145/2390000/2384418/p9-subelj.pdf?ip=181.39.85.168&amp;id=2384418&amp;acc=ACTIVE%20SERVICE&amp;key=D910738817C0A376%2E0FCE28A66847B0AF%2E4D4702B0C3E38B35%2E4D4702B0C3E38B35&amp;__acm__=1562954296_042caa52c2741553fcdeabb749a7153f</t>
  </si>
  <si>
    <t>http://delivery.acm.org/10.1145/2600000/2597112/p300-merten.pdf?ip=181.39.85.168&amp;id=2597112&amp;acc=ACTIVE%20SERVICE&amp;key=D910738817C0A376%2E0FCE28A66847B0AF%2E4D4702B0C3E38B35%2E4D4702B0C3E38B35&amp;__acm__=1562954337_cc9ca4a282520e757f967a591398b428</t>
  </si>
  <si>
    <t>http://delivery.acm.org/10.1145/2600000/2597086/p262-murgia.pdf?ip=181.39.85.168&amp;id=2597086&amp;acc=ACTIVE%20SERVICE&amp;key=D910738817C0A376%2E0FCE28A66847B0AF%2E4D4702B0C3E38B35%2E4D4702B0C3E38B35&amp;__acm__=1562954374_45f96b64cfba17a6bb2d094afa2545bc</t>
  </si>
  <si>
    <t>http://delivery.acm.org/10.1145/2640000/2635924/p166-nguyen.pdf?ip=181.39.85.168&amp;id=2635924&amp;acc=ACTIVE%20SERVICE&amp;key=D910738817C0A376%2E0FCE28A66847B0AF%2E4D4702B0C3E38B35%2E4D4702B0C3E38B35&amp;__acm__=1562954382_7edaadc980aeae2e3a27725b10795c78</t>
  </si>
  <si>
    <t>http://delivery.acm.org/10.1145/3200000/3196453/p14-novielli.pdf?ip=181.39.85.168&amp;id=3196453&amp;acc=ACTIVE%20SERVICE&amp;key=D910738817C0A376%2E0FCE28A66847B0AF%2E4D4702B0C3E38B35%2E4D4702B0C3E38B35&amp;__acm__=1562954390_ed9bd785c8e7b2e445479d04a6cfb36d</t>
  </si>
  <si>
    <t>http://delivery.acm.org/10.1145/3200000/3196403/p364-novielli.pdf?ip=181.39.85.168&amp;id=3196403&amp;acc=ACTIVE%20SERVICE&amp;key=D910738817C0A376%2E0FCE28A66847B0AF%2E4D4702B0C3E38B35%2E4D4702B0C3E38B35&amp;__acm__=1562954399_e15e46ed3e69bcdbbb24dfa74dcae261</t>
  </si>
  <si>
    <t>http://delivery.acm.org/10.1145/2910000/2903505/p480-ortu.pdf?ip=181.39.85.168&amp;id=2903505&amp;acc=ACTIVE%20SERVICE&amp;key=D910738817C0A376%2E0FCE28A66847B0AF%2E4D4702B0C3E38B35%2E4D4702B0C3E38B35&amp;__acm__=1562954404_f03657b9b9ccce5bf60bcc3f2b72688f</t>
  </si>
  <si>
    <t>https://dl.acm.org/citation.cfm?doid=2811411.2811508</t>
  </si>
  <si>
    <t>http://delivery.acm.org/10.1145/3130000/3121276/fse17-srcid3.pdf?ip=181.39.85.168&amp;id=3121276&amp;acc=ACTIVE%20SERVICE&amp;key=D910738817C0A376%2E0FCE28A66847B0AF%2E4D4702B0C3E38B35%2E4D4702B0C3E38B35&amp;__acm__=1562955961_6ce4c51bcb92241dcc92871e16a8ef2c</t>
  </si>
  <si>
    <t>http://delivery.acm.org/10.1145/2500000/2490273/p236-rakic.pdf?ip=181.39.85.168&amp;id=2490273&amp;acc=ACTIVE%20SERVICE&amp;key=D910738817C0A376%2E0FCE28A66847B0AF%2E4D4702B0C3E38B35%2E4D4702B0C3E38B35&amp;__acm__=1562955983_17d2e7406fc22aa5871b9b0d708c605e</t>
  </si>
  <si>
    <t>https://ieeexplore.ieee.org/document/7962384/</t>
  </si>
  <si>
    <t>http://delivery.acm.org/10.1145/3190000/3186404/p183-reichelt.pdf?ip=181.39.85.168&amp;id=3186404&amp;acc=ACTIVE%20SERVICE&amp;key=D910738817C0A376%2E0FCE28A66847B0AF%2E4D4702B0C3E38B35%2E4D4702B0C3E38B35&amp;__acm__=1562955999_f2b5a75c9737cc0a75988564948df464</t>
  </si>
  <si>
    <t>http://delivery.acm.org/10.1145/2810000/2804367/p56-ruohonen.pdf?ip=181.39.85.168&amp;id=2804367&amp;acc=ACTIVE%20SERVICE&amp;key=D910738817C0A376%2E0FCE28A66847B0AF%2E4D4702B0C3E38B35%2E4D4702B0C3E38B35&amp;__acm__=1562956018_ee0328184d278cb3d4d0f7e002a0da7e</t>
  </si>
  <si>
    <t>http://delivery.acm.org/10.1145/3140000/3131156/p224-silva.pdf?ip=181.39.85.168&amp;id=3131156&amp;acc=ACTIVE%20SERVICE&amp;key=D910738817C0A376%2E0FCE28A66847B0AF%2E4D4702B0C3E38B35%2E4D4702B0C3E38B35&amp;__acm__=1562956092_c35c612af74ee26709fa5478cce5ec03</t>
  </si>
  <si>
    <t>https://ieeexplore.ieee.org/document/7962396/</t>
  </si>
  <si>
    <t>http://delivery.acm.org/10.1145/3200000/3194096/p1-srisopha.pdf?ip=181.39.85.168&amp;id=3194096&amp;acc=ACTIVE%20SERVICE&amp;key=D910738817C0A376%2E0FCE28A66847B0AF%2E4D4702B0C3E38B35%2E4D4702B0C3E38B35&amp;__acm__=1562956118_30a3e36a8b8f63ed3522057c1363498d</t>
  </si>
  <si>
    <t>https://dl.acm.org/citation.cfm?doid=2723742.2723763</t>
  </si>
  <si>
    <t>http://delivery.acm.org/10.1145/2530000/2523468/p273-Syeed.pdf?ip=181.39.85.168&amp;id=2523468&amp;acc=ACTIVE%20SERVICE&amp;key=D910738817C0A376%2E0FCE28A66847B0AF%2E4D4702B0C3E38B35%2E4D4702B0C3E38B35&amp;__acm__=1562956126_a10f6e40103b22b5db85e9d92947eec6</t>
  </si>
  <si>
    <t>http://delivery.acm.org/10.1145/3340000/3338986/issta19doc-id8-p.pdf?ip=181.39.85.168&amp;id=3338986&amp;acc=OPEN&amp;key=D910738817C0A376%2E0FCE28A66847B0AF%2E4D4702B0C3E38B35%2E6D218144511F3437&amp;__acm__=1562956142_b63ae8679f2034b742f7a05899e73605</t>
  </si>
  <si>
    <t>Evolving Software, Routine Change Impact Analysis, Static Program Slicing, Imp, Tool Demonstration</t>
  </si>
  <si>
    <t>Change impact analysis, i.e., knowing the potential consequences
of a software change, is critical for the risk analysis, developer
effort estimation, and regression testing of evolving software.
Static program slicing is an attractive option for enabling routine
change impact analysis for newly committed changesets during
daily software build. However, static program slicing faces
accuracy and scalability problems when applied routinely on large
and evolving industrial software systems. In this paper, we present
a tool called Imp, used within ABB, to address these problems.
Imp transparently integrates with the version control and the daily
build environments and is also available as a Visual Studio plugin
for quick what-if analysis by developers for potential changes in
software written in C/C++.</t>
  </si>
  <si>
    <t>Design metrics, source code analysis, data mining, software mining,
object oriented designs, coupling and complexity metrics, software
faults.</t>
  </si>
  <si>
    <t>Developing a software with high quality is a challenge that is
continuously evolving. There are several methods to evaluate the
quality in developed software products. In this paper, we evaluated the
correlation between two software quality tools: Source Code Analysis
(SCA) and software metrics. While both approaches are used to assess
one or more attributes of the software, each one has its own goals and
characteristics. In this paper, we evaluated the relation and correlation
between SCA and software metrics. We used tools to fix warning
detected by SCA tools. Software metrics are measured before and after
the modifications of SCA recommended changes. Results showed that
some specific metrics related to structure, complexity and
maintainability metrics can be significantly impacted by SCA
modifications. This is expected given the nature of proposed
modifications from SCA tools.</t>
  </si>
  <si>
    <t>Software-related problems have an incredible impact on society,
organizations, and users that increasingly rely on information
technology. Speci_x000C_cation, veri_x000C_cation and testing
techniques aim to avoid such problems. However, the
growing complexity, scale, and diversity of software complicate
matters. Since software is evolving and operates in a
changing environment, one cannot anticipate all problems
at design-time. Hence, we propose to analyze software \in
vivo", i.e., we study systems in their natural habitat rather
than through testing or software design. We propose to observe
running systems, collect and analyze data on them,
generate descriptive models, and use these to respond to failures.
We focus on process mining as a tool for in vivo software
analytics. Process discovery techniques can be used to
capture the real behavior of software. Conformance checking
techniques can be used to spot deviations. The alignment
of models and real software behavior can be used to predict
problems related to performance or conformance. Recent
developments in process mining and instrumentation
of software make this possible. This keynote paper provides
pointers to process mining literature and introduces
the \Big Software on the Run" (BSR) research program that
just started.</t>
  </si>
  <si>
    <t>Process mining, software analytics, event logs, process discovery,
conformance checking, software engineering</t>
  </si>
  <si>
    <t>Program analysis is rapidly changing the way we develop
software; one of the more important problems is that of func-
tion contract creation, as these contracts can greatly increase
the quality and performance of the analysis. However, the
predominant way of creating function contracts is their man-
ual development by the end-user. In this paper we present an
approach which allows one to automatically collect function
contracts for bounded model checking by software mining
augmented with deep SMT solver integration. The prototype
implementation in Borealis bounded model checker has been
evaluated on a number of programs and proved its ability to
_x000C_nd interesting contracts.</t>
  </si>
  <si>
    <t>Software mining, function contracts, function summarization,
bounded model checking</t>
  </si>
  <si>
    <t>Familiarity of Code, Feature, Feature Location, Functionality, Mining
Software Repository, Reverse Engineering, Software Maintenance</t>
  </si>
  <si>
    <t>Maintenance is one of the most important phases in the software
life cycle. Usually, during this phase the assignment of tasks to developers
is made based on the familiarity degree that they have with
the source code related to each task. However, it is not simple nor
immediate to infer the relationship between the developers and the
source code, especially when it is considered the level of functionality,
which may have code archives dispersed in many locations of
a project. This work presents an approach to infer the familiarity
between developer and source code considering the functionality
perspective, a view more appropriate in a real context of software
development. The approach was applied during the evaluation of
real softwares. Through an analysis of the familiarity between the
module and functionality perspectives, it was possible to perceive
the gain of information that can be obtained to understand better
how it is the familiarity distribution among members of a team.</t>
  </si>
  <si>
    <t>Java; exception; language feature; source code mining</t>
  </si>
  <si>
    <t>Exception handling is a technique that addresses exceptional
conditions in applications, allowing the normal 
ow of ex-
ecution to continue in the event of an exception and/or to
report on such events. Although exception handling tech-
niques, features and bad coding practices have been dis-
cussed both in developer communities and in the literature,
there is a marked lack of empirical evidence on how devel-
opers use exception handling in practice. In this paper we
use the Boa language and infrastructure to analyze 274k
open source Java projects in GitHub to discover how devel-
opers use exception handling. We not only consider vari-
ous exception handling features but also explore bad coding
practices and their relation to the experience of developers.
Our results provide some interesting insights. For example,
we found that bad exception handling coding practices are
common in open source Java projects and regardless of ex-
perience all developers use bad exception handling coding
practices.</t>
  </si>
  <si>
    <t>Open Source, Social structure, Mining repositories</t>
  </si>
  <si>
    <t>In this paper, I describe a research plan to mine Open Source
Software (OSS) repositories to reveal community structure of
those projects.</t>
  </si>
  <si>
    <t>static analysis, code similarity, code databases, comparison-based bug detection</t>
  </si>
  <si>
    <t>Abstract—Bugs  are  hard  to  find.  Static  analysis  tools  arecapable  of  systematically  detecting  predefined  sets  of  errors,but  extending  them  to  find  new  error  types  requires  a  deepunderstanding of the underlying programming language. Man-ual reviews on the other hand, while being able to reveal moreindividual errors, require much more time. We present a newapproach  to  automatically  detect  bugs  through  comparisonwith  a  large  code  database.  The  source  file  is  analyzed  forsimilar  but  slightly  different  code  fragments  in  the  database.Frequent occurrences of common differences indicate a poten-tial  bug  that  can  be  fixed  by  applying  the  modification  backto  the  original  source  file.In  this  paper,  we  give  an  overview  of  the  resulting  algo-rithm and some important implementation details. We furtherevaluate  the  circumstances  under  which  good  detection  ratescan be achieved. The results demonstrate that consistently highdetection rates of up to 50% are possible for certain error typesacross  different  programming  languages</t>
  </si>
  <si>
    <t>regular expressions, repository analysis, developer survey</t>
  </si>
  <si>
    <t>Due to the popularity and pervasive use of regular expressions,
researchers have created tools to support their creation,
validation, and use. However, little is known about
the context in which regular expressions are used, the features
that are most common, and how behaviorally similar
regular expressions are to one another.
In this paper, we explore the context in which regular
expressions are used through a combination of developer
surveys and repository analysis. We survey 18 professional
developers about their regular expression usage and pain
points. Then, we analyze nearly 4,000 open source Python
projects from GitHub and extract nearly 14,000 unique regular
expression patterns. We map the most common features
used in regular expressions to those features supported by
four major regex research e_x000B_orts from industry and academia:
brics, Hampi, RE2, and Rex. Using similarity analysis of
regular expressions across projects, we identify six common
behavioral clusters that describe how regular expressions are
often used in practice. This is the _x000C_rst rigorous examination
of regex usage and it provides empirical evidence to support
design decisions by regex tool builders. It also points
to areas of needed future work, such as refactoring regular
expressions to increase regex understandability and contextspeci
_x000C_c tool support for common regex usages.</t>
  </si>
  <si>
    <t>program analysis, code defects</t>
  </si>
  <si>
    <t>Program Analysis has been a rich and fruitful _x000C_eld of research
for many decades, and countless high quality program analysis
tools have been produced by academia. Though there
are some well-known examples of tools that have found their
way into routine use by practitioners, a common challenge
faced by researchers is knowing how to achieve broad and
lasting adoption of their tools. In an e_x000B_ort to understand
what makes a program analyzer most attractive to developers,
we mounted a multi-method investigation at Microsoft.
Through interviews and surveys of developers as well as analysis
of defect data, we provide insight and answers to four
high level research questions that can help researchers design
program analyzers meeting the needs of software developers.
First, we explore what barriers hinder the adoption of
program analyzers, like poorly expressed warning messages.
Second, we shed light on what functionality developers want
from analyzers, including the types of code issues that developers
care about. Next, we answer what non-functional
characteristics an analyzer should have to be widely used,
how the analyzer should _x000C_t into the development process, and
how its results should be reported. Finally, we investigate
defects in one of Microsoft's 
agship software services, to
understand what types of code issues are most important to
minimize, potentially through program analysis.</t>
  </si>
  <si>
    <t>software ecosystem, software distribution, software develop-
ment, package, R, software repository mining</t>
  </si>
  <si>
    <t>This paper explores the ecosystem of software packages for
R, one of the most popular environments for statistical com-
puting today. We empirically study how R packages are de-
veloped and distributed on di_x000B_erent repositories: CRAN,
BioConductor, R-Forge and GitHub. We also explore the
role and size of each repository, the inter-repository depen-
dencies, and how these repositories grow over time. With
this analysis, we provide a deeper insight into the extent
and the evolution of the R package ecosystem.</t>
  </si>
  <si>
    <t>Exception handling; Exception flows analysis; Exception handling
anti-patterns; Software libraries; Empirical study; Static analysis
tool.</t>
  </si>
  <si>
    <t>This paper presents an empirical study whose goal was to
investigate the exception handling strategies adopted by Java
libraries and their potential impact on the client applications. In this
study, exception flow analysis was used in combination with
manual inspections in order: (i) to characterize the exception
handling strategies of existing Java libraries from the perspective
of their users; and (ii) to identify exception handling anti-patterns.
We extended an existing static analysis tool to reason about
exception flows and handler actions of 656 Java libraries selected
from 145 categories in the Maven Central Repository. The study
findings suggest a current trend of a high number of undocumented
API runtime exceptions (i.e., @throws in Javadoc) and Unintended
Handler problem. Moreover, we could also identify a considerable
number of occurrences of exception handling anti-patterns (e.g.
Catch and Ignore). Finally, we have also analyzed 647 bug issues
of the 7 most popular libraries and identified that 20.71% of the
reports are defects related to the problems of the exception
strategies and anti-patterns identified in our study. The results of
this study point to the need of tools to better understand and
document the exception handling behavior of libraries.</t>
  </si>
  <si>
    <t>entity-level sentiment analysis, open source software project, sentiment
classification, entity recognition</t>
  </si>
  <si>
    <t>Emotions and sentiment of software developers can largely influence
the software productivity and quality. However, existing work
on emotion mining and sentiment analysis is still in the early stage
in software engineering in terms of accuracy, the size of datasets
used and the specificity of the analysis. In this work, we are concerned
with conducting entity-level sentiment analysis. We first
build a manually labeled dataset containing 3,000 issue comments
selected from 231,732 issue comments collected from 10 open source
projects in GitHub. Then we design and develop SentiSW, an entitylevel
sentiment analysis tool consisting of sentiment classification
and entity recognition, which can classify issue comments into
&lt;sentiment, entity&gt; tuples. We evaluate the sentiment classification
using ten-fold cross validation, and it achieves 68.71% mean precision,
63.98% mean recall and 77.19% accuracy , which is significantly
higher than existing tools. We evaluate the entity recognition by
manually annotation and it achieves a 75.15% accuracy.</t>
  </si>
  <si>
    <t>Change impact analysis, repository mining, subversion, dynamic
analysis, information retrieval</t>
  </si>
  <si>
    <t>Developers are often faced with a natural language change request
(such as a bug report) and tasked with identifying all code elements
that must be modified in order to fulfill the request (e.g., fix a bug
or implement a new feature). In order to accomplish this task,
developers frequently and routinely perform change impact
analysis. This formal demonstration paper presents ImpactMiner,
a tool that implements an integrated approach to software change
impact analysis. The proposed approach estimates an impact set
using an adaptive combination of static textual analysis, dynamic
execution tracing, and mining software repositories techniques.
ImpactMiner is available from our online appendix
http://www.cs.wm.edu/semeru/ImpactMiner/</t>
  </si>
  <si>
    <t>Sequential Pattern Mining; Data Classification; Software Failure
Detection</t>
  </si>
  <si>
    <t>Software event sequence is a software behavior trace which is
produced when software is running. Analyzing the database of
software event sequences, we present a novel method to distinguish
normal and abnormal behaviors for the purpose of software failure
detection. Sequence classification has been a challenge task since
sequences have the high-order temporal characteristics and make the
number of patterns extremely massive. We select the frequent closed
unique iterative patterns as candidate features, mine out the
discriminative binary and numerical patterns for sequence
classification, and further give an insight into the discriminative
power improvement by feature combinations. The experimental
results on synthetic and real-life datasets show the validity of our
method.</t>
  </si>
  <si>
    <t>Mining Software Repositories, Process Mining, Software Maintenance,
Issue Tracking System, Open-Source Software, Empirical
Software Engineering and Measurements</t>
  </si>
  <si>
    <t>Issue tracking systems such as Bugzilla, Mantis and JIRA
are Process Aware Information Systems to support business
process of issue (defect and feature enhancement) reporting
and resolution. The process of issue reporting to resolution
consists of several steps or activities performed by various
roles (bug reporter, bug triager, bug fixer, developers, and
quality assurance manager) within the software maintenance
team. Project teams define a workflow or a business process
(design time process model and guidelines) to streamline
and structure the issue management activities. However,
the runtime process (reality) may not conform to the design
time model and can have imperfections or inefficiencies. We
apply business process mining tools and techniques to analyze
the event log data (bug report history) generated by an
issue tracking system with the objective of discovering runtime
process maps, inefficiencies and inconsistencies. We
conduct a case-study on data extracted from Bugzilla issue
tracking system of the popular open-source Firefox browser
project. We present and implement a process mining framework,
Nirikshan, consisting of various steps: data extraction,
data transformation, process discovery, performance
analysis and conformance checking. We conduct a series of
process mining experiments to study self-loops, back-andforth,
issue reopen, unique traces, event frequency, activity
frequency, bottlenecks and present an algorithm and metrics
to compute the degree of conformance between the design
time and the runtime process.</t>
  </si>
  <si>
    <t>Process Mining, Software Maintenance, Issue Tracking System,
Peer Code Review System, Social Network Analysis,
Empirical Software Engineering and Measurements</t>
  </si>
  <si>
    <t>Issue reporting and resolution is a software engineering process
supported by tools such as Issue Tracking System (ITS),
Peer Code Review (PCR) system and Version Control System
(VCS). Several open source software projects such as
Google Chromium and Android follow process in which a
defect or feature enhancement request is reported to an issue
tracker followed by source-code change or patch review and
patch commit using a version control system. We present
an application of process mining three software repositories
(ITS, PCR and VCS) from control flow and organizational
perspective for effective process management. ITS, PCR and
VCS are not explicitly linked so we implement regular expression
based heuristics to integrate data from three repositories
for Google Chromium project. We define activities such as
bug reporting, bug fixing, bug verification, patch submission,
patch review, and source code commit and create an event
log of the bug resolution process. The extracted event log
contains audit trail data such as caseID, timestamp, activity
name and performer. We discover runtime process model
for bug resolution process spanning three repositories using
process mining tool, Disco, and conduct process performance
and efficiency analysis. We identify bottlenecks, define and
detect basic and composite anti-patterns. In addition to
control flow analysis, we mine event log to perform organizational
analysis and discover metrics such as handover of
work, subcontracting, joint cases and joint activities.</t>
  </si>
  <si>
    <t>Open source software development; Governance; Norms; Normative decision-making processes; Developers’ involvement; Social network analysis; Python enhancement proposals</t>
  </si>
  <si>
    <t>The process by which norms are developed to become policies, the normative decision-making process, is not often explicit to stakeholders of Open Source Software (OSS) projects. Understanding the normative decision-making process is crucial for members if such projects are to evolve and succeed. In this paper, we investigated aspects of the normative decision-making processes of OSS development through the use of Python Enhancement Proposals (PEPs). We compared extracted process models with those that are advertised by the Python community to evaluate the extent to which those processes overlap. In addition, we assess members’ involvement and contribution to these processes. Our work used structural and behavioral analysis techniques, and social network analysis metrics. We found that there were differences between the extracted processes and Python’s advertised process, with the extracted processes being significantly more complex. These differences also extended to granular models used for managing social and technical aspects of the Python project. Furthermore, some key members were largely responsible for PEPs’ success. Our extracted models could go a far way in helping the Python community to quickly understand decision-making processes in Python.</t>
  </si>
  <si>
    <t>software veri_x000C_cation, runtime veri_x000C_cation, static code anal-
ysis, model transformations, tool integration</t>
  </si>
  <si>
    <t>Runtime veri_x000C_cation techniques verify dynamic system be-
havior with respect to a set of speci_x000C_cations. These spec-
i_x000C_cations are often created manually based on system re-
quirements and constraints. In this paper, we introduce a
rule-based approach for automatically generating runtime
veri_x000C_cation speci_x000C_cations based on alerts that are reported
by static code analysis tools. We de_x000C_ne a set of rules to be
checked for an alert type. Violations of these rules indicate
either the absence or existence of an actual bug designated
by the instances of that alert type. Formal veri_x000C_cation spec-
i_x000C_cations are automatically generated for each reported alert
instance based on the de_x000C_ned rules. Then, runtime monitors
are automatically synthesized and integrated to the system.
These monitors report detected errors or false positive alerts
during software execution. The approach is applied on two
open source software systems.</t>
  </si>
  <si>
    <t>Code Clones, Concolic Analysis, Software Engineering</t>
  </si>
  <si>
    <t>During the initial construction and subsequent maintenance of an
application, duplication of functionality is common, whether intentional
or otherwise. This replicated functionality, known as a code
clone, has a diverse set of causes and can have moderate to severe
adverse effects on a software project in a variety of ways. A code
clone is defined as multiple code fragments that produce similar
results when provided the same input. While there is an array of
powerful clone detection tools, most suffer from a variety of drawbacks
including, most importantly, the inability to accurately and
reliably detect the more difficult clone types.
This paper presents a new technique for detecting code clones
based on concolic analysis, which uses a mixture of concrete and
symbolic values to traverse a large and diverse portion of the source
code. By performing concolic analysis on the targeted source code
and then examining the holistic output for similarities, code clone
candidates can be consistently identified. We found that concolic
analysis was able to accurately and reliably discover all four types
of code clones with an average precision of .8, recall of .91, F-score
of .85 and an accuracy of .99.</t>
  </si>
  <si>
    <t>Mining Software Repositories, Empirical Software Engineering
and Measurements, Android Applications, API Call Usage
Patterns</t>
  </si>
  <si>
    <t>Software libraries and frameworks, consisting of a collection
of Class and Interface de_x000C_nitions, provide a mechanism
for code reuse by providing methods, APIs, components
(generic functionality) and a support structure for developers
to build applications, products and solutions. KitKat,
Jelly Bean, Ice Cream Sandwich, Honeycomb and Gingerbread
are di_x000B_erent versions (open-source) of Android, one
of the most popular mobile platforms in the world. In this
paper, we present the results of our large-scale (consisting
of 1; 120 open-source applications and 17:4 million lines of
code) API usage analysis of Android applications. Our work
is motivated by the need to mine actual Android API usage,
frequent API call usage patterns and trends to understand
and generate empirical data on how developers are using the
mobile platform in their applications.
Extracting popular and frequently-invoked methods, API
packages and API call-usage patterns is useful to both the
API Producers and API Consumers. For example, API Producers
can view the quantitative data on API usage as a
feedback from users on the relevance, usability and applicability
of the respective APIs. We conduct a series of experiments
on analysing the Android platform API usage (usage
of di_x000B_erent packages, usage of methods, usage across categories)
and present the results of our analysis using graphs
such as Bubble Chart, Radar Chart, Heat-Map for e_x000B_ective
visualization of the results and for extraction of actionable
information.</t>
  </si>
  <si>
    <t>Doctoral symposium, empirical software engineering, open source,
FLOSS, One-Time code Contributor, OTC, survey, data mining.</t>
  </si>
  <si>
    <t>Free/Libre Open Source Software (FLOSS) projects rely on a steady
influx of newcomer volunteer developers to survive. As these projects,
unlike traditional software projects, often do not pay their contributors to
work on them, volunteers must be obtained instead. Once obtained, a
volunteer goes through a lengthy process in order to join the project,
including obtaining sufficient knowledge of the codebase and learning
the rules of the community. However, some developers drop out after
they make a single commit to the code database. These developers are
knowledgeable enough to commit code and make it through the
onboarding process, but leave the project rather than join, therefore
depriving the project of potential talent. We propose to understand these
One-Time code Contributors (OTCs) through surveys and through datamining
the projects’ software repositories: if they are a unique
demographic, why they only commit once, if anything can be done to
assist them. Once they are determined as a separate demographic, the
study pivots to examine other factors that might affect OTCs, including
such factors as project governance and project architecture.</t>
  </si>
  <si>
    <t>software  development;  team  behaviors;  linguistic analysis; communication; Jazz</t>
  </si>
  <si>
    <t>Abstract—There  is a  growing  belief  that  understanding  and addressing  the  human  processes  employed  during  software development  is  likely  to  provide  substantially  more  value  to industry than yet more recommendations for the implementation  of  various  methods  and  tools.  To  this  end, considerable  research  effort has  been  dedicated  to  studying human  issues  as  represented  in  software  artifacts,  due  to  its relatively  unobtrusive  nature.  We  have  followed  this  line  of research  and  have  conducted  a  preliminary  study  of  team behaviors using data mining techniques and linguistic analysis. Our data source, the IBM Rational Jazz repository, was mined and  data  from  three  different  project  areas  were  extracted. Communications in  these  projects  were  then  analyzed  using the  LIWC  linguistic  analysis  tool.  We  found  that  although there   are   some   variations   in   language   use   among   teams working   on   project   areas   dedicated   to   different   software outcomes,   project   type   and   the   mix   of   (and   number   of) individuals involved did not affect team behaviors as evident in their     communications. These assessments are initial conjectures,  however;  we  plan  further  exploratory  analysis  to validate  these  results.  We  explain  these  findings  and  discuss their implications for software engineering practice</t>
  </si>
  <si>
    <t>sentiment analysis, software engineering, NLP</t>
  </si>
  <si>
    <t>Sentiment analysis has been applied to various software engineering
(SE) tasks, such as evaluating app reviews or analyzing developers’
emotions in commit messages. Studies indicate that sentiment
analysis tools provide unreliable results when used out-of-the-box,
since they are not designed to process SE datasets. The silver bullet
for a successful application of sentiment analysis tools to SE
datasets might be their customization to the specific usage context.
We describe our experience in building a software library recommender
exploiting developers’ opinions mined from Stack Overflow.
To reach our goal, we retrained—on a set of 40k manually labeled
sentences/words extracted from Stack Overflow—a state-of-the-art
sentiment analysis tool exploiting deep learning. Despite such an
effort- and time-consuming training process, the results were negative.
We changed our focus and performed a thorough investigation
of the accuracy of commonly used tools to identify the sentiment of
SE related texts. Meanwhile, we also studied the impact of different
datasets on tool performance. Our results should warn the research
community about the strong limitations of current sentiment analysis
tools.</t>
  </si>
  <si>
    <t>Software systems, Software engineering, Software networks,
Network analysis.</t>
  </si>
  <si>
    <t>Complex software systems are among most sophisticated
human-made systems, yet only little is known about the
actual structure of 'good' software. We here study di_x000B_erent
software systems developed in Java from the perspective
of network science. The study reveals that network
theory can provide a prominent set of techniques for the
exploratory analysis of large complex software system. We
further identify several applications in software engineering,
and propose di_x000B_erent network-based quality indicators that
address software design, e_x000E_ciency, reusability, vulnerability,
controllability and other. We also highlight various interesting
_x000C_ndings, e.g., software systems are highly vulnerable to
processes like bug propagation, however, they are not easily
controllable.</t>
  </si>
  <si>
    <t>Mining software repositories, unstructured data, preprocessing,
heuristics, hierarchical clustering</t>
  </si>
  <si>
    <t>Software repository data, for example in issue tracking systems,
include natural language text and technical information,
which includes anything from log _x000C_les via code snippets
to stack traces.
However, data mining is often only interested in one of the
two types e.g. in natural language text when looking at text
mining. Regardless of which type is being investigated, any
techniques used have to deal with noise caused by fragments
of the other type i.e. methods interested in natural language
have to deal with technical fragments and vice versa.
This paper proposes an approach to classify unstructured
data, e.g. development documents, into natural language
text and technical information using a mixture of text heuristics
and agglomerative hierarchical clustering.
The approach was evaluated using 225 manually annotated
text passages from developer emails and issue tracker
data. Using white space tokenization as a basis, the overall
precision of the approach is 0:84 and the recall is 0:85.</t>
  </si>
  <si>
    <t>Emotion Mining, Issue Report, Empirical Software Engineer-
ing</t>
  </si>
  <si>
    <t>Software development is a collaborative activity in which de-
velopers interact to create and maintain a complex software
system. Human collaboration inevitably evokes emotions
like joy or sadness, which can a_x000B_ect the collaboration either
positively or negatively, yet not much is known about the
individual emotions and their role for software development
stakeholders. In this study, we analyze whether development
artifacts like issue reports carry any emotional information
about software development. This is a _x000C_rst step towards veri-
fying the feasibility of an automatic tool for emotion mining
in software development artifacts: if humans cannot deter-
mine any emotion from a software artifact, neither can a tool.
Analysis of the Apache Software Foundation issue tracking
system shows that developers do express emotions (in partic-
ular gratitude, joy and sadness). However, the more context
is provided about an issue report, the more human raters
start to doubt and nuance their interpretation of emotions.
More investigation is needed before building a fully automatic
emotion mining tool.</t>
  </si>
  <si>
    <t>Specification Mining; JML; Preconditions; Big Code Mining</t>
  </si>
  <si>
    <t>Modern software relies on existing application programming interfaces
(APIs) from libraries. Formal specifications for the APIs
enable many software engineering tasks as well as help developers
correctly use them. In this work, we mine large-scale repositories
of existing open-source software to derive potential preconditions
for API methods. Our key idea is that APIs’ preconditions would
appear frequently in an ultra-large code corpus with a large number
of API usages, while project-specific conditions will occur less
frequently. First, we find all client methods invoking APIs. We
then compute a control dependence relation from each call site and
mine the potential conditions used to reach those call sites. We use
these guard conditions as a starting point to automatically infer the
preconditions for each API. We analyzed almost 120 million lines
of code from SourceForge and Apache projects to infer preconditions
for the standard Java Development Kit (JDK) library. The
results show that our technique can achieve high accuracy with
recall from 75–80% and precision from 82–84%. We also found
5 preconditions missing from human written specifications. They
were all confirmed by a specification expert. In a user study, participants
found 82% of the mined preconditions as a good starting
point for writing specifications. Using our mining result, we also
built a benchmark of more than 4,000 precondition-related bugs.</t>
  </si>
  <si>
    <t>Emotion Mining, Sentiment Analysis, Communication Channels,
Stack Overflow, Social Software Engineering</t>
  </si>
  <si>
    <t>Software developers experience and share a wide range of
emotions throughout a rich ecosystem of communication
channels. A recent trend that has emerged in empirical software
engineering studies is leveraging sentiment analysis of
developers’ communication traces. We release a dataset of 4,800
questions, answers, and comments from Stack Overflow,
manually annotated for emotions. Our dataset contributes to the
building of a shared corpus of annotated resources to support
research on emotion awareness in software development.</t>
  </si>
  <si>
    <t>Sentiment analysis; Communication Channels; Social Software
Engineering; NLP</t>
  </si>
  <si>
    <t>A recent research trend has emerged to identify developers’
emotions, by applying sentiment analysis to the content of
communication traces left in collaborative development
environments. Trying to overcome the limitations posed by using
off-the-shelf sentiment analysis tools, researchers recently started
to develop their own tools for the software engineering domain. In
this paper, we report a benchmark study to assess the performance
and reliability of three sentiment analysis tools specifically
customized for software engineering. Furthermore, we offer a
reflection on the open challenges, as they emerge from a
qualitative analysis of misclassified texts. 1</t>
  </si>
  <si>
    <t>Mining software repositories; Issue Reports; A_x000B_ective Anal-
ysis</t>
  </si>
  <si>
    <t>Issue tracking systems store valuable data for testing hy-
potheses concerning maintenance, building statistical pre-
diction models and (recently) investigating developer a_x000B_ec-
tiveness. For the latter, issue tracking systems can be mined
to explore developers emotions, sentiments and politeness
|a_x000B_ects for short. However, research on a_x000B_ect detection in
software artefacts is still in its early stage due to the lack of
manually validated data and tools.
In this paper, we contribute to the research of a_x000B_ects
on software artefacts by providing a labeling of emotions
present on issue comments.
We manually labeled 2,000 issue comments and 4,000 sen-
tences written by developers with emotions such as love,
joy, surprise, anger, sadness and fear. Labeled comments
and sentences are linked to software artefacts reported in
our previously published dataset (containing more than 1K
projects, more than 700K issue reports and more than 2
million issue comments). The enriched dataset presented in
this paper allows the investigation of the role of a_x000B_ects in
software development.</t>
  </si>
  <si>
    <t>dynamic analysis; functional importance; metrics; network analysis; software system</t>
  </si>
  <si>
    <t>Abstract-En los sistemas de software a gran escala que integran muchos componentes procedentes de diferentes proveedores, la comprensión de la importancia funcional de los componentes es crítica para la fiabilidad del sistema.  Sin embargo, en general, es difícil lograr esa comprensión.   Aquí describimos la aplicación de la combinación de análisis dinámico y análisis de red a sistemas de software a gran escala con el objetivo de determinar métodos de clases que son funcionalmente importantes con respecto a una funcionalidad dada del software.  Utilizamos como caso de prueba el Google Chrome y predecimos métodos funcionalmente importantes en un sentido débil en el contexto de escenarios de uso.  Validamos las predicciones utilizando pruebas de mutación y evaluamos el comportamiento del software tras el cambio de mutación.   Nuestros resultados indican que las métricas de análisis de redes basadas en la medición de la integridad estructural pueden utilizarse para predecir métodos de clases que son funcionalmente importantes con respecto a una funcionalidad dada del sistema de software.
Traducción realizada con el traductor www.DeepL.com/Translator</t>
  </si>
  <si>
    <t>Change-Coupling, Changeability, Mining Software Repositories</t>
  </si>
  <si>
    <t>The  change-history  of  a  software  system  records  how  the  system  evolved  over  time.  The  change-history  can  tell  which  components  (classes)  are  changed  together,   i.e.  are change-coupled.  In  this  paper,  we  propose  two  metrics  for  quantifying  change-coupling among classes on the basis of their change-history and then propose another   measure   to   compute   a   change-readiness index   of   the   classes.  The  change-readiness  of  a  class  is  measured  as  how  much  the  class  is  ready  to  change.  In  this  paper,  we  define  change-history-based  metrics,  demonstrate computation  of  these  measuresby   example   and   validate   them   theoretically.   The SVNSearch subversion web-based utility has been used to mine the change logs of the EGit   project   of   Eclipse.   Further,   change-readiness   is   computed for the classes of EGit and our findings are discussed. It has  been  found  that  the  metrics  based  on  change-history can  be helpful to predict the future change behavior of the classes.</t>
  </si>
  <si>
    <t>StackUsagePattern; SimilarityComparison; DynamicAnalysis; SoftwarePlagiarized</t>
  </si>
  <si>
    <t>Analysing software similarity is actively utilized for various pur-poses such as plagiarism detection, malware classification and soft-ware refactoring. In this study, we observe that the runtime behav-ior of stack, which manipulates arguments and local variables dur-ing function calls, is one of the viable indicators to identify simi-lar software and to detect plagiarized programs. This observationdrives us to design a novel software similarity analysis scheme thathas the following two strong points. First, it examines the stack us-age patterns collected during the execution of binary codes, with-out requiring source codes. Therefore, it can be used for the soft-ware theft trial case where involved companies or individuals arenot  willing  to  uncover  their  source  codes.  Second,  the  stack  us-age  patterns  are  invulnerable  to  syntactic  alterations  such  as  re-naming, statements reordering and control flow restructuring. Theproposed scheme provides four functionalities; trace collection, dy-namic call sequence graph generation, stack usage pattern refine-ment, and similarity comparison. Real implementation based ex-perimental results show that our proposal identifies similar softwareappropriately, reporting similarity scores comparable to MOSS (Mea-sure Of Software Similarity). In addition, it has a capability to dis-cover whether binaries use the same core logics</t>
  </si>
  <si>
    <t>Static Analysis, Static Application Security Testing Tool, Vulnerability,
Software Security, Large-scale Benchmark</t>
  </si>
  <si>
    <t>We propose a novel methodology that allows automatic construction
of benchmarks for Static Analysis Security Testing (SAST) tools
based on real-world software projects by differencing vulnerable
and fixed versions in FOSS repositories. The methodology allows
us to evaluate “actual” performance of SAST tools (without unrelated
alarms). To test our approach, we benchmarked 7 SAST tools
(although we report only results for the two best tools), against 70
revisions of four major versions of Apache Tomcat with 62 distinct
CVEs as the source of ground truth vulnerabilities.</t>
  </si>
  <si>
    <t>Software quality, software tools, static analysis.</t>
  </si>
  <si>
    <t>The aim of this paper is to describe a framework consisting of a set of static analyzers. The main characteristic of all incorporated tools is their independency of input programming language. This independency is based on a universal representation of the source code that is to be analyzed. The overall goal of this research is to provide a framework that is suitable for consistent analysis of the source code with the intention to ensure, check, and consequently increase the quality of the heterogeneous software products. The framework currently integrates three tools: software metrics tool – SMIILE, extractor of software networks – SNEIPL and structure change analyzer – SSCA, with tendency to extend this set of components. Further application of these tools in collaboration with other tools on higher level provides even broader applicability of described framework</t>
  </si>
  <si>
    <t>mining software repositories; continuous integra-tion; build errors; correlation analysis</t>
  </si>
  <si>
    <t>Abstract—Continuous Integration (CI) has become a commonpractice in both industrial and open-source software develop-ment. While CI has evidently improved aspects of the softwaredevelopment process, errors during CI builds pose a threat todevelopment efficiency. As an increasing amount of time goesinto fixing such errors, failing builds can significantly impair thedevelopment process and become very costly. We perform an in-depth analysis of build failures in CI environments. Our approachlinks repository commits to data of corresponding CI builds.Using data from 14 open-source Java projects, we first identify14 common error categories. Besides test failures, which are byfar the most common error category (up to&gt;80% per project),we also identify noisy build data, e.g., induced by transient Gitinteraction errors, or general infrastructure flakiness. Second,we analyze which factors impact the build results, taking intoaccount general process and specific CI metrics. Our resultsindicate that process metrics have a significant impact on thebuild outcome in 8 of the 14 projects on average, but the strongestinfluencing factor across all projects is overall stability in therecent build history. For 10 projects, more than 50% (up to 80%)of all failed builds follow a previous build failure. Moreover, thefail ratio of the last k=10 builds has a significant impact on buildresults for all projects in our dataset</t>
  </si>
  <si>
    <t>Performance Testing, Mining Software Repositories</t>
  </si>
  <si>
    <t>Source code changes can affect the performance of software. Structured
knowledge about classes of those changes could guide software
developers in avoiding negative changes and improving the
performance by positive changes. Neither a comprehensive overview
nor a mature method for structured detection of those changes
exists for this purpose. We address this research challenge by presenting
Performance Analysis of Software Systems (PeASS). PeASS
builds up a comprehensive knowledge base of changes affecting
the performance of a software by analyzing the version history
of a repository using its unit tests. It is based on a method for determining
the significant performance changes between two unit
tests by measurement and statistical analysis. Furthermore, PeASS
uses regression test selection for saving measurement time and
root cause isolation method for performance changes analysis. We
demonstrate our methodology in the context of Java by analyzing
the versions of Apache Commons IO.</t>
  </si>
  <si>
    <t>Software evolution, code churn, time series analysis, volatility,
conditional variance, ARIMA, GARCH, FreeBSD</t>
  </si>
  <si>
    <t>The paper presents the _x000C_rst empirical study to examine
econometric time series volatility modeling in the software
evolution context. The econometric volatility concept is
related to the conditional variance of a time series rather
than the conditional mean targeted in conventional regression
analysis. The software evolution context is motivated
by relating these variance characteristics to the proximity of
operating system releases, the theoretical hypothesis being
that volatile characteristics increase nearby new milestone
releases. The empirical experiment is done with a case study
of FreeBSD. The analysis is carried out with 12 time series
related to bug tracking, development activity, and communication.
A historical period from 1995 to 2011 is covered
under a daily sampling frequency. According to the results
the time series dataset contains visible volatility characteristics,
but these cannot be explained by the time windows
around the six observed major FreeBSD releases. The paper
consequently contributes to the software evolution research
_x000C_eld with new methodological ideas, as well as with both
positive and negative empirical results.</t>
  </si>
  <si>
    <t>MSR challenge, mining software repositories, Android platform</t>
  </si>
  <si>
    <t>Abstract—The MSR Challenge offers researchers and prac-titioners in the area of Mining Software Repositories a commondata set and asks them to put their mining tools and approacheson a dare. This year, the challenge is on the Android platform.We provided the change and bug report data for the Androidplatform   asked   researchers   to   uncover   interesting   findingsrelated  to  the  Android  platform.  In  this  paper,  we  describethe  role  of  the  MSR  Challenge,  highlight  the  data  providedand summarize the papers accepted for inclusion in this year’schallenge</t>
  </si>
  <si>
    <t>Google Summer of Code, Open Source Software, Newcomers, Retention,
Mining Software Repositories</t>
  </si>
  <si>
    <t>Several open source software (OSS) communities promote and
participate in initiatives such as summers of code to foster contributions
and attract new developers. However, little is known
about how successful these initiatives are. As a case study, we
analyzed Google Summer of Code (GSoC), which is a three-month
program that fosters students’ participation in OSS projects. We
found that 82% of the studied OSS projects merged at least one
students’ commit in codebase. When only newcomers are considered,
~54% of OSS projects merged at least one commit. We also
found that ~23% of newcomers started contributing to GSoC projects
before knowing they would be accepted. We also did not
find statistical difference between newcomers and students with
prior participation in the projects regarding retention time after
GSoC, except for 2015 edition. Using survival analysis, we found
that ~40% of students kept contributing longer than a month,
while ~15% contributed longer than a year. OSS communities can
take advantage of our results to balance the trade-offs involved in
joining this kind of program and to set expectations about how
much contribution to expect and for how long students engage.</t>
  </si>
  <si>
    <t>Continuous Integration; Sentiment Analysis; Humanfactors on Software Engineering</t>
  </si>
  <si>
    <t>Human factors such as sentiments, emotions, mood,and stress along with their potential effect on software devel-opment are of paramount importance in software engineering,as we still strongly rely on human-to-human interaction for per-forming software development activities and driving results. Withthe advance of sentiment analysis tools, software engineeringresearchers have investigated the interplay between developers’sentiment and software engineering tasks such as issue fixingtimes. However, there is a lack of studies analyzing whetherthere is a relation between developers’ sentiment and buildsperformed by continuous integration servers. Build breakage isnot desired as it represents a signal that something went wrong inthe software development activity and that extra work or reworkshould be done. In this paper, we report an empirical assessmentover Travis CI builds and the corresponding commits in order tounderstand a potential association between developers’ sentimentand build breakage. We found evidence that negative sentimentboth affects and is affected by the result of the build process,although the influence seems to be small. Also, we found thatdevelopers tend to be more positive when writing about the CIserver in commit messages</t>
  </si>
  <si>
    <t>Software Engineering, Software Evolution, User Satisfaction, Static
Analysis, Software Quality</t>
  </si>
  <si>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</si>
  <si>
    <t>utomated Software Engineering, Business Process Intelli-gence (BPI), Mining Software Repositories, Process Mining,Software Process Intelligence</t>
  </si>
  <si>
    <t>Software  Processes  consist  of  a  structured  set  of  activitiesperformed during creation and maintenance of software prod-ucts.   The  construction  and  subsequent  maintenance  of  asoftware is facilitated by several applications and tools. Someof the tools such as Issue Tracking System (ITS) and VersionControl System (VCS) can be classified as Process Aware In-formation System (PAIS) logging data consisting of events,activities, time-stamp, user or actor and context specific in-formation.  Such events or trace data generated by informa-tion systems used during software construction (as part ofthe software development process) contains valuable infor-mation which can be mined for gaining useful insights andactionable information.  Software Process Intelligence (SPI)is an emerging and evolving discipline involving mining andanalysis of software processes.  This is modeled on the linesof Business Process Intelligence (BPI), but with the focus onsoftware processes and its applicability in software systems.In this paper, we present a generic framework for SoftwareProcess Intelligence and some of its applications</t>
  </si>
  <si>
    <t>Open Source Software, Data Analysis, Socio-Technical Congruence</t>
  </si>
  <si>
    <t>Comprehension of Open Source Software (OSS) projects is
traditionally driven by the plethora of data produced and
maintained by these projects. The data, in one hand, encapsulates
the tacit knowledge on the evolution of the software
itself. And, on the other hand, provides the history of communication
and collaboration of the community. Acquisition
and analysis of such data has been mostly manual or semiautomated
and error-prone, mainly due to unstructured and
substandard data representation. This increases the validity
threat of the reported results and makes it incomparable
across the studies. With the advancement of data
management tools and technologies, many third party data
providers are putting serious e_x000B_ort to provide OSS project's
data in a standard and platform independent format. In
this paper, we propose a framework to fully automate the
analysis and visualization of OSS evolution data through
the use of existing data services. As a proof of concept we
implemented a tool named POMAZ. We demonstrate the
applicability of the tool in the context of two related open
source projects FFmpeg and GStreamer</t>
  </si>
  <si>
    <t>error code handling, software development, static analysis</t>
  </si>
  <si>
    <t>Many complex software systems use error codes to di_x001D_erentiate
error states. Therefore, it is crucial to ensure those error codes are
used correctly. Misuses of error codes can lead to hardly sensible but
fatal system failures. These errors are especially di_x001C_cult to debug,
since the failure points are usually far away from the root causes.
Existing static analysis approaches to detecting error handling bugs
mainly focus on how an error code is propagated or used in a
program. However, they do not consider whether an error code is
correctly chosen for propagation or usage within di_x001D_erent program
contexts, and thus miss to detect many error code misuse bugs. In
this work, we conduct an empirical study on error code misuses
in a mature commercial system. We collect error code issues from
the commit history and conclude three main causes of them. To
further resolve this problem, we propose a static approach that can
automatically detect error code misuses. Our approach takes error
code de_x001B_nition and error domain assignment as the input, and uses
a novel static analysis method to detect the occurrence of the three
categories of error code misuses in the source code.</t>
  </si>
  <si>
    <t>Big  Code,  acceleration,  clustering,  Boa,  analysis</t>
  </si>
  <si>
    <t>Ultra-large-scale   mining   has   been   shown   to   beuseful  for  a  number  of  software  engineering  tasks  e.g.  miningspecifications,  defect  prediction.  We  propose  a  new  researchdirection   for   accelerating   ultra-large-scale   mining   that   goesbeyond parallelization. Our key idea is to analyze the interactionpattern  between  the  mining  task  and  the  artifact  to  clusterartifacts  such  that  running  the  mining  task  on  one  candidateartifact  from  each  cluster  is  sufficient  to  produce  results  forother artifacts in the same cluster. Our artifact clustering criteriago  beyond  syntactic,  semantic,  and  functional  similarities  tomining-task-specific   similarity,   where   the   interaction   patternbetween  the  mining  task  and  the  artifact  is  used  for  clustering.Our  preliminary  evaluation  demonstrates  that  our  techniquesignificantly  reduces  the  overall  mining  time.</t>
  </si>
  <si>
    <t>Source code analysis, Clustering, Boa</t>
  </si>
  <si>
    <t>Popularity of data-driven software engineering has led to an increas-ing demand on the infrastructures to support efficient execution oftasks that require deeper source code analysis. While task optimiza-tion and parallelization are the adopted solutions, other researchdirections are less explored. We presentcollective program analysis(CPA), a technique for scaling large scale source code analyses, es-pecially those that make use of control and data flow analysis, byleveraging analysis specific similarity. Analysis specific similarityis about, whether two or more programs can be considered similarfor a given analysis. The key idea of collective program analysisis to cluster programs based on analysis specific similarity, suchthat running the analysis on one candidate in each cluster is suf-ficient to produce the result for others. For determining analysisspecific similarity and clustering analysis-equivalent programs, weuse a sparse representation and a canonical labeling scheme. Ourevaluation shows that for a variety of source code analyses on alarge dataset of programs, substantial reduction in the analysis timecan be achieved; on average a 69% reduction when compared to abaseline and on average a 36% reduction when compared to a priortechnique. We also found that a large amount of analysis-equivalentprograms exists in large datasets</t>
  </si>
  <si>
    <t>Code re-documentation, Mining developer discussions, Pro-gram comprehension</t>
  </si>
  <si>
    <t>Program comprehension is a crucial activity, preliminary toany software maintenance task. Such an activity can be diffi-cult when the source code is not adequately documented, orthe documentation is outdated.  Differently from the manyexisting  software  re-documentation  approaches,  based  ondifferent kinds of code analysis, this paper describes CODES(mining sourCe cOde Descriptions from developErs diScus-sions), a tool which applies a “social” approach to softwarere-documentation.  Specifically, CODES extracts candidatemethod documentation from StackOverflow discussions, andcreates Javadoc descriptions from it.  We evaluated CODESto  mine  Lucene  and  Hibernate  method  descriptions.   Theresults indicate that CODES is able to extract descriptionsfor 20% and 28% of the Lucene and Hibernate methods witha precision of 84% and 91% respectively</t>
  </si>
  <si>
    <t>Software   engineering   linked   data;   multi-perspective   change   impact analysis; propagation assessment.</t>
  </si>
  <si>
    <t>Change   impact   analysis   plays   an  important  role  in  software  maintenance  and  evolution.  However  existing  researches  mostly  focus  on  one  single  artifact.  Software  development  is  usually  accompanied  by  various  types  of  software  artifacts,  such  as  requirement  documents,  software  architectures,  test  cases,  source  code,  etc.,  requiring  a  much  more  comprehensive  change  impact  analysis.   This   paper   presents   a   novel   approach   to   multi-perspective   change   impact   analysis   that   is   able   to   address   heterogeneous  software  artifacts.  The  essential  idea  of  the  novel  approach  is  (1)  to  adopt  semantic  web  to  construct  automatically  ontology  based  software  engineering  linked  data,  which  links  requirements, classes, code, bug reports, commits, developers, test cases   and   others,   (2)   to   build   a   weighted   change   impact   matrix/graph using the dependency features extracted from linked data,  and  (3)  to  follow  a  change  impact  propagation  algorithm  to  analyze   the   overall   change   impacts.   We   have   conducted   experiments   on   two   open   source   projects   (HtmlUnit   and   OpenRocket)  to  evaluate  our  approach.  The  experimental  results  show  that  our  approach  achieves  better  F-measure  and  stability  than existing multi-perspective change impact analysis approaches</t>
  </si>
  <si>
    <t>Code Stylometry; Dynamic Analysis; De-anonymization</t>
  </si>
  <si>
    <t>De-anonymizing the authors of anonymous code (i.e., code stylom-etry) entails significant privacy and security implications. Mostexisting code stylometry methods solely rely on static (e.g., lexical,layout, and syntactic) features extracted from source code, whileneglecting its key difference from regular text – it is executable!In this paper, we presentSundae, a novel code de-anonymizationframework that integrates both static and dynamic stylometry anal-ysis. Compared with the existing solutions,Sundaedeparts insignificant ways: (i) it requires much less number of static, hand-crafted features; (ii) it requires much less labeled data for training;and (iii) it can be readily extended to new programmers once theirstylometry information becomes available.Through extensive evaluation on benchmark datasets, we demon-strate thatSundaedelivers strong empirical performance. For ex-ample, under the setting of 229 programmers and 9 problems, itoutperforms the state-of-art method by a margin of 45.65% onPython code de-anonymization. The empirical results highlight theintegration of static and dynamic analysis as a promising directionfor code stylometry research.</t>
  </si>
  <si>
    <t>Team   Emotional   Display,   Growth   Curve   Analysis,   Software   Development, Open Source Software</t>
  </si>
  <si>
    <t>Software developers1communicate and interact with each other in order  to  solve  complex  problems.  Such  communication  often  includes  emotional  displays  that  have  been  shown  to  influence  team  processes  and  performance.  Yet,  little  is  known  about  the  evolution  of  team  emotional  displays.  Hence,  we  investigate  a  sample  of  1121  Open  Source  Software  (OSS)  projects  from  GitHub, using longitudinal data analysis. The results from growth curve  analysis  shows  that  the  team  emotional  display  decrease  over  time.  This  negative  linear  trend  decelerates  mid-term  as  suggested by a positive quadratic trend of time. Such deceleration diminishes toward the end as a negative cubic trend suggests</t>
  </si>
  <si>
    <t>Android apps, resource leak, static analysis, byte-code</t>
  </si>
  <si>
    <t xml:space="preserve">Resource leak is a common bug in Android applications(apps for short). In general, it is caused by missing releaseoperations of the resources provided by Android (like Cam-era, Media Player and Sensors) that require programmers toexplicitly release them. It might lead to several serious prob-lems for the app and system, such as performance degrada-tion and system crash.This paper presents Relda2, a light-weight, scalable andpractical static analysis tool, for detecting resource leaks inthe byte-code of Android apps automatically.  It supportstwo analysis techniques (flow-insensitive for quick scanningand flow-sensitive for accurate scanning), and performs inter-procedural analysis to get more precise bug reports. In ad-dition, our tool is practical to analyze real-world apps, andhas been applied to 103 Android apps, including industryapplications and open source programs. We have found 67real resource leaks in these apps, which we confirmed manu-ally. </t>
  </si>
  <si>
    <t>code mining, automatic program generation</t>
  </si>
  <si>
    <t>Enriched  by  natural  language  texts,  Stack  Overflow  codesnippets  are  an  invaluable  code-centric  knowledge  base  ofsmall units of source code.  Besides being useful for softwaredevelopers,  these  annotated  snippets  can  potentially  serveas the basis for automated tools that provide working codesolutions to specific natural language queries.With  the  goal  of  developing  automated  tools  with  theStack  Overflow  snippets  and  surrounding  text,  this  paperinvestigates the following questions:  (1) How usable are theStack  Overflow  code  snippets?   and  (2)  When  using  textsearch engines for matching on the natural language ques-tions and answers around the snippets, what percentage ofthe top results contain usable code snippets?A total of 3M code snippets are analyzed across four lan-guages:   C#,  Java,  JavaScript,  and  Python.   Python  andJavaScript proved to be the languages for which the mostcode snippets are usable.  Conversely, Java and C# provedto  be  the  languages  with  the  lowest  usability  rate.   Fur-ther  qualitative  analysis  on  usable  Python  snippets  showsthe  characteristics  of  the  answers  that  solve  the  originalquestion.  Finally,  we use Google search to investigate thealignment of usability and the natural language annotationsaround code snippets, and explore how to make snippets inStack Overflow an adequate base for future automatic pro-gram generation</t>
  </si>
  <si>
    <t>code clone; code reuse; large-scale analysis</t>
  </si>
  <si>
    <t>When programmers look for how to achieve certainprogramming tasks, Stack Overflow is a popular destinationin search engine results. Over the years, Stack Overflow hasaccumulated an impressive knowledge base of snippets of codethat are amply documented. We are interested in studying howprogrammers use these snippets of code in their projects. Can wefind Stack Overflow snippets in real projects? When snippets areused, is this copy literal or does it suffer adaptations? And arethese adaptations specializations required by the idiosyncrasies ofthe target artifact, or are they motivated by specific requirementsof the programmer? The large-scale study presented on thispaper analyzes 909k non-fork Python projects hosted on Github,which contain 290M function definitions, and 1.9M Pythonsnippets captured in Stack Overflow. Results are presented asquantitative analysis of block-level code cloning intra and interStack Overflow and GitHub, and as an analysis of programmingbehaviors through the qualitative analysis of our findings.</t>
  </si>
  <si>
    <t>mining bug repository, concept profile, severity prediction,bug report, bug triage, software maintenance</t>
  </si>
  <si>
    <t>Recently,  for  large  scale  software  projects,  developers  relyon  bug  reports  for  corrective  software  maintenance.   Theseverity  of  a  reported  bug  is  an  important  feature  to  de-cide how fast it needs to be fixed.  Therefore, to arrange anew submitted bug to an appropriate fixer, it is necessaryto recognize the severity of each bug report.  Unfortunately,reporters need to decide the severity of bugs manually.  Evenif there are guidelines on how to verify the severity of a bug,it is still a time-consuming work.  Utilizing the concept pro-files by mining bug repositories is a good way to resolve thisproblem.  In this paper, we propose a concept profile-basedprediction technique to assign the severity of a given bug.  Indetail, we analyze historical bug reports in the bug reposito-ries and build the concept profiles from them.  We evaluatethe performance of our method on the bug reports from thebug repositories of popular open-source projects that includeEclipse and Mozilla Firefox, the result shows that the pro-posed technique can effectively predict the severity of a givenbug.</t>
  </si>
  <si>
    <t>Abdalkareem, R., Mujahid, S., Shihab, E. and Rilling, J.</t>
  </si>
  <si>
    <t>Which Commits Can Be CI Skipped?</t>
  </si>
  <si>
    <t>Continuous Integration (CI) frameworks such as Travis CI, automatically build and run tests whenever a new commit is submitted/pushed. Although there are many advantages in using CI, e.g., speeding up the release cycle and automating the test execution process, it has been noted that the CI process can take a very long time to complete. One of the possible reasons for such delays is the fact that some commits (e.g., changes to readme files) unnecessarily kick off the CI process. Therefore, the goal of this paper is to automate the process of determining which commits can be CI skipped. We start by examining the commits of 58 Java projects and identify commits that were explicitly CI skipped by developers. Based on the manual investigation of 1,813 explicitly CI skipped commits, we first devise an initial model of a CI skipped commit and use this model to propose a rule-based technique that automatically identifies commits that should be CI skipped. To evaluate the rule-based technique, we perform a study on unseen datasets extracted from ten projects and show that the devised rule-based technique is able to detect and label CI skip commits, achieving Areas Under the Curve (AUC) values between 0.56 and 0.98 (average of 0.73). Additionally, we show that, on average, our technique can reduce the number of commits that need to trigger the CI process by 18.16%. We also qualitatively triangulated our analysis on the importance of skipping CI process through a survey with 40 developers. The survey results showed that 75% of the surveyed developers consider it to be nice, important or very important to have a technique that automatically flags CI skip commits. To operationalize our technique, we develop a publicly available prototype tool, called CI-SKIPPER, that can be integrated with any git repository and automatically mark commits that can be CI skipped.</t>
  </si>
  <si>
    <t>https://ieeexplore.ieee.org/document/8633335/</t>
  </si>
  <si>
    <t>Adler, J., Berryhill, R. and Veneris, A.</t>
  </si>
  <si>
    <t>Revision debug with non-linear version history in regression verification</t>
  </si>
  <si>
    <t>Modern digital designs are relentlessly growing in complexity, making their verification a daunting task. Verification and debugging are the bottleneck, accounting for up to 70% of the design cycle. Most automated debugging tools target failures in isolation and rely solely on the current version of a design's RTL. A recently developed methodology targets multiple failures simultaneously while leveraging the revision history present in a version control system. It finds revisions likely to be responsible for the failures and ranks them such that higher ranked revisions are more likely to contain bugs. However, this technique treats the version history as a simple linear list of revisions rather than a graph structure. To address this limitation, this paper presents a technique that properly leverages the branching information in version control systems. It offers two-stage ranking with improved performance, allowing both branches and branch-local revisions to be ranked.</t>
  </si>
  <si>
    <t>https://ieeexplore.ieee.org/document/7566604/</t>
  </si>
  <si>
    <t>Agrawal, K., Aschauer, M., Thonhofer, T., Bala, S., Rogge-Solti, A. and Tomsich, N.</t>
  </si>
  <si>
    <t>Resource Classification from Version Control System Logs</t>
  </si>
  <si>
    <t>Collaboration in business processes and projects requires a division of responsibilities among the participants. Version control systems allow us to collect profiles of the participants that hint at participants' roles in the collaborative work. The goal of this paper is to automatically classify participants into the roles they fulfill in the collaboration. Two approaches are proposed and compared in this paper. The first approach finds classes of users by applying k-means clustering to users based on attributes calculated for them. The classes identified by the clustering are then used to build a decision tree classification model. The second approach classifies individual commits based on commit messages and file types. The distribution of commit types is used for creating a decision tree classification model. The two approaches are implemented and tested against three real datasets, one from academia and two from industry. Our classification covers 86% percent of the total commits. The results are evaluated with actual role information that was manually collected from the teams responsible for the analyzed repositories.</t>
  </si>
  <si>
    <t>https://ieeexplore.ieee.org/document/7584383/</t>
  </si>
  <si>
    <t>Studying the Effectiveness of Application Performance Management (APM) Tools for Detecting Performance Regressions for Web Applications: An Experience Report</t>
  </si>
  <si>
    <t>Ali, N., Guéhéneuc, Y. and Antoniol, G.</t>
  </si>
  <si>
    <t>Trustrace: Mining Software Repositories to Improve the Accuracy of Requirement Traceability Links</t>
  </si>
  <si>
    <t>Traceability is the only means to ensure that the source code of a system is consistent with its requirements and that all and only the specified requirements have been implemented by developers. During software maintenance and evolution, requirement traceability links become obsolete because developers do not/cannot devote effort to updating them. Yet, recovering these traceability links later is a daunting and costly task for developers. Consequently, the literature has proposed methods, techniques, and tools to recover these traceability links semi-automatically or automatically. Among the proposed techniques, the literature showed that information retrieval (IR) techniques can automatically recover traceability links between free-text requirements and source code. However, IR techniques lack accuracy (precision and recall). In this paper, we show that mining software repositories and combining mined results with IR techniques can improve the accuracy (precision and recall) of IR techniques and we propose Trustrace, a trust--based traceability recovery approach. We apply Trustrace on four medium-size open-source systems to compare the accuracy of its traceability links with those recovered using state-of-the-art IR techniques from the literature, based on the Vector Space Model and Jensen-Shannon model. The results of Trustrace are up to 22.7 percent more precise and have 7.66 percent better recall values than those of the other techniques, on average. We thus show that mining software repositories and combining the mined data with existing results from IR techniques improves the precision and recall of requirement traceability links.</t>
  </si>
  <si>
    <t>https://ieeexplore.ieee.org/document/6341764/</t>
  </si>
  <si>
    <t>Allix, K., Bissyandé, T. F., Klein, J. and Traon, Y. L.</t>
  </si>
  <si>
    <t>AndroZoo: Collecting Millions of Android Apps for the Research Community</t>
  </si>
  <si>
    <t>We present a growing collection of Android Applications col-lected from several sources, including the official GooglePlay app market. Our dataset, AndroZoo, currently contains more than three million apps, each of which has beenanalysed by tens of different AntiVirus products to knowwhich applications are detected as Malware. We provide thisdataset to contribute to ongoing research efforts, as well asto enable new potential research topics on Android Apps.By releasing our dataset to the research community, we alsoaim at encouraging our fellow researchers to engage in reproducible experiments.</t>
  </si>
  <si>
    <t>Arciniegas-Mendez, M., Zagalsky, A., Storey, M. and Hadwin, A. F.</t>
  </si>
  <si>
    <t>Regulation as an Enabler for Collaborative Software Development</t>
  </si>
  <si>
    <t>Collaboration has become an integral aspect of software engineering. The widespread availability and adoption of social channels has led to a culture where today's developers participate and collaborate more frequently with one another. Awareness is widely accepted as an important feature of collaboration, but exactly what this encompasses and how processes and tools should be evaluated in terms of their awareness support remains an open challenge. In this paper, we borrow a theory of regulation from the Learning Science domain and show how this theory can be used to provide more detailed insights into how collaboration tools and processes can be compared and analyzed.</t>
  </si>
  <si>
    <t>https://ieeexplore.ieee.org/document/7166097/</t>
  </si>
  <si>
    <t>Arima, R., Higo, Y. and Kusumoto, S.</t>
  </si>
  <si>
    <t>Investigation and Detection of Split Commit</t>
  </si>
  <si>
    <t>Each commit in repositories of version control systems should include code changes for only a single task. However, in real repositories, there are many commits for multiple tasks and tasks split into multiple commits. We call the latter split commits. In this research, we firstly investigate how many and what kinds of split commits are included in repositories. Then, we classify the found split commits into three categories. Based on the classification, we propose a new technique to detect split commits automatically. This is the first research that proposes a technique to detect split commits. To evaluate the proposed technique, we apply it to repositories of two open source software. The results show that the proposed technique detects split commits with high accuracy (precision is 0.8 and F-measure is 0.7).</t>
  </si>
  <si>
    <t>https://ieeexplore.ieee.org/document/8029933/</t>
  </si>
  <si>
    <t>Bautista, A. M. and Feliu, T. S.</t>
  </si>
  <si>
    <t>A process to mining issues of software repositories</t>
  </si>
  <si>
    <t>Public software repositories offer a great opportunity for researchers. GitHub is a repository with more than 10 million projects. GitHub has an implementation of a defect tracking system. This paper describes the process developed to extract defects from GitHub repository, one of the most widely used public repositories. In this work, besides of the process, it is presented the appeared difficulties, during data mining. With obtained data, it is pretended to apply neural networks to get defects prediction.</t>
  </si>
  <si>
    <t>https://ieeexplore.ieee.org/document/7170552/</t>
  </si>
  <si>
    <t>Bavota, G., Linares-Vásquez, M., Bernal-Cárdenas, C. E., Penta, M. D., Oliveto, R. and Poshyvanyk, D.</t>
  </si>
  <si>
    <t>The Impact of API Change- and Fault-Proneness on the User Ratings of Android Apps</t>
  </si>
  <si>
    <t>The mobile apps market is one of the fastest growing areas in the information technology. In digging their market share, developers must pay attention to building robust and reliable apps. In fact, users easily get frustrated by repeated failures, crashes, and other bugs; hence, they abandon some apps in favor of their competition. In this paper we investigate how the fault- and change-proneness of APIs used by Android apps relates to their success estimated as the average rating provided by the users to those apps. First, in a study conducted on 5,848 (free) apps, we analyzed how the ratings that an app had received correlated with the fault- and change-proneness of the APIs such app relied upon. After that, we surveyed 45 professional Android developers to assess (i) to what extent developers experienced problems when using APIs, and (ii) how much they felt these problems could be the cause for unfavorable user ratings. The results of our studies indicate that apps having high user ratings use APIs that are less fault- and change-prone than the APIs used by low rated apps. Also, most of the interviewed Android developers observed, in their development experience, a direct relationship between problems experienced with the adopted APIs and the users' ratings that their apps received.</t>
  </si>
  <si>
    <t>https://ieeexplore.ieee.org/document/6945855/</t>
  </si>
  <si>
    <t>Baysal, O.</t>
  </si>
  <si>
    <t>Informing development decisions: From data to information</t>
  </si>
  <si>
    <t>Software engineers generate vast quantities of development artifacts such as source code, bug reports, test cases, usage logs, etc., as they create and maintain their projects. The information contained in these artifacts could provide valuable insights into the software quality and adoption, as well as development process. However, very little of it is available in the way that is immediately useful to various stakeholders. This research aims to extract and analyze data from software repositories to provide software practitioners with up-to-date and insightful information that can support informed decisions related to the business, management, design, or development of software systems. This data-centric decision-making is known as analytics. In particular, we demonstrate that by employing software development analytics, we can help developers make informed decisions around user adoption of a software project, code review process, as well as improve developers' awareness of their working context.</t>
  </si>
  <si>
    <t>https://ieeexplore.ieee.org/document/6606729/</t>
  </si>
  <si>
    <t>Bigvand, P. G., Fay, A., Drath, R. and Carrion, P. Rodriguez</t>
  </si>
  <si>
    <t>Concept and development of a semantic based data hub between process design and automation system engineering tools</t>
  </si>
  <si>
    <t>This paper describes an innovative approach and infrastructure for a seamless data communication between CAE and automation systems' engineering tools. In this approach syntax, semantics and graphical representations of various CAE tools can be captured, analyzed, visualized and mapped to an intermediate syntax and semantic in a data hub. Different captures from different data sources can be merged together and analyzed in order to enrich the data in the hub. Achieved results can consequently be shaped and mapped to any target syntax and semantics in a sandbox environment in order to be exported from the hub. This approach allows a bidirectional data flow from multiple CAE data sources and automation systems by utilizing a multi-level mapping library. All the intakes and outcomes of the hub are managed by a web based version control system which can provide the delta view between different versions regardless of their origin syntax or semantics. By one pass of data between the source and the target, the persistent bridge in the hub is formed and this bridge will be enriched and enhanced by each further pass of data. A prototypic development have been performed and the complete communication cycle have been verified using a sample P&amp;amp;ID and signal list from various CAE tools and an outcome of AutomationML format compliant to ABB's engineering tool as the automation target system.</t>
  </si>
  <si>
    <t>https://ieeexplore.ieee.org/document/7733734/</t>
  </si>
  <si>
    <t>Biňas, M.</t>
  </si>
  <si>
    <t>Version Control System in CS1 course: Practical experience</t>
  </si>
  <si>
    <t>In this paper we summarize our experiences with using Version Control Systems in CS1 course for submission of student's assignments. We describe our experiences with several version control systems, project management systems and summarize the results during semester, when we started to use GitLab. We compare the process of submission and evaluation of student's assignments in the era before we started using version control system and after.</t>
  </si>
  <si>
    <t>https://ieeexplore.ieee.org/document/6674398/</t>
  </si>
  <si>
    <t>Bissyandé, T. F., Thung, F., Wang, S., Lo, D., Jiang, L. and Réveillère, L.</t>
  </si>
  <si>
    <t>Empirical Evaluation of Bug Linking</t>
  </si>
  <si>
    <t>To collect software bugs found by users, development teams often set up bug trackers using systems such as Bugzilla. Developers would then fix some of the bugs and commit corresponding code changes into version control systems such as svn or git. Unfortunately, the links between bug reports and code changes are missing for many software projects as the bug tracking and version control systems are often maintained separately. Yet, linking bug reports to fix commits is important as it could shed light into the nature of bug fixing processes and expose patterns in software management. Bug linking solutions, such as ReLink, have been proposed. The demonstration of their effectiveness however faces a number of issues, including a reliability issue with their ground truth datasets as well as the extent of their measurements. We propose in this study a benchmark for evaluating bug linking solutions. This benchmark includes a dataset of about 12,000 bug links from 10 programs. These true links between bug reports and their fixes have been provided during bug fixing processes. We designed a number of research questions, to assess both quantitatively and qualitatively the effectiveness of a bug linking tool. Finally, we apply this benchmark on ReLink to report the strengths and limitations of this bug linking tool.</t>
  </si>
  <si>
    <t>https://ieeexplore.ieee.org/document/6498458/</t>
  </si>
  <si>
    <t>Brandtner, M., Müller, S. C., Leitner, P. and Gall, H. C.</t>
  </si>
  <si>
    <t>SQA-Profiles: Rule-based activity profiles for Continuous Integration environments</t>
  </si>
  <si>
    <t>Continuous Integration (CI) environments cope with the repeated integration of source code changes and provide rapid feedback about the status of a software project. However, as the integration cycles become shorter, the amount of data increases, and the effort to find information in CI environments becomes substantial. In modern CI environments, the selection of measurements (e.g., build status, quality metrics) listed in a dashboard does only change with the intervention of a stakeholder (e.g., a project manager). In this paper, we want to address the shortcoming of static views with so-called Software Quality Assessment (SQA) profiles. SQA-Profiles are defined as rule-sets and enable a dynamic composition of CI dashboards based on stakeholder activities in tools of a CI environment (e.g., version control system). We present a set of SQA-Profiles for project management committee (PMC) members: Bandleader, Integrator, Gatekeeper, and Onlooker. For this, we mined the commit and issue management activities of PMC members from 20 Apache projects. We implemented a framework to evaluate the performance of our rule-based SQA-Profiles in comparison to a machine learning approach. The results showed that project-independent SQA-Profiles can be used to automatically extract the profiles of PMC members with a precision of 0.92 and a recall of 0.78.</t>
  </si>
  <si>
    <t>https://ieeexplore.ieee.org/document/7081840/</t>
  </si>
  <si>
    <t>Calefato, F., Nicolò, R. D., Lanubile, F. and Lippolis, F.</t>
  </si>
  <si>
    <t>Product Line Engineering for NGO Projects</t>
  </si>
  <si>
    <t>Non-governmental organizations (NGOs) are often plagued by very limited human and financial resources. In this paper, we show how product line engineering (PLE) offers an opportunity to increase the sustainability of software projects that rely on the help of NGO volunteers. Building on the case of an Italian NGO that supports assistive technologies, we propose a PLE model that only depends on the branching capability of a free version control system.</t>
  </si>
  <si>
    <t>https://ieeexplore.ieee.org/document/7169669/</t>
  </si>
  <si>
    <t>Carpio, P. M. del</t>
  </si>
  <si>
    <t>Extracting word clouds in Git repositories</t>
  </si>
  <si>
    <t>Git based social coding platforms (e.g.; GitHub, BitBucket) have been broadly adopted by many open source projects, and have became an important source of technical and social information about software development. That information could be employed for identifying programming conventions used by software development teams. This work intends leverage the naming patterns immersed in a Git repository of source code, for getting word clouds as a summary of it. Git repositories of several open source projects have been employed to evaluate the proposal. The results show significant words mined from the repositories, and frequent implementation features for code artifacts which use these words.</t>
  </si>
  <si>
    <t>https://ieeexplore.ieee.org/document/7975911/</t>
  </si>
  <si>
    <t>Cen, Pengrui, Wu, LingDa, Yang, Chao and Yu, Ronghuan</t>
  </si>
  <si>
    <t>A hierarchical Access Control model of software repository based on RBAC</t>
  </si>
  <si>
    <t>Analized the task and general form of the software management; pointed out the shortages of the software repository on security. Also introduced the Role-Based Access Control model(RBAC model) which was introduced into the construction of software repository service by combining with the requirement of security management about software repository. A hierarchical access control model based on RBAC was proposed, and it database of the software repository based on RBAC was designed. The effective application of this model in the process of software management can ensure the convenience of software distribution; and meanwhile it can effectively improve the security of the software packages.</t>
  </si>
  <si>
    <t>https://ieeexplore.ieee.org/document/7883179/</t>
  </si>
  <si>
    <t>Chang, C.</t>
  </si>
  <si>
    <t>Mining software repositories to acquire software risk knowledge</t>
  </si>
  <si>
    <t>Knowing and managing the software risks are important for software project management. The information collected from past projects can be used to obtain the knowledge of the software risk. The challenge to acquire the knowledge of software risk is that the software development environment is complex and contains large amount factors that may affect the software projects. This study proposes an approach that applies data mining techniques on the data collected from historic software projects to acquire software risk knowledge. The obtained software risk knowledge can be used to facilitate software project management. The advantage of the proposed approach is that the software risk knowledge can be acquired automatically according to the selected attributes. The proposed approach is applied on a business project to demonstrate how the software risk knowledge can be acquired.</t>
  </si>
  <si>
    <t>https://ieeexplore.ieee.org/document/6642510/</t>
  </si>
  <si>
    <t>Analysis of the ISBSG software repository from the ISO 9126 view of software product quality</t>
  </si>
  <si>
    <t>Instant Bug Testing Service for Linux Kernel</t>
  </si>
  <si>
    <t>While there has been active development of the Linux kernel, little has been done to address kernel bugs with gradually increasing lifetimes. From our statistical analysis, the average lifetime of kernel bugs in each kernel development cycle has increased 2.87 times from the years between 2008 and 2012. This indicates the instability of Linux kernels. To reduce bug lifetime, we present a Kernel Instant bug testing Service (KIS). KIS includes an infra-structure to collect kernel code commits, analyze the kernel with existing analysis tools and synthesize bug reports. KIS uses object caching, version merging, bisecting recall, and log filter optimizations to accelerate compilation and analysis. In the Linux kernel 3.7 development cycle, KIS used a small server farm to detect newly submitted kernel code commits from 61% active kernel git trees, and emailed hundreds of precise bug reports directly to responsible kernel developers within 1 hour on average, all without changing the kernel developers normal workflow.</t>
  </si>
  <si>
    <t>Chochlov, M., English, M. and Buckley, J.</t>
  </si>
  <si>
    <t>Using changeset descriptions as a data source to assist feature location</t>
  </si>
  <si>
    <t>Feature location attempts to assist developers in discovering functionality in source code. Many textual feature location techniques utilize information retrieval and rely on comments and identifiers of source code to describe software entities. An interesting alternative would be to employ the changeset descriptions of the code altered in that changeset as a data source to describe such software entities. To investigate this we implement a technique utilizing changeset descriptions and conduct an empirical study to observe this technique's overall performance. Moreover, we study how the granularity (i.e. file or method level of software entities) and changeset range inclusion (i.e. most recent or all historical changesets) affect such an approach. The results of a preliminary study with Rhino and Mylyn. Tasks systems suggest that the approach could lead to a potentially efficient feature location technique. They also suggest that it is advantageous in terms of the effort to configure the technique at method level granularity and that older changesets from older systems may reduce the effectiveness of the technique.</t>
  </si>
  <si>
    <t>https://ieeexplore.ieee.org/document/7335401/</t>
  </si>
  <si>
    <t>Claes, M., Mäntylä, M., Kuutila, M. and Adams, B.</t>
  </si>
  <si>
    <t>Do Programmers Work at Night or During the Weekend?</t>
  </si>
  <si>
    <t>Abnormal working hours can reduce work health, general well-being, and productivity, independent from a profession. To inform future approaches for automatic stress and overload detection, this paper establishes empirically collected measures of the work patterns of software engineers. To this aim, we perform the first largescale study of software engineers' working hours by investigating the time stamps of commit activities of 86 large open source software projects, both containing hired and volunteer developers. We find that two thirds of software engineers mainly follow typical office hours, empirically established to be from 10h to 18h, and do not usually work during nights and weekends. Large variations between projects and individuals exist. Surprisingly, we found no support that project maturation would decrease abnormal working hours. In the Firefox case study, we found that hired developers work more during office hours while seniority, either in terms of number of commits or job status, did not impact working hours. We conclude that the use of working hours or timestamps of work products for stress detection requires establishing baselines at the level of individuals.</t>
  </si>
  <si>
    <t>http://delivery.acm.org/10.1145/3190000/3180193/p705-claes.pdf?ip=181.39.85.168&amp;id=3180193&amp;acc=ACTIVE%20SERVICE&amp;key=D910738817C0A376%2E0FCE28A66847B0AF%2E4D4702B0C3E38B35%2E4D4702B0C3E38B35&amp;__acm__=1563465095_4f1f2511faa03cfc811aa8a393d1d29b</t>
  </si>
  <si>
    <t>Claes, M., Mäntylä, M., Kuutila, M. and Farooq, U.</t>
  </si>
  <si>
    <t>Towards Automatically Identifying Paid Open Source Developers</t>
  </si>
  <si>
    <t>Open source development contains contributions from both hired and volunteer software developers. Identification of this status is important when we consider the transferability of research results to the closed source software industry, as they include no volunteer developers. While many studies have taken the employment status of developers into account, this information is often gathered manually due to the lack of accurate automatic methods. In this paper, we present an initial step towards predicting paid and unpaid open source development using machine learning and compare our results with automatic techniques used in prior work. By relying on code source repository meta-data from Mozilla, and manually collected employment status, we built a dataset of the most active developers, both volunteer and hired by Mozilla. We define a set of metrics based on developers' usual commit time pattern and use different classification methods (logistic regression, classification tree, and random forest). The results show that our proposed method identify paid and unpaid commits with an AUC of 0.75 using random forest, which is higher than the AUC of 0.64 obtained with the best of the previously used automatic methods.</t>
  </si>
  <si>
    <t>Cosentino, V., Izquierdo, J. L. C. and Cabot, J.</t>
  </si>
  <si>
    <t>Assessing the bus factor of Git repositories</t>
  </si>
  <si>
    <t>Software development projects face a lot of risks (requirements inflation, poor scheduling, technical problems, etc.). Underestimating those risks may put in danger the project success. One of the most critical risks is the employee turnover, that is the risk of key personnel leaving the project. A good indicator to evaluate this risk is to measure the concentration of information in individual developers. This is also popularly known as the bus factor (“number of key developers who would need to be incapacitated, i.e. hit by a bus, to make a project unable to proceed”). Despite the simplicity of the concept, calculating the actual bus factor for specific projects can quickly turn into an error-prone and time-consuming activity as soon as the size of the project and development team increase. In order to help project managers to assess the bus factor of their projects, in this paper we present a tool that, given a Git-based repository, automatically measures the bus factor for any file, directory and branch in the repository and for the project itself. You can also simulate with the tool what would happen to the project (e.g., which files would become orphans) if one or more developers disappeared.</t>
  </si>
  <si>
    <t>https://ieeexplore.ieee.org/document/7081864/</t>
  </si>
  <si>
    <t>Costa, C. and Murta, L.</t>
  </si>
  <si>
    <t>Version Control in Distributed Software Development: A Systematic Mapping Study</t>
  </si>
  <si>
    <t>Along the last decade, many companies started using Distributed Software Development (DSD). The distribution of the software development teams over the globe has become almost a rule in large companies. However, in this context, new problems arise, which mainly involve the physical and temporal distance among the participants. Some studies show that deploying a version control system to alleviate this problem is a big challenge for distributed teams. This paper presents a systematic mapping study about works about version control that focus on DSD. We found 29 studies related to DSD version control, published between 2002 and 2012. Using the systematically extracted data from these works, we present challenges, tools, and other solutions proposed to version control in DSD. These results can support practitioners and researchers to better understand and overcome the challenges related do DSD version control, and devise more effective solutions to improve version control in a distributed setting.</t>
  </si>
  <si>
    <t>https://ieeexplore.ieee.org/document/6613072/</t>
  </si>
  <si>
    <t>Dauber, E., Caliskan, A., Harang, R. and Greenstadt, R.</t>
  </si>
  <si>
    <t>Poster: Git Blame Who?: Stylistic Authorship Attribution of Small, Incomplete Source Code Fragments</t>
  </si>
  <si>
    <t>Program authorship attribution has implications for the privacy of programmers who wish to contribute code anonymously. While previous work has shown that complete files that are individually authored can be attributed, these efforts have focused on ideal data sets such as the Google Code Jam data. We explore the problem of attribution "in the wild" examining source code obtained from open source version control systems, and investigate if and how such contributions can be attributed to their authors, either individually or on a per-account basis. In this work we show that accounts belonging to open source contributors containing short, incomplete, and typically uncompilable fragments can be effectively attributed.</t>
  </si>
  <si>
    <t>Decan, A., Mens, T., Claes, M. and Grosjean, P.</t>
  </si>
  <si>
    <t>When GitHub Meets CRAN: An Analysis of Inter-Repository Package Dependency Problems</t>
  </si>
  <si>
    <t>When developing software packages in a software ecosystem, an important and well-known challenge is how to deal with dependencies to other packages. In presence of multiple package repositories, dependency management tends to become even more problematic. For the R ecosystem of statistical computing, dependency management is currently insufficient to deal with multiple package versions and inter-repository package dependencies. We explore how the use of GitHub influences the R ecosystem, both for the distribution of R packages and for inter-repository package dependency management. We also discuss how these problems could be addressed.</t>
  </si>
  <si>
    <t>https://ieeexplore.ieee.org/document/7476669/</t>
  </si>
  <si>
    <t>Elsen, R., Liem, I. and Akbar, S.</t>
  </si>
  <si>
    <t>Software versioning quality parameters: Automated assessment tools based on the parameters</t>
  </si>
  <si>
    <t>Version Control System (VCS) is used by software developers during a software development project with the purpose for maintaining versions and collaborative work. It is a part of configuration management. Developers work together using the same environment. Though all developers must follow the same best practices, each developer may work individually with different practices due to different knowledge and experience of using VCS. Many best practices are available, but they are different. In this paper, we define quality parameters based on quality factors. The quality factors and associated metrics are extracted from the log file of VCS. These parameters bear out good software versioning activities. To prove the concept, we build a tool for automatically assessing the quality of versioning activities of a developer, based on the log file of a VCS. The tool has been tested and used for assessing the quality of software versioning of two open source projects. As the result, developers versioning activities can be analysed.</t>
  </si>
  <si>
    <t>https://ieeexplore.ieee.org/document/7936139/</t>
  </si>
  <si>
    <t>Elsen, S.</t>
  </si>
  <si>
    <t>VisGi: Visualizing Git branches</t>
  </si>
  <si>
    <t>Git repositories quickly become highly complex structures that do not reveal much human-readable information beyond files and folders of active branches. This paper introduces VisGi, a tool to abstract and visualize the branch structure of Git repositories, as well as their folder trees. By interpreting branches as groups of aggregated commits, their dependencies are condensed into a directed acyclic graph, and displayed using graph layout strategies. Additionally, Sunburst diagrams are used to display the current content of these branches, the differences between each two branches, as well as the evolution along any singular selected path through the repository.</t>
  </si>
  <si>
    <t>https://ieeexplore.ieee.org/document/6650522/</t>
  </si>
  <si>
    <t>Falessi, D. and Reichel, A.</t>
  </si>
  <si>
    <t>Towards an open-source tool for measuring and visualizing the interest of technical debt</t>
  </si>
  <si>
    <t>Current tools for managing technical debt are able to report the principal of the debt, i.e., the amount of effort required to fix all the quality rules violated in a project. However, they do not report the interest, i.e., the disadvantages the project had or will have due to quality rules violations. As a consequence, the user lacks support in understanding how much the principal should be reduced and why. We claim that information about the interest is, at least, as important as the information about the principal; the interest should be quantified and treated as a first-class entity like the principal. In this paper we aim to advance the state of the art of how the interest is measured and visualized. The goal of the paper is to describe MIND, an open-source tool which is, to the best of our knowledge, the first tool supporting the quantification and visualization of the interest. MIND, by analyzing historical data coming from Redmine and Git repositories, reports the interest incurring in a software project in terms of how many extra defects occurred, or will occur, due to quality rules violations. We evaluated MIND by using it to analyze a software project stored in a dataset of more than a million lines of code. Results suggest that MIND accurately measures the interest of technical debt.</t>
  </si>
  <si>
    <t>https://ieeexplore.ieee.org/document/7332618/</t>
  </si>
  <si>
    <t>Firouzi, E. and Sami, A.</t>
  </si>
  <si>
    <t>Visual Studio Automated Refactoring Tool Should Improve Development Time, but ReSharper Led to More Solution-Build Failures</t>
  </si>
  <si>
    <t>Several studies showed effectiveness of manual refactoring. Thus, automated refactoring tools in Visual Studio are expected to have positive effects on the success rate of `Builds'. Few studies have actually investigated automated refactoring tools impact in this aspect. In addition, we have investigated test results, commits and undo changes into version control system (VCS) also. Firstly, if the number of successful compilation of session solution `Builds' is considered as a metric, our investigation on Enriched Event Stream Dataset showed use of ReSharper has lowered the success rate of builds, introduced errors and may have increased the development time.Secondly, test error rates decreased when ReSharper tools are used aligned with previous studies on software testing. Finally, percentage of commits has significantly increased and reverts decreased on use of ReSharper. Overall, despite some positive impacts that the automated refactoring tool of Visual Studio had, our study showed that the automated suggestions and changes that ReSharper has made are not completely trustable. Our research suggests that ReSharper may not consider a global view of the solution.</t>
  </si>
  <si>
    <t>https://ieeexplore.ieee.org/document/8666936/</t>
  </si>
  <si>
    <t>Flisar, J. and Podgorelec, V.</t>
  </si>
  <si>
    <t>Enhanced Feature Selection Using Word Embeddings for Self-Admitted Technical Debt Identification</t>
  </si>
  <si>
    <t>Technical debt (TD) is a term used to describe a trade off between code quality and timely software release. Since technical debt has negative impact on software development, identification of such debt is an important task in the software engineering domain. Sometimes, technical debt is annotated in source code comments. This kind of debt is referred to as self-admitted technical debt (SATD). Recently, some studies have focused on automated detection and classification of SATD using natural language processing methods. However, these methods have only used manually annotated data to train their classifiers. In this paper, we present the results of a performed exploratory study for using large corpus of unlabeled code comments, extracted from open source projects on git-hub, to train word embeddings, in order to improve detection of SATD. Our approach aims to enhance the feature selection method by taking advantage of the pre-trained word embeddings to detect similar features in source code comments. The experimental results show a significant improvement in SATD classification. With achieved 82% of correct predictions of SATD, the method seems to be a good candidate to be adopted in practice.</t>
  </si>
  <si>
    <t>https://ieeexplore.ieee.org/document/8498212/</t>
  </si>
  <si>
    <t>Gallaba, K. and McIntosh, S.</t>
  </si>
  <si>
    <t>Use and Misuse of Continuous Integration Features: An Empirical Study of Projects that (mis)use Travis CI</t>
  </si>
  <si>
    <t>Continuous Integration (CI) is a popular practice where software systems are automatically compiled and tested as changes appear in the version control system of a project. Like other software artifacts, CI specifications require maintenance effort. Although there are several service providers like Travis CI offering various CI features, it is unclear which features are being (mis)used. In this paper, we present a study of feature use and misuse in 9,312 open source systems that use Travis CI. Analysis of the features that are adopted by projects reveals that explicit deployment code is rare&amp;#x2014;48.16% of the studied Travis CI specification code is instead associated with configuring job processing nodes. To analyze feature misuse, we propose Hansel&amp;#x2014;an anti-pattern detection tool for Travis CI specifications. We define four anti-patterns and Hansel detects anti-patterns in the Travis CI specifications of 894 projects in the corpus (9.60%), and achieves a recall of 82.76% in a sample of 100 projects. Furthermore, we propose Gretel&amp;#x2014;an anti-pattern removal tool for Travis CI specifications, which can remove 69.60% of the most frequently occurring anti-pattern automatically. Using Gretel, we have produced 36 accepted pull requests that remove Travis CI anti-patterns automatically.</t>
  </si>
  <si>
    <t>https://ieeexplore.ieee.org/document/8360943/</t>
  </si>
  <si>
    <t>Gioachin, F., Liang, Q., Yao, Y. and Lee, B.</t>
  </si>
  <si>
    <t>Protego: In-Memory Version Control System in the Cloud</t>
  </si>
  <si>
    <t>Version control systems are an indispensable part of the software engineering process. Without them, large software development projects would soon incur in loss of productivity and severe maintenance issues. The revision history is invaluable during reviewing process as well as bug hunting. With the advent of Web 2.0, many tasks have been migrated to a cloud environment, and among them is software development. This spikes the need for a fast, always-on version control system residing in the cloud. Moreover, the cloud computational power can be leveraged to provide a higher degree of automation. In this paper, we describe Protego, a cloud-based version control system targeting flexibility and automation. Flexibility in the way projects and histories are recorded and updated, automation in the way users interact with the system, with a reduced need for everyday tedious operations.</t>
  </si>
  <si>
    <t>https://ieeexplore.ieee.org/document/6462658/</t>
  </si>
  <si>
    <t>Goon, A., Wu, Y., Matsushita, M. and Inoue, K.</t>
  </si>
  <si>
    <t>Evolution of code clone ratios throughout development history of open-source C and C++ programs</t>
  </si>
  <si>
    <t>A code clone is a fragment of code which is duplicated throughout the source code of a project. Code clones have been shown to make a project less maintainable because all code clones will share potential bugs and problems. Unlike other code clone research, this study analyzes the code clone ratios over the entire development lifetime of three open-source projects written in C/C++ to understand code clone growth in software over development and potential developer habits which could affect this growth. The study utilizes CCFinderX and Git to detect clone metrics across development history. The results from each project show very low, stable ratios across development history, with the code clone ratios only fluctuating greatly during the beginning of development mostly and very little refactoring occurring. This study goes further into the potential cause of low ratios and different fluctuations at different periods of development.</t>
  </si>
  <si>
    <t>https://ieeexplore.ieee.org/document/7880509/</t>
  </si>
  <si>
    <t>Guercio, H., Stroele, V., David, J. M. N., Braga, R. and Campos, F.</t>
  </si>
  <si>
    <t>Complex Network Analysis in a Software Ecosystem: Studying the Eclipse Community</t>
  </si>
  <si>
    <t>In the information age, people are getting more and more connected. In this context, collaborative activities are accomplished in different domains, and their relations allow researchers to model them as complex networks in order to obtain insights and competitive advantage. Software Ecosystems are emerging as a new way to contribute to developing and maintaining software through an active community of engaged users. Recognizing how users collaborate is a complex task that can help understand the network. This paper aims at analyzing a Software Ecosystem through its social layer. To this end, different complex networks were modeled using data extracted from the Eclipse ecosystem version control system. The networks represent interactions among users and projects. The network analyses conducted indicate the viability of using this approach to recognize important contributors in the ecosystem.</t>
  </si>
  <si>
    <t>https://ieeexplore.ieee.org/document/8465170/</t>
  </si>
  <si>
    <t>Halilaj, L., Grangel-González, I., Coskun, G. and Auer, S.</t>
  </si>
  <si>
    <t>Git4Voc: Git-Based Versioning for Collaborative Vocabulary Development</t>
  </si>
  <si>
    <t>Collaborative vocabulary development in the context of data integration is the process of finding consensus between the experts of the different systems and domains. The complexity of this process is increased with the number of involved people, the variety of the systems to be integrated and the dynamics of their domain. In this paper we advocate that the realization of a powerful version control system is the heart of the problem. Driven by this idea and the success of Git in the context of software development, we investigate the applicability of Git for collaborative vocabulary development. Even though vocabulary development and software development have much more similarities than differences there are still important differences. These need to be considered within the development of a successful versioning and collaboration system for vocabulary development. Therefore, this paper starts by presenting the challenges we were faced with during the creation of vocabularies collaboratively and discusses its distinction to software development. Based on these insights we propose Git4Voc which comprises guidelines how Git can be adopted to vocabulary development. Finally, we demonstrate how Git hooks can be implemented to go beyond the plain functionality of Git by realizing vocabulary-specific features like syntactic validation and semantic diffs.</t>
  </si>
  <si>
    <t>https://ieeexplore.ieee.org/document/7439350/</t>
  </si>
  <si>
    <t>Hata, H., Todo, T., Onoue, S. and Matsumoto, K.</t>
  </si>
  <si>
    <t>Characteristics of Sustainable OSS Projects: A Theoretical and Empirical Study</t>
  </si>
  <si>
    <t>How can we attract developers? What can we do to incentivize developers to write code? We started the study by introducing the population pyramid visualization to software development communities, called software population pyramids, and found a typical pattern in shapes. This pattern comes from the differences in attracting coding contributors and discussion contributors. To understand the causes of the differences, we then build game-theoretical models of the contribution situation. Based on these results, we again analyzed the projects empirically to support the outcome of the models, and found empirical evidence. The answers to the initial questions are clear. To incentivize developers to code, the projects should prepare documents, or the projects or third parties should hire developers, and these are what sustainable projects in Git Hub did in reality. In addition, making innovations to reduce the writing costs can also have an impact in attracting coding contributors.</t>
  </si>
  <si>
    <t>https://ieeexplore.ieee.org/document/7166083/</t>
  </si>
  <si>
    <t>Explore the evolution of development topics via on-line LDA</t>
  </si>
  <si>
    <t>Ihara, A., Kamei, Y., Ohira, M., Hassan, A. E., Ubayashi, N. and Matsumoto, K.</t>
  </si>
  <si>
    <t>Early Identification of Future Committers in Open Source Software Projects</t>
  </si>
  <si>
    <t>There exists two types of developers in Open Source Software (OSS) projects: 1) Committers who have permission to commit edited source code to the Version Control System (VCS), 2) Developers who contribute source code but cannot commit to the VCS directly. In order to develop and evolve high quality OSS, projects are always in search of new committers. OSS projects often promote strong developers to become committers. When existing committers find strong developers, they propose their promotion to a committer role. Delaying the committer-promotion might lead to strong developers departing from an OSS project and the project losing them. However early committer-promotion comes with its own slew of risks as well (e.g., the promotion of inexperienced developers). Hence, committer-promotion decisions are critical for the quality and successful evolution of OSS projects. In this paper, we examine the committer-promotion phenomena for two OSS projects (Eclipse and Firefox). We find that the amount of activities by future committers was higher than the amount of activities by developers who did not become committers). We also find that some developers are promoted to a committer role very rapidly (within a few month) while some of developers take over one year to become a committer. Finally, we develop a committer-identification model to assist OSS projects identifying future committers.</t>
  </si>
  <si>
    <t>https://ieeexplore.ieee.org/document/6958386/</t>
  </si>
  <si>
    <t>Ihara, A., Monden, A. and Matsumoto, K.</t>
  </si>
  <si>
    <t>Industry Questions about Open Source Software in Business: Research Directions and Potential Answers</t>
  </si>
  <si>
    <t>As open source software (OSS) has become an integral part of today's software businesses, many software companies rely on OSS to develop their customer solutions and products. On the other hand, they face various concerns in using OSS, such as technical support, quality, security and licensing issues. This paper focuses on OSS-related FAQ in industry, and tries to answer them or to provide research directions based on lessons learned from recent mining OSS repository researches.</t>
  </si>
  <si>
    <t>https://ieeexplore.ieee.org/document/6976023/</t>
  </si>
  <si>
    <t>Iqbal, A. and Decker, S.</t>
  </si>
  <si>
    <t>On the Need of Integrating Social Media Channels and Open Source Software Repositories</t>
  </si>
  <si>
    <t>The growing interest in the usage of social media channels have attracted the open source software community to adopt an identity in order to disseminate project-related information to a wider audience. We foresee the need to integrate social media channels and open source software repositories in order to get an integrated view on the software project not only from the software development perspective but also from social perspective. Therefore, in this paper we study the usage of Twitter by software developers through harvesting their project-related activities on Twitter. In particular, we present the most frequently used hashtags by software developers and further investigate if project-related hashtags are the most frequent and commonly used hashtags by software developers. Based on our findings, we argue that relevant information from social media channels should be integrated with the open source software repositories in order to provide a homogeneous view on a software project.</t>
  </si>
  <si>
    <t>https://ieeexplore.ieee.org/document/7301004/</t>
  </si>
  <si>
    <t>Integrating Open Source Software Repositories on the Web through Linked Data</t>
  </si>
  <si>
    <t>In this paper, we propose a novel approach to the problem of integrating code forges based on metadata (e.g., programming language, database, intended audience, operating system), similar software projects and software developers. We review the current problems in integrating metadata of different code forges and argue that Semantic Web technologies are suitable for representing and integrating knowledge contained inside these code forges. Further, we show the advantages of interlinking metadata of software projects to other relevant data sources on the Web, which will enable querying more information from the Web. Moreover, we compute the overlapping between code forges based on similar software developers and argue the benefit of interlinking similar software developers and software projects across different code forges through examples.</t>
  </si>
  <si>
    <t>https://ieeexplore.ieee.org/document/7300963/</t>
  </si>
  <si>
    <t>Jarczyk, O., Gruszka, B., Bukowski, L. and Wierzbicki, A.</t>
  </si>
  <si>
    <t>On the Effectiveness of Emergent Task Allocation of Virtual Programmer Teams</t>
  </si>
  <si>
    <t>Virtual teams of programmers are a popular form of collaboration both in Open Source, and commercial software projects. In OSS (Open Source Software) projects, programmers make their own decision which project to join, and, therefore, the process of task allocation among the project members is emergent. In this paper, we attempt to simulate such a process based on available data from Git Hub. The simulation is used to test a hypothesis regarding the efficiency of emergent task allocation. In general, we find performance of coordinated methods to be better than emergent algorithms, which leads us to conclusion that controlling team membership through invitations and work assignment is a promising direction.</t>
  </si>
  <si>
    <t>https://ieeexplore.ieee.org/document/6927567/</t>
  </si>
  <si>
    <t>Javed, O. and Binder, W.</t>
  </si>
  <si>
    <t>Large-Scale Evaluation of the Efficiency of Runtime-Verification Tools in the Wild</t>
  </si>
  <si>
    <t>Ji, T., Pan, J., Chen, L. and Mao, X.</t>
  </si>
  <si>
    <t>Identifying Supplementary Bug-fix Commits</t>
  </si>
  <si>
    <t>Real-world bugs and the bug-fix activities are essential in many fields such as bug prediction and automatic program repair. Identifying bug-fix commits from version histories has received much recent attention. Linking commits to bug reports and analyzing the commits individually are common practice. However, considering the one-to-many relationship between the bug report and the bug-fix commits, analyzing commits individually will miss the relevance between commits, since several commits might fix the same bug together. In addition, some supplementary bug-fix commits which supplement or correct the identified bug-fix commit may be neglected. For empirical studies on bug-fix commits, it is important to study all the relevant commits as a whole, otherwise we will fail to understand the complete real bug-fix activities. In this paper, we investigate the relevance between bug-fix commits that are linked to the same bug-fix pull request, and utilize machine learning techniques to determine supplementary bug-fix commits for an identified bug-fix commit. Experimental results show that there indeed exist supplementary bug-fix commits (i.e., 19.8% on average) that are neglected when analyzing commits individually. The performance of our tool SupBCFinder is much better than that of using a sliding window of one hour and that of analyzing the local change. Moreover, inspired by our learning-based approach and extracted features, we propose one effective heuristic as an alternative for the cases when there are not enough pull requests for training.</t>
  </si>
  <si>
    <t>https://ieeexplore.ieee.org/document/8377655/</t>
  </si>
  <si>
    <t>Jiang, S. and McMillan, C.</t>
  </si>
  <si>
    <t>Towards Automatic Generation of Short Summaries of Commits</t>
  </si>
  <si>
    <t>Committing to a version control system means submitting a software change to the system. Each commit can have a message to describe the submission. Several approaches have been proposed to automatically generate the content of such messages. However, the quality of the automatically generated messages falls far short of what humans write. In studying the differences between auto-generated and human-written messages, we found that 82% of the human-written messages have only one sentence, while the automatically generated messages often have multiple lines. Furthermore, we found that the commit messages often begin with a verb followed by an direct object. This finding inspired us to use a "verb+object" format in this paper to generate short commit summaries. We split the approach into two parts: verb generation and object generation. As our first try, we trained a classifier to classify a diff to a verb. We are seeking feedback from the community before we continue to work on generating direct objects for the commits.</t>
  </si>
  <si>
    <t>https://ieeexplore.ieee.org/document/7961530/</t>
  </si>
  <si>
    <t>Jiang, Y.</t>
  </si>
  <si>
    <t>Improving the integration process of large software systems</t>
  </si>
  <si>
    <t>Software integration is the software engineering activity where code changes of different developers are combined into a consistent whole. While the advent of distributed version control systems has allowed distributed development to scale up substantially, at the same time the risk of integration conflicts (changes that do not go well together) and the time required to fix them has increased as well. In order to help practitioners deal with this paradox, this thesis aims to understand and improve the integration process of modern software organizations. We took the Linux kernel as our pilot case study, which is supported by a distributed version control system (Git) and low-tech reviewing system (mailing list). So far, we have (1) analyzed how to reconstruct the data of the integration process in a low-tech environment where reviews are stored in emails without explicit link to version control commits, and (2) studied the characteristics of the Linux integration process. We found that the commits developed by more mature developers and impacting less subsystems are more likely to be accepted. As a next step, we plan to build a model quantifying the integration effort.</t>
  </si>
  <si>
    <t>https://ieeexplore.ieee.org/document/7081888/</t>
  </si>
  <si>
    <t>Jiang, Y. and Adams, B.</t>
  </si>
  <si>
    <t>Co-evolution of Infrastructure and Source Code - An Empirical Study</t>
  </si>
  <si>
    <t>Infrastructure-as-code automates the process of configuring and setting up the environment (e.g., servers, VMs and databases) in which a software system will be tested and/or deployed, through textual specification files in a language like Puppet or Chef. Since the environment is instantiated automatically by the infrastructure languages' tools, no manual intervention is necessary apart from maintaining the infrastructure specification files. The amount of work involved with such maintenance, as well as the size and complexity of infrastructure specification files, have not yet been studied empirically. Through an empirical study of the version control system of 265 Open Stack projects, we find that infrastructure files are large and churn frequently, which could indicate a potential of introducing bugs. Furthermore, we found that the infrastructure code files are coupled tightly with the other files in a project, especially test files, which implies that testers often need to change infrastructure specifications when making changes to the test framework and tests.</t>
  </si>
  <si>
    <t>https://ieeexplore.ieee.org/document/7180066/</t>
  </si>
  <si>
    <t>Jiang, Y., Adams, B. and German, D. M.</t>
  </si>
  <si>
    <t>Will my patch make it? And how fast? Case study on the Linux kernel</t>
  </si>
  <si>
    <t>The Linux kernel follows an extremely distributed reviewing and integration process supported by 130 developer mailing lists and a hierarchy of dozens of Git repositories for version control. Since not every patch can make it and of those that do, some patches require a lot more reviewing and integration effort than others, developers, reviewers and integrators need support for estimating which patches are worthwhile to spend effort on and which ones do not stand a chance. This paper crosslinks and analyzes eight years of patch reviews from the kernel mailing lists and committed patches from the Git repository to understand which patches are accepted and how long it takes those patches to get to the end user. We found that 33% of the patches makes it into a Linux release, and that most of them need 3 to 6 months for this. Furthermore, that patches developed by more experienced developers are more easily accepted and faster reviewed and integrated. Additionally, reviewing time is impacted by submission time, the number of affected subsystems by the patch and the number of requested reviewers.</t>
  </si>
  <si>
    <t>https://ieeexplore.ieee.org/document/6624016/</t>
  </si>
  <si>
    <t>Kalyan, A., Chiam, M., Sun, J. and Manoharan, S.</t>
  </si>
  <si>
    <t>A Collaborative Code Review Platform for GitHub</t>
  </si>
  <si>
    <t>The incorporation of peer code reviews as being part of a developer's work flow, and hence the software development lifecycle, has steadily grown in popularity over the past three decades. During the process of statically inspecting code, developers of a codebase are able to collaboratively detect possible code defects, as well as use code reviews as a means of transferring knowledge to improve the overall understanding of a system. The uptake of such practices is dependent on several factors, specifically the availability of tools that aid in providing an easy-to-use and intuitive platform to perform code reviews, and is readily accessible to members of a project. This paper briefly explores the act of code review, identifies the pitfalls of existing code review tools, and proposes the design and development of a web-based code review application, along with the evaluation of the prototype. The code review tool developed, Fistbump, targets the popular Git based repository hosting service, GitHub, and provides a versatile tool to coordinate and manage discussions between the owner of a pull request and the elected participants of a review.</t>
  </si>
  <si>
    <t>https://ieeexplore.ieee.org/document/7816585/</t>
  </si>
  <si>
    <t>Kawamitsu, N., Ishio, T., Kanda, T., Kula, R. G., Roover, C. De and Inoue, K.</t>
  </si>
  <si>
    <t>Identifying Source Code Reuse across Repositories Using LCS-Based Source Code Similarity</t>
  </si>
  <si>
    <t>Developers often reuse source files developed for another project. In order to update a reused file to a newer version released by the original project, developers have to track which revision of a file was reused and how its content was modified. However, such tracking is tedious for developers. Many projects keep older versions of files whose bugs are already fixed in the original project. In this paper, we propose a technique to automatically identify source code reuse relationships between two repositories. Using a similarity metric based on longest common subsequence, we identify pairs of similar revisions of files across the repositories. To evaluate our approach, we have analyzed eight project pairs of open source software projects and compared the result with the recorded information in the repositories. As a result, we have identified 1394 file revisions as instances of source code reuse. While 75.3% of the instances are recorded in the repositories, 20.1% of the instances are unrecorded but recovered by our approach.</t>
  </si>
  <si>
    <t>https://ieeexplore.ieee.org/document/6975664/</t>
  </si>
  <si>
    <t>Kelleher, J.</t>
  </si>
  <si>
    <t>Employing git in the classroom</t>
  </si>
  <si>
    <t>Git is a well established, well received source version control system for the software development community and beyond. In an effort to better expose my students to the purpose and process of version control, I introduced Git as a mechanism to both disseminate in-class exercises and worked solutions as well as facilitate the submission of continuous assessment. I document in this paper my experience of the experiment and describe the steps required to marshall free third party services to support the tasks undertaken by students and lecturer.</t>
  </si>
  <si>
    <t>https://ieeexplore.ieee.org/document/6916568/</t>
  </si>
  <si>
    <t>Kirinuki, H., Higo, Y., Hotta, K. and Kusumoto, S.</t>
  </si>
  <si>
    <t>Knauss, E., Liebel, G., Horkoff, J., Wohlrab, R., Kasauli, R., Lange, F. and Gildert, P.</t>
  </si>
  <si>
    <t>T-Reqs: Tool Support for Managing Requirements in Large-Scale Agile System Development</t>
  </si>
  <si>
    <t>T-Reqs is a text-based requirements management solution based on the git version control system. It combines useful conventions, templates and helper scripts with powerful existing solutions from the git ecosystem and provides a working solution to address some known requirements engineering challenges in large-scale agile system development. Specifically, it allows agile cross-functional teams to be aware of requirements at system level and enables them to efficiently propose updates to those requirements. Based on our experience with T-Reqs, we i) relate known requirements challenges of large-scale agile system development to tool support; ii) list key requirements for tooling in such a context; and iii) propose concrete solutions for challenges.</t>
  </si>
  <si>
    <t>https://ieeexplore.ieee.org/document/8491180/</t>
  </si>
  <si>
    <t>Ko, A.</t>
  </si>
  <si>
    <t>Mining the Mind, Minding the Mine: Grand Challenges in Comprehension and Mining</t>
  </si>
  <si>
    <t>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t>
  </si>
  <si>
    <t>Kouters, E., Vasilescu, B., Serebrenik, A. and Brand, M. G. J. van den</t>
  </si>
  <si>
    <t>Who's who in Gnome: Using LSA to merge software repository identities</t>
  </si>
  <si>
    <t>Understanding an individual's contribution to an ecosystem often necessitates integrating information from multiple repositories corresponding to different projects within the ecosystem or different kinds of repositories (e.g., mail archives and version control systems). However, recognising that different contributions belong to the same contributor is challenging, since developers may use different aliases. It is known that existing identity merging algorithms are sensitive to large discrepancies between the aliases used by the same individual: the noisier the data, the worse their performance. To assess the scale of the problem for a large software ecosystem, we study all Gnome Git repositories, classify the differences in aliases, and discuss robustness of existing algorithms with respect to these types of differences. We then propose a new identity merging algorithm based on Latent Semantic Analysis (LSA), designed to be robust against more types of differences in aliases, and evaluate it empirically by means of cross-validation on Gnome Git authors. Our results show a clear improvement over existing algorithms in terms of precision and recall on worst-case input data.</t>
  </si>
  <si>
    <t>https://ieeexplore.ieee.org/document/6405329/</t>
  </si>
  <si>
    <t>Kral, E. and Capek, P.</t>
  </si>
  <si>
    <t>Student Support Using Source Code Snippets Sharing and Advanced Integration</t>
  </si>
  <si>
    <t>This paper proposes a new tool and methodology for sharing code snippets or complete projects with students. The tool is based on an industry standard version control system. The proposed tool and methodology is easy to use and does not require any previous knowledge. Experiments will be run with students in programming courses to evaluate this tool.</t>
  </si>
  <si>
    <t>https://ieeexplore.ieee.org/document/8561098/</t>
  </si>
  <si>
    <t>Kratov, S. and Bukhtiarov, I.</t>
  </si>
  <si>
    <t>The technological platform for software development in the SB RAS</t>
  </si>
  <si>
    <t>The complex of the software solutions that focus on the creation of the technological platform for software development in the Siberian Branch of the Russian Academy of Sciences is described in the article. There is the SB RAS Foundation of Algorithms and Programs technological platform generally as well as project management, bug tracking and version control subsystems, etc.</t>
  </si>
  <si>
    <t>https://ieeexplore.ieee.org/document/6616912/</t>
  </si>
  <si>
    <t>Lass, M., Leibenger, D. and Sorge, C.</t>
  </si>
  <si>
    <t>Confidentiality and Authenticity for Distributed Version Control Systems - A Mercurial Extension</t>
  </si>
  <si>
    <t>Version Control Systems (VCS) are a valuable tool for software development and document management. Both client/server and distributed (Peer-to-Peer) models exist, with the latter (e.g., Git and Mercurial) becoming increasingly popular. Their distributed nature introduces complications, especially concerning security: it is hard to control the dissemination of contents stored in distributed VCS as they rely on replication of complete repositories to any involved user. We overcome this issue by designing and implementing a concept for cryptography-enforced access control which is transparent to the user. Use of field-tested schemes (end-to-end encryption, digital signatures) allows for strong security, while adoption of convergent encryption and content-defined chunking retains storage efficiency. The concept is seamlessly integrated into Mercurial-respecting its distributed storage concept-to ensure practical usability and compatibility to existing deployments.</t>
  </si>
  <si>
    <t>https://ieeexplore.ieee.org/ielx7/7795840/7796740/07796756.pdf?tp=&amp;arnumber=7796756&amp;isnumber=7796740&amp;ref=</t>
  </si>
  <si>
    <t>Lavoie, T., Khomh, F., Merlo, E. and Zou, Y.</t>
  </si>
  <si>
    <t>Inferring Repository File Structure Modifications Using Nearest-Neighbor Clone Detection</t>
  </si>
  <si>
    <t>During the re-engineering of legacy software systems, a good knowledge of the history of past modifications on the system is important to recover the design of the system and transfer its functionalities. In the absence of a reliable revision history, development teams often rely on system experts to identify hidden history and recover software design. In this paper, we propose a new technique to infer the history of repository file modifications of a software system using only past released versions of the system. The proposed technique relies on nearest-neighbor clone detection using the Manhattan distance. We performed an empirical evaluation of the technique using Tomcat, JHotDraw and Adempiere SVN information as our oracle of file operations, and obtained an average precision of 97% and an average recall of 98%. Our evaluation also highlighted the phenomena of implicit Moves, which are, Moves between a system's versions, that are not recorded in the SVN repository. In the absence of revision history and software experts, development teams can make use of the proposed technique during the re-engineering of their legacy systems.</t>
  </si>
  <si>
    <t>https://ieeexplore.ieee.org/document/6385128/</t>
  </si>
  <si>
    <t>Le, T. B., Yi, J., Lo, D., Thung, F. and Roychoudhury, A.</t>
  </si>
  <si>
    <t>Dynamic Inference of Change Contracts</t>
  </si>
  <si>
    <t>Software evolves and thus developers frequently make changes to systems that are logged in version control systems. These changes are often poorly documented -- often commit logs are empty or only contain minimal information. Thus, it is often a challenge to understand why certain changes are made especially if they were introduced many months or even years ago. Understanding these changes is important when pertinent questions are raised during future bug fixing or software evolution efforts. Thus, there is a need for an automated approach that can help developers better document changes with little or minimal effort. To address this need, we propose a dynamic inference framework that automatically infers change contracts. Recently, change contract is proposed as a formalism to capture the semantics of changes. Different from standard program contract, change contract focuses in expressing the changed behavior between two versions of software systems. Our system infers candidate contracts based on actual changes and developers can further modify these contracts to reflect intended changes. We have performed a preliminary evaluation of our dynamic inference framework on a set of 15 real bug fixing changes from AspectJ with promising results.</t>
  </si>
  <si>
    <t>https://ieeexplore.ieee.org/document/6976116/</t>
  </si>
  <si>
    <t>Le, X. D.</t>
  </si>
  <si>
    <t>Towards efficient and effective automatic program repair</t>
  </si>
  <si>
    <t>Automatic Program Repair (APR) has recently been an emerging research area, addressing an important challenge in software engineering. APR techniques, if effective and efficient, can greatly help software debugging and maintenance. Recently proposed APR techniques can be generally classified into two families, namely search-based and semantics-based APR methods. To produce repairs, search based APR techniques generate huge populations of possible repairs, i.e., search space, and lazily search for the best one among the search space. Semantics-based APR techniques utilize constraint solving and program synthesis to make search space more tractable, and find those repairs that conform to semantics constraints extracted via symbolic execution. Despite recent advances in APR, search-based APR still suffers from search space explosion problem, while the semantics-based APR could be hindered by limited capability of constraint solving and program synthesis. Furthermore, both APR families may be subject to overfitting, in which generated repairs do not generalize to other test sets. This thesis works towards enhancing both effectiveness and efficiency in order for APR to be practically adopted in foreseeable future. To achieve this goal, other than using test cases as the primary criteria for traversing the search space, we designed a new feature used for a new search-based APR technique to effectively traverse the search space, wherein bug fix history is used to evaluate the quality of repair candidates. We also developed a deductive-reasoning-based repair technique that combines search-based and semantics-based approaches to enhance the repair capability, while ensuring the soundness of generated repairs. We also leveraged machine-learning techniques to build a predictive model that predicts whether an APR technique is effective in fixing particular bugs. In the future, we plan to synergize many existing APR techniques, improve our predictive model, and adopt the advances of other fields such as test case generation and program synthesis for APR.</t>
  </si>
  <si>
    <t>Lednicki, L., Sapienza, G., Johansson, M. E., Seceleanu, T. and Hallmans, D.</t>
  </si>
  <si>
    <t>Integrating Version Control in a Standardized Service-Oriented Tool Chain</t>
  </si>
  <si>
    <t>The complexity of modern embedded systems most often requires multiple specialized tools to be used during the development process. These tools are commonly integrated into tool chains. An efficient way of achieving such integration is through the use of an tool integration framework, with one of the most prominent of such frameworks being Open Services for Lifecycle Collaboration (OSLC). However, at present time OSLC does not provide an established way for fully integrating version control systems. This paper presents how version control systems can be integrated into a tool chain based on OSLC. The integration is enabled by defining a version control domain based on the OSLC core specification, describing how to represent versioned artifacts and perform version control operations. The proposed approach is implemented and its feasibility is proven on a case study tool chain, which integrates the Team Foundation Server version control system and an industrial design tool for the power distribution domain.</t>
  </si>
  <si>
    <t>https://ieeexplore.ieee.org/document/7552028/</t>
  </si>
  <si>
    <t>Leßenich, O., Apel, S., Kästner, C., Seibt, G. and Siegmund, J.</t>
  </si>
  <si>
    <t>Renaming and shifted code in structured merging: Looking ahead for precision and performance</t>
  </si>
  <si>
    <t>Diffing and merging of source-code artifacts is an essential task when integrating changes in software versions. While state-of-the-art line-based merge tools (e.g., git merge) are fast and independent of the programming language used, they have only a low precision. Recently, it has been shown that the precision of merging can be substantially improved by using a language-aware, structured approach that works on abstract syntax trees. But, precise structured merging is NP hard, especially, when considering the notoriously difficult scenarios of renamings and shifted code. To address these scenarios without compromising scalability, we propose a syntax-aware, heuristic optimization for structured merging that employs a lookahead mechanism during tree matching. The key idea is that renamings and shifted code are not arbitrarily distributed, but their occurrence follows patterns, which we address with a syntax-specific lookahead. Our experiments with 48 real-world open-source projects (4,878 merge scenarios with over 400 million lines of code) demonstrate that we can significantly improve matching precision in 28 percent of cases while maintaining performance.</t>
  </si>
  <si>
    <t>https://ieeexplore.ieee.org/document/8115665/</t>
  </si>
  <si>
    <t>Li, J. and Ernst, M. D.</t>
  </si>
  <si>
    <t>CBCD: Cloned buggy code detector</t>
  </si>
  <si>
    <t>Developers often copy, or clone, code in order to reuse or modify functionality. When they do so, they also clone any bugs in the original code. Or, different developers may independently make the same mistake. As one example of a bug, multiple products in a product line may use a component in a similar wrong way. This paper makes two contributions. First, it presents an empirical study of cloned buggy code. In a large industrial product line, about 4% of the bugs are duplicated across more than one product or file. In three open source projects (the Linux kernel, the Git version control system, and the PostgreSQL database) we found 282, 33, and 33 duplicated bugs, respectively. Second, this paper presents a tool, CBCD, that searches for code that is semantically identical to given buggy code. CBCD tests graph isomorphism over the Program Dependency Graph (PDG) representation and uses four optimizations. We evaluated CBCD by searching for known clones of buggy code segments in the three projects and compared the results with text-based, token-based, and AST-based code clone detectors, namely Simian, CCFinder, Deckard, and CloneDR. The evaluation shows that CBCD is fast when searching for possible clones of the buggy code in a large system, and it is more precise for this purpose than the other code clone detectors.</t>
  </si>
  <si>
    <t>https://ieeexplore.ieee.org/document/6227183/</t>
  </si>
  <si>
    <t>Li, K., Xu, Z. and Chen, X.</t>
  </si>
  <si>
    <t>A Platform for Searching UI Component of Android Application</t>
  </si>
  <si>
    <t>Android applications are becoming increasingly popular in digital home nowadays. Building high quality application is still one of biggest changes for Android developer community. The search service in current Android application market can't meet the needs of developers when trying to find the user interface design in other applications. In this paper, we introduce a platform to query the runtime user interfaces of Android applications, which can help developers to reuse the design components to improve their applications. Based on the description information of 8,456 Android applications in Android market and the information of runtime 313,820 UI elements, we implement the platform providing search service for developers to find specified runtime user interfaces in our Android software repository. Our experiment for the quality of search result shows that 76.7% of top-10 search result contains the relevant UI components that are valuable for users.</t>
  </si>
  <si>
    <t>https://ieeexplore.ieee.org/document/6996761/</t>
  </si>
  <si>
    <t>Li, S.</t>
  </si>
  <si>
    <t>Better code management for end-user programming on mobile devices</t>
  </si>
  <si>
    <t>Recently, a radically new environment for end-user programming on mobile devices has been proposed. One of its representatives, TouchDevelop developed by Microsoft Research, has successfully drawn more than 5000 users, who have published around 30 thousands TouchDevelop scripts online. In this work, I introduce an approach to better manage the existing code base written by end users through a version-control and code-search system, and thus improve the productivity of end-user programming on mobile devices.</t>
  </si>
  <si>
    <t>https://ieeexplore.ieee.org/document/6645277/</t>
  </si>
  <si>
    <t>Triaging incoming change requests: Bug or commit history, or code authorship?</t>
  </si>
  <si>
    <t>Liu, J., Li, J. and He, L.</t>
  </si>
  <si>
    <t>A Comparative Study of the Effects of Pull Request on GitHub Projects</t>
  </si>
  <si>
    <t>There is a trend in increased social involvement in software development process. Facilities supporting distributed software development and management have become a common practice in the community. Public involvement is further promoted by the incorporation of the social network features brought about by GitHub. The “following”and “watching”mechanisms, together with the pull-request facility, encourage wider and deeper involvement of the general public. While earlier studies have begun to study the possible effects of the increased publicity, their approaches are based on qualitative methods and their conclusions are only tentative. In this paper, we conduct a comparative study on the effects of pull request on 461 GitHub projects. Correlation study, factor analysis and MannWhitneyWilcoxon Test are conducted on the bug report data we gather from GitHub. From the empirical observations, we found that employing pull request can help increase the social impact of projects, resulting in more active development activity. However, it could also lead to prolonged bug fixing time.</t>
  </si>
  <si>
    <t>https://ieeexplore.ieee.org/document/7552027/</t>
  </si>
  <si>
    <t>Lu, Y., Chaudhuri, S., Jermaine, C. and Melski, D.</t>
  </si>
  <si>
    <t>Program Splicing</t>
  </si>
  <si>
    <t>We introduce program splicing, a programming methodology that aims to automate the work ow of copying, pasting, and modifying code available online. Here, the programmer starts by writing a "draft" that mixes un nished code, natural language comments, and correctness requirements. A program synthesizer that interacts with a large, searchable database of program snippets is used to automatically complete the draft into a program that meets the re-quirements. The synthesis process happens in two stages. First, the synthesizer identi es a small number of programs in the database that are relevant to the synthesis task. Next it uses an enumerative search to systematically ll the draft with expressions and statements from these relevant programs. The resulting program is returned to the programmer, who can modify it and possibly invoke additional rounds of synthesis. We present an implementation of program splicing, called Splicer, for the Java programming language. Splicer uses a corpus of over 3.5 million procedures from an open-source software repository. Our evaluation uses the system in a suite of everyday programming tasks, and includes a comparison with a state-of-the-art competing approach as well as a user study. The results point to the broad scope and scalability of program splicing and indicate that the approach can signi cantly boost programmer productivity.</t>
  </si>
  <si>
    <t>http://delivery.acm.org/10.1145/3190000/3180190/p338-lu.pdf?ip=181.39.85.168&amp;id=3180190&amp;acc=ACTIVE%20SERVICE&amp;key=D910738817C0A376%2E0FCE28A66847B0AF%2E4D4702B0C3E38B35%2E4D4702B0C3E38B35&amp;__acm__=1563467035_7cadb81a2be067998cc10b0faa5155cf</t>
  </si>
  <si>
    <t>Luo, Y., Zhao, Y., Ma, W. and Chen, L.</t>
  </si>
  <si>
    <t>Mahmoudi, M., Nadi, S. and Tsantalis, N.</t>
  </si>
  <si>
    <t>Are Refactorings to Blame? An Empirical Study of Refactorings in Merge Conflicts</t>
  </si>
  <si>
    <t>With the rise of distributed software development, branching has become a popular approach that facilitates collaboration between software developers. One of the biggest challenges that developers face when using multiple development branches is dealing with merge conflicts. Conflicts occur when inconsistent changes happen to the code. Resolving these conflicts can be a cumbersome task as it requires prior knowledge about the changes in each of the development branches. A type of change that could potentially lead to complex conflicts is code refactoring. Previous studies have proposed techniques for facilitating conflict resolution in the presence of refactorings. However, the magnitude of the impact that refactorings have on merge conflicts has never been empirically evaluated. In this paper, we perform an empirical study on almost 3,000 well-engineered open-source Java software repositories and investigate the relation between merge conflicts and 15 popular refactoring types. Our results show that refactoring operations are involved in 22% of merge conflicts, which is remarkable taking into account that we investigated a relatively small subset of all possible refactoring types. Furthermore, certain refactoring types, such as EXTRACT METHOD, tend to be more problematic for merge conflicts. Our results also suggest that conflicts that involve refactored code are usually more complex, compared to conflicts with no refactoring changes.</t>
  </si>
  <si>
    <t>https://ieeexplore.ieee.org/document/8668012/</t>
  </si>
  <si>
    <t>Majumdar, R., Jain, R., Barthwal, S. and Choudhary, C.</t>
  </si>
  <si>
    <t>Source code management using version control system</t>
  </si>
  <si>
    <t>Software is the most vigorous product of Information Technology. The face of software development has changed unprecedentedly and become more custom over a period of time. If we go back 15 years, one can see software were developed for supporting workstations in organizations with centralized database over multiple locations, but rise in international work standard in turn has made software development more competitive and challenging. As a result, software development happens to take place in a collaborative platform — programmers collaborate their code to a central point from multiple locations. How can programmers collaborate? Well, Source code management tools (Version Control System) tackles every single barrier associated with managing source code such as: Integrity, robustness, synchronization, linearity, and revision control. Version control adhere unique functionalities: commit, push/pull to and from code base, snapshots that makes managing source code fairly simple. However conventional version control system can't manage models and there are problems in syncing main repository and local working copy. This work draws shortcoming of ‘Git’ as a version control system in managing source code and gives insight into Git's association with source code taking line based approach that makes difficult to version control model diagrams with software development. The limitations are identified and the model is proposed to facilitate enhancement in future.</t>
  </si>
  <si>
    <t>https://ieeexplore.ieee.org/document/8342438/</t>
  </si>
  <si>
    <t>Makiyama, D. S. and Aquino, P. T.</t>
  </si>
  <si>
    <t>Fundamentals of a components sharing network to accelerate JavaScript software development</t>
  </si>
  <si>
    <t>Based on a systematic review of empirical studies about software components selection and usability techniques applied to a functional prototype, this article maps the functional and non-functional requirements of a components sharing network that aims to accelerate JavaScript software development. Results point out that integrating the development environment to a component search mechanism with automated filters, ordered by quality criteria, and allow code snippets rank and improvements submission on a version control system are the path to accelerate the development and motivate IT students and professionals to participate in this network.</t>
  </si>
  <si>
    <t>https://annals-csis.org/proceedings/2017/drp/pdf/290.pdf</t>
  </si>
  <si>
    <t>Malheiros, Y., Moraes, A., Trindade, C. and Meira, S.</t>
  </si>
  <si>
    <t>A Source Code Recommender System to Support Newcomers</t>
  </si>
  <si>
    <t>Newcomers in a software development project often need assistance to complete their first tasks. Then a mentor, an experienced member of the team, usually teaches the newcomers what they need to complete their tasks. But, to allocate an experienced member of a team to teach a newcomer during a long time is neither always possible nor desirable, because the mentor could be more helpful doing more important tasks. During the development the team interacts with a version control system, bug tracking and mailing lists, and all these tools record data creating the project memory. Recommender systems can use the project memory to help newcomers in some tasks answering their questions, thus in some cases the developers do not need a mentor. In this paper we present Mentor, a recommender system to help newcomers to solve change requests. Mentor uses the Prediction by Partial Matching (PPM) algorithm and some heuristics to analyze the change requests, and the version control data, and recommend potentially relevant source code that will help the developer in the change request solution. We did three experiments to compare the PPM algorithm with the Latent Semantic Indexing (LSI). Using PPM we achieved results for recall rate between 37% and 66.8%, and using LSI the results were between 20.3% and 51.6%.</t>
  </si>
  <si>
    <t>https://ieeexplore.ieee.org/document/6340250/</t>
  </si>
  <si>
    <t>Malhotra, R., Bansal, B., Jain, C. and Punia, E.</t>
  </si>
  <si>
    <t>An automated tool for collection of code attributes for cross project defect prediction</t>
  </si>
  <si>
    <t>This paper presents a tool that automates the process of data collection for defect or change analysis. Prediction of defects in early phases has become crucial to reduce the efforts and costs incurred due to defects. This tool extracts the information from Git Version Control System of open source projects. Two consecutive versions of one single project have been used by the tool to obtain results. The tool generates a matrix containing code churn (added lines, deleted lines, modified lines, total LoC), complexity, pre-release bugs and post-release bugs of each file of source code. The obtained software metrics can be used to measure the development process of a software and therefore in analysis and prediction purposes.</t>
  </si>
  <si>
    <t>https://ieeexplore.ieee.org/document/8307864/</t>
  </si>
  <si>
    <t>Markovtsev, V. and Long, W.</t>
  </si>
  <si>
    <t>Public Git Archive: A Big Code Dataset for All</t>
  </si>
  <si>
    <t>The number of open source software projects has been growing exponentially. The major online software repository host, GitHub, has accumulated tens of millions of publicly available Git version-controlled repositories. Although the research potential enabled by the available open source code is clearly substantial, no significant large-scale open source code datasets exist. In this paper, we present the Public Git Archive - dataset of 182,014 top-bookmarked Git repositories from GitHub. We describe the novel data retrieval pipeline to reproduce it. We also elaborate on the strategy for performing dataset updates and legal issues. The Public Git Archive occupies 3.0 TB on disk and is an order of magnitude larger than the current source code datasets. The dataset is made available through HTTP and provides the source code of the projects, the related metadata, and development history. The data retrieval pipeline employs an optimized worker queue model and an optimized archive format to efficiently store forked Git repositories, reducing the amount of data to download and persist. Public Git Archive aims to open a myriad of new opportunities for "Big Code" research.</t>
  </si>
  <si>
    <t>Matthies, C., Teusner, R. and Hesse, G.</t>
  </si>
  <si>
    <t>Beyond Surveys: Analyzing Software Development Artifacts to Assess Teaching Efforts</t>
  </si>
  <si>
    <t>Michaud, H. M., Guarnera, D. T., Collard, M. L. and Maletic, J. I.</t>
  </si>
  <si>
    <t>Moran, K. P., Bernal-C, C., x00E, rdenas, Curcio, M., Bonett, R. and Poshyvanyk, D.</t>
  </si>
  <si>
    <t>Machine Learning-Based Prototyping of Graphical User Interfaces for Mobile Apps</t>
  </si>
  <si>
    <t>It is common practice for developers of user-facing software to transform a mock-up of a graphical user interface (GUI) into code. This process takes place both at an application&amp;#x0027;s inception and in an evolutionary context as GUI changes keep pace with evolving features. Unfortunately, this practice is challenging and time-consuming. In this paper, we present an approach that automates this process by enabling accurate prototyping of GUIs via three tasks: detection, classification, and assembly. First, logical components of a GUI are detected from a mock-up artifact using either computer vision techniques or mock-up metadata. Then, software repository mining, automated dynamic analysis, and deep convolutional neural networks are utilized to accurately classify GUI-components into domain-specific types (e.g., toggle-button). Finally, a data-driven, K-nearest-neighbors algorithm generates a suitable hierarchical GUI structure from which a prototype application can be automatically assembled. We implemented this approach for Android in a system called ReDraw. Our evaluation illustrates that ReDraw achieves an average GUI-component classification accuracy of 91% and assembles prototype applications that closely mirror target mock-ups in terms of visual affinity while exhibiting reasonable code structure. Interviews with industrial practitioners illustrate ReDraw&amp;#x0027;s potential to improve real development workflows.</t>
  </si>
  <si>
    <t>https://ieeexplore.ieee.org/document/8374985/</t>
  </si>
  <si>
    <t>Nath, S. K., Merkel, R. and Lau, M. F.</t>
  </si>
  <si>
    <t>The Effect of Method Origin on Method Invocation Fault Frequency</t>
  </si>
  <si>
    <t>Recent studies in analyzing bug-fix patterns recorded in software repositories show that method invocation(MI) fixes are very common. Our belief is that these bug fixes could be analyzed further to provide detailed information that allows software engineers to avoid these bugs. For example, developers may have a higher awareness of their intentions in choosing which method to invoke. Unfortunately, previous studies could not provide such information. In this paper, we propose atechnique to accurately identify the precise MI bug-fix changes. We have applied our technique to empirically investigate the origins of MI bug fixes in six open source Java software. We have classified these MI bug-fix origins (e.g. from standard Java library, from third-party library, or in standard code-base). Amajor finding is that MI faults involving Java library methods were under-represented when compared to their usage frequency.</t>
  </si>
  <si>
    <t>https://ieeexplore.ieee.org/document/6958407/</t>
  </si>
  <si>
    <t>Naves, F.</t>
  </si>
  <si>
    <t>Tracepp requeriments traceability tool: Extending the scalability of the trace++ technique</t>
  </si>
  <si>
    <t>The adoption of agile methods is difficult. No rework metrics, changing scope and requirements are the main difficulties in adopting these. In this sense, the Trace++ approach aims to facilitate the adoption of agile methods by teams that work with traditional methods. However, to obtain use-scale, this paper proposes a tool to facilitate the requirements traceability processes, in order to scale the adoption of this technique. The tool developed in this study has integration with GIT version control tools and Redmine project management, being able to obtain artifacts from these and to associate with projects, sprints, requirements or user stories, through user defined tracing codes.</t>
  </si>
  <si>
    <t>https://ieeexplore.ieee.org/document/7975728/</t>
  </si>
  <si>
    <t>Neumann, C. P., Hady, S. A. and Lenz, R.</t>
  </si>
  <si>
    <t>Hydra Version Control System</t>
  </si>
  <si>
    <t>The Hydra project offers version control for distributed case files in alpha-Flow. Available version control systems lack support for independent versioning of multiple logical units within a single repository each with its own version history and head. Our use case also requires mechanisms for labeling versions by their validity and for validity-based navigational access. Hydra is a multi-module and validity-aware version control system.</t>
  </si>
  <si>
    <t>https://ieeexplore.ieee.org/document/6280384/</t>
  </si>
  <si>
    <t>Niranjan, P. Y., Kenchannavar, H. H. and Medar, R.</t>
  </si>
  <si>
    <t>Data mining techniques in telecom sector</t>
  </si>
  <si>
    <t>Data mining is an extraction of useful information from the database. Data mining techniques can be applied for many applications such as in banking sector, Telecom &amp; agricultural field. DM techniques in telecom field research has drastically increased throughout the years and many improvements in telecom field continue to be made, In this field occurring the number of new and more complex problems can apply the DM techniques. In this paper we present how the DM techniques can be applied in telecom sector, how it affects and beneficial to all customers and how these techniques can be useful for the telecom field to improve their service and generating more than the expected revenue.</t>
  </si>
  <si>
    <t>https://ieeexplore.ieee.org/document/8389950/</t>
  </si>
  <si>
    <t>Norikane, T., Ihara, A. and Matsumoto, K.</t>
  </si>
  <si>
    <t>Which review feedback did long-term contributors get on OSS projects?</t>
  </si>
  <si>
    <t>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t>
  </si>
  <si>
    <t>https://ieeexplore.ieee.org/document/7884682/</t>
  </si>
  <si>
    <t>Do Review Feedbacks Influence to a Contributor's Time Spent on OSS Projects?</t>
  </si>
  <si>
    <t>Open Source Software (OSS) does not work without contributions from the community. In particular, long-term contributors (LTCs) (e.g., committer), defined as contributors who spend at least one year on OSS projects, play a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build a prediction model to identify a LTC. We find that not only contributor's activities, but also a reviewer feedbacks, useful in identifying LTCs.</t>
  </si>
  <si>
    <t>https://ieeexplore.ieee.org/document/8530701/</t>
  </si>
  <si>
    <t>Ochei, L. C., Petrovski, A. and Bass, J. M.</t>
  </si>
  <si>
    <t>Evaluating degrees of tenant isolation in multitenancy patterns: A case study of cloud-hosted Version Control System (VCS)</t>
  </si>
  <si>
    <t>One of the key concerns of implementing multitenancy (i.e., serving multiple tenants with a single instance of an application) on the cloud is how to enable the required degree of isolation between tenants, so that the required performance of one tenant does not affect other tenants. There is little research which provides empirical evidence on the required degree of isolation between tenants under different cloud deployment conditions. This paper applies COMITRE (COmponent-based approach to Multitenancy Isolation Through request RE-routing) to empirically evaluate the degree of isolation between tenants enabled by multitenancy patterns for cloud-hosted Version Control System (VCS). We implemented three multitenancy patterns (i.e., shared component, tenant-isolated component, and dedicated component) by developing a multitenant component using the FileSystem SCM plugin integrated within Hudson. The study revealed that dedicated component provides the highest degree of isolation between tenants (compared to shared component and tenant-isolated component) in terms of error% (i.e., the percentage of errors with unacceptably slow response times) and throughput. System load of tenants showed no variability, and hence did not influence the degree of tenant isolation for all the three multitenancy patterns. We also provide some recommendations to guide an architect in implementing multitenancy isolation on similar VCS tools like Subversion and CVS.</t>
  </si>
  <si>
    <t>https://ieeexplore.ieee.org/document/7366859/</t>
  </si>
  <si>
    <t>Ogura, N., Matsumoto, S., Hata, H. and Kusumoto, S.</t>
  </si>
  <si>
    <t>Bring your own coding style</t>
  </si>
  <si>
    <t>Coding style is a representation of source code, which does not affect the behavior of program execution. The choice of coding style is purely a matter of developer preference. Inconsistency of coding style not only decreased readability but also can cause frustration during programming. In this paper, we propose a novel tool, called StyleCoordinator, to solve both of the following problems, which would appear to contradict each other: ensuring a consistent coding style for all source codes managed in a repository and ensuring the ability of developers to use their own coding styles in a local environment. In order to validate the execution performance, we apply the proposed tool to an actual software repository.</t>
  </si>
  <si>
    <t>https://ieeexplore.ieee.org/document/8330253/</t>
  </si>
  <si>
    <t>Oliva, G. A. and Gerosa, M. A.</t>
  </si>
  <si>
    <t>Experience report: How do structural dependencies influence change propagation? An empirical study</t>
  </si>
  <si>
    <t>Real world object-oriented systems are composed of hundreds or even thousands of classes that are structurally interconnected in many different ways. In this highly complex scenario, it is unclear how changes propagate. Given the high maintenance cost brought by change propagation, these questions become particularly relevant in practice. In this paper, we set out to investigate the influence of structural dependencies on change propagation. We historically analyzed thousands of code snapshots coming from 4 open-source Java projects of different sizes and domains. Our results indicated that, in general, it is more likely that two artifacts will not co-change just because one depends on the other. However, the rate with which an artifact co-changes with another is higher when the former structurally depends on the latter. This rate becomes higher if we track down dependencies to the low-level entities that are changed in commits. This implies, for instance, that developers should be aware of dependencies on methods that are added or changed, as these dependencies tend to propagate changes more often. Finally, we also found several cases where software changes could not be justified using structural dependencies, meaning that co-changes might be induced by other subtler kinds of relationships.</t>
  </si>
  <si>
    <t>https://ieeexplore.ieee.org/document/7381818/</t>
  </si>
  <si>
    <t>Palomba, F., Panichella, A., Zaidman, A., Oliveto, R. and Lucia, A. De</t>
  </si>
  <si>
    <t>[Journal First] The Scent of a Smell: An Extensive Comparison Between Textual and Structural Smells</t>
  </si>
  <si>
    <t>Code smells are symptoms of poor design or implementation choices that have a negative effect on several aspects of software maintenance and evolution, such as program comprehension or change-and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t>
  </si>
  <si>
    <t>http://delivery.acm.org/10.1145/3190000/3182530/p740-palomba.pdf?ip=181.39.85.168&amp;id=3182530&amp;acc=ACTIVE%20SERVICE&amp;key=D910738817C0A376%2E0FCE28A66847B0AF%2E4D4702B0C3E38B35%2E4D4702B0C3E38B35&amp;__acm__=1563467366_79947fa5f6b7c1c217c6155d21fd3985</t>
  </si>
  <si>
    <t>Parizi, R. M., Spoletini, P. and Singh, A.</t>
  </si>
  <si>
    <t>Measuring Team Members’ Contributions in Software Engineering Projects using Git-driven Technology</t>
  </si>
  <si>
    <t>Software engineering is inherently a human-centric and collaborative process and this reflects in its teaching programs, as most of the courses comprise projects and team efforts. In order to fairly evaluate students, there is the problem of quantifying the amount of work contributed to the team development project by each of its members. Most commonly, in order to estimates student contributions, instructors use arbitrary and subjective judgment derived from observations and evaluations. The currently used process is not a complete picture and is time consuming since it requires numerous observations and extensive paperwork's review. Emerging decentralized systems (such as git) and their widespread applications in all realms of development which capitalize on team-aware metrics, are worthwhile and can provide a solution to the problem. In this work we support a solution that utilizes git-driven technology, and its related features, to measure a team member's contributions objectively, based not only upon the completion of the project, but also at any time during progression development. Such performance assessment could generate more productive team-based learning with higher-quality graduates for better meeting software industry's expectations.</t>
  </si>
  <si>
    <t>https://ieeexplore.ieee.org/document/8658983/</t>
  </si>
  <si>
    <t>Prahov, R., Graupner, A. and Müller, E.</t>
  </si>
  <si>
    <t>Configuration management from the perspective of integrated circuit design</t>
  </si>
  <si>
    <t>An integral component of all phases of the design process is configuration management (CM), which is concerned with identification, control, status accounting and audits. Over half a century since its establishment, there are now two fundamental architectures and a wide diversity of automated tools supporting CM application. In this paper, we present and evaluate these architectures and the top five CM tools in terms of market share, offer reasons for switching from one architecture to another in the context of software development and qualify their relevance from the perspective of integrated circuit design. We show detailed measurements comparing the two primary representatives of centralized and decentralized CM tools: Apache's Subversion®and Git (open source). The analysis is based on both theoretical benchmarks and a real-world data set.</t>
  </si>
  <si>
    <t>https://ieeexplore.ieee.org/document/6376940/</t>
  </si>
  <si>
    <t>The lifecycle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SETGA (Summarizing Evolutionary Trajectory by Grouping and Aggregation), an approach to summarizing historical commit records as trajectory patterns by grouping and aggregating relevant code changes committed over time.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The proposed approach has been implemented and applied to three open-source systems. The results show that SETGA can identify various types of trajectory patterns that are useful for software evolution management and quality assurance.</t>
  </si>
  <si>
    <t>Qusef, A., Albadarneh, I. and Albadarneh, A.</t>
  </si>
  <si>
    <t>GitBull: Source code hosting web application</t>
  </si>
  <si>
    <t>This paper presents GitBull tool as a source code hosting Web application tailored for the university ecosystem. GitBull introduces the ideology of open source software development. The main aim of GitBull is to fill the gap between how students work on software development projects in university and how software is being developed in the work environment. GitBull helps students use source code versioning and collaboration tools, and reduce their learning curve when they enter the work environment. Students using GitBull and learning the Git source code versioning tool should be more prepared for the professional work environment. The application complements the Git source code versioning tool, by adding a visual user interface to some aspects while introducing some collaboration enhancement tools like the Issue Tracker and the Pull Request feature.</t>
  </si>
  <si>
    <t>https://ieeexplore.ieee.org/document/7360574/</t>
  </si>
  <si>
    <t>Rahman, Z. and Hasan, M. K.</t>
  </si>
  <si>
    <t>Better user recommendations using enhancing software development process repository</t>
  </si>
  <si>
    <t>Reusing previously completed software repository to enhance the development process is a common phenomenon. If developers get suggestions from the existing projects they might be benefited a lot what they eventually expect while coding. The strategies available in this field have been rapidly changing day by day. There are a number of efforts that have been focusing on mining process and constructing repository. Some of them have emphasized on the web based code searching while others have integrated web based code searching in their customized tool. But web based approaches have inefficiency especially in building repository on which they apply mining technologies. To search the code snippets in response to the user query we need an enriched repository with a better representation and abstraction. To ensure that repository before mining process we have developed a concept based on Enhancing Software Development Process (ESDP). In ESDP approach multiple sources of codes from both online and offline storages are considered to construct the central repository with XML representation and applied mining techniques in the client side. The respective evaluation shows that ESDP approach works much better in response time and performance than many other existing approaches available today.</t>
  </si>
  <si>
    <t>https://ieeexplore.ieee.org/document/7488045/</t>
  </si>
  <si>
    <t>Rao, N. R. and Sekharaiah, K. C.</t>
  </si>
  <si>
    <t>Embedding version tag in software file deliverables before build release</t>
  </si>
  <si>
    <t>This paper presents about embedding or updating version information in each and every software file of a deliverable before build release i.e. internal version information or version tag or release tag update in each and every file of a deliverable. It also deals about build process which is coupled to update the version information. One significant aspect of this version tag which is embedded in every deliverable file is that helps the client to identify the problem in the event of an emergency and acts appropriately by saving time and utilization energy. This concept is developed by using the version control tools like concurrent version control system or subversion and shell-scripting. This build automation also mitigates the problem of wrong credentials that usually occurs by a human operator. Thus, it ensures better software quality and stability. Experimental results show that the version information performs better with existing paradigms.</t>
  </si>
  <si>
    <t>https://ieeexplore.ieee.org/document/7359255/</t>
  </si>
  <si>
    <t>Rao, S., Medeiros, H. and Kak, A.</t>
  </si>
  <si>
    <t>An incremental update framework for efficient retrieval from software libraries for bug localization</t>
  </si>
  <si>
    <t>Information Retrieval (IR) based bug localization techniques use a bug reports to query a software repository to retrieve relevant source files. These techniques index the source files in the software repository and train a model which is then queried for retrieval purposes. Much of the current research is focused on improving the retrieval effectiveness of these methods. However, little consideration has been given to the efficiency of such approaches for software repositories that are constantly evolving. As the software repository evolves, the index creation and model learning have to be repeated to ensure accuracy of retrieval for each new bug. In doing so, the query latency may be unreasonably high, and also, re-computing the index and the model for files that did not change is computationally redundant. We propose an incremental update framework to continuously update the index and the model using the changes made at each commit. We demonstrate that the same retrieval accuracy can be achieved but with a fraction of the time needed by current approaches. Our results are based on two basic IR modeling techniques - Vector Space Model (VSM) and Smoothed Unigram Model (SUM). The dataset we used in our validation experiments was created by tracking commit history of AspectJ and JodaTime software libraries over a span of 10 years.</t>
  </si>
  <si>
    <t>https://ieeexplore.ieee.org/document/6671281/</t>
  </si>
  <si>
    <t>Rastogi, A., Thummalapenta, S., Zimmermann, T., Nagappan, N. and Czerwonka, J.</t>
  </si>
  <si>
    <t>Ramp-Up Journey of New Hires: Tug of War of Aids and Impediments</t>
  </si>
  <si>
    <t>Hiring top talent is essential for any software company's success. After joining the company, new hires often spend weeks or months before making any major contribution and attaining the same productivity level as existing employees. We use the term ramp-up journey to refer to this transition of new hires from novice to experts. There can be several factors, such as lack of experience or lack of familiarity with processes unique to the new company, which influence the ramp-up journey. To understand such aids and impediments in the ramp-up journey, we conducted a study by analyzing data extracted from version control systems of eight large and popular product groups in Microsoft with several thousand software developers. In particular, we studied two aspects of the ramp-up journey. First, we studied time taken to make the first check-in into the version control system, an important milestone in the ramp-up journey indicating the first contribution. Second, we analyzed the time taken to reach the same productivity level as existing employees in terms of check-ins. We further augmented our quantitative study with qualitative results derived by surveying 411 professional developers. Our study produced promising results, including factors such as having a mentor, prior knowledge of required skill sets, and proactively asking questions, that could help reduce the ramp-up journey of new hires.</t>
  </si>
  <si>
    <t>https://ieeexplore.ieee.org/document/7321212/</t>
  </si>
  <si>
    <t>Ren, L., Zhou, S. and Kästner, C.</t>
  </si>
  <si>
    <t>Poster: Forks Insight: Providing an Overview of GitHub Forks</t>
  </si>
  <si>
    <t>Fork-based development allows developers to start development from existing software repository by copying the code files. However, when the number of forks grows, contributions are not always visible to others, unless an explicit merge-back attempt is made. To solve this problem, we implemented Forks Insight (www.forks-insight.com) to help developers get an overview of forks on GitHub. The current release version focuses on simple analytics for the high level overview which is lightweight, scalable and practical. It has a user-friendly interactive web interface with features like searching and tagging.</t>
  </si>
  <si>
    <t>Robles, G., Herraiz, I., German, D. M. and Izquierdo-Cortazar, D.</t>
  </si>
  <si>
    <t>Modification and developer metrics at the function level: Metrics for the study of the evolution of a software project</t>
  </si>
  <si>
    <t>Software evolution, and particularly its growth, has been mainly studied at the file (also sometimes referred as module) level. In this paper we propose to move from the physical towards a level that includes semantic information by using functions or methods for measuring the evolution of a software system. We point out that use of functions-based metrics has many advantages over the use of files or lines of code. We demonstrate our approach with an empirical study of two Free/Open Source projects: a community-driven project, Apache, and a company-led project, Novell Evolution. We discovered that most functions never change; when they do their number of modifications is correlated with their size, and that very few authors who modify each; finally we show that the departure of a developer from a software project slows the evolution of the functions that she authored.</t>
  </si>
  <si>
    <t>https://ieeexplore.ieee.org/document/6226993/</t>
  </si>
  <si>
    <t>How Distributed Version Control Systems impact open source software projects</t>
  </si>
  <si>
    <t>Saini, M. and Chahal, K. K.</t>
  </si>
  <si>
    <t>Analysing change profiles of open source software projects using burst detection</t>
  </si>
  <si>
    <t>Software evolution refers to the phenomenon of continuous software change and growth after its initial development. A version control system records all information about these changes. Several research studies in the past have studied the historical records of changes of open source software (OSS) projects and found them useful for understanding the software evolution process. However, most of them investigate the distributions of changes types, change size, and change effort in an isolated manner. There is no work, to the best of our knowledge, which takes a combined view of various dimensions of a change. This study examines the change activity in 106 OSS projects from three points of view: change purpose (type), change size, and change effort. The common patterns in change type, change size, and change effort are highlighted using the burst detection technique. The burst detection technique helps in identifying the peaks in the time series and compares them with the peaks of other time series. The results indicate that the change-type activity of OSS projects is significantly related with change effort, and change size for high and moderate-activity clusters. Though for low-activity cluster, this commonality of patterns is not there for all types of changes.</t>
  </si>
  <si>
    <t>https://ieeexplore.ieee.org/document/8221823/</t>
  </si>
  <si>
    <t>Saito, S., Iimura, Y., Massey, A. K. and Antón, A. I.</t>
  </si>
  <si>
    <t>How Much Undocumented Knowledge is there in Agile Software Development?: Case Study on Industrial Project Using Issue Tracking System and Version Control System</t>
  </si>
  <si>
    <t>In agile software development projects, software engineers prioritize implementation over documentation to eliminate needless documentation. Is the cost of missing documentation greater than the cost of producing unnecessary or unused documentation? Even without these documents, software engineers maintain other software artifacts, such as tickets in an issue tracking system (ITS) or source code committed to a version control system (VCS). Do these artifacts contain the necessary knowledge? In this paper, we examine undocumented knowledge in an agile software development project at NTT. For our study, we collected 159 commit logs in a VCS and 102 tickets in the ITS from the three-month period of the project. We propose a ticket-commit network chart (TCC) that visually represents time-series commit activities along with filed issue tickets. We also implement a tool to generate the TCC using both commit log and ticket data. Our study revealed that in 16% of all commits, software engineers committed source code to the VCS without a corresponding issue ticket in the ITS. Had these commits been based on individual issue tickets, these "unissued" tickets would have accounted for 20% of all tickets. Software users and requirements engineers also evaluated the contents of these commits and found that 42% of the "unissued" tickets were required for software operation and 23% of those were required for requirements modification.</t>
  </si>
  <si>
    <t>https://ieeexplore.ieee.org/document/8048905/</t>
  </si>
  <si>
    <t>Saito, Y., Fujiwara, K., Igaki, H., Yoshida, N. and Iida, H.</t>
  </si>
  <si>
    <t>How do GitHub Users Feel with Pull-Based Development?</t>
  </si>
  <si>
    <t>Modern OSS projects have adopted Git to manage versions of their source code and GitHub for hosting their Git repositories. GitHub provides a characteristic feature notably pull request, and many projects adopt pull-based development model by using it. This development model offers an opportunity to review the source code before merging it into the mainstream. Getting acceptance of the pull request, any developer should strictly follow the flow of pull-based development. To follow the flow, she/he needs to use correctly Git commands. However, using these commands is complicated and requires further knowledge of them. In this paper, we conducted a large-scale survey of 1552 developers on GitHub to investigate the difficulty of the Git from the aspect of the pull request. The result shows developers struggle with 'git rebase -i' command tends not to perform re-ordering, compressing and dividing their commits.</t>
  </si>
  <si>
    <t>https://ieeexplore.ieee.org/document/7464545/</t>
  </si>
  <si>
    <t>Santana, E. Manoel Guilherme de, Alencar, R. Luiz Sena de and Correia, C. A. de Carvalho</t>
  </si>
  <si>
    <t>An Analysis of Performance Anti-Patterns in Systems Stored on the Brazilian Public Software Portal</t>
  </si>
  <si>
    <t>IEEE Latin America Transactions</t>
  </si>
  <si>
    <t>The Brazilian Public Software Portal (SPB) provides a social and scientific service through a software repository. Given the importance of this service improvement opportunities are observed through proposals to assess the quality of the software residing on the portal, since it does not have a quality control and auditing for submissions to the software. The aim of this paper is to present existing performance issues in SPB's software by analyzing performance anti-patterns, leading to a process for the collection and analysis of these. The proposed process is the result of an empirical study based on the analysis of data provided by specialized performance measurement tools that aims to contribute to and enrich the knowledge related to performance of stored systems in SPB.</t>
  </si>
  <si>
    <t>https://ieeexplore.ieee.org/document/7896398/</t>
  </si>
  <si>
    <t>Sasaki, M., Matsumoto, S. and Kusumoto, S.</t>
  </si>
  <si>
    <t>Integrating source code search into git client for effective retrieving of change history</t>
  </si>
  <si>
    <t>In order to achieve effective development management, it is important to manipulate and understand the change histories of source code in a repository. Although general version control systems provide change history manipulation, these systems are restricted to line-based and textual operations such as grep and diff. As such, these systems cannot follow the syntax/semantics of the source code. While various studies have examined querying and searching source codes, these methods cannot follow historical changes. The key concept of this paper is the integration of a source code search technique into Git commands that manipulate historical data in a repository. This paper presents MJgit, a prototype tool for achieving the above goal. In order to evaluate the proposed tool, we conducted a performance experiment using actual software repositories.</t>
  </si>
  <si>
    <t>https://ieeexplore.ieee.org/document/8323089/</t>
  </si>
  <si>
    <t>Seering, A., Cudre-Mauroux, P., Madden, S. and Stonebraker, M.</t>
  </si>
  <si>
    <t>Efficient Versioning for Scientific Array Databases</t>
  </si>
  <si>
    <t>In this paper, we describe a versioned database storage manager we are developing for the SciDB scientific database. The system is designed to efficiently store and retrieve array-oriented data, exposing a "no-overwrite" storage model in which each update creates a new "version" of an array. This makes it possible to perform comparisons of versions produced at different times or by different algorithms, and to create complex chains and trees of versions. We present algorithms to efficiently encode these versions, minimizing storage space while still providing efficient access to the data. Additionally, we present an optimal algorithm that, given a long sequence of versions, determines which versions to encode in terms of each other (using delta compression) to minimize total storage space or query execution cost. We compare the performance of these algorithms on real world data sets from the National Oceanic and Atmospheric Administration (NOAA), Open Street Maps, and several other sources. We show that our algorithms provide better performance than existing version control systems not optimized for array data, both in terms of storage size and access time, and that our delta-compression algorithms are able to substantially reduce the total storage space when versions exist with a high degree of similarity.</t>
  </si>
  <si>
    <t>https://ieeexplore.ieee.org/document/6228152/</t>
  </si>
  <si>
    <t>Shimagaki, J., Kamei, Y., McIntosh, S., Pursehouse, D. and Ubayashi, N.</t>
  </si>
  <si>
    <t>Shokripour, R., Kasirun, Z. M., Zamani, S. and Anvik, J.</t>
  </si>
  <si>
    <t>Automatic Bug Assignment Using Information Extraction Methods</t>
  </si>
  <si>
    <t>The number of reported bugs in large open source projects is high and triaging these bugs is an important issue in software maintenance. As a step in the bug triaging process, assigning a new bug to the most appropriate developer to fix it, is not only a time-consuming and tedious task. The triager, the person who considers a bug and assigns it to a developer, also needs to be aware of developer activities at different parts of the project. It is clear that only a few developers have this ability to carry out this step of bug triaging. The main goal of this paper is to suggest a new approach to the process of performing automatic bug assignment. The information needed to select the best developers to fix a new bug report is extracted from the version control repository of the project. Unlike all the previous suggested approaches which used Machine Learning and Information Retrieval methods, this research employs the Information Extraction (IE) methods to extract the information from the software repositories. The proposed approach does not use the information of the bug repository to make decisions about bugs in order to obtain better results on projects which do not have many fixed bugs. The aim of this research is to recommend the actual fixers of the bugs. Using this approach, we achieved 62%, 43% and 41% accuracies on Eclipse, Mozilla and Gnome projects, respectively.</t>
  </si>
  <si>
    <t>https://ieeexplore.ieee.org/document/6516342/</t>
  </si>
  <si>
    <t>Siavvas, M., Jankovic, M., Kehagias, D. and Tzovaras, D.</t>
  </si>
  <si>
    <t>Is Popularity an Indicator of Software Security?</t>
  </si>
  <si>
    <t>Sothornprapakorn, S., Hayashi, S. and Saeki, M.</t>
  </si>
  <si>
    <t>Visualizing a Tangled Change for Supporting Its Decomposition and Commit Construction</t>
  </si>
  <si>
    <t>Developers often save multiple kinds of source code edits into a commit in a version control system, producing a tangled change, which is difficult to understand and revert. However, its separation using an existing sequence-based change representation is tough. We propose a new visualization technique to show the details of a tangled change and align its component edits in a tree structure for expressing multiple groups of changes. Our technique is combined with utilizing refactoring detection and change relevance calculation techniques for constructing the structural tree. Our combination allows us to divide the change into several associations. We have implemented a tool and conducted a controlled experiment with industrial developers to confirm its usefulness and efficiency. Results show that by using our tool with tree visualization, the subjects could understand and decompose tangled changes easier, faster, and higher accuracy than the baseline file list visualization.</t>
  </si>
  <si>
    <t>https://ieeexplore.ieee.org/document/8377642/</t>
  </si>
  <si>
    <t>Spinellis, D.</t>
  </si>
  <si>
    <t>A Repository with 44 Years of Unix Evolution</t>
  </si>
  <si>
    <t>The evolution of the Unix operating system is made available as a version-control repository, covering the period from its inception in 1972 as a five thousand line kernel, to 2015 as a widely-used 26 million line system. The repository contains 659 thousand commits and 2306 merges. The repository employs the commonly used Git system for its storage, and is hosted on the popular GitHub archive. It has been created by synthesizing with custom software 24 snapshots of systems developed at Bell Labs, Berkeley University, and the 386BSD team, two legacy repositories, and the modern repository of the open source FreeBSD system. In total, 850 individual contributors are identified, the early ones through primary research. The data set can be used for empirical research in software engineering, information systems, and software archaeology.</t>
  </si>
  <si>
    <t>https://ieeexplore.ieee.org/document/7180118/</t>
  </si>
  <si>
    <t>Spinellis, D. and Gousios, G.</t>
  </si>
  <si>
    <t>How to Analyze Git Repositories with Command Line Tools: We're not in Kansas Anymore</t>
  </si>
  <si>
    <t>Git repositories are an important source of empirical software engineering product and process data. Running the Git command-line tool and processing its output with other Unix tools allows the incremental construction of sophisticated data processing pipelines. Git data analytics on the command-line can be systematically presented through a pattern that involves fetching, selection, processing, summarization, and reporting. For each part of the processing pipeline, we examine the tools and techniques that can be most effectively used to perform the task at hand. The presented techniques can be easily applied, first to get a feeling of version control repository data at hand and then also for extracting empirical results.</t>
  </si>
  <si>
    <t>Steff, M. and Russo, B.</t>
  </si>
  <si>
    <t>Co-evolution of logical couplings and commits for defect estimation</t>
  </si>
  <si>
    <t>Logical couplings between files in the commit history of a software repository are instances of files being changed together. The evolution of couplings over commits' history has been used for the localization and prediction of software defects in software reliability. Couplings have been represented in class graphs and change histories on the class-level have been used to identify defective modules. Our new approach inverts this perspective and constructs graphs of ordered commits coupled by common changed classes. These graphs, thus, represent the co-evolution of commits, structured by the change patterns among classes. We believe that co-evolutionary graphs are a promising new instrument for detecting defective software structures. As a first result, we have been able to correlate the history of logical couplings to the history of defects for every commit in the graph and to identify sub-structures of bug-fixing commits over sub-structures of normal commits.</t>
  </si>
  <si>
    <t>https://ieeexplore.ieee.org/document/6224283/</t>
  </si>
  <si>
    <t>Characterizing the roles of classes and their fault-proneness through change metrics</t>
  </si>
  <si>
    <t>Many approaches to determine the fault-proneness of code artifacts rely on historical data of and about these artifacts. These data include the code and how it was changed over time, and information about the changes from version control systems. Each of these can be considered at different levels of granularity. The level of granularity can substantially influence the estimated fault-proneness of a code artifact. Typically, the level of detail oscillates between releases and commits on the one hand, and single lines of code and whole files on the other hand. Not every information may be readily available or feasible to collect at every level, though, nor does more detail necessarily improve the results. Our approach is based on time series of changes in method-level dependencies and churn on a commit-to-commit basis for two systems, Spring and Eclipse. We identify sets of classes with distinct properties of the time series of their change histories. We differentiate between classes based on temporal patterns of change. Based on this differentiation, we show that our measure of structural change in concert with its complement, churn, effectively indicates fault-proneness in classes. We also use windows on time series to select sets of commits and show that changes over short amounts of time do effectively indicate the fault-proneness of classes.</t>
  </si>
  <si>
    <t>http://delivery.acm.org/10.1145/2380000/2372261/p59-steff.pdf?ip=181.39.85.168&amp;id=2372261&amp;acc=ACTIVE%20SERVICE&amp;key=D910738817C0A376%2E0FCE28A66847B0AF%2E4D4702B0C3E38B35%2E4D4702B0C3E38B35&amp;__acm__=1563467992_75bf036039cd301b95e891dcd94371f0</t>
  </si>
  <si>
    <t>Stevens, R., Roover, C. De, Noguera, C. and Jonckers, V.</t>
  </si>
  <si>
    <t>A History Querying Tool and Its Application to Detect Multi-version Refactorings</t>
  </si>
  <si>
    <t>Version Control Systems (VCS) have become indispensable in developing software. In order to provide support for change management, they track the history of software projects. Tool builders can exploit this latent historical information to provide insights in the evolution of the project. For example, the information needed to identify when and where a particular refactoring was applied is implicitly present in the VCS. However, tool support for eliciting this information is lacking. So far, no general-purpose history querying tool capable of answering a wide variety of questions about the evolution of software exists. Therefore, we generalize the idea of a program querying tool to a history querying tool. A program querying tool reifies the program's code into a knowledge base, from which it retrieves elements that exhibit characteristics specified through a user-provided program query. Our history querying tool, QwalKeko, enables specifying the evolution of source code characteristics across multiple versions of Java projects versioned in Git. We apply QwalKeko to the problem of detecting refactorings, specified as the code changes induced by each refactoring. These specifications stem from the literature, but are limited to changes between two successive versions. We demonstrate the expressiveness of our tool by generalizing the specifications such that refactorings can span multiple versions.</t>
  </si>
  <si>
    <t>https://ieeexplore.ieee.org/document/6498483/</t>
  </si>
  <si>
    <t>Sulír, M., Porubän, J. and Zoricák, O.</t>
  </si>
  <si>
    <t>IDE-independent program comprehension tools via source file overwriting</t>
  </si>
  <si>
    <t>Traditionally, we have two possibilities to design tools for program comprehension and analysis. The first option is to create a standalone program, independent of any source code editor. This way, the act of source code editing is separated from the act of viewing the code analysis results. The second option is to create a plugin for a specific IDE (integrated development environment) - in this case, a separate version must be created for each IDE. We propose an approach where information about source code elements is written directly into source files as annotations or special comments. Before committing to a version control system, the annotations are removed from the source code to avoid code pollution. We briefly evaluate the approach and delineate its limitations.</t>
  </si>
  <si>
    <t>https://ieeexplore.ieee.org/document/8327277/</t>
  </si>
  <si>
    <t>Thao, C.</t>
  </si>
  <si>
    <t>Managing evolution of software product line</t>
  </si>
  <si>
    <t>In software product line engineering, core assets are shared among multiple products. Core assets and products generally evolve independently. Developers need to capture evolution in both contexts and to propagate changes in both directions between the core assets and the products. We propose a version control system to support product line engineering by supporting the evolution of product line, product derivation, and change propagation from core assets to products and vice versa.</t>
  </si>
  <si>
    <t>https://ieeexplore.ieee.org/document/6227224/</t>
  </si>
  <si>
    <t>Tourani, P. and Adams, B.</t>
  </si>
  <si>
    <t>The Impact of Human Discussions on Just-in-Time Quality Assurance: An Empirical Study on OpenStack and Eclipse</t>
  </si>
  <si>
    <t>In order to spot defect-introducing code changes during review before they are integrated into a project's version control system, a variety of defect prediction models have been designed. Most of these models focus exclusively on source code properties, like the number of added or deleted lines, or developer-related measures like experience. However, a code change is only the outcome of a much longer process, involving discussions on an issue report and review discussions on (different versions of) a patch. % Ignoring the characteristics of these activities during prediction is unfortunate, since Similar to how body language implicitly can reveal a person's real feelings, the length, intensity or positivity of these discussions can provide important additional clues about how risky a particular patch is or how confident developers and reviewers are about the patch. In this paper, we build logistic regression models to study the impact of the characteristics of issue and review discussions on the defect-proneness of a patch. Comparison of these models to conventional source code-based models shows that issue and review metrics combined improve precision and recall of the explanatory models up to 10%. Review time and issue discussion lag are amongst the most important metrics, having a positive (i.e., increasing) relation with defect-proneness.</t>
  </si>
  <si>
    <t>https://ieeexplore.ieee.org/document/7476642/</t>
  </si>
  <si>
    <t>Tsantalis, N., Mansouri, M., Eshkevari, L., Mazinanian, D. and Dig, D.</t>
  </si>
  <si>
    <t>Accurate and Efficient Refactoring Detection in Commit History</t>
  </si>
  <si>
    <t>Refactoring detection algorithms have been crucial to a variety of applications: (i) empirical studies about the evolution of code, tests, and faults, (ii) tools for library API migration, (iii) improving the comprehension of changes and code reviews, etc. However, recent research has questioned the accuracy of the state-of-the-art refactoring detection tools, which poses threats to the reliability of their application. Moreover, previous refactoring detection tools are very sensitive to user-provided similarity thresholds, which further reduces their practical accuracy. In addition, their requirement to build the project versions/revisions under analysis makes them inapplicable in many real-world scenarios. To reinvigorate a previously fruitful line of research that has stifled, we designed, implemented, and evaluated RMiner, a technique that overcomes the above limitations. At the heart of RMiner is an AST-based statement matching algorithm that determines refactoring candidates without requiring user-defined thresholds. To empirically evaluate RMiner, we created the most comprehensive oracle to date that uses triangulation to create a dataset with considerably reduced bias, representing 3,188 refactorings from 185 open-source projects. Using this oracle, we found that RMiner has a precision of 98% and recall of 87%, which is a significant improvement over the previous state-of-the-art.</t>
  </si>
  <si>
    <t>http://delivery.acm.org/10.1145/3190000/3180206/p483-tsantalis.pdf?ip=181.39.85.168&amp;id=3180206&amp;acc=ACTIVE%20SERVICE&amp;key=D910738817C0A376%2E0FCE28A66847B0AF%2E4D4702B0C3E38B35%2E4D4702B0C3E38B35&amp;__acm__=1563468092_26dcc7ef108ed566aa8d4be3f5abfffe</t>
  </si>
  <si>
    <t>Vasilescu, B., Filkov, V. and Serebrenik, A.</t>
  </si>
  <si>
    <t>Perceptions of Diversity on Git Hub: A User Survey</t>
  </si>
  <si>
    <t>Understanding one's work environment is important for one's success, especially when working in teams. In virtual collaborative environments this amounts to being aware of the technical and social attributes of one's team members. Focusing on Open Source Software teams, naturally very diverse both socially and technically, we report the results of a user survey that tries to resolve how teamwork and individual attributes are perceived by developers collaborating on GITHUB, and how those perceptions influence their work. Our findings can be used as complementary data to quantitative studies of developers' behavior on GITHUB.</t>
  </si>
  <si>
    <t>https://ieeexplore.ieee.org/document/7166088/</t>
  </si>
  <si>
    <t>Vendome, C., Linares-Vásquez, M., Bavota, G., Penta, M. Di, German, D. M. and Poshyvanyk, D.</t>
  </si>
  <si>
    <t>When and why developers adopt and change software licenses</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</si>
  <si>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</si>
  <si>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https://ieeexplore.ieee.org/document/7332449/</t>
  </si>
  <si>
    <t>Verma, R. and Gupta, A.</t>
  </si>
  <si>
    <t>An approach of attribute selection for reducing false alarms</t>
  </si>
  <si>
    <t>Defect Prediction is one of the method in SQA (Software Quality Assurance) that attracts developers because it can reduce the testing efforts as well as development time. One problem in defect prediction is `curse of dimensionality', as hundreds of attributes are there in a dataset in software repository. In this paper we try to analyze whether there is any way to remove more attributes after attribute selection and the effect of this reduction of attributes on performance of defect prediction. We found that False positive rate (False Alarms) is reduced by using our method of attribute selection, which in turn can be used to reduce the resource allocation for detecting defective modules.</t>
  </si>
  <si>
    <t>https://ieeexplore.ieee.org/document/6349479/</t>
  </si>
  <si>
    <t>Vidal, G. and Casas, S.</t>
  </si>
  <si>
    <t>Development and evaluation of a software repository reusable aspects</t>
  </si>
  <si>
    <t>Software repositories provide access to various assets; however, it is not presently possible to access reusable aspects on these sites. The repositories and the publication and retrieval methods were designed and developed for software components. The presence of non-functional requirements in software repositories has been demonstrated, but these haven't been implemented for aspects-oriented languages. This paper presents an extension of the Unified Framework for Software Components specification to support aspects. The extended framework enables definition of a specification scheme based on the methods of Faceted Schemes. This specification scheme represents the basis for the development of a tool style “proof of concept”. Metrics were analyzed for the developed tool; these allowed us to evaluate the publication and retrieval of aspects, which showed optimal retrieval results.</t>
  </si>
  <si>
    <t>https://ieeexplore.ieee.org/document/7836045/</t>
  </si>
  <si>
    <t>Villarrubia, A. and Kim, H.</t>
  </si>
  <si>
    <t>Building a community system to teach collaborative software development</t>
  </si>
  <si>
    <t>This paper reports an Open Source Software (OSS) community for Computer Science students to support collaborative software development activities. We built an in-house version control system using only OSS products, which allows students to easily collaborate on development projects, while simultaneously allowing instructors to easily track students' activities. As our system provides a controlled educational environment, students can experience various aspects of software development by playing different roles. In addition, the community's code repository works as a knowledge base for student projects, and thus students can reuse the code and artifacts as examples or basic frameworks for their development.</t>
  </si>
  <si>
    <t>https://ieeexplore.ieee.org/document/7250360/</t>
  </si>
  <si>
    <t>Broken sets in software repository evolution</t>
  </si>
  <si>
    <t>Wang, J., Shen, B. and Chen, Y.</t>
  </si>
  <si>
    <t>Compressed C4.5 Models for Software Defect Prediction</t>
  </si>
  <si>
    <t>Defects in every software must be handled properly, and the number of defects directly reflects the quality of a software. In recent years, researchers have applied data mining and machine learning methods to predicting software defects. However, in their studies, the method in which the machine learning models are directly adopted may not be precise enough. Optimizing the machine learning models used in defects prediction will improve the prediction accuracy. In this paper, aiming at the characteristics of the metrics mined from the open source software, we proposed three new defect prediction models based on C4.5 model. The new models introduce the Spearman's rank correlation coefficient to the basis of choosing root node of the decision tree which makes the models better on defects prediction. In order to verify the effectiveness of the improved models, an experimental scheme is designed. In the experiment, we compared the prediction accuracies of the existing models and the improved models and the result showed that the improved models reduced the size of the decision tree by 49.91% on average and increased the prediction accuracy by 4.58% and 4.87% on two modules used in the experiment.</t>
  </si>
  <si>
    <t>https://ieeexplore.ieee.org/document/6319220/</t>
  </si>
  <si>
    <t>Weber, S. and Luo, J.</t>
  </si>
  <si>
    <t>Weicheng, Y., Beijun, S. and Ben, X.</t>
  </si>
  <si>
    <t>Mining GitHub: Why Commit Stops -- Exploring the Relationship between Developer's Commit Pattern and File Version Evolution</t>
  </si>
  <si>
    <t>Using the freeware in GitHub, we are often confused by a phenomenon: the new version of GitHub freeware usually was released in an indefinite frequency, and developers often committed nothing for a long time. This evolution phenomenon interferes with our own development plan and architecture design. Why do these updates happen at that time? Can we predict GitHub software version evolution by developers' activities? This paper aims to explore the developer commit patterns in GitHub, and try to mine the relationship between these patterns (if exists) and code evolution. First, we define four metrics to measure commit activity and code evolution: the changes in each commit, the time between two commits, the author of each changes, and the source code dependency. Then, we adopt visualization techniques to explore developers' commit activity and code evolution. Visual techniques are used to describe the progress of the given project and the authors' contributions. To analyze the commit logs in GitHub software repository automatically, Commits Analysis Tool (CAT) is designed and implemented. Finally, eight open source projects in GitHub are analyzed using CAT, and we find that: 1) the file changes in the previous versions may affect the file depend on it in the next version, 2) the average days around "huge commit" is 3 times of that around normal commit. Using these two patterns and developer's commit model, we can predict when his next commit comes and which file may be changed in that commit. Such information is valuable for project planning of both GitHub projects and other projects which use GitHub freeware to develop software.</t>
  </si>
  <si>
    <t>https://ieeexplore.ieee.org/document/6754372/</t>
  </si>
  <si>
    <t>Werder, K. and Brinkkemper, S.</t>
  </si>
  <si>
    <t>MEME - Toward a Method for EMotions Extraction from GitHub</t>
  </si>
  <si>
    <t>Software engineering researchers are increasingly interested in the role of emotion during software development. While general tools are available to extract emotions from textual data, these perform poorly in the domain of software engineering. Hence, this paper develops MEME - a Method for EMotion Extraction. Using GHtorrent and GitHub as data sources, the paper presents an implementation of the method. The evaluation results suggest a better performance of MEME in contrast to Syuzhet R package emotion analysis.</t>
  </si>
  <si>
    <t>Wilde, E. and German, D.</t>
  </si>
  <si>
    <t>Merge-Tree: Visualizing the Integration of Commits into Linux</t>
  </si>
  <si>
    <t>With an average of more than 900 top-level merges into the Linux kernel per release, many containing hundreds of commits and some containing thousands, maintenance of older versions of the kernel becomes nearly impossible. Various commercial products, such as the Android platform, run older versions of the kernel. Due to security, performance, and changing hardware needs, maintainers must understand what changes (commits) are added to the current version of the kernel since the last time they inspected it in order to make the necessary patches. Current tools provide information about repositories through the directed acyclic graph (DAG) of the repository, which is helpful for smaller projects. However, with the scale and number of branches in the kernel the DAG becomes overwhelming very quickly. Furthermore, the DAG contains every ancestor of every commit, while maintainers are more interested in how and when a commit arrives to the official Linux repository. In this paper, we propose the merge-tree, a simplified transformation of the DAG of the Linux git repository that shows the way in which commits are merged into the master branch of Linux. Using the merge-tree, we build Linvis, a tool that is designed to allow users to explore how commits are merged into the Linux kernel.</t>
  </si>
  <si>
    <t>https://ieeexplore.ieee.org/document/7780151/</t>
  </si>
  <si>
    <t>CloCom: Mining existing source code for automatic comment generation</t>
  </si>
  <si>
    <t>Xiao, L., Yu, Z., Chen, B. and Wang, X.</t>
  </si>
  <si>
    <t>How Robust Is Your Development Team?</t>
  </si>
  <si>
    <t>Given the collaborative nature of software development, a robust team is a necessity for project success in both commercial and open source environments. That is, in the event of developers' absence due to various reasons, how could it potentially disrupt a team's routine operations? This article offers an automatic approach to intuitively visualize development team hierarchy, quantify overall team robustness, and identify the point (developers) of risk for team robustness. An investigation of six Apache open source projects has shown its effectiveness. This article is part of a special issue on Actionable Analytics for Software Engineering.</t>
  </si>
  <si>
    <t>https://ieeexplore.ieee.org/document/8239942/</t>
  </si>
  <si>
    <t>Xuan, J., Jiang, H., Ren, Z. and Zou, W.</t>
  </si>
  <si>
    <t>Developer prioritization in bug repositories</t>
  </si>
  <si>
    <t>Developers build all the software artifacts in development. Existing work has studied the social behavior in software repositories. In one of the most important software repositories, a bug repository, developers create and update bug reports to support software development and maintenance. However, no prior work has considered the priorities of developers in bug repositories. In this paper, we address the problem of the developer prioritization, which aims to rank the contributions of developers. We mainly explore two aspects, namely modeling the developer prioritization in a bug repository and assisting predictive tasks with our model. First, we model how to assign the priorities of developers based on a social network technique. Three problems are investigated, including the developer rankings in products, the evolution over time, and the tolerance of noisy comments. Second, we consider leveraging the developer prioritization to improve three predicted tasks in bug repositories, i.e., bug triage, severity identification, and reopened bug prediction. We empirically investigate the performance of our model and its applications in bug repositories of Eclipse and Mozilla. The results indicate that the developer prioritization can provide the knowledge of developer priorities to assist software tasks, especially the task of bug triage.</t>
  </si>
  <si>
    <t>https://ieeexplore.ieee.org/document/6227209/</t>
  </si>
  <si>
    <t>Yeh, T. and Chien, T.</t>
  </si>
  <si>
    <t>Building a version control system in the Hadoop HDFS</t>
  </si>
  <si>
    <t>The cloud computing has been widely used in recent years. It facilitates the realization of many cutting-edge studies including big data, Internet of Things, and many others. The success of cloud computing cannot be achieved without reliable cloud infrastructure to store and handle the enormous volume of data stored therein. It is common that the contents of individual data files consist of data inserted at different periods of times in the cloud environment. In other words, data files often have chronological versions of contents since their creation. Unfortunately, file contents could be contaminated by bad data or viruses resulting in errors during the course of data processing. It will be easier and faster for users to identify the cause of the error if they could examine and process prior versions of data files in question. Consequently, by keeping versions of data files, cloud systems could help users solve problems more rapidly when errors occur. Hadoop is literally one of the most popular platforms adopted in the community of cloud computing. We designed and implemented an efficient scheme in HDFS, the default file system in Hadoop, to automatically maintain versions of individual data files when changes made to them. As a result, our system can retrieve prior versions of data files and display discrepancy between versions to ameliorate the data management in cloud centers.</t>
  </si>
  <si>
    <t>https://ieeexplore.ieee.org/document/8406190/</t>
  </si>
  <si>
    <t>Yoon, Y. and Myers, B. A.</t>
  </si>
  <si>
    <t>Supporting Selective Undo in a Code Editor</t>
  </si>
  <si>
    <t>Programmers often need to revert some code to an earlier state, or restore a block of code that was deleted a while ago. However, support for this backtracking in modern programming environments is limited. Many of the backtracking tasks can be accomplished by having a selective undo feature in code editors, but this has major challenges: there can be conflicts among edit operations, and it is difficult to provide usable interfaces for selective undo. In this paper, we present AZURITE, an Eclipse plug-in that allows programmers to selectively undo fine-grained code changes made in the code editor. With AZURITE, programmers can easily perform backtracking tasks, even when the desired code is not in the undo stack or a version control system. AZURITE also provides novel user interfaces specifically designed for selective undo, which were iteratively improved through user feedback gathered from actual users in a preliminary field trial. A formal lab study showed that programmers can successfully use AZURITE, and were twice as fast as when limited to conventional features.</t>
  </si>
  <si>
    <t>https://ieeexplore.ieee.org/document/7194576/</t>
  </si>
  <si>
    <t>Zhang, X., Ben, K. and Zeng, J.</t>
  </si>
  <si>
    <t>Cross-Entropy: A New Metric for Software Defect Prediction</t>
  </si>
  <si>
    <t>Defect prediction is an active topic in software quality assurance, which can help developers find potential bugs and make better use of resources. To improve prediction performance, this paper introduces cross-entropy, one common measure for natural language, as a new code metric into defect prediction tasks and proposes a framework called DefectLearner for this process. We first build a recurrent neural network language model to learn regularities in source code from software repository. Based on the trained model, the cross-entropy of each component can be calculated. To evaluate the discrimination for defect-proneness, cross-entropy is compared with 20 widely used metrics on 12 open-source projects. The experimental results show that cross-entropy metric is more discriminative than 50% of the traditional metrics. Besides, we combine cross-entropy with traditional metric suites together for accurate defect prediction. With cross-entropy added, the performance of prediction models is improved by an average of 2.8% in F1-score.</t>
  </si>
  <si>
    <t>https://ieeexplore.ieee.org/document/8424963/</t>
  </si>
  <si>
    <t>Zhang, Y., Yin, G., Yu, Y. and Wang, H.</t>
  </si>
  <si>
    <t>A Exploratory Study of @-Mention in GitHub's Pull-Requests</t>
  </si>
  <si>
    <t>Pull-request mechanism is an outstanding social development method in Git Hub. @-mention is a social media tool that deeply integrated with pull-request mechanism. Recently, many research results show that social media tools can promote the collaborative software development, but few work focuses on the impacts of @-mention. In this paper, we conduct an exploratory study of @-mention in pull-request based software development, including its current situation and benefits. We obtain some interesting findings which indicate that @-mention is beneficial to the processing of pull-request. Our work also proposes some possible research directions and problems of the @-mention. It helps the developers and researchers notice the significance of @-mention in the pull-request based software development.</t>
  </si>
  <si>
    <t>https://ieeexplore.ieee.org/document/7091329/</t>
  </si>
  <si>
    <t>Knowledge Graphing Git Repositories: A Preliminary Study</t>
  </si>
  <si>
    <t>Knowledge Graph, being able to connect information from a variety of sources, has become very famous in recent years since its creation in 2012 by Google. Researchers in our community have leveraged Knowledge Graph to achieve various purposes such as improving API caveats accessibilities, generating answers to developer questions, and reasoning common software weaknesses, etc. In this work, we would like to leverage the knowledge graph concept for helping developers and project managers to comprehend software repositories. To this end, we design and implement a prototype tool called GitGraph, which takes as input a Git repository and constructs automatically a knowledge graph associated with the repository. Our preliminary experimental results show that GitGraph can correctly generate knowledge graphs for Git projects and the generated graphs are also useful for users to comprehend the projects. More specifically, the knowledge graph, on one hand, provides a graphic interface that users can interactively explore the integrated artefacts such as commits and changed methods, while on the other hand, provides a convenient means for users to search for advanced relations between the different artefacts.</t>
  </si>
  <si>
    <t>Zhou, M.</t>
  </si>
  <si>
    <t>Investigating Human Factors through Amassing Large-Scale OSS Repositories</t>
  </si>
  <si>
    <t>Human factor has been ignored in many of the existing research, which leads to a superficial understanding of the problems facing practitioners. Large-Scale open source software repositories open an opportunity to do digital archeology of software. Researchers and practitioners could investigate human factors with large quantities of data, which may lead to new insights into current software practices and therefore opportunities to improve software quality and project productivity.</t>
  </si>
  <si>
    <t>https://ieeexplore.ieee.org/document/6340128/</t>
  </si>
  <si>
    <t>Zimmermann, T.</t>
  </si>
  <si>
    <t>Keynote: Large Scale Analysis of Software Repositories in Industry: Experiences from the CodeMine Project by Thomas Zimmermann</t>
  </si>
  <si>
    <t>These Keynotes speeches the following: Large Scale Analysis of Software Repositories in Industry: Experiences from the CodeMine Project.</t>
  </si>
  <si>
    <t>https://ieeexplore.ieee.org/document/6975629/</t>
  </si>
  <si>
    <t>absctract</t>
  </si>
  <si>
    <t>year</t>
  </si>
  <si>
    <t>url</t>
  </si>
  <si>
    <t>journal/conference</t>
  </si>
  <si>
    <t>Java
Software
Prototypes
Tools
Virtual machining
Data collection
Manuals
Continuous Integration
Travis CI
Build Status
Mining Software Repository</t>
  </si>
  <si>
    <t>configuration management
graph theory
program debugging
program verification
automated debugging tools
RTL
revision history
version control system
graph structure
branching information
two-stage ranking
branch-local revisions
revision debugging
nonlinear version history
regression verification
Debugging
Computer bugs
History
Hardware design languages
Control systems
Silicon
Hardware</t>
  </si>
  <si>
    <t>decision trees
pattern classification
pattern clustering
resource classification
version control system logs
participants automatic classification
k-means clustering
decision tree classification model
Data mining
Software
Control systems
Algorithm design and analysis
Computer bugs
Social network services
Business</t>
  </si>
  <si>
    <t>data mining
data privacy
information retrieval
software maintenance
software repository mining
requirement traceability link
traceability method
software evolution
information retrieval technique
IR technique
precision accuracy
recall accuracy
Trustrace approach
trust-based traceability recovery approach
medium-size open-source system
vector space model
Jensen-Shannon model
Accuracy
Open source software
Principal component analysis
Traceability
requirements
feature
source code
repositories
experts
trust-based model</t>
  </si>
  <si>
    <t>Android (operating system)
invasive software
mobile computing
AndroZoo
Android apps
GooglePlay app market
antivirus products
malware
reproducible experiments
Google
Androids
Humanoid robots
Crawlers
Software
Protocols
HTML
Android Applications
APK
Software Repository</t>
  </si>
  <si>
    <t>groupware
social networking (online)
software engineering
collaborative software development
learning science domain
social channels
Software
Communities
Context
Collaborative software
Collaborative work
Awareness
Regulation
Coordination
Git Hub</t>
  </si>
  <si>
    <t>configuration management
public domain software
source code (software)
split commit detection
version control systems
code changes
open source software repositories
Conferences
Open source software
History
Control systems
Couplings
Data mining
Version control system
Split commit</t>
  </si>
  <si>
    <t>data mining
neural nets
program diagnostics
software engineering
issue mining process
public software repository
defect tracking system
GitHub repository
neural networks
defect prediction
Software
Internet
Encoding
Media
Biological neural networks
Benchmark testing
Repositories
Defect Tracking
Defects Prediction</t>
  </si>
  <si>
    <t>application program interfaces
data mining
mobile computing
program debugging
software fault tolerance
system recovery
API change-proneness
API fault-proneness
user ratings
Android Apps
mobile Apps market
information technology
software repository mining
Androids
Humanoid robots
Software
History
Computer bugs
Educational institutions
Electronic mail
Mining software repositories
empirical studies
android
API changes</t>
  </si>
  <si>
    <t>program diagnostics
program testing
project management
software development management
software quality
software development decision
software engineering
development artifacts
source code
bug reports
test cases
usage logs
software adoption
development process
software repository
informed decision
software system
data-centric decision-making
software development analytics
software project adoption
code review process
developer awareness improvement
Data mining
Communities
Software systems
Market research
Open source software
Decision making</t>
  </si>
  <si>
    <t>computer aided engineering
data analysis
electronic data interchange
factory automation
merging
process design
production engineering computing
semantic Web
semantic based data hub
process automation
system engineering tool
iterative data exchange
CAE
data merging
sandbox environment
Web based version control system
plant automation
Automation
Standards
Data models
Semantics
Syntactics
Bridges</t>
  </si>
  <si>
    <t>computer science education
configuration management
educational courses
project management
software management
CS1 course
version control systems
project management systems
GitLab
student assignments
Testing
Educational institutions
Programming
Control systems
Software
Authentication</t>
  </si>
  <si>
    <t>knowledge based systems
software quality
source code (software)
SQA profile
software quality assessment
rule-based activity profile
continuous integration environment
CI
source code change
software project
Data mining
Software
Logic gates
Electronic mail
Control systems
Project management
Communities</t>
  </si>
  <si>
    <t>software engineering
nongovernmental organizations
free version control system
branching capability
software projects
PLE model
NGO projects
product line engineering
Software product lines
Software
Wheelchairs
Companies
Control systems
Assistive technologies
NGO
sustainable software development
branching</t>
  </si>
  <si>
    <t>cloud computing
public domain software
software engineering
source code (software)
word clouds
Git repositories
Git based social coding platforms
open source projects
social information
software development
source code
Tag clouds
Software
Encoding
Metadata
Containers
Color
Java
naming pattern
word cloud
Git repository</t>
  </si>
  <si>
    <t>authorisation
software management
software packages
hierarchical access control model
software repository
RBAC
software security
role-based access control model
software distribution
Software
Computer architecture
Software measurement
Cryptography
Databases
access control
model
security</t>
  </si>
  <si>
    <t>data mining
project management
risk management
software development management
historic software projects
data mining technique
software development environment
software project management
software risk management
software risk knowledge acquisition
software repository mining
Software
Data models
Knowledge acquisition
Itemsets
Predictive models
Software Risk
Software Process</t>
  </si>
  <si>
    <t>information retrieval
software maintenance
source code (software)
textual feature location technique
software entity
software repository
data source code
Computer languages
Engines
Libraries
Indexing
Feature location
software repositories</t>
  </si>
  <si>
    <t>health care
occupational health
project management
public domain software
software development management
abnormal working hours
work health
work patterns
software engineers
work products
open source software projects
overload detection
time stamps
stress detection
Firefox
Companies
Software
Computer bugs
Software engineering
Productivity
Rhythm
Stress
software repository mining
overtime
overwork
open source
apache
mozilla
weekend
night</t>
  </si>
  <si>
    <t>DP industry
employment
personnel
public domain software
random forests
closed source software industry
volunteer developers
unpaid open source development
automatic techniques
code source repository meta-data
paid open source developers
developers employment status
machine learning
random forest
Measurement
Data mining
Electronic mail
Predictive models
Open source software
software repository mining
mozilla
open source
paid softw</t>
  </si>
  <si>
    <t>personnel
risk analysis
software engineering
bus factor
Git repositories
software development
employee turnover
error-prone activity
time-consuming activity
Measurement
Software
Visualization
Companies
Risk management
Tuners</t>
  </si>
  <si>
    <t>software engineering
distributed software development
systematic mapping
DSD version control
Software
Filtration
Collaboration
Topology
Systematics
Unified modeling language
Search engines
version control
configuration management
systematic mapping study</t>
  </si>
  <si>
    <t>configuration management
data privacy
public domain software
source coding
stylistic authorship attribution
incomplete source Code
program authorship attribution
code anonymously
complete files
ideal data sets
Google Code Jam data
wild examining source code
open source version control systems
source contributors
typically uncompilable fragments
Feature extraction
Security
Forestry
Calibration
Collaboration
Vegetation
Google
Source code authorship attribution
stylometry
machine learning</t>
  </si>
  <si>
    <t>software engineering
software packages
GitHub
CRAN
multiple software package repositories
statistical computing
interrepository package dependency management
Ecosystems
Metadata
Electronic mail
Data mining
Writing
software repository mining
software ecosystem
package dependency management
software evolution
software distribution</t>
  </si>
  <si>
    <t>configuration management
groupware
project management
public domain software
software quality
software versioning quality parameters
automated assessment tools
version control system
VCS
software development project
collaborative work
quality factors
software versioning activities
open source projects
versioning activities
Monitoring
Lead
versioning quality parameter
versioning activity</t>
  </si>
  <si>
    <t>data visualisation
directed graphs
trees (mathematics)
Sunburst diagrams
graph layout strategies
directed acyclic graph
folder trees
Git repositories
branch structure visualization
branch structure abstract
git branches visualization
VisGi
Visualization
Layout
Software
Data visualization
History
Data mining
Conferences
git
versioning
branching
CVSsoftware development project
collaborative work
quality factors
software versioning activities
open source projects
versioning activities
Monitoring
Lead
versioning quality parameter
versioning activity</t>
  </si>
  <si>
    <t>project management
public domain software
software development management
software quality
interest measurement
interest visualization
quality rules violations
MIND
open-source tool
Redmine repositories
Git repositories
software project analysis
software defects
Managing Technical Debt
Mathematical model
Predictive models
Data visualization
Open source software
Current measurement
Monitoring
technical debt
quality rules
maintainability
defect proneness
interest</t>
  </si>
  <si>
    <t>configuration management
program testing
software maintenance
software tools
Visual Studio automated refactoring tool
Enriched Event Stream Dataset
ReSharper tools
version control system
test error
software testing
Tools
Visualization
Manuals
Control systems
Error analysis
Cloning
C# languages
ReSharper
Automated Refactoring
Build Failure
Quick-fixes
Context actions</t>
  </si>
  <si>
    <t>feature extraction
feature selection
natural language processing
project management
public domain software
software maintenance
software quality
source code (software)
text analysis
natural language processing methods
unlabeled code comments
feature selection method
pre-trained word embeddings
source code comments
self-admitted technical debt identification
code quality
timely software release
software development
software engineering domain
data annotation
classifiers
open source projects
git-hub
feature detection
SATD classification
Task analysis
Java
Computer hacking
Semantics
Software
Distance measurement
text classification, feature selection, self-admitted technical debt, word embeddings</t>
  </si>
  <si>
    <t>Tools
Organizations
Software
Computer languages
Control systems
Electronic mail
Feature extraction</t>
  </si>
  <si>
    <t>cloud computing
configuration management
software engineering
version control system
software engineering process
Web 2.0
cloud environment
software development
Protego system
automation degree
History
Software
Control systems
Testing
Synchronization
Image edge detection
Version control
online collaboration
software development tools</t>
  </si>
  <si>
    <t>C++ language
software engineering
source code (software)
code clone ratios evolution
open-source C program
C++ programs
code fragment
code clone research
CCFinderX
Git
development history
Cloning
Measurement
Maintenance engineering
History
Open source software
Computer bugs
code clone ratio
refactoring
code clone maintenance</t>
  </si>
  <si>
    <t>Science of Computer Programming</t>
  </si>
  <si>
    <t>Abdalkareem, Rabe, Shihab, Emad and Rilling, Juergen</t>
  </si>
  <si>
    <t>On code reuse from StackOverflow: An exploratory study on Android apps</t>
  </si>
  <si>
    <t>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t>
  </si>
  <si>
    <t>http://www.sciencedirect.com/science/article/pii/S0950584917303610</t>
  </si>
  <si>
    <t>Abdeen, Hani, Bali, Khaled, Sahraoui, Houari and Dufour, Bruno</t>
  </si>
  <si>
    <t>Learning dependency-based change impact predictors using independent change histories</t>
  </si>
  <si>
    <t>Context: Recent studies showed that combining present data, which are derived from the current software version, with past data, which are derived from previous software versions, can improve the accuracy of change impact predictions. However, for a specific program, existing combined techniques can rely only on version history of that program, if available, and the prediction results depend on the variety of available change impact examples. Objective: We propose a hybrid probabilistic approach that predicts the change impact for a software entity using, as training data, existing version histories of whatever software systems. Method: Change-impact predictors are learned from past change impact graphs (CIGs), extracted from the version history, along with their associations with different influencing factors of change propagation. The learning examples in CIGs are not specific to the software entities that are covered in those examples, and the change propagation influencing factors are structural and conceptual dependencies between software entities. Once our predictors are trained, they can predict change impacts regardless of the version history of the software under-analysis. We evaluate our approach using four systems in two scenarios. First, we use as training data the CIGs extracted from previous versions of the system under-analysis. Second, for each analyzed system, we use only the training data extracted from the other systems. Results: Our approach produces accurate predictions in terms of both precision and recall. Moreover, when training our classifiers with a large variety of CIGs extracted from the change histories of different projects, the recall scores of predicted impact sets were significantly improved. Conclusion:Our approach produces accurate predictions for new classes without recorded change histories, as well as for old classes. For the systems considered in our evaluation, once our approach is trained with a variety of CIGs it can predict change impacts with good recall scores.</t>
  </si>
  <si>
    <t>http://www.sciencedirect.com/science/article/pii/S0950584915001305</t>
  </si>
  <si>
    <t>SoftwareX</t>
  </si>
  <si>
    <t>Alqahtani, Sultan S., Eghan, Ellis E. and Rilling, Juergen</t>
  </si>
  <si>
    <t>Tracing known security vulnerabilities in software repositories – A Semantic Web enabled modeling approach</t>
  </si>
  <si>
    <t>The introduction of the Internet has revolutionized not only our society but also transformed the software industry, with knowledge and information sharing becoming a central part of software development processes. The resulting globalization of the software industry has not only increased software reuse, but also introduced new challenges. Among the challenges, arising from the knowledge sharing is Information Security, which has emerged to become a major threat to the software development community, since not only source code but also its vulnerabilities are shared across project boundaries. Developers are unaware of such security vulnerabilities in their projects, often until a vulnerability is either exploited by attackers or made publicly available by independent security advisory databases. In this research, we present a modeling approach, which takes advantage of Semantic Web technologies, to establish traceability links between security advisory repositories and other software repositories. More specifically, we establish a unified ontological representation, which supports bi-directional traceability links between knowledge captured in software build repositories and specialized vulnerability database. These repositories can be considered trusted information silos that are typically not directly linked to other resources, such as source code repositories containing the reported instances of these problems. The novelty of our approach is that it allows us to overcome some of these traditional information silos and transform them into information hubs, which promote sharing of knowledge across repository boundaries. We conducted several experiments to illustrate the applicability of our approach by tracing existing vulnerabilities to projects which might directly or indirectly be affected by vulnerabilities inherited from other projects and libraries.</t>
  </si>
  <si>
    <t>http://www.sciencedirect.com/science/article/pii/S0167642316000253</t>
  </si>
  <si>
    <t>Asri, Ikram El, Kerzazi, Noureddine, Uddin, Gias, Khomh, Foutse and Janati Idrissi, M. A.</t>
  </si>
  <si>
    <t>An empirical study of sentiments in code reviews</t>
  </si>
  <si>
    <t>Context Modern code reviews are supported by tools to enhance developers’ interactions allowing contributors to submit their opinions for each committed change in form of comments. Although the comments are aimed at discussing potential technical issues, the text might enclose harmful sentiments that could erode the benefits of suggested changes. Objective In this paper, we study empirically the impact of sentiment embodied within developers’ comments on the time and outcome of the code review process. Method Based on historical data of four long-lived Open Source Software (OSS) projects from a code review system we investigate whether perceived sentiments have any impact on the interval time of code changes acceptance. Results We found that (1) contributors frequently express positive and negative sentiments during code review activities; (2) the expressed sentiments differ among the contributors depending on their position within the social network of the reviewers (e.g., core vs peripheral contributors); (3) the sentiments expressed by contributors tend to be neutral as they progress from the status of newcomer in an OSS project to the status of core team contributors; (4) the reviews with negative comments on average took more time to complete than the reviews with positive/neutral comments, and (5) the reviews with controversial comments took significantly longer time in one project. Conclusion Through this work, we provide evidences that text-based sentiments have an impact on the duration of the code review process as well as the acceptance or rejection of the suggested changes.</t>
  </si>
  <si>
    <t>http://www.sciencedirect.com/science/article/pii/S0950584919301387</t>
  </si>
  <si>
    <t>Avelino, Guilherme, Passos, Leonardo, Hora, Andre and Valente, Marco Tulio</t>
  </si>
  <si>
    <t>Measuring and analyzing code authorship in 1 + 118 open source projects</t>
  </si>
  <si>
    <t>Code authorship is a key information about large-scale software projects. Among others, it reveals the division of work, key collaborators, and developers' profiles. Seeking to better understand authorship in large and successful open source communities, we take the Linux kernel as our first case study. In total, we analyze authorship across 66 stable releases. Our analysis is centered around the Degree-of-Authorship (DOA) metric, which accounts for first authorship events (file creation), as well as further code changes. Authorship along the Linux kernel evolution reveals that (a) only a small portion of developers (26%) makes significant contributions to the code base; this ratio is almost constant during the Linux kernel evolution; (b) the number of files per author is highly skewed—a small group of top-authors (2%) is responsible for hundreds of files, while most authors (75%) are responsible for at most 10 files; (c) most authors in Linux (76%) are specialists and the relation between specialists and generalists tends to be constant; (d) authors with a high number of co-authorship connections tend to work with authors with fewer connections. Furthermore, we replicate the study in an extended dataset, composed of 118 well-known GitHub projects. We identify that most of the authorship patterns observed in the Linux kernel are also common to other open source projects.</t>
  </si>
  <si>
    <t>http://www.sciencedirect.com/science/article/pii/S0167642318300388</t>
  </si>
  <si>
    <t>Aversano, Lerina and Tortorella, Maria</t>
  </si>
  <si>
    <t>Quality evaluation of floss projects: Application to ERP systems</t>
  </si>
  <si>
    <t>Context The selection and adoption of open source software can significantly influence the competitiveness of organisations. Open source software solutions offer great opportunities for cost reduction and quality improvement, especially for small and medium enterprises that typically have to address major difficulties due to the limited resources available for selecting and adopting a new software system. Objective This paper aims to provide support for selecting the open source software that is most suitable to the specific needs of an enterprise from among the options offering equivalent or overlapping functionality. Method This paper proposes a framework for evaluating the quality and functionality of open source software systems. The name of the framework is EFFORT (Evaluation Framework for Free/Open souRce projecTs). It supports the evaluation of product quality, community trustworthiness and product attractiveness. The framework needs to be customised to the analysis of software systems for a specific context. Results The paper presents the customisation of EFFORT for evaluating Enterprise Resource Planning (ERP) open source software systems. The customised framework was applied to the evaluation and comparison of five ERP open source software systems. The results obtained permitted both the refinement of the measurement framework and the identification of the ERP open source software system that achieved the highest score for each chosen characteristic. Conclusion EFFORT is a useful tool for evaluating and selecting an open source software system. It may significantly reduce the amount of negotiation conducted among an enterprise’s members and reduce the time and cost required for gathering and interpreting data. The EFFORT framework also considers the users’ opinions by introducing relevance markers associated with the metrics and questions in the data aggregation process.</t>
  </si>
  <si>
    <t>http://www.sciencedirect.com/science/article/pii/S0950584913000311</t>
  </si>
  <si>
    <t>Bahamdain, Salem S.</t>
  </si>
  <si>
    <t>Open Source Software (OSS) Quality Assurance: A Survey Paper</t>
  </si>
  <si>
    <t>Open source software (OSS) is a software product with the source code made public so that anyone can read, analyze, and change or improve the code. The use of this software is under a license, like Apache, GNU, MIT, Mozilla Public, and Eclipse Public License. Open source software development (OSSD) provides high quality assurance through user testing and peer reviews. The quality of these products depends on the size of the product community. This paper discusses the stakeholders of the OSS community, the quality assurance frameworks and models proposed in some studies, some statistics about OSS, the problems that affect the quality of OSSD, and the advantages and disadvantages of OSS compared to closed source software. This allows us to understand how we can achieve and improve the quality assurance and quality control of OSSD.</t>
  </si>
  <si>
    <t>http://www.sciencedirect.com/science/article/pii/S1877050915017172</t>
  </si>
  <si>
    <t>Bajracharya, Sushil, Ossher, Joel and Lopes, Cristina</t>
  </si>
  <si>
    <t>Sourcerer: An infrastructure for large-scale collection and analysis of open-source code</t>
  </si>
  <si>
    <t>A large amount of open source code is now available online, presenting a great potential resource for software developers. This has motivated software engineering researchers to develop tools and techniques to allow developers to reap the benefits of these billions of lines of source code. However, collecting and analyzing such a large quantity of source code presents a number of challenges. Although the current generation of open source code search engines provides access to the source code in an aggregated repository, they generally fail to take advantage of the rich structural information contained in the code they index. This makes them significantly less useful than Sourcerer for building state-of-the-art software engineering tools, as these tools often require access to both the structural and textual information available in source code. We have developed Sourcerer, an infrastructure for large-scale collection and analysis of open source code. By taking full advantage of the structural information extracted from source code in its repository, Sourcerer provides a foundation upon which state-of-the-art search engines and related tools can easily be built. We describe the Sourcerer infrastructure, present the applications that we have built on top of it, and discuss how existing tools could benefit from using Sourcerer.</t>
  </si>
  <si>
    <t>http://www.sciencedirect.com/science/article/pii/S016764231200072X</t>
  </si>
  <si>
    <t>Banerjee, Sean, Syed, Zahid, Helmick, Jordan, Culp, Mark, Ryan, Kenneth and Cukic, Bojan</t>
  </si>
  <si>
    <t>Automated triaging of very large bug repositories</t>
  </si>
  <si>
    <t>Context: Bug tracking systems play an important role in software maintenance. They allow both developers and users to submit problem reports on observed failures. However, by allowing anyone to submit problem reports, it is likely that more than one reporter will report on the same issue. Research in open source repositories has focused on two broad areas: determining the original report associated with each known duplicate, and assigning a developer to fix a particular problem. Objective: Limited research has been done in developing a fully automated triager, one that can first ascertain if a problem report is original or duplicate, and then provide a list of 20 potential matches for a duplicate report. We address this limitation by developing an automated triaging system that can be used to assist human triagers in bug tracking systems. Method: Our automated triaging system automatically assigns a label of original or duplicate to each incoming problem report, and provides a list of 20 suggestions for reports classified as duplicate. The system uses 24 document similarity measures and associated summary statistics, along with a suite of document property and user metrics. We perform our research on a lifetime of problem reports from the Eclipse, Firefox and Open Office repositories. Results: Our system can be used as a filtration aide, with high original recall exceeding 95% and low duplicate recall, or as a triaging guide, with balanced recall of approximately 70% for both originals and duplicates. Furthermore, the system reduces the workload on the triager by over 90%. Conclusions: Our work represents the first full scale effort at automatically triaging problem reports in open source repositories. By utilizing multiple similarity measures, we reduce the potential of false matches caused by the diversity of human language.</t>
  </si>
  <si>
    <t>http://www.sciencedirect.com/science/article/pii/S0950584916301653</t>
  </si>
  <si>
    <t>Bauer, Veronika and Vetro, Antonio</t>
  </si>
  <si>
    <t>Comparing reuse practices in two large software-producing companies</t>
  </si>
  <si>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t>
  </si>
  <si>
    <t>http://www.sciencedirect.com/science/article/pii/S0164121216300176</t>
  </si>
  <si>
    <t>Berger, Thorsten, Pfeiffer, Rolf-Helge, Tartler, Reinhard, Dienst, Steffen, Czarnecki, Krzysztof, Wąsowski, Andrzej and She, Steven</t>
  </si>
  <si>
    <t>Variability mechanisms in software ecosystems</t>
  </si>
  <si>
    <t>Context Software ecosystems are increasingly popular for their economic, strategic, and technical advantages. Application platforms such as Android or iOS allow users to highly customize a system by selecting desired functionality from a large variety of assets. This customization is achieved using variability mechanisms. Objective Variability mechanisms are well-researched in the context of software product lines. Although software ecosystems are often seen as conceptual successors, the technology that sustains their success and growth is much less understood. Our objective is to improve empirical understanding of variability mechanisms used in successful software ecosystems. Method We analyze five ecosystems, ranging from the Linux kernel through Eclipse to Android. A qualitative analysis identifies and characterizes variability mechanisms together with their organizational context. This analysis leads to a conceptual framework that unifies ecosystem-specific aspects using a common terminology. A quantitative analysis investigates scales, growth rates, and—most importantly—dependency structures of the ecosystems. Results In all the studied ecosystems, we identify rich dependency languages and variability descriptions that declare many direct and indirect dependencies. Indirect dependencies to abstract capabilities, as opposed to concrete variability units, are used predominantly in fast-growing ecosystems. We also find that variability models—while providing system-wide abstractions over code—work best in centralized variability management and are, thus, absent in ecosystems with large free markets. These latter ecosystems tend to emphasize maintaining capabilities and common vocabularies, dynamic discovery, and binding with strong encapsulation of contributions, together with uniform distribution channels. Conclusion The use of specialized mechanisms in software ecosystems with large free markets, as opposed to software product lines, calls for recognition of a new discipline—variability encouragement.</t>
  </si>
  <si>
    <t>http://www.sciencedirect.com/science/article/pii/S0950584914001220</t>
  </si>
  <si>
    <t>Bernardi, Mario Luca, Canfora, Gerardo, Di Lucca, Giuseppe A., Di Penta, Massimiliano and Distante, Damiano</t>
  </si>
  <si>
    <t>The relation between developers’ communication and fix-Inducing changes: An empirical study</t>
  </si>
  <si>
    <t>Background Many open source and industrial projects involve several developers spread around the world and working in different timezones. Such developers usually communicate through mailing lists, issue tracking systems or chats. Lack of adequate communication can create misunderstanding and could possibly cause the introduction of bugs. Aim This paper aims at investigating the relation between the bug inducing and fixing phenomenon and the lack of written communication between committers in open source projects. Method We performed an empirical study that involved four open source projects, namely Apache httpd, GNU GCC, Mozilla Firefox, and Xorg Xserver. For each project change history data, issue tracker comments, mailing list messages, and chat logs were analyzed in order to answer four research questions about the relation between the social importance and communication level of committers and their proneness to induce bug fixes. Results and implications Results indicate that the majority of bugs are fixed by committers who did not induce them, a smaller but substantial percentage of bugs is fixed by committers that induced them, and very few bugs are fixed by committers that were not directly involved in previous changes on the same files of the fix. More importantly, committers inducing fixes tend to have a lower level of communication between each other than that of other committers. This last finding suggests that increasing the level of communication between fix-inducing committers could reduce the number of fixes induced in a software project.</t>
  </si>
  <si>
    <t>http://www.sciencedirect.com/science/article/pii/S0164121218300426</t>
  </si>
  <si>
    <t>Bettenburg, Nicolas, Shang, Weiyi, Ibrahim, Walid M., Adams, Bram, Zou, Ying and Hassan, Ahmed E.</t>
  </si>
  <si>
    <t>An empirical study on inconsistent changes to code clones at the release level</t>
  </si>
  <si>
    <t>To study the impact of code clones on software quality, researchers typically carry out their studies based on fine-grained analysis of inconsistent changes at the revision level. As a result, they capture much of the chaotic and experimental nature inherent in any on-going software development process. Analyzing highly fluctuating and short-lived clones is likely to exaggerate the ill effects of inconsistent changes on the quality of the released software product, as perceived by the end user. To gain a broader perspective, we perform an empirical study on the effect of inconsistent changes on software quality at the release level. Based on a case study on three open source software systems, we observe that only 1.02%–4.00% of all clone genealogies introduce software defects at the release level, as opposed to the substantially higher percentages reported by previous studies at the revision level. Our findings suggest that clones do not have a significant impact on the post-release quality of the studied systems, and that the developers are able to effectively manage the evolution of cloned code.</t>
  </si>
  <si>
    <t>http://www.sciencedirect.com/science/article/pii/S0167642310002091</t>
  </si>
  <si>
    <t>Bhattacharya, Pamela, Neamtiu, Iulian and Shelton, Christian R.</t>
  </si>
  <si>
    <t>Automated, highly-accurate, bug assignment using machine learning and tossing graphs</t>
  </si>
  <si>
    <t>Empirical studies indicate that automating the bug assignment process has the potential to significantly reduce software evolution effort and costs. Prior work has used machine learning techniques to automate bug assignment but has employed a narrow band of tools which can be ineffective in large, long-lived software projects. To redress this situation, in this paper we employ a comprehensive set of machine learning tools and a probabilistic graph-based model (bug tossing graphs) that lead to highly-accurate predictions, and lay the foundation for the next generation of machine learning-based bug assignment. Our work is the first to examine the impact of multiple machine learning dimensions (classifiers, attributes, and training history) along with bug tossing graphs on prediction accuracy in bug assignment. We validate our approach on Mozilla and Eclipse, covering 856,259 bug reports and 21 cumulative years of development. We demonstrate that our techniques can achieve up to 86.09% prediction accuracy in bug assignment and significantly reduce tossing path lengths. We show that for our data sets the Naïve Bayes classifier coupled with product–component features, tossing graphs and incremental learning performs best. Next, we perform an ablative analysis by unilaterally varying classifiers, features, and learning model to show their relative importance of on bug assignment accuracy. Finally, we propose optimization techniques that achieve high prediction accuracy while reducing training and prediction time.</t>
  </si>
  <si>
    <t>http://www.sciencedirect.com/science/article/pii/S0164121212001240</t>
  </si>
  <si>
    <t>Bruntink, Magiel</t>
  </si>
  <si>
    <t>Towards base rates in software analytics: Early results and challenges from studying Ohloh</t>
  </si>
  <si>
    <t>Nowadays a vast and growing body of open source software (OSS) project data is publicly available on the internet. Despite this public body of project data, the field of software analytics has not yet settled on a solid quantitative base for basic properties such as code size, growth, team size, activity, and project failure. What is missing is a quantification of the base rates of such properties, where other fields (such as medicine) commonly rely on base rates for decision making and the evaluation of experimental results. The lack of knowledge in this area impairs both research activities in the field of software analytics and decision making on software projects in general. This paper contributes initial results of our research towards obtaining base rates using the data available at Ohloh (a large-scale index of OSS projects). Zooming in on the venerable ‘lines of code’ metric for code size and growth, we present and discuss summary statistics and identify further research challenges.</t>
  </si>
  <si>
    <t>http://www.sciencedirect.com/science/article/pii/S0167642313003079</t>
  </si>
  <si>
    <t>Calefato, Fabio, Lanubile, Filippo and Vasilescu, Bogdan</t>
  </si>
  <si>
    <t>A large-scale, in-depth analysis of developers’ personalities in the Apache ecosystem</t>
  </si>
  <si>
    <t>Context Large-scale distributed projects are typically the results of collective efforts performed by multiple developers with heterogeneous personalities. Objective We aim to find evidence that personalities can explain developers’ behavior in large scale-distributed projects. For example, the propensity to trust others — a critical factor for the success of global software engineering — has been found to influence positively the result of code reviews in distributed projects. Method In this paper, we perform a quantitative analysis of ecosystem-level data from the code commits and email messages contributed by the developers working on the Apache Software Foundation (ASF) projects, as representative of large scale-distributed projects. Results We find that there are three common types of personality profiles among Apache developers, characterized in particular by their level of Agreeableness and Neuroticism. We also confirm that developers’ personality is stable over time. Moreover, personality traits do not vary with their role, membership, and extent of contribution to the projects. We also find evidence that more open developers are more likely to make contributors to Apache projects. Conclusion Overall, our findings reinforce the need for future studies on human factors in software engineering to use psychometric tools to control for differences in developers’ personalities.</t>
  </si>
  <si>
    <t>http://www.sciencedirect.com/science/article/pii/S0950584918301216</t>
  </si>
  <si>
    <t>Catolino, Gemma, Palomba, Fabio, Zaidman, Andy and Ferrucci, Filomena</t>
  </si>
  <si>
    <t>Not all bugs are the same: Understanding, characterizing, and classifying bug types</t>
  </si>
  <si>
    <t>Modern version control systems, e.g., GitHub, include bug tracking mechanisms that developers can use to highlight the presence of bugs. This is done by means of bug reports, i.e., textual descriptions reporting the problem and the steps that led to a failure. In past and recent years, the research community deeply investigated methods for easing bug triage, that is, the process of assigning the fixing of a reported bug to the most qualified developer. Nevertheless, only a few studies have reported on how to support developers in the process of understanding the type of a reported bug, which is the first and most time-consuming step to perform before assigning a bug-fix operation. In this paper, we target this problem in two ways: first, we analyze 1280 bug reports of 119 popular projects belonging to three ecosystems such as Mozilla, Apache, and Eclipse, with the aim of building a taxonomy of the types of reported bugs; then, we devise and evaluate an automated classification model able to classify reported bugs according to the defined taxonomy. As a result, we found nine main common bug types over the considered systems. Moreover, our model achieves high F-Measure and AUC-ROC (64% and 74% on overall, respectively).</t>
  </si>
  <si>
    <t>http://www.sciencedirect.com/science/article/pii/S0164121219300536</t>
  </si>
  <si>
    <t>Cooper, Matthew L., Shaffer, Clifford A., Edwards, Stephen H. and Ponce, Sean P.</t>
  </si>
  <si>
    <t>Open source software and the algorithm visualization community</t>
  </si>
  <si>
    <t>Algorithm visualizations are widely viewed as having the potential for major impact on computer science education, but their quality is highly variable. We report on the software development practices used by creators of algorithm visualizations, based on data that can be inferred from a catalog of over 600 algorithm visualizations. Since nearly all are free for use and many provide source code, they might be construed as being open source software. Yet many AV developers do not appear to have used open source best practices. We discuss how such development practices might be employed by the algorithm visualization community, and how they might lead to improved algorithm visualizations in the future. We conclude with a discussion of OpenDSA, an open-source project that builds on earlier progress in the field of algorithm visualization and hopes to use open-source procedures to gain users and contributors.</t>
  </si>
  <si>
    <t>http://www.sciencedirect.com/science/article/pii/S0167642314000021</t>
  </si>
  <si>
    <t>Delgado-Pérez, Pedro, Medina-Bulo, Inmaculada, Palomo-Lozano, Francisco, García-Domínguez, Antonio and Domínguez-Jiménez, Juan José</t>
  </si>
  <si>
    <t>Assessment of class mutation operators for C++ with the MuCPP mutation system</t>
  </si>
  <si>
    <t>Context: Mutation testing has been mainly analyzed regarding traditional mutation operators involving structured programming constructs common in mainstream languages, but mutations at the class level have not been assessed to the same extent. This fact is noteworthy in the case of C++, despite being one of the most relevant languages including object-oriented features. Objective: This paper provides a complete evaluation of class operators for the C++ programming language. MuCPP, a new system devoted to the application of mutation testing to this language, was developed to this end. This mutation system implements class mutation operators in a robust way, dealing with the inherent complexity of the language. Method: MuCPP generates the mutants by traversing the abstract syntax tree of each translation unit with the Clang API, and stores mutants as branches in the Git version control system. The tool is able to detect duplicate mutants, avoid system headers, and drive the compilation process. Then, MuCPP is used to conduct experiments with several open-source C++ programs. Results: The improvement rules listed in this paper to reduce unproductive class mutants have a significant impact in the computational cost of the technique. We also calculate the quantity and distribution of mutants generated with class operators, which generate far fewer mutants than their traditional counterparts. Conclusions: We show that the tests accompanying these programs cannot detect faults related to particular object-oriented features of C++. In order to increase the mutation score, we create new test scenarios to kill the surviving class mutants for all the applications. The results confirm that, while traditional mutation operators are still needed, class operators can complement them and help testers further improve the test suite.</t>
  </si>
  <si>
    <t>http://www.sciencedirect.com/science/article/pii/S0950584916301161</t>
  </si>
  <si>
    <t>Fernandez, Alison and Bergel, Alexandre</t>
  </si>
  <si>
    <t>A domain-specific language to visualize software evolution</t>
  </si>
  <si>
    <t>Context Accurately relating code authorship to commit frequency over multiple software revisions is a complex task. Most of the navigation tools found in common source code versioning clients are often too rigid to formulate specific queries and adequately present results of such queries. Questions related to evolution asked by software engineers are therefore challenging at answering using common Git clients. Objective This paper explores the use of stacked adjacency matrices and a domain specific language to produce tailored interactive visualizations for software evolution exploration. We are able to support some classical software evolution tasks using short and concise scripts using our language. Method We propose a domain-specific language to stack adjacency matrices and produce scalable and interactive visualizations. Our language and visualizations are evaluated using two independent controlled experiments and closely observing participants. Results We made the following findings: (i) participants are able to express sophisticated queries using our domain-specific language and visualizations, (ii) participants perform better than GitHub’s visualizations to answer a set of questions. Conclusion Our visual and scripting environment performs better than GitHub’s visualizations at extracting software evolution information.</t>
  </si>
  <si>
    <t>http://www.sciencedirect.com/science/article/pii/S0950584917304159</t>
  </si>
  <si>
    <t>Foucault, Matthieu, Teyton, Cédric, Lo, David, Blanc, Xavier and Falleri, Jean-Rémy</t>
  </si>
  <si>
    <t>On the usefulness of ownership metrics in open-source software projects</t>
  </si>
  <si>
    <t>Context Code ownership metrics were recently defined in order to distinguish major and minor contributors of a software module, and to assess whether the ownership of such a module is strong or shared between developers. Objective The relationship between these metrics and software quality was initially validated on proprietary software projects. Our objective in this paper is to evaluate such relationship in open-source software projects, and to compare these metrics to other code and process metrics. Method On a newly crafted dataset of seven open-source software projects, we perform, using inferential statistics, an analysis of code ownership metrics and their relationship with software quality. Results We confirm the existence of a relationship between code ownership and software quality, but the relative importance of ownership metrics in multiple linear regression models is low compared to metrics such as the number of lines of code, the number of modifications performed over the last release, or the number of developers of a module. Conclusion Although we do find a relationship between code ownership and software quality, the added value of ownership metrics compared to other metrics is still to be proven.</t>
  </si>
  <si>
    <t>http://www.sciencedirect.com/science/article/pii/S0950584915000294</t>
  </si>
  <si>
    <t>Franco-Bedoya, Oscar, Ameller, David, Costal, Dolors and Franch, Xavier</t>
  </si>
  <si>
    <t>Open source software ecosystems: A Systematic mapping</t>
  </si>
  <si>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 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 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 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t>
  </si>
  <si>
    <t>http://www.sciencedirect.com/science/article/pii/S0950584917304512</t>
  </si>
  <si>
    <t>Gamalielsson, Jonas and Lundell, Björn</t>
  </si>
  <si>
    <t>Sustainability of Open Source software communities beyond a fork: How and why has the LibreOffice project evolved?</t>
  </si>
  <si>
    <t>Many organisations are dependent upon long-term sustainable software systems and associated communities. In this paper we consider long-term sustainability of Open Source software communities in Open Source software projects involving a fork. There is currently a lack of studies in the literature that address how specific Open Source software communities are affected by a fork. We report from a study aiming to investigate the developer community around the LibreOffice project, which is a fork from the OpenOffice.org project. In so doing, our analysis also covers the OpenOffice.org project and the related Apache OpenOffice project. The results strongly suggest a long-term sustainable LibreOffice community and that there are no signs of stagnation in the LibreOffice project 33 months after the fork. Our analysis provides details on developer communities for the LibreOffice and Apache OpenOffice projects and specifically concerning how they have evolved from the OpenOffice.org community with respect to project activity, developer commitment, and retention of committers over time. Further, we present results from an analysis of first hand experiences from contributors in the LibreOffice community. Findings from our analysis show that Open Source software communities can outlive Open Source software projects and that LibreOffice is perceived by its community as supportive, diversified, and independent. The study contributes new insights concerning challenges related to long-term sustainability of Open Source software communities.</t>
  </si>
  <si>
    <t>http://www.sciencedirect.com/science/article/pii/S0164121213002744</t>
  </si>
  <si>
    <t>Answering software evolution questions: An empirical evaluation</t>
  </si>
  <si>
    <t>Jabangwe, Ronald, Šmite, Darja and Hessbo, Emil</t>
  </si>
  <si>
    <t>Distributed software development in an offshore outsourcing project: A case study of source code evolution and quality</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</si>
  <si>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t>
  </si>
  <si>
    <t>http://www.sciencedirect.com/science/article/pii/S0950584915002141</t>
  </si>
  <si>
    <t>Jarczyk, Oskar, Jaroszewicz, Szymon, Wierzbicki, Adam, Pawlak, Kamil and Jankowski-Lorek, Michal</t>
  </si>
  <si>
    <t>Surgical teams on GitHub: Modeling performance of GitHub project development processes</t>
  </si>
  <si>
    <t>Context: Better methods of evaluating process performance of OSS projects can benefit decision makers who consider adoption of OSS software in a company. This article studies the closure of issues (bugs and features) in GitHub projects, which is an important measure of OSS development process performance and quality of support that project users receive from the developer team. Objective: The goal of this article is a better understanding of the factors that affect issue closure rates in OSS projects. Methodology: The GHTorrent repository is used to select a large sample of mature, active OSS projects. Using survival analysis, we calculate short-term, and long-term issue closure rates. We formulate several hypotheses regarding the impact of OSS project and team characteristics, such as measures of work centralization, measures that reflect internal project workflows, and developer social networks measures on issue closure rates. Based on the proposed features and several control features, a model is built that can predict issue closure rate. The model allows to test our hypotheses. Results: We find that large teams that have many project members have lower issue closure rates than smaller teams. Similarly, increased work centralization increases issue closure rates. While desirable social network characteristics have a positive impact on the amount of commits in a project, they do not have significant influence on issue closure. Conclusion: Overall, findings from empirical analysis support the classic notion of Brook’s – the “surgical team” – in the context of OSS project development process performance on GitHub. The model of issue closure rates proposed in this article is a first step towards an improved understanding and prediction of this important measure of OSS development process performance.</t>
  </si>
  <si>
    <t>http://www.sciencedirect.com/science/article/pii/S095058491730304X</t>
  </si>
  <si>
    <t>Jha, Ajay Kumar, Lee, Sunghee and Lee, Woo Jin</t>
  </si>
  <si>
    <t>An empirical study of configuration changes and adoption in Android apps</t>
  </si>
  <si>
    <t>Android platform is evolving rapidly. Therefore, evolution and maintenance of Android apps are major concerns among developers. One of the essential components of each app is an Android manifest file, which is a configuration file used to declare various key attributes of apps. This paper presents an empirical study to understand app evolution through configuration changes. The results of this study will help developers in identifying change-proneness attributes, including change patterns and the reason behind the change, understanding the adoption of different attributes introduced in different versions of the Android platform, and understanding effort distribution pattern in configuration changes and taking proactive measures to reduce the effort. In this paper, we use a data mining approach. We analyze commit histories of Android manifest files of 908 apps to understand the app evolution. The results of this study show that most of the apps extend core functionalities and improve user interface over time, configuration changes are mostly influenced by functionalities extension, platform evolution, and bug reports, very few numbers of existing apps adopt new attributes introduced by the platform, apps are generally slow in adopting new attributes, and significant effort is wasted in changing configuration and then reverting back the change.</t>
  </si>
  <si>
    <t>http://www.sciencedirect.com/science/article/pii/S0164121219301396</t>
  </si>
  <si>
    <t>Jiang, Jing, Lo, David, Ma, Xinyu, Feng, Fuli and Zhang, Li</t>
  </si>
  <si>
    <t>Understanding inactive yet available assignees in GitHub</t>
  </si>
  <si>
    <t>Context In GitHub, an issue or a pull request can be assigned to a specific assignee who is responsible for working on this issue or pull request. Due to the principle of voluntary participation, available assignees may remain inactive in projects. If assignees ever participate in projects, they are active assignees; otherwise, they are inactive yet available assignees (inactive assignees for short). Objective Our objective in this paper is to provide a comprehensive analysis of inactive yet available assignees in GitHub. Method We collect 2,374,474 records of activities in 37 popular projects, and 797,756 records of activities in 687 projects belonging to 8 organizations. We compute the percentage of inactive assignees in projects, and compare projects with and without inactive assignees. Then we analyze datasets to explore why some assignees are inactive. Finally, we send questionnaires to understand impacts of inactive assignees. Results We find that some projects have high percentage of inactive yet available assignees. For example, 66.35% of assignees never participate in the project paperclip. The project paperclip belongs to the organization thoughtbot. In the organization thoughtbot, 84.4% of projects have more than 80% of inactive assignees. We further observe that the main reason for developers being inactive assignees is that developers work for organizations and automatically become available assignees of some projects in the organizations. However, these developers do not work on projects. 37.25% of developers that we have surveyed agree that inactive assignees affect open source software development (i.e., causing unresolved issues or pull requests, and delaying software development). Conclusion Some organizations should improve team management, and carefully select developers to become assignees in projects. Future studies about assignees should be careful to perform data cleaning, since some available assignees are added by virtue of their employment and do not really work on projects.</t>
  </si>
  <si>
    <t>http://www.sciencedirect.com/science/article/pii/S0950584917304457</t>
  </si>
  <si>
    <t>Jiang, Jing, Lo, David, Zheng, Jiateng, Xia, Xin, Yang, Yun and Zhang, Li</t>
  </si>
  <si>
    <t>Who should make decision on this pull request? Analyzing time-decaying relationships and file similarities for integrator prediction</t>
  </si>
  <si>
    <t>In pull-based development model, integrators are responsible for making decisions about whether to accept pull requests and integrate code contributions. Ideally, pull requests are assigned to integrators and evaluated within a short time after their submissions. However, the volume of incoming pull requests is large in popular projects, and integrators often encounter difficulties in processing pull requests in a timely fashion. Therefore, an automatic integrator prediction approach is required to assign appropriate pull requests to integrators. In this paper, we propose an approach TRFPre which analyzes Time-decaying Relationships and File similarities to predict integrators. We evaluate the effectiveness of TRFPre on 24 projects containing 138,373 pull requests. Experimental results show that TRFPre makes accurate integrator predictions in terms of accuracies and Mean Reciprocal Rank. Less than 2 predictions are needed to find correct integrator in 91.67% of projects. In comparison with state-of-the-art approaches cHRev, WRC, TIE, CoreDevRec and ACRec, TRFPre improves top-1 accuracy by 68.2%, 73.9%, 49.3%, 14.3% and 46.4% on average across 24 projects.</t>
  </si>
  <si>
    <t>http://www.sciencedirect.com/science/article/pii/S0164121219300962</t>
  </si>
  <si>
    <t>Kakarontzas, George, Constantinou, Eleni, Ampatzoglou, Apostolos and Stamelos, Ioannis</t>
  </si>
  <si>
    <t>Layer assessment of object-oriented software: A metric facilitating white-box reuse</t>
  </si>
  <si>
    <t>Software reuse has the potential to shorten delivery times, improve quality and reduce development costs. However software reuse has been proven challenging for most organizations. The challenges involve both organizational and technical issues. In this work we concentrate on the technical issues and we propose a new metric facilitating the reuse of object-oriented software based on the popular Chidamber and Kemerer suite for object-oriented design. We derive this new metric using linear regression on a number of OSS java projects. We compare and contrast this new metric with three other metrics proposed in the literature. The purpose of the proposed metric is to assist a software developer during the development of a software system in achieving reusability of classes considered important for future reuse and also in providing assistance during re-architecting and componentization activities of existing systems.</t>
  </si>
  <si>
    <t>http://www.sciencedirect.com/science/article/pii/S0164121212002452</t>
  </si>
  <si>
    <t>Keivanloo, Iman and Rilling, Juergen</t>
  </si>
  <si>
    <t>Software trustworthiness 2.0—A semantic web enabled global source code analysis approach</t>
  </si>
  <si>
    <t>There has been an ongoing trend toward collaborative software development using open and shared source code published in large software repositories on the Internet. While traditional source code analysis techniques perform well in single project contexts, new types of source code analysis techniques are ermerging, which focus on global source code analysis challenges. In this article, we discuss how the Semantic Web, can become an enabling technology to provide a standardized, formal, and semantic rich representations for modeling and analyzing large global source code corpora. Furthermore, inference services and other services provided by Semantic Web technologies can be used to support a variety of core source code analysis techniques, such as semantic code search, call graph construction, and clone detection. In this paper, we introduce SeCold, the first publicly available online linked data source code dataset for software engineering researchers and practitioners. Along with its dataset, SeCold also provides some Semantic Web enabled core services to support the analysis of Internet-scale source code repositories. We illustrated through several examples how this linked data combined with Semantic Web technologies can be harvested for different source code analysis tasks to support software trustworthiness. For the case studies, we combine both our linked-data set and Semantic Web enabled source code analysis services with knowledge extracted from StackOverflow, a crowdsourcing website. These case studies, we demonstrate that our approach is not only capable of crawling, processing, and scaling to traditional types of structured data (e.g., source code), but also supports emerging non-structured data sources, such as crowdsourced information (e.g., StackOverflow.com) to support a global source code analysis context.</t>
  </si>
  <si>
    <t>http://www.sciencedirect.com/science/article/pii/S0164121213002173</t>
  </si>
  <si>
    <t>Krüger, Jacob, Mukelabai, Mukelabai, Gu, Wanzi, Shen, Hui, Hebig, Regina and Berger, Thorsten</t>
  </si>
  <si>
    <t>Where is my feature and what is it about? A case study on recovering feature facets</t>
  </si>
  <si>
    <t>Developers commonly use features to define, manage, and communicate functionalities of a system. Unfortunately, the locations of features in code and other characteristics (feature facets), relevant for evolution and maintenance, are often poorly documented. Since developers change, and knowledge fades with time, such information often needs to be recovered. Modern projects boast a richness of information sources, such as pull requests, release logs, and otherwise specified domain knowledge. However, it is largely unknown from what sources the features, their locations, and their facets can be recovered. We present an exploratory study on identifying such information in two popular, variant-rich, and long-living systems: The 3D-printer firmware Marlin and the Android application Bitcoin-wallet. Besides the available information sources, we also investigated the projects’ communities, communications, and development cultures. Our results show that a multitude of information sources (e.g., commit messages and pull requests) is helpful to recover features, locations, and facets to different extents. Pull requests were the most valuable source to recover facets, followed by commit messages and the issue tracker. As many of the studied information sources are, so far, rarely exploited in techniques for recovering features and their facets, we hope to inspire researchers and tool builders with our results.</t>
  </si>
  <si>
    <t>http://www.sciencedirect.com/science/article/pii/S0164121219300184</t>
  </si>
  <si>
    <t>Kumar, Lov, Sripada, Sai Krishna, Sureka, Ashish and Rath, Santanu Ku</t>
  </si>
  <si>
    <t>Effective fault prediction model developed using Least Square Support Vector Machine (LSSVM)</t>
  </si>
  <si>
    <t>Software developers and project teams spend considerable amount of time in identifying and fixing faults reported by testers and users. Predicting defects and identifying regions in the source code containing faults before it is discovered or invoked by users can be valuable in terms of saving maintenance resources, user satisfaction and preventing major system failures post deployment. Fault prediction can also improve the effectiveness of software quality assurance activities by guiding the test team to focus efforts on fault prone components. The work presented in this paper involves building an effective fault prediction tool by identifying and investigating the predictive power of several well-known and widely used software metrics for fault prediction. We apply ten different feature selection techniques to choose the best set of metrics from a set of twenty source code metrics. We build the fault prediction model using Least Squares Support Vector Machine (LSSVM) learning method associated with linear, polynomial and radial basis function kernel functions. We perform experiments on 30 Open Source Java projects. Experimental results reveals that our prediction model is best suitable for projects with faulty classes less than the threshold value depending on fault identification efficiency (low- 52.139%, median- 46.206%, and high- 32.080%).</t>
  </si>
  <si>
    <t>http://www.sciencedirect.com/science/article/pii/S0164121217300717</t>
  </si>
  <si>
    <t>Kuwata, Yoshitaka and Miura, Hiroshi</t>
  </si>
  <si>
    <t>A Study on Growth Model of OSS Projects to estimate the stage of lifecycle</t>
  </si>
  <si>
    <t>The products of Open Source Software (OSS) projects are widely used even in commercial mission-critical and high-availability systems. This is because both the quality of these software products is high enough for these applications and the support of software could fulfill the requirement. In general, when one wants to adopt OSS as a part of computer systems, it is required to examine the functional requirement (FR) for the OSS as well as nonfunctional requirement (NFR). In the previous paper, we focused on NFR of OSS and proposed an evaluation method based on the maturity model of OSS community. Based on the model, we tried to evaluate four major OSS communities. For the evaluation, we used human knowledge of targeted OSS community. However it was not clear how to evaluate individual OSS project in OSS community. In this paper, we focused on continuity of OSS project, as it is one of the most important factors for users to make a decision. In order to evaluate continuity, we proposed a growth model of OSS project, which is based on the size and activity of OSS Project. We evaluated the growth model using information retrieved from OSS communities from both OSS community sites and source code repositories.</t>
  </si>
  <si>
    <t>http://www.sciencedirect.com/science/article/pii/S1877050915022693</t>
  </si>
  <si>
    <t>Latorre, Roberto and Suárez, Javier</t>
  </si>
  <si>
    <t>Measuring social networks when forming information system project teams</t>
  </si>
  <si>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t>
  </si>
  <si>
    <t>http://www.sciencedirect.com/science/article/pii/S016412121730208X</t>
  </si>
  <si>
    <t>Lee, Junyeong, Min, Jinyoung and Lee, Heeseok</t>
  </si>
  <si>
    <t>The Effect of Organizational Structure on Open Innovation: A Quadratic Equation</t>
  </si>
  <si>
    <t>Open innovation has recently begun to receive increasing attention in organizational research. Studies on open innovation have emphasized the impact of organizational structure on both inbound and outbound open innovation but have tended to focus on the former. This study attempts to provide a better understanding of open innovation within the context of open source by examining 2,811 projects, especially in GitHub. The analysis results reveal that the decentralization of decision-making encourages both inbound and outbound open innovation. The impact of the decentralization of decision-making differs between inbound and outbound open innovation, a finding that both scholars and practitioners must consider.</t>
  </si>
  <si>
    <t>http://www.sciencedirect.com/science/article/pii/S1877050916313217</t>
  </si>
  <si>
    <t>Lima, Phyllipe, Guerra, Eduardo, Meirelles, Paulo, Kanashiro, Lucas, Silva, Hélio and Silveira, Fábio Fagundes</t>
  </si>
  <si>
    <t>A Metrics Suite for code annotation assessment</t>
  </si>
  <si>
    <t>Code annotation is a language feature that enables the introduction of custom metadata on programming elements. In Java, this feature was introduced on version 5, and today it is widely used by main enterprise application frameworks and APIs. Although this language feature potentially simplifies metadata configuration, its abuse and misuse can reduce source code readability and complicate its maintenance. The goal of this paper is to propose software metrics regarding annotations in the source code and analyze their distribution in real-world projects. We have defined a suite of metrics to assess characteristics of the usage of source code annotations in a code base. Our study collected data from 24947 classes extracted from open source projects to analyze the distribution of the proposed metrics. We developed a tool to automatically extract the metrics and provide a full report on annotations usage. Based on the analysis of the distribution, we defined an appropriate approach for the calculation of thresholds to interpret the metric values. The results allow the assessment of annotated code characteristics. Using the thresholds values, we proposed a way to interpret the use of annotations, which can reveal potential problems in the source code.</t>
  </si>
  <si>
    <t>http://www.sciencedirect.com/science/article/pii/S016412121730273X</t>
  </si>
  <si>
    <t>Lingerfelt, E. J., Messer, O. E. B., Desai, S. S., Holt, C. A. and Lentz, E. J.</t>
  </si>
  <si>
    <t>Liu, Yuzhou, Liu, Lei, Liu, Huaxiao, Wang, Xiaoyu and Yang, Hongji</t>
  </si>
  <si>
    <t>Mining domain knowledge from app descriptions</t>
  </si>
  <si>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</si>
  <si>
    <t>http://www.sciencedirect.com/science/article/pii/S0164121217301784</t>
  </si>
  <si>
    <t>Nam, Jaechang, Wang, Song, Xi, Yuan and Tan, Lin</t>
  </si>
  <si>
    <t>A bug finder refined by a large set of open-source projects</t>
  </si>
  <si>
    <t>Context Static bug detection techniques are commonly used to automatically detect software bugs. The biggest obstacle to the wider adoption of static bug detection tools is false positives, i.e., reported bugs that developers do not have to act on. Objective The objective of this study is to reduce false positives resulting from static bug detection tools and to detect new bugs by exploring the effectiveness of a feedback-based bug detection rule design. Method We explored a large number of software projects and applied an iterative feedback-based process to design bug detection rules. The outcome of the process is a set of ten bug detection rules, which we used to build a feedback-based bug finder, FeeFin. Specifically, we manually examined 1622 patches to identify bugs and fix patterns, and implement bug detection rules. Then, we refined the rules by repeatedly using feedback from a large number of software projects. Results We applied FeeFin to the latest versions of the 1880 projects on GitHub to detect previously unknown bugs. FeeFin detected 98 new bugs, 63 of which have been reviewed by developers: 57 were confirmed as true bugs, and 9 were confirmed as false positives. In addition, we investigated the benefits of our FeeFin process in terms of new and improved bug patterns. We verified our bug patterns with four existing tools, namely PMD, FindBugs, Facebook Infer, and Google Error Prone, and found that our FeeFin process has the potential to identify new bug patterns and also to improve existing bug patterns. Conclusion Based on the results, we suggest that static bug detection tool designers identify new bug patterns by mining real-world patches from a large number of software projects. In addition, the FeeFin process is helpful in mitigating false positives generated from existing tools by refining their bug detection rules.</t>
  </si>
  <si>
    <t>http://www.sciencedirect.com/science/article/pii/S0950584919300977</t>
  </si>
  <si>
    <t>Oliveira, Juliana, Borges, Deise, Silva, Thaisa, Cacho, Nelio and Castor, Fernando</t>
  </si>
  <si>
    <t>Do android developers neglect error handling? a maintenance-Centric study on the relationship between android abstractions and uncaught exceptions</t>
  </si>
  <si>
    <t>All the mainstream programming languages in widespread use for mobile app development provide error handling mechanisms to support the implementation of robust apps. Android apps, in particular, are usually written in the Java programming language. Java includes an exception handling mechanism that allows programs to signal the occurrence of errors by throwing exceptions and to handle these exceptions by catching them. All the Android-specific abstractions, such as activities and asynctasks, can throw exceptions when errors occur. When an app catches the exceptions that it or the libraries upon which it depends throw, it can resume its activity or, at least, fail in a graceful way. On the other hand, uncaught exceptions can lead an app to crash, particularly if they occur within the main thread. Previous work has shown that, in real Android apps available at the Play Store, uncaught exceptions thrown by Android-specific abstractions often cause these apps to fail. This paper presents an empirical study on the relationship between the usage of Android abstractions and uncaught exceptions. Our approach is quantitative and maintenance-centric. We analyzed changes to both normal and exception handling code in 112 versions extracted from 16 software projects covering a number of domains, amounting to more than 3 million LOC. Change impact analysis and exception flow analysis were performed on those versions of the projects. The main finding of this study is that, during the evolution of the analyzed apps, an increase in the use of Android abstractions exhibits a positive and statistically significant correlation with the number of uncaught exception flows. Since uncaught exceptions cause apps to crash, this result suggests that these apps are becoming potentially less robust as a consequence of exception handling misuse. Analysis of multiple versions of these apps revealed that Android developers usually employ abstractions that may throw exceptions without adding the appropriate handlers for these exceptions. This study highlights the need for better testing and verification tools with a focus on exception handling code and for a change of culture in Android development or, at least, in the design of its APIs.</t>
  </si>
  <si>
    <t>http://www.sciencedirect.com/science/article/pii/S0164121217302558</t>
  </si>
  <si>
    <t>Qi, Fumin, Jing, Xiao-Yuan, Zhu, Xiaoke, Xie, Xiaoyuan, Xu, Baowen and Ying, Shi</t>
  </si>
  <si>
    <t>Software effort estimation based on open source projects: Case study of Github</t>
  </si>
  <si>
    <t>Context Managers usually want to pre-estimate the effort of a new project for reasonably dividing their limited resources. In reality, it is common practice to train a prediction model based on effort datasets to predict the effort required by a project. Sufficient data is the basis for training a good estimator, yet most of the data owners are unwilling to share their closed source project (CSP) effort data due to the privacy concerns, which means that we can only obtain a small number of effort data. Effort estimator built on the limited data usually cannot satisfy the practical requirement. Objective We aim to provide a method which can be used to collect sufficient data for solving the problem of lack of training data when building an effort estimation model. Method We propose to mine GitHub to collect sufficient and diverse real-life effort data for effort estimation. Specifically, we first demonstrate the feasibility of our cost metrics (including functional point analysis and personnel factors). In particular, we design a quantitative method for evaluating the personnel metrics based on GitHub data. Then we design a samples incremental approach based on AdaBoost and Classification And Regression Tree (ABCART) to make the collected dataset owns dynamic expansion capability. Results Experimental results on the collected dataset show that: (1) the personnel factor is helpful for improving the performance of the effort estimation. (2) the proposed ABCART algorithm can increase the samples of the collected dataset online. (3) the estimators built on the collected data can achieve comparable performance with those of the estimators which built on existing effort datasets. Conclusions Effort estimation based on Open Source Project (OSP) is an effective way for getting the effort required by a new project, especially for the case of lacking training data.</t>
  </si>
  <si>
    <t>http://www.sciencedirect.com/science/article/pii/S0950584917302239</t>
  </si>
  <si>
    <t>Rahmani, M., Bastola, D. and Najjar, L.</t>
  </si>
  <si>
    <t>Comparative Analysis of Software Repository Metrics in BioPerl, BioJava and BioRuby</t>
  </si>
  <si>
    <t>Rufiange, Sébastien and Fuhrman, Christopher P.</t>
  </si>
  <si>
    <t>Visualizing protected variations in evolving software designs</t>
  </si>
  <si>
    <t>Identifying and tracking evolving software structures at a design level is a challenging task. Although there are ways to visualize this information statically, there is a need for methods that help analyzing the evolution of software design elements. In this paper, we present a new visual approach to identify variability zones in software designs and explore how they evolve over time. To verify the usefulness of our approach, we did a user study in which participants had to browse software histories and find visual patterns. Most participants were able to find interesting observations and found our approach intuitive and useful. We present a number of design aspects that were observed by participants and the authors using our IHVis tool on four open-source projects.</t>
  </si>
  <si>
    <t>http://www.sciencedirect.com/science/article/pii/S016412121300263X</t>
  </si>
  <si>
    <t>Saha, Ripon K., Khurshid, Sarfraz and Perry, Dewayne E.</t>
  </si>
  <si>
    <t>Understanding the triaging and fixing processes of long lived bugs</t>
  </si>
  <si>
    <t>Context Bug fixing is an integral part of software development and maintenance. A large number of bugs often indicate poor software quality, since buggy behavior not only causes failures that may be costly but also has a detrimental effect on the user’s overall experience with the software product. The impact of long lived bugs can be even more critical since experiencing the same bug version after version can be particularly frustrating for user. While there are many studies that investigate factors affecting bug fixing time for entire bug repositories, to the best of our knowledge, none of these studies investigates the extent and reasons of long lived bugs. Objective In this paper, we investigate the triaging and fixing processes of long lived bugs so that we can identify the reasons for delay and improve the overall bug fixing process. Methodology We mine the bug repositories of popular open source projects, and analyze long lived bugs from five different perspectives: their proportion, severity, assignment, reasons, as well as the nature of fixes. Results Our study on seven open-source projects shows that there are a considerable number of long lived bugs in each system and over 90% of them adversely affect the user’s experience. The reasons for these long lived bugs are diverse including long assignment time, not understanding their importance in advance, etc. However, many bug-fixes were delayed without any specific reasons. Furthermore, 40% of long lived bugs need only small fixes. Conclusion Our overall results suggest that a significant number of long lived bugs may be minimized through careful triaging and prioritization if developers could predict their severity, change effort, and change impact in advance. We believe our results will help both developers and researchers better to understand factors behind delays, improve the overall bug fixing process, and investigate analytical approaches for prioritizing bugs based on bug severity as well as expected bug fixing effort.</t>
  </si>
  <si>
    <t>http://www.sciencedirect.com/science/article/pii/S0950584915000531</t>
  </si>
  <si>
    <t>Saied, Mohamed Aymen, Ouni, Ali, Sahraoui, Houari, Kula, Raula Gaikovina, Inoue, Katsuro and Lo, David</t>
  </si>
  <si>
    <t>Improving reusability of software libraries through usage pattern mining</t>
  </si>
  <si>
    <t>Modern software systems are increasingly dependent on third-party libraries. It is widely recognized that using mature and well-tested third-party libraries can improve developers’ productivity, reduce time-to-market, and produce more reliable software. Today’s open-source repositories provide a wide range of libraries that can be freely downloaded and used. However, as software libraries are documented separately but intended to be used together, developers are unlikely to fully take advantage of these reuse opportunities. In this paper, we present a novel approach to automatically identify third-party library usage patterns, i.e., collections of libraries that are commonly used together by developers. Our approach employs a hierarchical clustering technique to group together software libraries based on external client usage. To evaluate our approach, we mined a large set of over 6000 popular libraries from Maven Central Repository and investigated their usage by over 38,000 client systems from the Github repository. Our experiments show that our technique is able to detect the majority (77%) of highly consistent and cohesive library usage patterns across a considerable number of client systems.</t>
  </si>
  <si>
    <t>http://www.sciencedirect.com/science/article/pii/S0164121218301699</t>
  </si>
  <si>
    <t>Schall, Daniel</t>
  </si>
  <si>
    <t>Who to follow recommendation in large-scale online development communities</t>
  </si>
  <si>
    <t>Context Open source development allows a large number of people to reuse and contribute source code to the community. Social networking features open opportunities for information discovery, social collaborations, and improved recommendations of potential collaborators. Objective Online community and development platforms rely on social network features to increase awareness and attention among community members for improved collaborations. The objective of this work is to introduce an approach for recommending relevant users to follow. Follower networks provide means for informal information propagation. The efficiency and effectiveness of such information flows is impacted by the network structure. Here, we aim to understand the resilience of networks against random or strategic node removal. Method Social network features of online software development communities present a new opportunity to enhance online collaboration. Our approach is based on the automatic analysis of user behavior and network structure. The proposed ‘who to follow’ recommendation algorithm can be parametrized for specific contexts. Link-analysis techniques such as PageRank/HITS provide the basis for a novel ‘who to follow’ recommendation model. Results We tested the approach using a GitHub-based dataset. Currently, users follow popular community members to get updates regarding their activities instead of maintaining personal relations. Thus, social network features require further improvements to increase reciprocity. The application of our ‘who to follow’ recommendation model using the GitHub dataset shows excellent results with respect to context-sensitive following recommendations. The sensitivity of GitHub’s follower network to random node removal is comparable with other social networks but more sensitive to follower authority based node removal. Conclusion Link-based algorithm can be used for context-sensitive ‘who to follow’ recommendations. GitHub is highly sensitive to authority based node removal. Information flow established through follower relations will be strongly impacted if many authorities are removed from the network. This underpins the importance of ‘central’ users and the validity of focusing the ‘who to follow’ recommendations on those users.</t>
  </si>
  <si>
    <t>http://www.sciencedirect.com/science/article/pii/S0950584913002322</t>
  </si>
  <si>
    <t>Soares, Daricélio M., de Lima Júnior, Manoel L., Plastino, Alexandre and Murta, Leonardo</t>
  </si>
  <si>
    <t>What factors influence the reviewer assignment to pull requests?</t>
  </si>
  <si>
    <t>Context When external contributors want to collaborate with an open-source project, they can send a pull request to the project core team. Subsequently, a core team member is assigned to review the pull request. Recently, some techniques for recommending reviewers to analyze pull requests were proposed. However, they replicate previous (not always desired) patterns and do not provide the rationale behind the recommendation. Objective This paper aims at understanding the factors that influence on assigning reviewers to pull requests and evaluating the extent of this influence. Method To reach this goal, we mined association rules from 22,523 pull requests belonging to 3 projects hosted on GitHub. In addition to showing such patterns, we also present a qualitative analysis that explains why the patterns arose. Results In summary our results indicate that (i) some reviewers always analyze smaller pull requests, with few commits and few files; (ii) some reviewers frequently (up to 58% of the times) analyze pull requests filed by inexperienced requesters; (iii) some reviewers have more chances (up to 25 times) to analyze pull requests filed by requesters of their acquaintance; and (iv) some reviewers have more chances (up to 20 times) to analyze pull requests containing files that they have recently changed. Conclusion In particular, the results allow for the following conclusions: (i) factors such as number of commits and files in the pull request may influence the reviewers assignment; (ii) factors regarding the requester profile may influence on reviewer allocation; (iii) the social relationship between requester and reviewer exert influence on pull request evaluation, that is, when the reviewer knows the requester, his or her chances of evaluating such contributions may increase; and (iv) factors such as ownership and locality of pull request artifacts are important predictors for the reviewer. Furthermore, we point out that, besides identifying influence factors related to pull request reviewer, the adopted approach allowed us to quantify the extent of that influence via support, confidence, and lift metrics.</t>
  </si>
  <si>
    <t>http://www.sciencedirect.com/science/article/pii/S0950584917303804</t>
  </si>
  <si>
    <t>Souza, Lucas B. L., Campos, Eduardo C., Madeiral, Fernanda, Paixão, Klérisson, Rocha, Adriano M. and Maia, Marcelo de Almeida</t>
  </si>
  <si>
    <t>Bootstrapping cookbooks for APIs from crowd knowledge on Stack Overflow</t>
  </si>
  <si>
    <t>Context Well established libraries typically have API documentation. However, they frequently lack examples and explanations, possibly making difficult their effective reuse. Stack Overflow is a question-and-answer website oriented to issues related to software development. Despite the increasing adoption of Stack Overflow, the information related to a particular topic (e.g., an API) is spread across the website. Thus, Stack Overflow still lacks organization of the crowd knowledge available on it. Objective Our target goal is to address the problem of the poor quality documentation for APIs by providing an alternative artifact to document them based on the crowd knowledge available on Stack Overflow, called crowd cookbook. A cookbook is a recipe-oriented book, and we refer to our cookbook as crowd cookbook since it contains content generated by a crowd. The cookbooks are meant to be used through an exploration process, i.e. browsing. Method In this paper, we present a semi-automatic approach that organizes the crowd knowledge available on Stack Overflow to build cookbooks for APIs. We have generated cookbooks for three APIs widely used by the software development community: SWT, LINQ and QT. We have also defined desired properties that crowd cookbooks must meet, and we conducted an evaluation of the cookbooks against these properties with human subjects. Results The results showed that the cookbooks built using our approach, in general, meet those properties. As a highlight, most of the recipes were considered appropriate to be in the cookbooks and have self-contained information. Conclusion We concluded that our approach is capable to produce adequate cookbooks automatically, which can be as useful as manually produced cookbooks. This opens an opportunity for API designers to enrich existent cookbooks with the different points of view from the crowd, or even to generate initial versions of new cookbooks.</t>
  </si>
  <si>
    <t>http://www.sciencedirect.com/science/article/pii/S0950584919300564</t>
  </si>
  <si>
    <t>Stolee, Kathryn T., Elbaum, Sebastian and Sarma, Anita</t>
  </si>
  <si>
    <t>Discovering how end-user programmers and their communities use public repositories: A study on Yahoo! Pipes</t>
  </si>
  <si>
    <t>Context End-user programmers are numerous, write software that matters to an increasingly large number of users, and face software engineering challenges that are similar to their professionals counterparts. Yet, we know little about how these end-user programmers create and share artifacts in repositories as part of a community. Objective This work aims to gain a better understanding of end-user programmer communities, the characteristics of artifacts in community repositories, and how authors evolve over time. Method An artifact-based analysis of 32,000 mashups from the Yahoo! Pipes repository was performed. The popularity, configurability, complexity, and diversity of the artifacts were measured. Additionally, for the most prolific authors, we explore their submission trends over time. Results Similar to other online communities, there is great deal of attrition but authors who persevere tend to improve over time, creating pipes that are more configurable, diverse, complex, and popular. We also discovered, however, that end-user programmers do not effectively reuse existing programs, submit pipes that are highly similar to others already in the repository, and in most cases do not have an awareness of the community or the richness of artifacts that exist in repositories. Conclusion There is a need for better end-user programmer support in several stages of the software lifecycle, including development, maintenance, search, and program understanding. Without such support, the community repositories will continue to be cluttered with highly-similar artifacts and authors may not be able to take full advantage of the community resources.</t>
  </si>
  <si>
    <t>http://www.sciencedirect.com/science/article/pii/S095058491200211X</t>
  </si>
  <si>
    <t>Sun, Xiaobing, Yang, Hui, Xia, Xin and Li, Bin</t>
  </si>
  <si>
    <t>Enhancing developer recommendation with supplementary information via mining historical commits</t>
  </si>
  <si>
    <t>Given a software issue request, one important activity is to recommend suitable developers to resolve it. A number of approaches have been proposed on developer recommendation. These developer recommendation techniques tend to recommend experienced developers, i.e., the more experienced a developer is, the more possible he/she is recommended. However, if the experienced developers are hectic, the junior developers may be employed to finish the incoming issue. But they may have difficulty in these tasks for lack of development experience. In this article, we propose an approach, EDR_SI, to enhance developer recommendation by considering their expertise and developing habits. Furthermore, EDR_SI also provides the personalized supplementary information for developers to use, such as personalized source code files, developer network and source-code change history. An empirical study on five open source subjects is conducted to evaluate the effectiveness of EDR_SI. In our study, EDR_SI is also compared with the state-of-art developer recommendation techniques, iMacPro, Location and ABA-Time-tf-idf, to evaluate the effectiveness of developer recommendation, and the results show that EDR_SI can not only improve the accuracy of developer recommendation, but also effectively provide useful supplementary information for them to use when they implement the incoming issue requests.</t>
  </si>
  <si>
    <t>http://www.sciencedirect.com/science/article/pii/S0164121217302091</t>
  </si>
  <si>
    <t>Treude, Christoph, Leite, Larissa and Aniche, Maurício</t>
  </si>
  <si>
    <t>Unusual events in GitHub repositories</t>
  </si>
  <si>
    <t>In large and active software projects, it becomes impractical for a developer to stay aware of all project activity. While it might not be necessary to know about each commit or issue, it is arguably important to know about the ones that are unusual. To investigate this hypothesis, we identified unusual events in 200 GitHub projects using a comprehensive list of ways in which an artifact can be unusual and asked 140 developers responsible for or affected by these events to comment on the usefulness of the corresponding information. Based on 2,096 answers, we identify the subset of unusual events that developers consider particularly useful, including large code modifications and unusual amounts of reviewing activity, along with qualitative evidence on the reasons behind these answers. Our findings provide a means for reducing the amount of information that developers need to parse in order to stay up to date with development activity in their projects.</t>
  </si>
  <si>
    <t>http://www.sciencedirect.com/science/article/pii/S0164121218300876</t>
  </si>
  <si>
    <t>Umm e, Laila, Zahoor, Adnan, Mehboob, Khalid and Natha, Sarfaraz</t>
  </si>
  <si>
    <t>Comparison of open source maturity models</t>
  </si>
  <si>
    <t>Component based development was formerly dependent on propriety/closed source software’s (CSS) components. Open Source software components has attracted noteworthy attention and become an operational alternative of proprietary software because of OSS security, cost effectiveness, quality, flexibility and freedom. Due to the increased attention on component-based development in the past decades, companies have widely adopted open source software (OSS), with the view that using the right software is critical to project success. The availability of Internet as a marketplace for components and wide adoption of OSS has introduced new challenges for selection of software components. Source Forge, other general and domain specific software repositories, different software foundations and individual OSS providers offer an abundance of OSS components. Identification, evaluation and selection of best possible OSS Components for the required need is a quite challenging job. As a reaction to these challenges different methods have been proposed for OSS maturity measurements. E.g. Capgemini-Open Source Maturity Model(C-OSSM), Navicasoft-Open Source Maturity Model (N-OSSM), Qualification and Selection of Open Source (QSOS), Open Business Readiness Rating (Open BRR) and Easiest Open Source (E-OSS).In this paper we compare different Open Source software maturity models available in the market that will help user in OSS component selection.</t>
  </si>
  <si>
    <t>http://www.sciencedirect.com/science/article/pii/S1877050917312061</t>
  </si>
  <si>
    <t>Visually characterizing source code changes</t>
  </si>
  <si>
    <t>Valdivia-Garcia, Harold, Shihab, Emad and Nagappan, Meiyappan</t>
  </si>
  <si>
    <t>Characterizing and predicting blocking bugs in open source projects</t>
  </si>
  <si>
    <t>Software engineering researchers have studied specific types of issues such reopened bugs, performance bugs, dormant bugs, etc. However, one special type of severe bugs is blocking bugs. Blocking bugs are software bugs that prevent other bugs from being fixed. These bugs may increase maintenance costs, reduce overall quality and delay the release of the software systems. In this paper, we study blocking bugs in eight open source projects and propose a model to predict them early on. We extract 14 different factors (from the bug repositories) that are made available within 24 hours after the initial submission of the bug reports. Then, we build decision trees to predict whether a bug will be a blocking bugs or not. Our results show that our prediction models achieve F-measures of 21%–54%, which is a two-fold improvement over the baseline predictors. We also analyze the fixes of these blocking bugs to understand their negative impact. We find that fixing blocking bugs requires more lines of code to be touched compared to non-blocking bugs. In addition, our file-level analysis shows that files affected by blocking bugs are more negatively impacted in terms of cohesion, coupling complexity and size than files affected by non-blocking bugs.</t>
  </si>
  <si>
    <t>http://www.sciencedirect.com/science/article/pii/S0164121218300530</t>
  </si>
  <si>
    <t>Yu, Yue, Wang, Huaimin, Yin, Gang and Wang, Tao</t>
  </si>
  <si>
    <t>Reviewer recommendation for pull-requests in GitHub: What can we learn from code review and bug assignment?</t>
  </si>
  <si>
    <t>Context: The pull-based model, widely used in distributed software development, offers an extremely low barrier to entry for potential contributors (anyone can submit of contributions to any project, through pull-requests). Meanwhile, the project’s core team must act as guardians of code quality, ensuring that pull-requests are carefully inspected before being merged into the main development line. However, with pull-requests becoming increasingly popular, the need for qualified reviewers also increases. GitHub facilitates this, by enabling the crowd-sourcing of pull-request reviews to a larger community of coders than just the project’s core team, as a part of their social coding philosophy. However, having access to more potential reviewers does not necessarily mean that it’s easier to find the right ones (the “needle in a haystack” problem). If left unsupervised, this process may result in communication overhead and delayed pull-request processing. Objective: This study aims to investigate whether and how previous approaches used in bug triaging and code review can be adapted to recommending reviewers for pull-requests, and how to improve the recommendation performance. Method: First, we extend three typical approaches used in bug triaging and code review for the new challenge of assigning reviewers to pull-requests. Second, we analyze social relations between contributors and reviewers, and propose a novel approach by mining each project’s comment networks (CNs). Finally, we combine the CNs with traditional approaches, and evaluate the effectiveness of all these methods on 84 GitHub projects through both quantitative and qualitative analysis. Results: We find that CN-based recommendation can achieve, by itself, similar performance as the traditional approaches. However, the mixed approaches can achieve significant improvements compared to using either of them independently. Conclusion: Our study confirms that traditional approaches to bug triaging and code review are feasible for pull-request reviewer recommendations on GitHub. Furthermore, their performance can be improved significantly by combining them with information extracted from prior social interactions between developers on GitHub. These results prompt for novel tools to support process automation in social coding platforms, that combine social (e.g., common interests among developers) and technical factors (e.g., developers’ expertise).</t>
  </si>
  <si>
    <t>http://www.sciencedirect.com/science/article/pii/S0950584916000069</t>
  </si>
  <si>
    <t>Zamani, Sima, Lee, Sai Peck, Shokripour, Ramin and Anvik, John</t>
  </si>
  <si>
    <t>A noun-based approach to feature location using time-aware term-weighting</t>
  </si>
  <si>
    <t>Context Feature location aims to identify the source code location corresponding to the implementation of a software feature. Many existing feature location methods apply text retrieval to determine the relevancy of the features to the text data extracted from the software repositories. One of the preprocessing activities in text retrieval is term-weighting, which is used to adjust the importance of a term within a document or corpus. Common term-weighting techniques may not be optimal to deal with text data from software repositories due to the origin of term-weighting techniques from a natural language context. Objective This paper describes how the consideration of when the terms were used in the repositories, under the condition of weighting only the noun terms, can improve a feature location approach. Method We propose a feature location approach using a new term-weighting technique that takes into account how recently a term has been used in the repositories. In this approach, only the noun terms are weighted to reduce the dataset volume and avoid dealing with dimensionality reduction. Results An empirical evaluation of the approach on four open-source projects reveals improvements to the accuracy, effectiveness and performance up to 50%, 17%, and 13%, respectively, when compared to the commonly-used Vector Space Model approach. The comparison of the proposed term-weighting technique with the Term Frequency-Inverse Document Frequency technique shows accuracy, effectiveness, and performance improvements as much as 15%, 10%, and 40%, respectively. The investigation of using only noun terms, instead of using all terms, in the proposed approach also indicates improvements up to 28%, 21%, and 58% on accuracy, effectiveness, and performance, respectively. Conclusion In general, the use of time in the weighting of terms, along with the use of only the noun terms, makes significant improvements to a feature location approach that relies on textual information.</t>
  </si>
  <si>
    <t>http://www.sciencedirect.com/science/article/pii/S0950584914000688</t>
  </si>
  <si>
    <t>Zhang, Fanlong, Khoo, Siau-cheng and Su, Xiaohong</t>
  </si>
  <si>
    <t>Predicting change consistency in a clone group</t>
  </si>
  <si>
    <t>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t>
  </si>
  <si>
    <t>http://www.sciencedirect.com/science/article/pii/S0164121217301875</t>
  </si>
  <si>
    <t>Zhang, Jianzhang, Wang, Yinglin and Xie, Tian</t>
  </si>
  <si>
    <t>Software feature refinement prioritization based on online user review mining</t>
  </si>
  <si>
    <t>Context Online software reviews have provided a wealth of user feedback on software applications. User reviews along with ratings have been influential in a series of software engineering tasks e.g. software maintenance and release planning. Objective Our research aims to assist managers in prioritizing features to be refined in next release from the perspective of enhancing user ratings via mining online reviews. Method We first extract software features from user reviews and determine their probability distribution in each review with LDA. Then the ground truth rating of each feature is estimated by linear regression under the assumption that the software functionality rating is a convex combination of all feature ratings weighted by their distribution probabilities over the review. Finally, we formalize feature refinement prioritization as an optimization problem which maximizes user group’s rating on the software functionality under the constraint of development budget. Results The proposed approach can use topic model to jointly extract features from user reviews semi-supervisedly and determine each feature’s weight in each user’s rating on the software functionality. The estimated ground truth ratings of all features reveal how reviewer group evaluate those features. Finally, we provide an illustrative example to demonstrate the key idea of our framework. Conclusion Our proposed framework is general to various software products with mass user reviews and semi-automatic without much human efforts and intervention. The framework’s interpretability helps managers better understand user feedback on the software functionality and make feature refinement plan for the upcoming releases.</t>
  </si>
  <si>
    <t>http://www.sciencedirect.com/science/article/pii/S0950584918302489</t>
  </si>
  <si>
    <t>Zhao, Yangyang, Leung, Hareton, Yang, Yibiao, Zhou, Yuming and Xu, Baowen</t>
  </si>
  <si>
    <t>Towards an understanding of change types in bug fixing code</t>
  </si>
  <si>
    <t>Context As developing high quality software becomes increasingly challenging because of the explosive growth of scale and complexity, bugs become inevitable in software systems. The knowledge of bugs will naturally guide software development and hence improve software quality. As changes in bug fixing code provide essential insights into the original bugs, analyzing change types is an intuitive and effective way to understand the characteristics of bugs. Objective In this work, we conduct a thorough empirical study to investigate the characteristics of change types in bug fixing code. Method We first propose a new change classification scheme with 5 change types and 9 change subtypes. We then develop an automatic classification tool CTforC to categorize changes. To gain deeper insights into change types, we perform our empirical study based on three questions from three perspectives, i.e. across project, across domain and across version. Results Based on 17 versions of 11 systems with thousands of faulty functions, we find that: (1) across project: the frequencies of change subtypes are significantly similar across most studied projects; interface related code changes are the most frequent bug-fixing changes (74.6% on average); most of faulty functions (65.2% on average) in studied projects are finally fixed by only one or two change subtypes; function call statements are likely to be changed together with assignment statements or branch statements; (2) across domain: the frequencies of change subtypes share similar trends across studied domains; changes on function call, assignment, and branch statements are often the three most frequent changes in studied domains; and (3) across version: change subtypes occur with similar frequencies across studied versions, and the most common subtype pairs tend to be same. Conclusion Our experimental results improve the understanding of changes in bug fixing code and hence the understanding of the characteristics of bugs.</t>
  </si>
  <si>
    <t>http://www.sciencedirect.com/science/article/pii/S0950584917301313</t>
  </si>
  <si>
    <t>Zolkifli, Nazatul Nurlisa, Ngah, Amir and Deraman, Aziz</t>
  </si>
  <si>
    <t>Version Control System: A Review</t>
  </si>
  <si>
    <t>Version Control Systems (VCS) have been used by many software developers during project developments as it helps them to manage the source codes and enables them to keep every version of the project they have worked on. It is the way towards managing, organizing, and coordinating the development of objects. In Software Engineering, software developers need to collaborate with each other to develop a better project. Thus, VCS is very useful because it also supports a collaborative framework that makes it easy for software developers to work together effectively. Without VCS, collaboration is very challenging. This paper discusses the background and the related works about VCS that have been studied by researchers. The purpose of this paper is to convey the knowledge and ideas that have been established on VCS.</t>
  </si>
  <si>
    <t>http://www.sciencedirect.com/science/article/pii/S1877050918314819</t>
  </si>
  <si>
    <t>Zou, Jie, Xu, Ling, Yang, Mengning, Zhang, Xiaohong and Yang, Dan</t>
  </si>
  <si>
    <t>Towards comprehending the non-functional requirements through Developers’ eyes: An exploration of Stack Overflow using topic analysis</t>
  </si>
  <si>
    <t>Context 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NFRs in the Q&amp;A site are rarely investigated. Objective Our research aims to aid comprehension on the actual thoughts and needs of the developers by analyzing the NFRs on Stack Overflow. Method We extracted the textual content of Stack Overflow discussions, and then we applied the topic modeling technique called latent Dirichlet allocation (LDA) helping us to discover the main topics of the corpus. Next, we labelled the topics with NFRs by the wordlists to analyze the hot, unresolved, difficult NFRs, and the evolutionary trends which involves the trends of the NFRs focus and NFRs difficulty. Results 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 Conclusion We present an empirical study on 21.7 million posts and 32.5 million comments of Stack Overflow, and our research provides some guide to understand the NFRs through developers’ eyes.</t>
  </si>
  <si>
    <t>http://www.sciencedirect.com/science/article/pii/S0950584916304268</t>
  </si>
  <si>
    <t>18th International Software Product Line Conference, SPLC 2014</t>
  </si>
  <si>
    <t>Empirical Software Engineering</t>
  </si>
  <si>
    <t>Dittrich, A., Gunes, M. H. and Dascalu, S.</t>
  </si>
  <si>
    <t>Network analysis of software repositories: Identifying subject matter experts</t>
  </si>
  <si>
    <t>A software developer joining a large software project faces a steep learning curve before they are able to make real contributions. One challenge is finding the subject matter experts who can answer questions about a specific area of the software or to review changes. This is especially true of large projects with many modules and a large number of authors. In this paper, we describe a method to model a software project as a network using information mined from the project's version control repository, and demonstrate how network analysis techniques can be used to identify the key authors and subject matter experts. We investigate metrics that can be gathered using network analysis, such as which groups of authors typically work together, and how closely knit the developers are on a project. We analyze several specific projects to demonstrate the applicability of these techniques and several hundred projects to show general trends. © 2013 Springer-Verlag Berlin Heidelberg.</t>
  </si>
  <si>
    <t>https://www.scopus.com/inward/record.uri?eid=2-s2.0-84867467967&amp;doi=10.1007%2f978-3-642-30287-9_20&amp;partnerID=40&amp;md5=fe26bbf33cacd0d715c9da840fb88e49</t>
  </si>
  <si>
    <t>Farias, M. A. D. F., Ortins, P., Novais, R., Colaço, M., Jr. and Mendonça, M.</t>
  </si>
  <si>
    <t>Recovering valuable information behaviour from OSS contributors: An exploratory study</t>
  </si>
  <si>
    <t>Context. Distributed software development is currently a modern practice in software industry. This is especially true in Open Source Software (OSS) development community. Understanding how developers' practices are on those projects may guide communities to successfully manage their projects. Goal. We mined two repositories of the Apache Httpd project in order to gather information about its developers' behavior. Methods. We developed an approach to cross data gathered from mail list and source code repository through mining techniques. The approach uses software visualization to analyze the mined data. We conducted an experimental evaluation of the approach to assess the behavioral patterns from OSS development community. Results. The collected data built a rich set of information. The results highlight Apache developers' behavior patterns. We perceived that there is a correlation over time between emails and commits of the Apache Project developers. Conclusion. The use of data mining and software visualization to analyze crossing data sources can spot important properties of the development process. Copyright © 2014 by Knowledge Systems Institute Graduate School.</t>
  </si>
  <si>
    <t>https://www.scopus.com/inward/record.uri?eid=2-s2.0-84912081830&amp;partnerID=40&amp;md5=124aa5656608f820c943c14b2a59c66b</t>
  </si>
  <si>
    <t>Goto, T., Homma, T., Tsuchida, K. and Nishino, T.</t>
  </si>
  <si>
    <t>Software development education based on UEC software repository</t>
  </si>
  <si>
    <t>Most of the software developed in universities is primarily used by the developers themselves. Normally, most of this software is managed and stored on servers in the research laboratories, but since the software is generally lacking in documentation and is not developed with third-party use in mind, it tends to be used only by the original developers. It is seldom reused after the developers have graduated, and is often not in a fit state for use by third parties. Today's information systems graduates have not been provided with sufficient education with regard to the knowledge, techniques and experience needed for the usual software development process of actual software development businesses from project planning through to execution and management (requirements analysis, development, implementation, testing, etc.) and lack the basic skills for handling actual business situations. In this paper, we report on our approach to software management using the UEC software repository to consolidate software assets, and on practical software development education based on this repository. © 2012 Springer-Verlag GmbH Berlin Heidelberg.</t>
  </si>
  <si>
    <t>https://www.scopus.com/inward/record.uri?eid=2-s2.0-84861728381&amp;doi=10.1007%2f978-3-642-28670-4-5&amp;partnerID=40&amp;md5=5b14e1288e9f7f886d71e79fc721b5ba</t>
  </si>
  <si>
    <t>Bioinformatics</t>
  </si>
  <si>
    <t>Saini, M., Mehmi, S. and Chahal, K. K.</t>
  </si>
  <si>
    <t>Understanding Open Source Software Evolution Using Fuzzy Data Mining Algorithm for Time Series Data</t>
  </si>
  <si>
    <t>Advances in Fuzzy Systems</t>
  </si>
  <si>
    <t>Source code management systems (such as Concurrent Versions System (CVS), Subversion, and git) record changes to code repositories of open source software projects. This study explores a fuzzy data mining algorithm for time series data to generate the association rules for evaluating the existing trend and regularity in the evolution of open source software project. The idea to choose fuzzy data mining algorithm for time series data is due to the stochastic nature of the open source software development process. Commit activity of an open source project indicates the activeness of its development community. An active development community is a strong contributor to the success of an open source project. Therefore commit activity analysis along with the trend and regularity analysis for commit activity of open source software project acts as an important indicator to the project managers and analyst regarding the evolutionary prospects of the project in the future. Copyright © 2016 Munish Saini et al.</t>
  </si>
  <si>
    <t>https://www.scopus.com/inward/record.uri?eid=2-s2.0-84989314747&amp;doi=10.1155%2f2016%2f1479692&amp;partnerID=40&amp;md5=4c1d97b6f0dfabec45cc1c842f8f2c1e</t>
  </si>
  <si>
    <t>International Journal of Semantic Computing</t>
  </si>
  <si>
    <t>Statistical Unigram Analysis for Source Code Repository</t>
  </si>
  <si>
    <t>Do, L. N. Q., Eichberg, M. and Bodden, E.</t>
  </si>
  <si>
    <t>Toward an automated benchmark management system</t>
  </si>
  <si>
    <t>The systematic evaluation of program analyses as well as softwareengineering tools requires benchmark suites that are representative of real-world projects in the domains for which the tools or analyses are designed. Such benchmarks currently only exist for a few research areas and even where they exist, they are often not effectively maintained, due to the required manual effort. This makes evaluating new analyses and tools on software that relies on current technologies often impossible. We describe ABM, a methodology to semi-automatically mine software repositories to extract up-to-date and representative sets of applications belonging to specific domains. The proposed methodology facilitates the creation of such collections and makes it easier to release updated versions of a benchmark suite. Resulting from an instantiation of the methodology, we present a collection of current real-world Java business web applications. The collection and methodology serve as a starting point for creating current, targeted benchmark suites, and thus helps to better evaluate current programanalysis and software-engineering tools.</t>
  </si>
  <si>
    <t>https://www.scopus.com/inward/record.uri?eid=2-s2.0-84978532605&amp;doi=10.1145%2f2931021.2931023&amp;partnerID=40&amp;md5=d1dee6d8bd84be849dd53c4c79796780</t>
  </si>
  <si>
    <t>Jaspan, C., Jorde, M., Knight, A., Sadowski, C., Smith, E. K., Winter, C. and Murphy-Hill, E.</t>
  </si>
  <si>
    <t>Advantages and disadvantages of a monolithic repository: A case study at google</t>
  </si>
  <si>
    <t>Monolithic source code repositories (repos) are used by several large tech companies, but little is known about their advantages or disadvantages compared to multiple per-project repos. This paper investigates the relative tradeoffs by utilizing a mixed-methods approach. Our primary contribution is a survey of engineers who have experience with both monolithic repos and multiple, per-project repos. This paper also backs up the claims made by these engineers with a large-scale analysis of developer tool logs. Our study finds that the visibility of the codebase is a significant advantage of a monolithic repo: it enables engineers to discover APIs to reuse, find examples for using an API, and automatically have dependent code updated as an API migrates to a new version. Engineers also appreciate the centralization of dependency management in the repo. In contrast, multiple-repository (multi-repo) systems afford engineers more flexibility to select their own toolchains and provide significant access control and stability benefits. In both cases, the related tooling is also a significant factor; engineers favor particular tools and are drawn to repo management systems that support their desired toolchain. © 2018 ACM.</t>
  </si>
  <si>
    <t>https://www.scopus.com/inward/record.uri?eid=2-s2.0-85049664851&amp;doi=10.1145%2f3183519.3183550&amp;partnerID=40&amp;md5=bd09192d24678d3c4da3a5b5dbb0e753</t>
  </si>
  <si>
    <t>Cai, H. and Santelices, R.</t>
  </si>
  <si>
    <t>A comprehensive study of the predictive accuracy of dynamic change-impact analysis</t>
  </si>
  <si>
    <t>The correctness of software is affected by its constant changes. For that reason, developers use change-impact analysis to identify early the potential consequences of changing their software. Dynamic impact analysis is a practical technique that identifies potential impacts of changes for representative executions. However, it is unknown how reliable its results are because their accuracy has not been studied. This paper presents the first comprehensive study of the predictive accuracy of dynamic impact analysis in two complementary ways. First, we use massive numbers of random changes across numerous Java applications to cover all possible change locations. Then, we study more than 100 changes from software repositories, which are representative of developer practices. Our experimental approach uses sensitivity analysis and execution differencing to systematically measure the precision and recall of dynamic impact analysis with respect to the actual impacts observed for these changes. Our results for both types of changes show that the most cost-effective dynamic impact analysis known is surprisingly inaccurate with an average precision of 38-50% and average recall of 50-56% in most cases. This comprehensive study offers insights on the effectiveness of existing dynamic impact analyses and motivates the future development of more accurate impact analyses. © 2015 Elsevier Inc. All rights reserved.</t>
  </si>
  <si>
    <t>https://www.scopus.com/inward/record.uri?eid=2-s2.0-84924897920&amp;doi=10.1016%2fj.jss.2015.02.018&amp;partnerID=40&amp;md5=73cb52e715a9c5940b9d5c1a1c0ce05b</t>
  </si>
  <si>
    <t>Stuart Geiger, R. and Halfaker, A.</t>
  </si>
  <si>
    <t>Using edit sessions to measure participation in wikipedia</t>
  </si>
  <si>
    <t>Many quantitative, log-based studies of participation and contribution in CSCW and CMC systems measure the activity of users in terms of output, based on metrics like posts to forums, edits to Wikipedia articles, or commits to code repositories. In this paper, we instead seek to estimate the amount of time users have spent contributing. Through an analysis of Wikipedia log data, we identify a pattern of punctuated bursts in editors' activity that we refer to as edit sessions. Based on these edit sessions, we build a metric that approximates the labor hours of editors in the encyclopedia. Using this metric, we first compare labor-based analyses with output-based analyses, finding that the activity of many editors can appear quite differently based on the kind of metric used. Second, we use edit session data to examine phenomena that cannot be adequately studied with purely output-based metrics, such as the total number of labor hours for the entire project. Copyright 2013 ACM.</t>
  </si>
  <si>
    <t>https://www.scopus.com/inward/record.uri?eid=2-s2.0-84874885449&amp;doi=10.1145%2f2441776.2441873&amp;partnerID=40&amp;md5=ef89a57005149f31ec02e28448e4cfc5</t>
  </si>
  <si>
    <t>Meqdadi, O., Alhindawi, N., Alsakran, J., Saifan, A. and Migdadi, H.</t>
  </si>
  <si>
    <t>Mining software repositories for adaptive change commits using machine learning techniques</t>
  </si>
  <si>
    <t>Context: Version Control Systems, such as Subversion, are standard repositories that preserve all of the maintenance changes undertaken to source code artifacts during the evolution of a software system. The documented data of the version history are organized as commits; however, these commits do not keep a tag that would identify the purpose of the relevant undertaken change of a commit, thus, there is rarely enough detail to clearly direct developers to the changes associated with a specific type of maintenance. Objective: This work examines the version histories of an open source system to automatically classify version commits into one of two categories, namely adaptive commits and non-adaptive commits. Method: We collected the commits from the version history of three open source systems, then we obtained eight different code change metrics related to, for example, the number of changed statements, methods, hunks, and files. Based on these change metrics, we built a machine learning approach to classify whether a commit was adaptive or not. Results: It is observed that code change metrics can be indicative of adaptive maintenance activities. Also, the classification findings show that the machine learning classifier developed has approximately 75% prediction accuracy within labeled change histories. Conclusion: The proposed method automates the process of examining the version history of a software system and identifies which commits to the system are related to an adaptive maintenance task. The evaluation of the method supports its applicability and efficiency. Although the evaluation of the proposed classifier on unlabeled change histories shows that it is not much better than the random guessing in terms of F-measure, we feel that our classifier would serve as a better basis for developing advanced classifiers that have predictive power of adaptive commits without the need of manual efforts. © 2019 Elsevier B.V.</t>
  </si>
  <si>
    <t>https://www.scopus.com/inward/record.uri?eid=2-s2.0-85061095706&amp;doi=10.1016%2fj.infsof.2019.01.008&amp;partnerID=40&amp;md5=62711a485ee5912c0cd26f79e7ff9368</t>
  </si>
  <si>
    <t>Ortu, M., Destefanis, G., Adams, B., Murgia, A., Marchesi, M. and Tonelli, R.</t>
  </si>
  <si>
    <t>The JIRA repository dataset: Understanding social aspects of software development</t>
  </si>
  <si>
    <t>Issue tracking systems store valuable data for testing hypotheses concerning maintenance, building statistical prediction models and recently investigating developers "affectiveness". In particular, the Jira Issue Tracking System is a proprietary tracking system that has gained a tremendous popularity in the last years and offers unique features like the project management system and the Jira agile kanban board. This paper presents a dataset extracted from the Jira ITS of four popular open source ecosystems (as well as the tools and infrastructure used for extraction) the Apache Software Foundation, Spring, JBoss and CodeHaus communities. Our dataset hosts more than 1K projects, containing more than 700K issue reports and more than 2 million issue comments. Using this data, we have been able to deeply study the communication process among developers, and how this aspect affects the development process. Further-more, comments posted by developers contain not only technical information, but also valuable information about sentiments and emotions. Since sentiment analysis and human aspects in software engineering are gaining more and more importance in the last years, with this repository we would like to encourage further studies in this direction. © 2015 ACM.</t>
  </si>
  <si>
    <t>https://www.scopus.com/inward/record.uri?eid=2-s2.0-84947571324&amp;doi=10.1145%2f2810146.2810147&amp;partnerID=40&amp;md5=47585a978e1d73170cc827622a9060a4</t>
  </si>
  <si>
    <t>Singh, N. and Singh, P.</t>
  </si>
  <si>
    <t>How Do Code Refactoring Activities Impact Software Developers' Sentiments? - An Empirical Investigation into GitHub Commits</t>
  </si>
  <si>
    <t>Affective software engineering deals in exploring and understanding the developers' sentiments associated with specific software development tasks with the goal to unleash various task-to-sentiment relationships. This paper empirically investigates the impact of software code refactoring on the sentiments of developers in open source projects. We perform a comprehensive analysis of sentiments attached with 15 different refactoring activities across the evolution of 60 open source Java projects through mining relevant commit messages. We investigate 3,171 refactoring related commit messages (out of total 615,625 commit messages) representing 4,891 refactoring instances. The study outcome shows that in general software developers express more negative sentiments than positive sentiments, while performing refactoring tasks. It is also found that 5 out of 15 refactoring activities are mainly responsible for this observed outcome. © 2017 IEEE.</t>
  </si>
  <si>
    <t>https://www.scopus.com/inward/record.uri?eid=2-s2.0-85045904269&amp;doi=10.1109%2fAPSEC.2017.79&amp;partnerID=40&amp;md5=b2283e4f0b679aeb5fe71365a413d6ec</t>
  </si>
  <si>
    <t>Zhang, F., Hassan, A. E., McIntosh, S. and Zou, Y.</t>
  </si>
  <si>
    <t>The use of summation to aggregate software metrics hinders the performance of defect prediction models</t>
  </si>
  <si>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 © 2016 IEEE.</t>
  </si>
  <si>
    <t>https://www.scopus.com/inward/record.uri?eid=2-s2.0-85021694948&amp;doi=10.1109%2fTSE.2016.2599161&amp;partnerID=40&amp;md5=061ba330c58d12f212632cb519c7323c</t>
  </si>
  <si>
    <t>Franch, X., Ayala, C., López, L., Martínez-Fernández, S., Rodríguez, P., Gómez, C., Jedlitschka, A., Oivo, M., Partanen, J., Räty, T. and Rytivaara, V.</t>
  </si>
  <si>
    <t>Data-driven requirements engineering in agile projects: the Q-rapids approach</t>
  </si>
  <si>
    <t>Requirements identification, specification and management are key activities in the software development process. In the last years, many approaches to these activities have emerged, based on the exploitation of huge amounts of data gathered from software repositories and system usage. The Q-Rapids project proposes the collection and analysis of such data and its consolidation into a set of strategic indicators as product quality, time to market and team productivity. These indicators are visualized through a dashboard designed to support decision-makers. In this paper, we present the ongoing research undertaken in this project. We use the concept of blocking situation to exemplify the Q-Rapids approach. © 2017 IEEE.</t>
  </si>
  <si>
    <t>https://www.scopus.com/inward/record.uri?eid=2-s2.0-85034625874&amp;doi=10.1109%2fREW.2017.85&amp;partnerID=40&amp;md5=b01496527777b7c10ba15fb1ed7dedb2</t>
  </si>
  <si>
    <t>He, X., Zeng, R., Liu, S., Sun, Z. and Bae, K.</t>
  </si>
  <si>
    <t>A Term Rewriting Approach to Analyze High Level Petri Nets</t>
  </si>
  <si>
    <t>High level Petri nets (HLPNs) have been widely applied to model concurrent and distributed systems in computer science and many other engineering disciplines. However, due to the expressive power of HLPNs, they are difficult to analyze. In recent years, a variety of new analysis techniques based on model checking have been proposed to analyze high level Petri nets in addition to the traditional analysis techniques such as simulation and reachability (coverability) tree. These new analysis techniques include (1) developing tailored model checkers for particular types of HLPNs or (2) leveraging existing general model checkers through model translation where a HLPN is transformed into an equivalent form suitable for the target model checker. In this paper, we present a term rewriting approach to analyze a particular type of HLPNs-predicate transition nets (PrT nets). Our approach is completely automatic and implemented in our tool environment, where the frontend is PIPE+, a general graphical editor for creating PrT net models, and the backend is Maude, a well-known term rewriting system. We have applied our approach to the Mondex system-the 1st pilot project of verified software repository in the worldwide software verification grand challenge, and several well-known problems used in the annual model checking contest of Petri net tools. Our initial experimental results are encouraging and demonstrate the usefulness of the approach. © 2016 IEEE.</t>
  </si>
  <si>
    <t>https://www.scopus.com/inward/record.uri?eid=2-s2.0-84987958730&amp;doi=10.1109%2fTASE.2016.11&amp;partnerID=40&amp;md5=58ebf70322d8b97688beb355eb72c7c0</t>
  </si>
  <si>
    <t>Fontana, F. A., Rolla, M. and Zanoni, M.</t>
  </si>
  <si>
    <t>VCS-analyzer for software evolution empirical analysis</t>
  </si>
  <si>
    <t>Version Control Systems (VCSs) provide historical information that can be used to perform deep analyses on the evolution of a software project, with the aim of enhancing the quality of the system and predicting software evolution. © 2014 Authors.</t>
  </si>
  <si>
    <t>https://www.scopus.com/inward/record.uri?eid=2-s2.0-84907853480&amp;doi=10.1145%2f2652524.2652599&amp;partnerID=40&amp;md5=2614f1c4af0e56fb7acc055fb33ab800</t>
  </si>
  <si>
    <t>IEICE Transactions on Information and Systems</t>
  </si>
  <si>
    <t>Proceedings of the ACM on Human-Computer Interaction</t>
  </si>
  <si>
    <t>Mokarizadeh, S., Rahman, M. T. and Matskin, M.</t>
  </si>
  <si>
    <t>Mining and analysis of apps in google play</t>
  </si>
  <si>
    <t>In this paper, we focus on analyzing Google Play, the largest Android app store that provides a wide collection of data on features (ratings, price and number of downloads) and descriptions related to application functionality. The overall objective of this analysis effort is to provide in-depth insight about intrinsic properties of App repositories in general. This allows us to draw a comprehensive picture of current situation of App market in order to help application developers to understand customers' desire and attitude and the trend in the market. To this end, we suggest an analysis approach which examines the given collection of Apps in two directions. In the first direction, we measure the correlation between app features while in the second direction we construct cluster of similar applications and then examine their characteristics in association with features of interest. The examined dataset are collected from Google Play (in 2012) and Android Market (in 2011). In our analysis results, we identified a strong correlation between price and number of downloads and similarly between price and participation. Moreover, by employing a probabilistic topic modeling technique and K-means clustering method, we find out that the categorization system of Google Play does not respect properly similarity of applications. We also determined that there is a high competition between App providers producing similar applications. Copyright © 2013 SCITEPRESS.</t>
  </si>
  <si>
    <t>https://www.scopus.com/inward/record.uri?eid=2-s2.0-84887053928&amp;partnerID=40&amp;md5=0cb0d26be8cc5eaf64f279b9c4cfece5</t>
  </si>
  <si>
    <t>Yu, L.</t>
  </si>
  <si>
    <t>International Journal of Open Source Software and Processes</t>
  </si>
  <si>
    <t>Geiger, F. X., Malavolta, I., Pascarella, L., Palomba, F., Di Nucci, D. and Bacchelli, A.</t>
  </si>
  <si>
    <t>A graph-based dataset of commit history of real-world Android apps</t>
  </si>
  <si>
    <t>Obtaining a good dataset to conduct empirical studies on the engineering of Android apps is an open challenge. To start tackling this challenge, we present AndroidTimeMachine, the first, self-contained, publicly available dataset weaving spread-out data sources about real-world, open-source Android apps. Encoded as a graph-based database, AndroidTimeMachine concerns 8,431 real open-source Android apps and contains: (i) metadata about the apps' GitHub projects, (ii) Git repositories with full commit history and (iii) metadata extracted from the Google Play store, such as app ratings and permissions. © 2018 ACM.</t>
  </si>
  <si>
    <t>https://www.scopus.com/inward/record.uri?eid=2-s2.0-85051647148&amp;doi=10.1145%2f3196398.3196460&amp;partnerID=40&amp;md5=1099222a9d9bea06867ab4cf6f093399</t>
  </si>
  <si>
    <t>Reina, L. A. and Robles, G.</t>
  </si>
  <si>
    <t>Mining for localization in Android</t>
  </si>
  <si>
    <t>Localization, and in particular translation, is a key aspect of modern end-user software applications. Open source systems have traditionally taken advantage of distributed and volunteer collaboration to carry localization tasks. In this paper, we will analyze the Android source code repository to know how localization and translation is managed: who participates in this kind of tasks, if the translation workflows, participants and processes follow the same patterns as the rest of the development, and if the Android project takes benefit from external contributions. Our results show that Android should ease the localization tasks to benefit from external contributions. Steps towards obtaining a specialized team as found in many other free software projects are also encouraged. © 2012 IEEE.</t>
  </si>
  <si>
    <t>https://www.scopus.com/inward/record.uri?eid=2-s2.0-84865119906&amp;doi=10.1109%2fMSR.2012.6224272&amp;partnerID=40&amp;md5=f273a8ab94acb424fab7926dfaebf356</t>
  </si>
  <si>
    <t>Moriano, P., Pendleton, J., Rich, S. and Jean Camp, L.</t>
  </si>
  <si>
    <t>Stopping the insider at the gates: Protecting organizational assets through graph mining</t>
  </si>
  <si>
    <t>Journal of Wireless Mobile Networks, Ubiquitous Computing, and Dependable Applications</t>
  </si>
  <si>
    <t>The increasing threat of insider attacks has resulted in a correlated increase in incentives to monitor trusted insiders. Measures of volumes of access, detailed background checks, and statistical characterizations of employee behaviors are all commonly used to mitigate the insider threat. These traditional approaches usually rely on supervised learning models or case studies to determine the critical features or attributes that can be used as indicators. Such approaches require labeled data for correct characterization of the threat. Yet regardless of the incentives to detect the insider threat, the incentives to share detailed labeled data on successful malicious insiders have proven inadequate. To address this challenging data environment, we developed an innovative approach that captures the temporal evolution of user-system interactions, to create an unsupervised learning framework to detect high-risk insider behaviors. Our method is based on the analysis of a bipartite graph of user and system interactions. The graph mining method detects increases in potential insider threat events following precipitating events, e.g., a limited restructuring. We apply our method to a dataset that comprises interactions between engineers and components in a software version control system spanning 22 years, and automatically detect statistically significant events. We find that there is statistically significant evidence for increasing anomalies in the committing behavior after precipitating events. Although these findings do not constitute detection of insider threat events per se, they reinforce the idea that insider operations can be motivated by the insiders’ environment and detected with the proposed method. We compare our results with algorithms based on volume-dependent statistics showing that our proposed framework outperforms those measures. This graph mining method has potential for early detection of insider threat behavior from user-system interactions, which could enable quicker mitigation. © 2018, Innovative Information Science and Technology Research Group. All rights reserved.</t>
  </si>
  <si>
    <t>https://www.scopus.com/inward/record.uri?eid=2-s2.0-85047531173&amp;doi=10.22667%2fJOWUA.2018.03.31.004&amp;partnerID=40&amp;md5=2dc966746b4cc58d9aae45abae4b156c</t>
  </si>
  <si>
    <t>Jaafar, F., Gueheneuc, Y. G., Hamel, S. and Khomh, F.</t>
  </si>
  <si>
    <t>Mining the relationship between anti-patterns dependencies and fault-proneness</t>
  </si>
  <si>
    <t>Anti-patterns describe poor solutions to design and implementation problems which are claimed to make object oriented systems hard to maintain. Anti-patterns indicate weaknesses in design that may slow down development or increase the risk of faults or failures in the future. Classes in anti-patterns have some dependencies, such as static relationships, that may propagate potential problems to other classes. To the best of our knowledge, the relationship between anti-patterns dependencies (with non anti-patterns classes) and faults has yet to be studied in details. This paper presents the results of an empirical study aimed at analysing anti-patterns dependencies in three open source software systems, namely ArgoUML, JFreeChart, and XerecesJ. We show that, in almost all releases of the three systems, classes having dependencies with anti-patterns are more fault-prone than others. We also report other observations about these dependencies such as their impact on fault prediction. Software organizations could make use of these knowledge about anti-patterns dependencies to better focus their testing and reviews activities toward the most risky classes, e.g., classes with fault-prone dependencies with anti-patterns. © 2013 IEEE.</t>
  </si>
  <si>
    <t>https://www.scopus.com/inward/record.uri?eid=2-s2.0-84893415440&amp;doi=10.1109%2fWCRE.2013.6671310&amp;partnerID=40&amp;md5=fc0947a7b9b8e9416bb9b65d47515e0b</t>
  </si>
  <si>
    <t>Peters, R. and Zaidman, A.</t>
  </si>
  <si>
    <t>Tahir, A., Yamashita, A., Licorish, S., Dietrich, J. and Counsell, S.</t>
  </si>
  <si>
    <t>Can you tell me if it smells? A study on how developers discuss code smells and anti-patterns in Stack Overflow</t>
  </si>
  <si>
    <t>This paper investigates how developers discuss code smells and anti-patterns over Stack Overflow to understand better their perceptions and understanding of these two concepts. Understanding developers' perceptions of these issues are important in order to inform and align future research efforts and direct tools vendors in the area of code smells and anti-patterns. In addition, such insights could lead the creation of solutions to code smells and anti-patterns that are better fit to the realities developers face in practice. We applied both quantitative and qualitative techniques to analyse discussions containing terms associated with code smells and anti-patterns. Our findings show that developers widely use Stack Overflow to ask for general assessments of code smells or anti-patterns, instead of asking for particular refactoring solutions. An interesting finding is that developers very often ask their peers 'to smell their code' (i.e., ask whether their own code 'smells' or not), and thus, utilize Stack Overflow as an informal, crowd-based code smell/anti-pattern detector. We conjecture that the crowd-based detection approach considers contextual factors, and thus, tends to be more trusted by developers over automated detection tools. We also found that developers often discuss the downsides of implementing specific design patterns, and 'flag' them as potential anti-patterns to be avoided. Conversely, we found discussions on why some anti-patterns previously considered harmful should not be flagged as anti-patterns. Our results suggest that there is a need for: 1) more context-based evaluations of code smells and anti-patterns, and 2) better guidelines for making trade-offs when applying design patterns or eliminating smells/anti-patterns in industry. © 2018 Copyright held by the owner/author(s).</t>
  </si>
  <si>
    <t>https://www.scopus.com/inward/record.uri?eid=2-s2.0-85053712946&amp;doi=10.1145%2f3210459.3210466&amp;partnerID=40&amp;md5=fb16f1e5c565e923e512119ba09a7a5c</t>
  </si>
  <si>
    <t>Oliva, G. A., Da Silva, J. T., Gerosa, M. A., Santana, F. W. S., Werner, C. M. L., De Souza, C. R. B. and De Oliveira, K. C. M.</t>
  </si>
  <si>
    <t>Evolving the system's Core: A case study on the identification and characterization of key developers in apache ant</t>
  </si>
  <si>
    <t>Computing and Informatics</t>
  </si>
  <si>
    <t>Software systems usually include a limited number of important classes that a large number of other classes depend upon. These files comprise the technical core of a software system. Evolving this core is naturally difficult and requires caution, since inappropriate changes may induce side and ripple effects. Indeed, despite the rhetoric about openness in free/libre open source software, modifications to the technical core are usually accomplished by a small set of contributors known as key developers. Automatically identifying key developers is relevant for a number of reasons, such as supporting the recruitment of specialists, assigning tutors to newcomers, and estimating the longevity likelihood of projects. Moreover, little is known about how key developers evolve and about the social skills that support them in their technical tasks. In this paper, we describe a case study involving the Apache Ant project. Our goal was to identify key developers and characterize them in terms of their social activity and contributions. We conceived, implemented, and applied a method to identify key developers. Such method identified four individuals, who were the main target of our investigation. We built communication networks from mailing list data and a coordination requirements network from their development traces. The analysis of these two networks indicated that three key developers socialized more than the others. They acted as bridges connecting other developers and communicated with almost everyone they were supposed to. The other key developer showed a very distinct behavior, as he participated very rarely in the mailing list. We also analyzed key developers' contributions and found some patterns. Core commits and non-core commits were often interleaved and key developers also contributed to peripheral portions of the system. Finally, we observed that the set of key developers was indistinguishable from the set of top committers. We expect this characterization to foster the definition of key developers' profiles that take into account their social activities and contribution characteristics.</t>
  </si>
  <si>
    <t>https://www.scopus.com/inward/record.uri?eid=2-s2.0-84946040807&amp;partnerID=40&amp;md5=74f4da7b38ed5774e8d7646ac3762e21</t>
  </si>
  <si>
    <t>Digkas, G., Lungu, M., Avgeriou, P., Chatzigeorgiou, A. and Ampatzoglou, A.</t>
  </si>
  <si>
    <t>How do developers fix issues and pay back technical debt in the Apache ecosystem?</t>
  </si>
  <si>
    <t>During software evolution technical debt (TD) follows a constant ebb and flow, being incurred and paid back, sometimes in the same day and sometimes ten years later. There have been several studies in the literature investigating how technical debt in source code accumulates during time and the consequences of this accumulation for software maintenance. However, to the best of our knowledge there are no large scale studies that focus on the types of issues that are fixed and the amount of TD that is paid back during software evolution. In this paper we present the results of a case study, in which we analyzed the evolution of fifty-seven Java open-source software projects by the Apache Software Foundation at the temporal granularity level of weekly snapshots. In particular, we focus on the amount of technical debt that is paid back and the types of issues that are fixed. The findings reveal that a small subset of all issue types is responsible for the largest percentage of TD repayment and thus, targeting particular violations the development team can achieve higher benefits. © 2018 IEEE.</t>
  </si>
  <si>
    <t>https://www.scopus.com/inward/record.uri?eid=2-s2.0-85051049372&amp;doi=10.1109%2fSANER.2018.8330205&amp;partnerID=40&amp;md5=faa29f6d5856e6f1e4544e3b03574fdf</t>
  </si>
  <si>
    <t>Chawla, M. K. and Chhabra, I.</t>
  </si>
  <si>
    <t>Teyton, C., Falleri, J. R., Palyart, M. and Blanc, X.</t>
  </si>
  <si>
    <t>A study of library migrations in Java</t>
  </si>
  <si>
    <t>Journal of Software: Evolution and Process</t>
  </si>
  <si>
    <t>Software intensively depends on external libraries whose relevance may change during its life cycle. As a consequence, software developers must periodically reconsider the libraries they depend on, and must think about replacing them for more relevant ones. We refer to this practice as library migration. To find the best replacement for their library, they can rely on information over the Web, but they get quickly overwhelmed by the amount of data they gather. Making the right choice in this context constitutes the topic of our work. The solution we propose is to exhibit and mine the library migrations trends computed by performing a study of a large set of software projects. To perform this analysis, we have defined an automatic approach to compute library dependencies and a semi-automatic approach that identifies library migrations. Then, we propose a deep analysis of the library migration phenomena by performing a descriptive study of a large set of software projects stored on the Githubplatform. Second, based on our descriptive study, we propose a support to developers who want to migrate their libraries. The main result of our study is that recommendations of libraries can be inferred from the analysis of the migration trends. Copyright © 2014 John Wiley &amp; Sons, Ltd. Copyright © 2014 John Wiley &amp; Sons, Ltd.</t>
  </si>
  <si>
    <t>https://www.scopus.com/inward/record.uri?eid=2-s2.0-84979988151&amp;doi=10.1002%2fsmr.1660&amp;partnerID=40&amp;md5=081e477ca9c578d98c641b4535aa2a28</t>
  </si>
  <si>
    <t>Nafi, K. W., Roy, B., Roy, C. K. and Schneider, K. A.</t>
  </si>
  <si>
    <t>CroLSim: Cross language software similarity detector using API documentation</t>
  </si>
  <si>
    <t>In today's open source era, developers look forsimilar software applications in source code repositories for anumber of reasons, including, exploring alternative implementations, reusing source code, or looking for a better application. However, while there are a great many studies for finding similarapplications written in the same programming language, there isa marked lack of studies for finding similar software applicationswritten in different languages. In this paper, we fill the gapby proposing a novel modelCroLSimwhich is able to detectsimilar software applications across different programming lan-guages. In our approach, we use the API documentation tofind relationships among the API calls used by the differentprogramming languages. We adopt a deep learning based word-vector learning method to identify semantic relationships amongthe API documentation which we then use to detect cross-language similar software applications. For evaluating CroLSim, we formed a repository consisting of 8,956 Java, 7,658 C#, and 10,232 Python applications collected from GitHub. Weobserved thatCroLSimcan successfully detect similar softwareapplications across different programming languages with a meanaverage precision rate of 0.65, an average confidence rate of3.6 (out of 5) with 75% high rated successful queries, whichoutperforms all related existing approaches with a significantperformance improvement. © 2018 IEEE.</t>
  </si>
  <si>
    <t>https://www.scopus.com/inward/record.uri?eid=2-s2.0-85058322374&amp;doi=10.1109%2fSCAM.2018.00023&amp;partnerID=40&amp;md5=237fa391f5c72984d1b5bd4fc46e2447</t>
  </si>
  <si>
    <t>Sinha, V. S., Saha, D., Dhoolia, P., Padhye, R. and Mani, S.</t>
  </si>
  <si>
    <t>Detecting and mitigating secret-key leaks in source code repositories</t>
  </si>
  <si>
    <t>Several news articles in the past year highlighted incidents in which malicious users stole API keys embedded in files hosted on public source code repositories such as GitHub and Bit Bucket in order to drive their own work-loads for free. While some service providers such as Amazon have started taking steps to actively discover such developer carelessness by scouting public repositories and suspending leaked API keys, there is little support for tackling the problem from the code sharing platforms themselves. In this paper, we discuss practical solutions to detecting, preventing and fixing API key leaks. We first outline a handful of methods for detecting API keys embedded within source code, and evaluate their effectiveness using a sample set of projects from GitHub. Second, we enumerate the mechanisms which could be used by developers to prevent or fix key leaks in code repositories manually. Finally, we outline a possible solution that combines these techniques to provide tool support for protecting against key leaks in version control systems. © 2015 IEEE.</t>
  </si>
  <si>
    <t>https://www.scopus.com/inward/record.uri?eid=2-s2.0-84957101541&amp;doi=10.1109%2fMSR.2015.48&amp;partnerID=40&amp;md5=0957990ec0e19050bffba6069c1f2bc1</t>
  </si>
  <si>
    <t>Xu, C., Sun, X., Li, B., Lu, X. and Guo, H.</t>
  </si>
  <si>
    <t>MULAPI: Improving API method recommendation with API usage location</t>
  </si>
  <si>
    <t>During the evolution of a software system, a large number of feature requests are continuously proposed by users. To implement these feature requests, developers often utilize existing third-party libraries and make use of Application Programming Interfaces (APIs) to accelerate the feature implementation process. However, it is not always obvious which API methods are suitable and where these API methods can be used in the target program. In this paper, we propose an approach, MULAPI (Method Usage and Location for API), to recommend API methods and figure out the API usage location where these API methods would be used. MULAPI employs feature location to identify feature related files as API usage location. Further, these feature related files are taken into account to recommend API methods by exploring the source code repository and API libraries as well. We evaluate MULAPI on more than 1000 feature requests of eight Java projects (Axis/Java, CXF, Hadoop Common, Hbase, Struts2, Hadoop HDFS, Hive and Hadoop Map/Reduce), and recommend API methods from ten third-party libraries. The empirical results show that MULAPI can accurately recommend API methods and usage location, and moreover, MULAPI improves the effectiveness of API method recommendation, compared with the state-of-the-art approach. © 2018 Elsevier Inc.</t>
  </si>
  <si>
    <t>https://www.scopus.com/inward/record.uri?eid=2-s2.0-85046644944&amp;doi=10.1016%2fj.jss.2018.04.060&amp;partnerID=40&amp;md5=09a2f8cb32f98c384043967abde94288</t>
  </si>
  <si>
    <t>Kowark, T., Matthies, C., Uflacker, M. and Plattner, H.</t>
  </si>
  <si>
    <t>Sawant, A. A. and Bacchelli, A.</t>
  </si>
  <si>
    <t>fine-GRAPE: fine-grained APi usage extractor – an approach and dataset to investigate API usage</t>
  </si>
  <si>
    <t>An Application Programming Interface (API) provides a set of functionalities to a developer with the aim of enabling reuse. APIs have been investigated from different angles such as popularity usage and evolution to get a better understanding of their various characteristics. For such studies, software repositories are mined for API usage examples. However, many of the mining algorithms used for such purposes do not take type information into account. Thus making the results unreliable. In this paper, we aim to rectify this by introducing fine-GRAPE, an approach that produces fine-grained API usage information by taking advantage of type information while mining API method invocations and annotation. By means of fine-GRAPE, we investigate API usages from Java projects hosted on GitHub. We select five of the most popular APIs across GitHub Java projects and collect historical API usage information by mining both the release history of these APIs and the code history of every project that uses them. We perform two case studies on the resulting dataset. The first measures the lag time of each client. The second investigates the percentage of used API features. In the first case we find that for APIs that release more frequently clients are far less likely to upgrade to a more recent version of the API as opposed to clients of APIs that release infrequently. The second case study shows us that for most APIs there is a small number of features that is actually used and most of these features relate to those that have been introduced early in the APIs lifecycle. © 2016, The Author(s).</t>
  </si>
  <si>
    <t>https://www.scopus.com/inward/record.uri?eid=2-s2.0-84982947678&amp;doi=10.1007%2fs10664-016-9444-6&amp;partnerID=40&amp;md5=8f44f4b75d284872cdcf6a7d8ad72b83</t>
  </si>
  <si>
    <t>Mani, S., Padhye, R. and Sinha, V. S.</t>
  </si>
  <si>
    <t>Akbar, R. J., Omori, T. and Maruyama, K.</t>
  </si>
  <si>
    <t>Detecting API usage patterns from software repositories using method categorization</t>
  </si>
  <si>
    <t>Developers often have difficulties using APIs. To aid developers in efficiently using APIs, API usage patterns can be extracted from source code stored in software repositories. Previous approaches have mined repositories to extract API usage patterns by simply applying a data mining technique to the collection of method invocations of API objects. However, respective roles of invoked methods within API objects are not considered in these approaches. This paper proposes an improved approach that extracts API usage patterns at a higher-level abstraction rather than mining the actual method invocations. Our approach embraces a multilevel sequential mining technique and uses categorization of method invocations to define their concept hierarchy. In the categorization, the method invocations are categorized based on their roles. The extracted API usage patterns represent recurring usages of API objects. Therefore, they are useful to recommend typical usages of APIs. The experimental results show that our approach is practical to discover patterns that reveal characteristics of usages. © 2012 The authors and IOS Press. All rights reserved.</t>
  </si>
  <si>
    <t>https://www.scopus.com/inward/record.uri?eid=2-s2.0-84879121470&amp;doi=10.3233%2f978-1-61499-094-9-237&amp;partnerID=40&amp;md5=b05040e184fc05b9cb5ccafe185e5753</t>
  </si>
  <si>
    <t>Xuan, J., Jiang, H., Hu, Y., Ren, Z., Zou, W., Luo, Z. and Wu, X.</t>
  </si>
  <si>
    <t>Towards effective bug triage with software data reduction techniques</t>
  </si>
  <si>
    <t>IEEE Transactions on Knowledge and Data Engineering</t>
  </si>
  <si>
    <t>Software companies spend over 45 percent of cost in dealing with software bugs. An inevitable step of fixing bugs is bug triage, which aims to correctly assign a developer to a new bug. To decrease the time cost in manual work, text classification techniques are applied to conduct automatic bug triage. In this paper, we address the problemof data reduction for bug triage, i.e., how to reduce the scale and improve the quality of bug data. We combine instance selection with feature selection to simultaneously reduce data scale on the bug dimension and the word dimension. To determine the order of applying instance selection and feature selection, we extract attributes from historical bug data sets and build a predictive model for a new bug data set. We empirically investigate the performance of data reduction on totally 600,000 bug reports of two large open source projects, namely Eclipse and Mozilla. The results show that our data reduction can effectively reduce the data scale and improve the accuracy of bug triage. Our work provides an approach to leveraging techniques on data processing to form reduced and high-quality bug data in software development and maintenance. © 2014 IEEE.</t>
  </si>
  <si>
    <t>https://www.scopus.com/inward/record.uri?eid=2-s2.0-84916896309&amp;doi=10.1109%2fTKDE.2014.2324590&amp;partnerID=40&amp;md5=ae08b8044e21c0299465bd43c4629e39</t>
  </si>
  <si>
    <t>Bajracharya, S. K.</t>
  </si>
  <si>
    <t>Infrastructure for building code search applications for developers</t>
  </si>
  <si>
    <t>The large availability of open source code on the Web provides great opportunities to build useful code search applications for developers. Building such applications requires addressing several challenges inherent in collecting and analyzing code from open source repositories to make them available for search. An infrastructure that supports collection, analysis, and search services for open source code available on the Web can greatly facilitate building effective code search applications. This chapter presents such an infrastructure called Sourcerer that facilitates collection, analysis, and search of source code available in code repositories on the Web. This chapter provides useful information to researchers and implementors of code search applications interested in harnessing the large availability of source code in the repositories on the Web. In particular, this chapter highlights key aspects of Sourcerer that supports combining Software Engineering and Information Retrieval techniques to build effective code search applications. © Springer Science+Business Media New York 2013. All rights are reserved.</t>
  </si>
  <si>
    <t>https://www.scopus.com/inward/record.uri?eid=2-s2.0-84949175769&amp;doi=10.1007%2f978-1-4614-6596-6_8&amp;partnerID=40&amp;md5=fb884c5410702dbbd7bacefbc1a49998</t>
  </si>
  <si>
    <t>Almeida, B., Ananiadou, S., Bagnato, A., Berreteaga Barbero, A., Di Rocco, J., Di Ruscio, D., Kolovos, D. S., Korkontzelos, I., Hansen, S., Maló, P., Matragkas, N., Paige, R. F. and Vinju, J.</t>
  </si>
  <si>
    <t>OSSMETER: Automated measurement and analysis of open source software</t>
  </si>
  <si>
    <t>Deciding whether an open source software (OSS) meets the required standards for adoption in terms of quality, maturity, activity of development and user support is not a straightforward process. It involves analysing various sources of information, including the project's source code repositories, communication channels, and bug tracking systems. OSSMETER extends state-of-the-art techniques in the field of automated analysis and measurement of open-source software (OSS), and develops a platform that supports decision makers in the process of discovering, comparing, assessing and monitoring the health, quality, impact and activity of opensource software. To achieve this, OSSMETER computes trustworthy quality indicators by performing advanced analysis and integration of information from diverse sources including the project metadata, source code repositories, communication channels and bug tracking systems of OSS projects.</t>
  </si>
  <si>
    <t>https://www.scopus.com/inward/record.uri?eid=2-s2.0-84938601694&amp;partnerID=40&amp;md5=c4025d8fc31bfccabedc5d81363464ea</t>
  </si>
  <si>
    <t>Di Paolo, G., Malavolta, I. and Muccini, H.</t>
  </si>
  <si>
    <t>How do you feel today? buggy!</t>
  </si>
  <si>
    <t>It is well-known that moods and emotions strongly affect our performances. Clearly, this holds also for software developers. Thus, modern managers, trainers, and coaches should be aware of moods and emotions of software developers in their teams. In this context, mining software repositories and social networks in combination can be an invaluable instrument for understanding how the moods and emotions of software developers impact their performance, even in real-time. In this paper, we propose our first steps in mining software repositories for (i) getting information about developers' moods and emotion throughout the development process, and (ii) investigating on the existence of the correlation between software developers' performance (in terms of their commits bugginess) and mood. For what concerns data sources, we use publicly-available information on GitHub for getting insights about the performance of software developers, while we semantically analyse developers' posts on Twitter for extracting their moods during the whole duration of the project. © 2014 IEEE.</t>
  </si>
  <si>
    <t>https://www.scopus.com/inward/record.uri?eid=2-s2.0-84916608288&amp;doi=10.1109%2fSEAA.2014.63&amp;partnerID=40&amp;md5=ea59853c226b5de4b3cdcd906f6d65fe</t>
  </si>
  <si>
    <t>Minelli, R. and Lanza, M.</t>
  </si>
  <si>
    <t>SAMOA - A visual software analytics platform for mobile applications</t>
  </si>
  <si>
    <t>Mobile applications, also known as apps, are dedicated software systems that run on handheld devices, such as smartphones and tablet computers. The apps business has in a few years turned into a multi-billion dollar market. From a software engineering perspective apps represent a new phenomenon, and there is a need for tools and techniques to analyze apps. We present SAMOA, a visual web-based software analytics platform for mobile applications. It mines software repositories of apps and uses a set of visualization techniques to present the mined data. We describe SAMOA, detail the analyses it supports, and describe a methodology to understand apps from a structural and historical perspective. The website of SAMOA, containing the screen cast of the tool demo, is located at http://samoa.inf.usi.ch/about. © 2013 IEEE.</t>
  </si>
  <si>
    <t>https://www.scopus.com/inward/record.uri?eid=2-s2.0-84891710508&amp;doi=10.1109%2fICSM.2013.76&amp;partnerID=40&amp;md5=16e6777ff095c372210bf2aab99b9d93</t>
  </si>
  <si>
    <t>Shahbazian, A., Nam, D. and Medvidovic, N.</t>
  </si>
  <si>
    <t>Toward predicting architectural significance of implementation issues</t>
  </si>
  <si>
    <t>In a software system's development lifecycle, engineers make numerous design decisions that subsequently cause architectural change in the system. Previous studies have shown that, more often than not, these architectural changes are unintentional by-products of continual software maintenance tasks. The result of inadvertent architectural changes is accumulation of technical debt and deterioration of software quality. Despite their important implications, there is a relative shortage of techniques, tools, and empirical studies pertaining to architectural design decisions. In this paper, we take a step toward addressing that scarcity by using the information in the issue and code repositories of open-source software systems to investigate the cause and frequency of such architectural design decisions. Furthermore, building on these results, we develop a predictive model that is able to identify the architectural significance of newly submitted issues, thereby helping engineers to prevent the adverse effects of architectural decay. The results of this study are based on the analysis of 21,062 issues affecting 301 versions of 5 large open-source systems for which the code changes and issues were publicly accessible. © 2018 ACM.</t>
  </si>
  <si>
    <t>https://www.scopus.com/inward/record.uri?eid=2-s2.0-85051672122&amp;doi=10.1145%2f3196398.3196440&amp;partnerID=40&amp;md5=e0eab957a50dd87034aaca6069769b30</t>
  </si>
  <si>
    <t>Zogaan, W., Mujhid, I., S. Santos, J. C., Gonzalez, D. and Mirakhorli, M.</t>
  </si>
  <si>
    <t>Automated training-set creation for software architecture traceability problem</t>
  </si>
  <si>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 2016, Springer Science+Business Media New York.</t>
  </si>
  <si>
    <t>https://www.scopus.com/inward/record.uri?eid=2-s2.0-84994779547&amp;doi=10.1007%2fs10664-016-9476-y&amp;partnerID=40&amp;md5=c35b4244a2655f243110ae47f9852125</t>
  </si>
  <si>
    <t>Ludwig, J., Xu, S. and Webber, F.</t>
  </si>
  <si>
    <t>Compiling static software metrics for reliability and maintainability from GitHub repositories</t>
  </si>
  <si>
    <t>This paper identifies a small, essential set of static software code metrics linked to the software product quality characteristics of reliability and maintainability and to the most commonly identified sources of technical debt. A plug-in is created for the Understand code visualization and static analysis tool that calculates and aggregates the metrics. The plug-in produces a high-level interactive html report as well as developer-level information needed to address quality issues using Understand. A script makes use of Git, Understand, and the plug-in to compile results for a list of GitHub repositories into a single file. The primary contribution of this work is to describe an open-source plug-in to measure and visualize architectural complexity based on the propagation cost and core size metrics, which are not currently found in other tools. The plug-in should be useful to researchers and practitioners interested in these two metrics and as an expedient starting point to experimentation with metric collection and aggregation for groups of GitHub repositories. The plug-in was developed as a first step in an ongoing project aimed at applying case-based reasoning to the issue of software product quality. © 2017 IEEE.</t>
  </si>
  <si>
    <t>https://www.scopus.com/inward/record.uri?eid=2-s2.0-85044185772&amp;doi=10.1109%2fSMC.2017.8122569&amp;partnerID=40&amp;md5=3ee00c22476fcec5a129421943a007d5</t>
  </si>
  <si>
    <t>Joblin, M., Mauerer, W., Apel, S., Siegmund, J. and Riehle, D.</t>
  </si>
  <si>
    <t>From developer networks to verified communities: A fine-grained approach</t>
  </si>
  <si>
    <t>Effective software engineering demands a coordinated effort. Unfortunately, a comprehensive view on developer coordination is rarely available to support software-engineering decisions, despite the significant implications on software quality, software architecture, and developer productivity. We present a fine-grained, verifiable, and fully automated approach to capture a view on developer coordination, based on commit information and source-code structure, mined from version-control systems. We apply methodology from network analysis and machine learning to identify developer communities automatically. Compared to previous work, our approach is fine-grained, and identifies statistically significant communities using order-statistics and a community-verification technique based on graph conductance. To demonstrate the scalability and generality of our approach, we analyze ten open-source projects with complex and active histories, written in various programming languages. By surveying 53 open-source developers from the ten projects, we validate the authenticity of inferred community structure with respect to reality. Our results indicate that developers of open-source projects form statistically significant community structures and this particular view on collaboration largely coincides with developers' perceptions of real-world collaboration. © 2015 IEEE.</t>
  </si>
  <si>
    <t>https://www.scopus.com/inward/record.uri?eid=2-s2.0-84951753550&amp;doi=10.1109%2fICSE.2015.73&amp;partnerID=40&amp;md5=88117e754ae367dd81c0c89d3b1541e4</t>
  </si>
  <si>
    <t>Defect prediction in software repositories with artificial neural networks</t>
  </si>
  <si>
    <t>One of the biggest challenges that software developers face it is to make an accurate defect prediction. Radial basis function neural networks have been used to defect prediction. Software repositories like GitHub repository have been mined to get data about projects and their issues. The number of closed issues could be a useful tool for software managers. In order to predict the number of closed issues in a project, different neural networks have been implemented. The dataset has been segmented by the criterion of project size. The designed neural networks have obtained high correlation coefficients. © Springer International Publishing Switzerland 2016.</t>
  </si>
  <si>
    <t>https://www.scopus.com/inward/record.uri?eid=2-s2.0-84983167655&amp;doi=10.1007%2f978-3-319-26285-7_14&amp;partnerID=40&amp;md5=e31bc0aef6b5c8c12ee8b02d9bd45ef0</t>
  </si>
  <si>
    <t>Marçal, I., Garcia, R. E., Correia, R. C. M. and Olivete, C.</t>
  </si>
  <si>
    <t>Mining software repository to identify crosscutting concerns using combined techniques</t>
  </si>
  <si>
    <t>Modularization is a goal difficult to achieve in software development. Aspect mining aims to identify crosscutting concerns in non aspect oriented software allowing organizing them into aspects and, thus, improve the modularization. Several techniques have been proposed to identify crosscutting concerns from software repositories, usually by analyzing static data or execution traces. In this paper we present an approach on mining crosscutting concerns using combined results from two techniques: Frequent Closed Itemset Mining and Commit Frequency Analysis, which is presented in this paper as well. We evaluated our approach and observed that combining both techniques lead to better sets of crosscutting concerns candidates. Copyright © 2013 by Knowledge Systems Institute Graduate School.</t>
  </si>
  <si>
    <t>https://www.scopus.com/inward/record.uri?eid=2-s2.0-84937700496&amp;partnerID=40&amp;md5=85680edb23d9f2b409d3c4af96de359b</t>
  </si>
  <si>
    <t>International Journal of Software Engineering and its Applications</t>
  </si>
  <si>
    <t>Zolkeply, M. S. and Shao, J.</t>
  </si>
  <si>
    <t>Software issue reports classification is a significant task in software maintenance and evolution. Despite the research effort being made over the years, the existing issue reports classification techniques are still inadequate. In this paper, we propose a new approach that is inspired by the Classification Associations Rule Mining (CARM) methodology in data mining, and report the testing of our method on 500 software issue reports extracted from an open source issue tracking system. Our experiments show that our method can achieve a high degree of accuracy in classifying software issue reports. © 2019 Association for Computing Machinery.</t>
  </si>
  <si>
    <t>https://www.scopus.com/inward/record.uri?eid=2-s2.0-85065669412&amp;doi=10.1145%2f3297280.3297608&amp;partnerID=40&amp;md5=ed343364f283a674ee25f9d06dfd65b8</t>
  </si>
  <si>
    <t>Soares, D. M., Junior, M. L. D. L., Murta, L. and Plastino, A.</t>
  </si>
  <si>
    <t>Rejection factors of pull requests filed by core team developers in software projects with high acceptance rates</t>
  </si>
  <si>
    <t>When developers want to contribute to an opensource project, they fork the repository, make changes, and send a pull request to the core team to incorporate these changes back into the repository. However, some projects enforce this collaboration model even for changes made by core team developers. This potentially enhances the quality of the repository by adding an inspection step before accepting a contribution into the repository. In this context, though less frequently, the contributions may be rejected. The understanding of the factors that lead to the rejection of these internal contributions is crucial for the improvement of the ways core developers collaborate, having a direct impact on the team productivity. In this work we extract association rules from pull request data stored in software repositories in order to find factors that have influence over the decision of rejecting contributions made by core developers. In addition, we present a qualitative analysis of some cases, helping to understand the patterns that arose from the association rules. The results indicate that some key factors increase the changes of having internal contributions rejected: (i) the inexperience with pull requests, (ii) the complexity of contributions, as well as the locality of the artifacts that have been modified, and (iii) the contribution policy of the projects. © 2015 IEEE.</t>
  </si>
  <si>
    <t>https://www.scopus.com/inward/record.uri?eid=2-s2.0-84969705874&amp;doi=10.1109%2fICMLA.2015.41&amp;partnerID=40&amp;md5=017bba70fc763a7bdef7a85b214e495b</t>
  </si>
  <si>
    <t>Soares, D. M., De Lima, M. L., Jr., Murta, L. and Plastino, A.</t>
  </si>
  <si>
    <t>Acceptance factors of pull requests in open-source projects</t>
  </si>
  <si>
    <t>Distributed version control systems provide support for pull request strategy, which is used to register external contributions in collaborative software projects. The data present on a pull request can provide insights of factors that have influence on the acceptance or rejection of contributions in open source projects. Furthermore, the discovery of knowledge about pull requests allows confirming or denying existing hypotheses and helps software developers and project managers to guide their actions. This work proposes the use of data mining, more specifically, the extraction of association rules, to find patterns that exert inuence on the acceptance (merge) of a pull request. The results suggest that: (i) the use of association rules allows to identify which factors increase the likelihood of a pull request merge; (ii) the identification of attributes that inuence the merge reveals important knowledge about the pull request model; and (iii) with the use of association rules, it is possible to determine which factors contribute to a faster merge. Copyright 2015 ACM.</t>
  </si>
  <si>
    <t>https://www.scopus.com/inward/record.uri?eid=2-s2.0-84955446818&amp;doi=10.1145%2f2695664.2695856&amp;partnerID=40&amp;md5=b116f456c1eea5b21fca5b07603345d8</t>
  </si>
  <si>
    <t>Cunha, P., Ferreira, A. and Cortez, P.</t>
  </si>
  <si>
    <t>Mining rational team concert repositories: A case study on a software project</t>
  </si>
  <si>
    <t>Software repositories are key to support the development of software. In this article, we present a Mining Software Repositories (MSR) approach that considered a two-year software project repository, set using the Rational Team Concert (RTC) tool. Such MSR was designed in terms of three main components: RTC data extraction, RTC data mining and design of RTC intelligence dashboard. In particular, we focus more on the data extraction component, although we also present mining and dashboard outcomes. Interesting results were achieved, revealing a potential of the proposed MSR to improve the software project planning/development agility and quality. © Springer International Publishing AG 2017.</t>
  </si>
  <si>
    <t>https://www.scopus.com/inward/record.uri?eid=2-s2.0-85028983734&amp;doi=10.1007%2f978-3-319-65340-2_44&amp;partnerID=40&amp;md5=b5eff94c18c68466fa8cc854261011cf</t>
  </si>
  <si>
    <t>Sidhu, P. K., Mussbacher, G. and McIntosh, S.</t>
  </si>
  <si>
    <t>Reuse (or Lack Thereof) in Travis CI Specifications: An Empirical Study of CI Phases and Commands</t>
  </si>
  <si>
    <t>An evolutionary programming based asymmetric weighted least squares support vector machine ensemble learning methodology for software repository mining</t>
  </si>
  <si>
    <t>Information Sciences</t>
  </si>
  <si>
    <t>In this paper, a novel evolutionary programming (EP) based asymmetric weighted least squares support vector machine (LSSVM) ensemble learning methodology is proposed for software repository mining. In this methodology, an asymmetric weighted LSSVM model is first proposed. Then the process of building the EP-based asymmetric weighted LSSVM ensemble learning methodology is described in detail. Two publicly available software defect datasets are finally used for illustration and verification of the effectiveness of the proposed EP-based asymmetric weighted LSSVM ensemble learning methodology. Experimental results reveal that the proposed EP-based asymmetric weighted LSSVM ensemble learning methodology can produce promising classification accuracy in software repository mining, relative to other classification methods listed in this study. © 2011 Elsevier Inc. All rights reserved.</t>
  </si>
  <si>
    <t>https://www.scopus.com/inward/record.uri?eid=2-s2.0-84857608172&amp;doi=10.1016%2fj.ins.2011.09.034&amp;partnerID=40&amp;md5=a8d105301084d5a8b62036699ea89a2c</t>
  </si>
  <si>
    <t>Meng, X., Miller, B. P., Williams, W. R. and Bernat, A. R.</t>
  </si>
  <si>
    <t>Mining software repositories for accurate authorship</t>
  </si>
  <si>
    <t>Code authorship information is important for analyzing software quality, performing software forensics, and improving software maintenance. However, current tools assume that the last developer to change a line of code is its author regardless of all earlier changes. This approximation loses important information. We present two new line-level authorship models to overcome this limitation. We first define the repository graph as a graph abstraction for a code repository, in which nodes are the commits and edges represent the development dependencies. Then for each line of code, structural authorship is defined as a sub graph of the repository graph recording all commits that changed the line and the development dependencies between the commits, weighted authorship is defined as a vector of author contribution weights derived from the structural authorship of the line and based on a code change measure between commits, for example, best edit distance. We have implemented our two authorship models as a new git built-in tool git-author. We evaluated git-author in an empirical study and a comparison study. In the empirical study, we ran git-author on five open source projects and found that git-author can recover more information than a current tool (git-blame) for about 10% of lines. In the comparison study, we used git-author to build a line-level model for bug prediction. We compared our line-level model with an existing file-level model. The results show that our line-level model performs consistently better than the file-level model when evaluated on our data sets produced from the Apache HTTP server project. © 2013 IEEE.</t>
  </si>
  <si>
    <t>https://www.scopus.com/inward/record.uri?eid=2-s2.0-84891681964&amp;doi=10.1109%2fICSM.2013.36&amp;partnerID=40&amp;md5=19e5d53eded6a45f971a33066516813b</t>
  </si>
  <si>
    <t>Maskeri, G., Karnam, D., Viswanathan, S. A. and Padmanabhuni, S.</t>
  </si>
  <si>
    <t>Version history based source code plagiarism detection in proprietary systems</t>
  </si>
  <si>
    <t>While the advent of open source code search tools have made the source code of thousands of open source software (OSS) readily accessible, thereby increasing legitimate reuse, it has also opened up the possibility of unconscientious employees plagiarizing code from OSS repositories. Plagiarism in proprietary software would not only lead to costly lawsuits, but also undermine the credibility of the organization. Hence detecting plagiarism in proprietary software is an urgent need. Though there exist a number of techniques for detecting plagiarism in student project assignments, they do not scale well in the case of large proprietary software. Especially when code snippets are plagiarized from the large number of available open source software. In this paper we propose a novel approach that applies Mining Software Repositories (MSR) based techniques to the problem of plagiarism detection. We create a programming style profile for each maintenance engineer by mining the version history and use that to detect source code commits that are likely to be plagiarized. Such suspected code fragments can be analyzed using any of the existing plagiarism detection techniques to confirm the plagiarism and ascertain the original code. © 2012 IEEE.</t>
  </si>
  <si>
    <t>https://www.scopus.com/inward/record.uri?eid=2-s2.0-84873151909&amp;doi=10.1109%2fICSM.2012.6405334&amp;partnerID=40&amp;md5=cee3d075f31d7e249c9634efd28d463a</t>
  </si>
  <si>
    <t>Soares, G., Gheyi, R., Murphy-Hill, E. and Johnson, B.</t>
  </si>
  <si>
    <t>Comparing approaches to analyze refactoring activity on software repositories</t>
  </si>
  <si>
    <t>Some approaches have been used to investigate evidence on how developers refactor their code, whether refactorings activities may decrease the number of bugs, or improve developers' productivity. However, there are some contradicting evidence in previous studies. For instance, some investigations found evidence that if the number of refactoring changes increases in the preceding time period the number of defects decreases, different from other studies. They have used different approaches to evaluate refactoring activities. Some of them identify committed behavior-preserving transformations in software repositories by using manual analysis, commit messages, or dynamic analysis. Others focus on identifying which refactorings are applied between two programs by using manual inspection or static analysis. In this work, we compare three different approaches based on manual analysis, commit message (Ratzinger's approach) and dynamic analysis (SafeRefactor's approach) to detect whether a pair of versions determines a refactoring, in terms of behavioral preservation. Additionally, we compare two approaches (manual analysis and Ref-Finder) to identify which refactorings are performed in each pair of versions. We perform both comparisons by evaluating their accuracy, precision, and recall in a randomly selected sample of 40 pairs of versions of JHotDraw, and 20 pairs of versions of Apache Common Collections. While the manual analysis presents the best results in both comparisons, it is not as scalable as the automated approaches. Ratzinger's approach is simple and fast, but presents a low recall; differently, SafeRefactor is able to detect most applied refactorings, although limitations in its test generation backend results for some kinds of subjects in low precision values. Ref-Finder presented a low precision and recall in our evaluation. © 2012 Elsevier Inc.</t>
  </si>
  <si>
    <t>https://www.scopus.com/inward/record.uri?eid=2-s2.0-84875265413&amp;doi=10.1016%2fj.jss.2012.10.040&amp;partnerID=40&amp;md5=8666baf1f3fba0c42464ffd156032efc</t>
  </si>
  <si>
    <t>Mauczka, A., Huber, M., Schanes, C., Schramm, W., Bernhart, M. and Grechenig, T.</t>
  </si>
  <si>
    <t>Tracing your maintenance work - A cross-project validation of an automated classification dictionary for commit messages</t>
  </si>
  <si>
    <t>A commit message is a description of a change in a Version Control System (VCS). Besides the actual description of the change, it can also serve as an indicator for the purpose of the change, e.g. a change to refactor code might be accompanied by a commit message in the form of "Refactored class XY to improve readability". We would label the change in our example a perfective change, according to maintenance literature. This simplified example shows how it is possible to classify a change by its commit message. However, commit messages are unstructured, textual data and efforts to automatically label changes into categories like perfective have only been applied to a small set of projects within the same company or the same community. In this work, we present a cross-project evaluated and valid mapping of changes to the code base and their purpose that is usable without any customization on any open-source project. We provide further the Eclipse Plug-In Subcat which allows for a comfortable analysis of projects from within Eclipse. By using Subcat, we are able to automatically assess if a commit to the code was e.g. a bug fix or a refactoring. This information is very useful for e.g. developer profiling or locating bad smells in modules. © 2012 Springer-Verlag Berlin Heidelberg.</t>
  </si>
  <si>
    <t>https://www.scopus.com/inward/record.uri?eid=2-s2.0-84859122867&amp;doi=10.1007%2f978-3-642-28872-2_21&amp;partnerID=40&amp;md5=5aa4f43ea6058a31c774d9699a015398</t>
  </si>
  <si>
    <t>Barr, E. T., Brun, Y., Devanbu, P., Harman, M. and Sarro, F.</t>
  </si>
  <si>
    <t>The plastic surgery hypothesis</t>
  </si>
  <si>
    <t>Recent work on genetic-programming-based approaches to automatic program patching have relied on the insight that the content of new code can often be assembled out of fragments of code that already exist in the code base. This insight has been dubbed the plastic surgery hypothesis; successful, well-known automatic repair tools such as GenProg rest on this hypothesis, but it has never been validated. We formalize and validate the plastic surgery hypothesis and empirically measure the extent to which raw material for changes actually already exists in projects. In this paper, we mount a large-scale study of several large Java projects, and examine a history of 15,723 commits to determine the extent to which these commits are graftable, i.e., can be reconstituted from existing code, and find an encouraging degree of graftability, surprisingly independent of commit size and type of commit. For example, we find that changes are 43% graftable from the exact version of the software being changed. With a view to investigating the difficulty of finding these grafts, we study the abundance of such grafts in three possible sources: the immediately previous version, prior history, and other projects. We also examine the contiguity or chunking of these grafts, and the degree to which grafts can be found in the same file. Our results are quite promising and suggest an optimistic future for automatic program patching methods that search for raw material in already extant code in the project being patched.</t>
  </si>
  <si>
    <t>https://www.scopus.com/inward/record.uri?eid=2-s2.0-84986922150&amp;doi=10.1145%2f2635868.2635898&amp;partnerID=40&amp;md5=afe74e3801caaac4782e5479cedb51f3</t>
  </si>
  <si>
    <t>Correa, D., Sureka, A. and Lal, S.</t>
  </si>
  <si>
    <t>Investigation of IR based topic models on issue tracking systems to infer software-specific semantic related term pairs</t>
  </si>
  <si>
    <t>Software maintenance is a core component of any software development life-cycle. Contemporary software systems contain voluminous and complex information stored in software repositories. Software maintenance professionals spend significant amount of time in search and exploration of these repositories for common maintenance tasks like bug fixing, feature enhancements, code refactoring and reengineering. Therefore, tools and methods to facilitate search in software repositories can aid software maintenance professionals to have faster access to required information and increase productivity. A domain-specific lexical resource is an important tool to bridge the semantic gap existing between the information need and search query. In this work, we investigate the use of information retrieval (IR) based topic models (like LSI and LDA) to infer semantically related terms for a software context specific lexical resource. We perform our experiments on Google Chromium - a widely popular open-source browser - issue tracker system which contains 134,000+ bug reports. We divide our study into two parts - (1) In the first part, we apply our IR models on free form natural language textual data present in defect tracking systems. We perform qualitative analysis on the obtained output and uncover semantically related terms in the Google Chromium software context. We observe that we are able to infer semantically similar term pairs in four different contexts of English language, Software, Google Chromium and Code details. (2) In second part of this study, we utilize the semantically inferred terms obtained from the output of IR models to facilitate the software maintenance task of duplicate bug report detection. Our results demonstrate that the use of IR based topic models on defect tracking systems to automatically infer semantically related terms can help build a software domain-specific lexical resource and reduce the vocabulary gap. © 2017 IEEE.</t>
  </si>
  <si>
    <t>https://www.scopus.com/inward/record.uri?eid=2-s2.0-85046356427&amp;doi=10.1109%2fIC3.2017.8284329&amp;partnerID=40&amp;md5=ca0e11ebf695dfc1a256347abbeec00a</t>
  </si>
  <si>
    <t>Martinez, M. and Monperrus, M.</t>
  </si>
  <si>
    <t>Mining software repair models for reasoning on the search space of automated program fixing</t>
  </si>
  <si>
    <t>This paper is about understanding the nature of bug fixing by analyzing thousands of bug fix transactions of software repositories. It then places this learned knowledge in the context of automated program repair. We give extensive empirical results on the nature of human bug fixes at a large scale and a fine granularity with abstract syntax tree differencing. We set up mathematical reasoning on the search space of automated repair and the time to navigate through it. By applying our method on 14 repositories of Java software and 89,993 versioning transactions, we show that not all probabilistic repair models are equivalent. © 2013, Springer Science+Business Media New York.</t>
  </si>
  <si>
    <t>https://www.scopus.com/inward/record.uri?eid=2-s2.0-84921700360&amp;doi=10.1007%2fs10664-013-9282-8&amp;partnerID=40&amp;md5=6be1f840b3c1598c1c02b2afd0f08967</t>
  </si>
  <si>
    <t>Campos, E. C. and Maia, M. D. A.</t>
  </si>
  <si>
    <t>Common Bug-Fix Patterns: A Large-Scale Observational Study</t>
  </si>
  <si>
    <t>[Background]: There are more bugs in real-world programs than human programmers can realistically address. Several approaches have been proposed to aid debugging. A recent research direction that has been increasingly gaining interest to address the reduction of costs associated with defect repair is automatic program repair. Recent work has shown that some kind of bugs are more suitable for automatic repair techniques. [Aim]: The detection and characterization of common bug-fix patterns in software repositories play an important role in advancing the field of automatic program repair. In this paper, we aim to characterize the occurrence of known bug-fix patterns in Java repositories at an unprecedented large scale. [Method]: The study was conducted for Java GitHub projects organized in two distinct data sets: The first one (i.e., Boa data set) contains more than 4 million bug-fix commits from 101,471 projects and the second one (i.e., Defects4J data set) contains 369 real bug fixes from five open-source projects. We used a domain-specific programming language called Boa in the first data set and conducted a manual analysis on the second data set in order to confront the results. [Results]: We characterized the prevalence of the five most common bug-fix patterns (identified in the work of Pan et al.) in those bug fixes. The combined results showed direct evidence that developers often forget to add IF preconditions in the code. Moreover, 76% of bug-fix commits associated with the IF-APC bug-fix pattern are isolated from the other four bug-fix patterns analyzed. [Conclusion]: Targeting on bugs that miss preconditions is a feasible alternative in automatic repair techniques that would produce a relevant payback. © 2017 IEEE.</t>
  </si>
  <si>
    <t>https://www.scopus.com/inward/record.uri?eid=2-s2.0-85042368257&amp;doi=10.1109%2fESEM.2017.55&amp;partnerID=40&amp;md5=262c2c6da04b37b97390d58ab0e950e8</t>
  </si>
  <si>
    <t>Yu, Y., Wang, H., Filkov, V., Devanbu, P. and Vasilescu, B.</t>
  </si>
  <si>
    <t>Wait for It: Determinants of pull request evaluation latency on GitHub</t>
  </si>
  <si>
    <t>The pull-based development model, enabled by git and popularised by collaborative coding platforms like Bit Bucket, Gitorius, and GitHub, is widely used in distributed software teams. While this model lowers the barrier to entry for potential contributors (since anyone can submit pull requests to any repository), it also increases the burden on integrators (i.e., Members of a project's core team, responsible for evaluating the proposed changes and integrating them into the main development line), who struggle to keep up with the volume of incoming pull requests. In this paper we report on a quantitative study that tries to resolve which factors affect pull request evaluation latency in GitHub. Using regression modeling on data extracted from a sample of GitHub projects using the Travis-CI continuous integration service, we find that latency is a complex issue, requiring many independent variables to explain adequately. © 2015 IEEE.</t>
  </si>
  <si>
    <t>https://www.scopus.com/inward/record.uri?eid=2-s2.0-84957085916&amp;doi=10.1109%2fMSR.2015.42&amp;partnerID=40&amp;md5=06fe29c4ea511de33812a6fbe79aef97</t>
  </si>
  <si>
    <t>Petrić, J., Grbac, T. G. and Dubravac, M.</t>
  </si>
  <si>
    <t>Processing and data collection of program structures in open source repositories</t>
  </si>
  <si>
    <t>Software structure analysis with help of network analysis showed promising results in software engineering community. Some previous studies have presented potential of representing software structure as subgraph frequencies, that are present in software structure using network graphs, for effective program characterization and differentiation. One of the prerequisites for exploration of this potential is collecting large dataset with number of different software projects. Nowadays, there are plenty of open source code repositories which not only they contain source code, but also provide a lot of crucial information useful in guiding software engineering actions. However, systematical building of such large dataset is highly challenging and time consuming process. Therefore, our approach is to automate data collection process for open source repositories aiming to provide as large as possible dataset that could provide us reliable conclusions. In this paper we present software structure tool analyzer based on subgraph frequencies, discuss its automation opportunities and illustrate preliminary results obtained by its usage. Some potential research directions are discussed. © by the paper's authors.</t>
  </si>
  <si>
    <t>https://www.scopus.com/inward/record.uri?eid=2-s2.0-84909954258&amp;partnerID=40&amp;md5=cbb6c1403d4bba165a78e0a58488df13</t>
  </si>
  <si>
    <t>Razzaq, S. and Xie, M.</t>
  </si>
  <si>
    <t>Understanding the Surviving Bugsin Open Source Software through the Community Perspective: Using Bayesian Analysis</t>
  </si>
  <si>
    <t>Mining the software repositories expose a lot of factors for software quality improvement. Researchers have worked extensively from various aspects of bug reports to predict, prevent and categorize the bugs in the software. Unfortunately, the survival aspect of software bugs is hardly reflected upon for bug removal efficiency. The surviving bugs are far more crucial for software reliability as compared to timely detected bugs. In this study, we ahead to highlight the existence of surviving bugs in open source software projects from the community perspective. A causal assessment model is developed using the Bayesian network for drawing the probabilistic inferenceto answer the proposed research questions. The study used data set from Apache 2.0.44 official release to reflect upon the findings. © 2019 IEEE.</t>
  </si>
  <si>
    <t>https://www.scopus.com/inward/record.uri?eid=2-s2.0-85065604936&amp;doi=10.1109%2fAICAI.2019.8701295&amp;partnerID=40&amp;md5=284bdfb82009509053d68ec9ea56c6d8</t>
  </si>
  <si>
    <t>A clustering technique based on the specifications of software components</t>
  </si>
  <si>
    <t>Komamizu, T., Hayase, Y., Amagasa, T. and Kitagawa, H.</t>
  </si>
  <si>
    <t>Exploring identical users on GitHub and stack overflow</t>
  </si>
  <si>
    <t>Analyzing behaviours of developers in different platforms (in particular, GitHub and Stack Overflow in this paper) can reveal interesting facts related to development activities. There are only few datasets for analysing crossplatform user behaviours, especially across GitHub and Stack Overflow. Users on GitHub and Stack Overflow are identifiable by equivalences of email addresses. In order to increase the number of identifiable users on these datasets, this paper retrieves potentially identifiable users between GitHub and Stack Overflow not relying only on email addresses. This paper employs a classification-based link prediction, which design the user identification problem as a link prediction problem on the bipartite graph consisting of users of GitHub and those of Stack Overflow. With the identification method, this paper generates a probabilistic dataset containing pairs of users with probabilities (or confidences). This paper, as well, publishes the identification tool in order to enable further data generation on appearing datasets of GitHub, Stack Overflow and others. The generated dataset and tool are highly helpful to accelerate researches on mining software repositories.</t>
  </si>
  <si>
    <t>https://www.scopus.com/inward/record.uri?eid=2-s2.0-85029525601&amp;doi=10.18293%2fSEKE2017-109&amp;partnerID=40&amp;md5=1e203e1c16f9f7109aeafa0946a00466</t>
  </si>
  <si>
    <t>Licorish, S. A. and MacDonell, S. G.</t>
  </si>
  <si>
    <t>Svajlenko, J. and Roy, C. K.</t>
  </si>
  <si>
    <t>Zhang, F., Mockus, A., Zou, Y., Khomh, F. and Hassan, A. E.</t>
  </si>
  <si>
    <t>How does context affect the distribution of software maintainability metrics?</t>
  </si>
  <si>
    <t>Software metrics have many uses, e.g., defect prediction, effort estimation, and benchmarking an organization against peers and industry standards. In all these cases, metrics may depend on the context, such as the programming language. Here we aim to investigate if the distributions of commonly used metrics do, in fact, vary with six context factors: application domain, programming language, age, lifespan, the number of changes, and the number of downloads. For this preliminary study we select 320 nontrivial software systems from Source Forge. These software systems are randomly sampled from nine popular application domains of Source Forge. We calculate 39 metrics commonly used to assess software maintainability for each software system and use Kruskal Wallis test and Mann-Whitney U test to determine if there are significant differences among the distributions with respect to each of the six context factors. We use Cliff's delta to measure the magnitude of the differences and find that all six context factors affect the distribution of 20 metrics and the programming language factor affects 35 metrics. We also briefly discuss how each context factor may affect the distribution of metric values. We expect our results to help software benchmarking and other software engineering methods that rely on these commonly used metrics to be tailored to a particular context. © 2013 IEEE.</t>
  </si>
  <si>
    <t>https://www.scopus.com/inward/record.uri?eid=2-s2.0-84891684052&amp;doi=10.1109%2fICSM.2013.46&amp;partnerID=40&amp;md5=95824befb2ab32e0984c1541960ff6ca</t>
  </si>
  <si>
    <t>Zhu, J., Lin, H., Zhou, M. and Mei, H.</t>
  </si>
  <si>
    <t>Review code evolution history in OSS universe</t>
  </si>
  <si>
    <t>Software evolves all the time because of the changing requirements, in particular, in the diverse Internet environment. Evolution history recorded in software repositories, e.g., Version Control Systems, reflects people's software development practice. Exploring this history could help practitioners to reuse the best practices therefore improve productivity and software quality. Because of the difficulty of collecting and standardizing data, most existing work could only utilize small project set. In this study, we target the open source software universe to build a universal code evolution model for large-scale data. We consider code evolution from two aspects: code version changing history in a single project and code reuse history in the whole universe. In the model, files/modules are built as nodes, and relations (version change or reuse) between files/modules are built as connections. Based on the model, we design and implement a code evolution review framework, i.e., Code Evolution Reviewer (CER), which provides a series of data interfaces to review code evolution history, in particular, code version changing in single project and code reuse among projects. Further, CER could be utilized to explore best practices across large-scale project set. Copyright 2012 ACM.</t>
  </si>
  <si>
    <t>https://www.scopus.com/inward/record.uri?eid=2-s2.0-84873480219&amp;doi=10.1145%2f2430475.2430488&amp;partnerID=40&amp;md5=a198a082cb31e793442917769b1b9cea</t>
  </si>
  <si>
    <t>Kalliamvakou, E., Singer, L., Gousios, G., German, D. M., Blincoe, K. and Damian, D.</t>
  </si>
  <si>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Copyright 2014 ACM.</t>
  </si>
  <si>
    <t>https://www.scopus.com/inward/record.uri?eid=2-s2.0-84914172716&amp;doi=10.1145%2f2597073.2597074&amp;partnerID=40&amp;md5=1af6a8da797b4bf2aeeabbadab3e45ae</t>
  </si>
  <si>
    <t>Herzig, K. and Zeller, A.</t>
  </si>
  <si>
    <t>The impact of tangled code changes</t>
  </si>
  <si>
    <t>When interacting with version control systems, developers often commit unrelated or loosely related code changes in a single transaction. When analyzing the version history, such tangled changes will make all changes to all modules appear related, possibly compromising the resulting analyses through noise and bias. In an investigation of five open-source JAVA projects, we found up to 15% of all bug fixes to consist of multiple tangled changes. Using a multi-predictor approach to untangle changes, we show that on average at least 16.6% of all source files are incorrectly associated with bug reports. We recommend better change organization to limit the impact of tangled changes. © 2013 IEEE.</t>
  </si>
  <si>
    <t>https://www.scopus.com/inward/record.uri?eid=2-s2.0-84889033808&amp;doi=10.1109%2fMSR.2013.6624018&amp;partnerID=40&amp;md5=5483af788a439a533937b9cb6dbfabeb</t>
  </si>
  <si>
    <t>Svajlenko, J., Keivanloo, I. and Roy, C. K.</t>
  </si>
  <si>
    <t>Big data clone detection using classical detectors: an exploratory study</t>
  </si>
  <si>
    <t>Big data analysis is an emerging research topic in various domains, and clone detection is no exception. The goal is to create big data inter-project clone corpora across open-source or corporate-source code repositories. Such corpora can be used to study developer behavior and to reduce engineering costs by extracting globally duplicated efforts into new APIs and as a basis for code completion and API usage support. However, building scalable clone detection tools is challenging. It is often impractical to use existing state-of-the-art tools to analyze big data because the memory and execution time required exceed the average user's resources. Some tools have inherent limitations in their data structures and algorithms that prevent the analysis of big data even when extraordinary resources are available. These limitations are impossible to overcome if the source code of the tool is unavailable or if the user lacks the time or expertise to modify the tool without harming its performance or accuracy. In this research, we have investigated the use of our shuffling framework for scaling classical clone detection tools to big data. The framework achieves scalability on commodity hardware by partitioning the input dataset into subsets manageable by the tool and computing resources. A non-deterministic process is used to randomly ‘shuffle’ the contents of the dataset into a series of subsets. The tool is executed for each subset, and its output for each is merged into a single report. This approach does not require modification to the subject tools, allowing their individual strengths and precision to be captured at an acceptable loss of recall. In our study, we explored the performance and applicability of the framework for the big data dataset, IJaDataset 2.0, which consists of 356 million lines of code from 25,000 open-source Java projects. We begin with a computationally inexpensive version of our framework based on pure random shuffling. This version was successful at scaling the tools to IJaDataset but required many subsets to achieve a desirable recall. Using our findings, we incrementally improved the framework to achieve a satisfactory recall using fewer resources. We investigated the use of efficient file tracking and file-similarity heuristics to bias the shuffling algorithm toward subsets of the dataset that contain undetected clone pairs. These changes were successful in improving the recall performance of the framework. Our study shows that the framework is able to achieve up to 90–95% of a tool's native recall using standard hardware. Copyright © 2014 John Wiley &amp; Sons, Ltd. Copyright © 2014 John Wiley &amp; Sons, Ltd.</t>
  </si>
  <si>
    <t>https://www.scopus.com/inward/record.uri?eid=2-s2.0-84978997497&amp;doi=10.1002%2fsmr.1662&amp;partnerID=40&amp;md5=38ba45268358399fca02d60ab8b83449</t>
  </si>
  <si>
    <t>Bayati, S., Parsons, D., Susnjak, T. and Heidary, M.</t>
  </si>
  <si>
    <t>Big data analytics on large-scale socio-technical software engineering archives</t>
  </si>
  <si>
    <t>Given the fast growing nature of software engineering data in online software repositories and open source communities, it would be helpful to analyse these assets to discover valuable information about the software engineering development process and other related data. Big Data Analytics (BDA) techniques and frameworks can be applied on these data resources to achieve a high-performance and relevant data collection and analysis. Software engineering is a socio-technical process which needs development team collaboration and technical knowledge to develop a high-quality application. GitHub, as an online social coding foundation, contains valuable information about the software engineers' communications and project life cycles. In this paper, unsupervised data mining techniques are applied on the data collected by general Big Data approaches to analyse GitHub projects, source codes and interactions. Source codes and projects are clustered using features and metrics derived from historical data in repositories, object oriented programming metrics and the influences of developers on source codes. © 2015 IEEE.</t>
  </si>
  <si>
    <t>https://www.scopus.com/inward/record.uri?eid=2-s2.0-84960481130&amp;doi=10.1109%2fICoICT.2015.7231398&amp;partnerID=40&amp;md5=ef860b7355ea859c20d5651a3cd174a2</t>
  </si>
  <si>
    <t>Amann, S., Beyer, S., Kevic, K. and Gall, H.</t>
  </si>
  <si>
    <t>Software mining studies: Goals, approaches, artifacts, and replicability</t>
  </si>
  <si>
    <t>The mining of software archives has enabled new ways for increasing the productivity in software development: Analyzing software quality, mining project evolution, investigating change patterns and evolution trends, mining models for development processes, developing methods of integrating mined data from various historical sources, or analyzing natural language artifacts in software repositories, are examples of research topics. Software repositories include various data, ranging from source control systems, issue tracking systems, artifact repositories such as requirements, design and architectural documentation, to archived communication between project members. Practitioners and researchers have recognized the potential of mining these sources to support the maintenance of software, to improve their design or architecture, and to empirically validate development techniques or processes. We revisited software mining studies that were published in recent years in the top venues of software engineering, such as ICSE, ESEC/FSE, and MSR. In analyzing these software mining studies, we highlight different viewpoints: pursued goals, state-of-the-art approaches, mined artifacts, and study replicability. To analyze the mining artifacts, we (lexically) analyzed research papers of more than a decade. In terms of replicability we looked at existing work in the field in mining approaches, tools, and platforms. We address issues of replicability and reproducibility to shed light onto challenges for large-scale mining studies that would enable a stronger conclusion stability. © Springer International Publishing Switzerland 2015.</t>
  </si>
  <si>
    <t>https://www.scopus.com/inward/record.uri?eid=2-s2.0-84957030143&amp;doi=10.1007%2f978-3-319-28406-4_5&amp;partnerID=40&amp;md5=7d7486a64aa5349348c2c00c6f013e33</t>
  </si>
  <si>
    <t>Gomes, E. A. P., Vieira, J. C. M., Coury, D. V. and Delbem, A. C. B.</t>
  </si>
  <si>
    <t>Islanding detection of synchronous distributed generators using data mining complex correlations</t>
  </si>
  <si>
    <t>IET Generation, Transmission and Distribution</t>
  </si>
  <si>
    <t>This study proposes a novel method based on data mining for islanding detection of synchronous distributed generators. The method uses a new technique called data mining of code repositories (DAMICORE), which is a powerful data mining tool for detecting patterns and similarities in various kinds of datasets. In addition, a trip logic was developed in this proposal in order to detect islanding and disconnect the distributed generator. One of the most relevant features of the proposed method is its capability to generalise, which reduces the need of big datasets for training purposes. This approach has been tested with islanding, load switching and fault simulations, presenting promising results concerning performance, as well as detection time. General results showed a better performance of the method if compared to traditional anti-islanding protection schemes, such as frequency-based relays. © The Institution of Engineering and Technology 2018.</t>
  </si>
  <si>
    <t>https://www.scopus.com/inward/record.uri?eid=2-s2.0-85053605177&amp;doi=10.1049%2fiet-gtd.2017.1722&amp;partnerID=40&amp;md5=5d2005b9bfc6f0be7f97a3ab543d9ea1</t>
  </si>
  <si>
    <t>Journal of software: Evolution and Process</t>
  </si>
  <si>
    <t>Frommhold, M., Piris, R. N., Arndt, N., Tramp, S., Petersen, N. and Martin, M.</t>
  </si>
  <si>
    <t>Towards versioning of arbitrary RDF data</t>
  </si>
  <si>
    <t>Coherent and consistent tracking of provenance data and in particular update history information is a crucial building block for any serious information system architecture. Version Control Systems can be a part of such an architecture enabling users to query and manipulate versioning information as well as content revisions. In this paper, we introduce an RDF versioning approach as a foundation for a full featured RDF Version Control System. We argue that such a system needs support for all concepts of the RDF specification including support for RDF datasets and blank nodes. Furthermore, we placed special emphasis on the protection against unperceived history manipulation by hashing the resulting patches. In addition to the conceptual analysis and an RDF vocabulary for representing versioning information, we present a mature implementation which captures versioning information for changes to arbitrary RDF datasets. © 2016 Copyright held by the owner/author(s).</t>
  </si>
  <si>
    <t>https://www.scopus.com/inward/record.uri?eid=2-s2.0-84994134121&amp;doi=10.1145%2f2993318.2993327&amp;partnerID=40&amp;md5=c1c09787d13ab59e7da0538693618dff</t>
  </si>
  <si>
    <t>Dyer, R., Nguyen, H. A., Rajan, H. and Nguyen, T. N.</t>
  </si>
  <si>
    <t>Boa: Ultra-large-scale software repository and source-code mining</t>
  </si>
  <si>
    <t>ACM Transactions on Software Engineering and Methodology</t>
  </si>
  <si>
    <t>In today's software-centric world, ultra-large-scale software repositories, such as SourceForge, GitHub, and Google Code, are the new library of Alexandria. They contain an enormous corpus of software and related information. Scientists and engineers alike are interested in analyzing this wealth of information. However, systematic extraction and analysis of relevant data from these repositories for testing hypotheses is hard, and best left for mining software repository (MSR) experts! Specifically, mining source code yields significant insights into software development artifacts and processes. Unfortunately, mining source code at a large scale remains a difficult task. Previous approaches had to either limit the scope of the projects studied, limit the scope of the mining task to be more coarse grained, or sacrifice studying the history of the code. In this article we address mining source code: (a) at a very large scale; (b) at a fine-grained level of detail; and (c) with full history information. To address these challenges, we present domain-specific language features for source-code mining in our language and infrastructure called Boa. The goal of Boa is to ease testing MSR-related hypotheses. Our evaluation demonstrates that Boa substantially reduces programming efforts, thus lowering the barrier to entry. We also show drastic improvements in scalability. © 2015 ACM.</t>
  </si>
  <si>
    <t>https://www.scopus.com/inward/record.uri?eid=2-s2.0-84949680341&amp;doi=10.1145%2f2803171&amp;partnerID=40&amp;md5=e53e078a197072bcda595d9cf6ed0169</t>
  </si>
  <si>
    <t>Shakiba, A., Green, R. and Dyer, R.</t>
  </si>
  <si>
    <t>FourD: Do developers discuss design? Revisited</t>
  </si>
  <si>
    <t>Software repositories contain a variety of information that can be mined and utilized to enhance software engineering processes. Patterns stored in software repository meta-data can provide useful and informative information about different aspects of a project, particularly those that may not be obvious for developers. One such aspect is the role of software design in a project. The messages connected to each commit in the repository note not only what changes have been made to project files, but potentially if those changes have somehow manipulated the design of the software. In this paper, a sample of commit messages from a random sample of projects on GitHub and SourceForge are manually classified as \design" or \non-design" based on a survey. The resulting data is then used to train multiple machine learning algorithms in order to determine if it is possible to predict whether or not a single commit is discussing software design. Our results show the Random Forest classifier performed best on our combined data set with a G-mean of 75.01. © 2016 ACM.</t>
  </si>
  <si>
    <t>https://www.scopus.com/inward/record.uri?eid=2-s2.0-85007003136&amp;doi=10.1145%2f2989238.2989244&amp;partnerID=40&amp;md5=195c9fcf4c9baaadc8190fc781d587e9</t>
  </si>
  <si>
    <t>Dyer, R., Nguyen, H., Rajan, H. and Nguyen, T.</t>
  </si>
  <si>
    <t>Boa: An Enabling Language and Infrastructure for Ultra-Large-Scale MSR Studies</t>
  </si>
  <si>
    <t>Mining software repositories (MSR) on a large scale is important for more generalizable research results. Large collections of software artifacts are openly available (e.g., SourceForge has more than 350,000 projects, GitHub has more than 10 million projects, and Google Code has more than 250,000 projects), but capitalizing on this data is extremely difficult. This chapter serves as a reference guide for Boa, a language and infrastructure designed to decrease the barrier to entry for ultra-large-scale MSR studies. Boa consists of a domain-specific language, its compiler, a dataset that contains almost 700,000 open source projects as of this writing, a back end based on MapReduce to effectively analyze this dataset, and a Web-based front end for writing MSR programs. This chapter describes how researchers and software practitioners can start using this resource. © 2015 Elsevier Inc. All rights reserved.</t>
  </si>
  <si>
    <t>https://www.scopus.com/inward/record.uri?eid=2-s2.0-84944068581&amp;doi=10.1016%2fB978-0-12-411519-4.00020-3&amp;partnerID=40&amp;md5=cb68f450a14c974443b22e2e146af905</t>
  </si>
  <si>
    <t>Dyer, R., Rajan, H. and Nguyen, T. N.</t>
  </si>
  <si>
    <t>Lee, H. J., Seo, B. K. and Seo, E.</t>
  </si>
  <si>
    <t>A git source repository analysis tool based on a novel branch-oriented approach</t>
  </si>
  <si>
    <t>Code repositories of the version control systems have been used as important raw material in lots of developer behavior studies. In such research, commits are usually considered as a unit of development phases, even though they contain limited information over development process. Unlike former source code management systems, Git provides branching, which are the unit of concurrent and independent development activities in a whole project. Branches have significant advantages over commits from the viewpoint of the developer behavior researchers. By exploiting the characteristics of branching, we propose a Git branch analysis tool. The proposed tool automatically extracts branching data from Git repositories and performs statistical and graphical analysis on them. Through a few case studies using a number of popular OSS project repositories, we showed that the proposed branch-oriented analyzer is able to perform more insightful analysis than the existing commit-based analyzers. © 2013 IEEE.</t>
  </si>
  <si>
    <t>https://www.scopus.com/inward/record.uri?eid=2-s2.0-84883809259&amp;doi=10.1109%2fICISA.2013.6579457&amp;partnerID=40&amp;md5=f68565c0319e1fb2351f4ffb84a12b9e</t>
  </si>
  <si>
    <t>Uquillas Gómez, V., Ducasse, S. and Kellens, A.</t>
  </si>
  <si>
    <t>Supporting streams of changes during branch integration</t>
  </si>
  <si>
    <t>When developing large applications, integrators face the problem of integrating changes between branches or forks. While version control systems provide support for merging changes, this support is mostly text-based, and does not take the program entities into account. Furthermore, there exists no support for assessing which other changes a particular change depends on have to be integrated. Consequently, integrators are left to perform a manual and tedious comparison of the changes within the sequence of their branch and to successfully integrate them. In this paper, we present an approach that analyzes changes within a sequence of changes (stream of changes): such analysis identifies and characterizes dependencies between the changes. The approach identifies changes as autonomous, only used by others, only using other changes, or both. Such a characterization aims at easing the integrator's work. In addition, the approach supports important queries that an integrator otherwise has to perform manually. We applied the approach to a stream of changes representing 5 years of development work on an open-source project and report our experiences. © 2014 Elsevier B.V. All rights reserved.</t>
  </si>
  <si>
    <t>https://www.scopus.com/inward/record.uri?eid=2-s2.0-84908192157&amp;doi=10.1016%2fj.scico.2014.07.012&amp;partnerID=40&amp;md5=2fbd95070f4c50ea2ce131b11bb533b7</t>
  </si>
  <si>
    <t>Ramadani, J. and Wagner, S.</t>
  </si>
  <si>
    <t>Which Change Sets in Git Repositories Are Related?</t>
  </si>
  <si>
    <t>Software repositories contain valuable information about the history of software changes. Using data mining, researchers have identified file changes that happened together frequently to present hints for necessary changes to developers. However, not all file change sets are related. This can affect the recommendations about coupled file changes negatively by delivering irrelevant couplings to the developers. The commit time and branching characteristics of Git have not been investigated together in previous heuristics for grouping related change sets. We exploit the mappings between commit messages and issue ids for judging the relatedness of change sets. We propose a heuristic for Git and investigate the influence of two factors, the time between the commits and their branching on the relatedness of change sets using the repositories of five open-source systems using logistic regression. According to our findings, the combination of these two factors influences the relatedness of change sets. Individually measured, only the time significantly influences the relatedness, the branching itself does not. Our results support previous heuristic that also in Git repositories the commit time is important for grouping related change sets. © 2016 IEEE.</t>
  </si>
  <si>
    <t>https://www.scopus.com/inward/record.uri?eid=2-s2.0-84995538655&amp;doi=10.1109%2fQRS.2016.52&amp;partnerID=40&amp;md5=16c186831b33a3e85d89ff34297ed433</t>
  </si>
  <si>
    <t>Kovalenko, V., Palomba, F. and Bacchelli, A.</t>
  </si>
  <si>
    <t>Mining file histories: Should we consider branches?</t>
  </si>
  <si>
    <t>Modern distributed version control systems, such as Git, oer support for branching - the possibility to develop parts of software outside the master trunk. Consideration of the repository structure in Mining Software Repository (MSR) studies requires a thorough approach to mining, but there is no well-documented, widespread methodology regarding the handling of merge commits and branches. Moreover, there is still a lack of knowledge of the extent to which considering branches during MSR studies impacts the results of the studies. In this study, we set out to evaluate the importance of proper handling of branches when calculating le modication histories. We analyze over 1,400 Git repositories of four open source ecosystems and compute modication histories for over two million les, using two dierent algorithms. One algorithm only follows the rst parent of each commit when traversing the repository, the other returns the full modication history of a le across all branches. We show that the two algorithms consistently deliver dierent results, but the scale of the dierence varies across projects and ecosystems. Further, we evaluate the importance of accurate mining of le histories by comparing the performance of common techniques that rely on le modication history - reviewer recommendation, change recommendation, and defect prediction - for two algorithms of le history retrieval. We nd that considering full le histories leads to an increase in the techniques' performance that is rather modest. © 2018 Copyright held by the owner/author(s).</t>
  </si>
  <si>
    <t>https://www.scopus.com/inward/record.uri?eid=2-s2.0-85056491637&amp;doi=10.1145%2f3238147.3238169&amp;partnerID=40&amp;md5=7f83b9216b6a29285abe4a09a0a02ac0</t>
  </si>
  <si>
    <t>Recovering commit branch of origin from GitHub repositories</t>
  </si>
  <si>
    <t>An approach to automatically recover the name of the branch where a given commit is originally made within a GitHub repository is presented and evaluated. This is a difficult task because in Git, the commit object does not store the name of the branch when it is created. Here this is termed the commit's branch of origin. Developers typically use branches in Git to group sets of changes that are related by task or concern. The approach recovers the branch of origin only within the scope of a single repository. The recovery process first uses Git's default merge commit messages and then examines the relationships between neighboring commits. The evaluation includes a simulation, an empirical examination of 40 repositories of open-source systems, and a manual verification. The evaluations show that the average accuracy exceeds 97% of all commits and the average precision exceeds 80%. © 2016 IEEE.</t>
  </si>
  <si>
    <t>https://www.scopus.com/inward/record.uri?eid=2-s2.0-85013040821&amp;doi=10.1109%2fICSME.2016.39&amp;partnerID=40&amp;md5=336a6ca053349975aa6dd99f0024e8ca</t>
  </si>
  <si>
    <t>Greene, G. J. and Fischer, B.</t>
  </si>
  <si>
    <t>Interactive tag cloud visualization of software version control repositories</t>
  </si>
  <si>
    <t>Version control repositories contain a wealth of implicit information that can be used to answer many questions about a project's development process. However, this information is not directly accessible in the version control archives and must be extracted and visualized. This paper describes ConceptCloud, a flexible, interactive browser for SVN and Git repositories. The main novelty of our approach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for the construction of unique visualizations. We describe the mathematical foundations and implementation of our approach, and use ConceptCloud to quickly gain insight into the team structure and development process of two projects. © 2015 IEEE.</t>
  </si>
  <si>
    <t>https://www.scopus.com/inward/record.uri?eid=2-s2.0-84960888940&amp;doi=10.1109%2fVISSOFT.2015.7332415&amp;partnerID=40&amp;md5=9a1661dfdd2416117cbecd7036ac85e8</t>
  </si>
  <si>
    <t>Greene, G. J., Esterhuizen, M. and Fischer, B.</t>
  </si>
  <si>
    <t>Visualizing and exploring software version control repositories using interactive tag clouds over formal concept lattices</t>
  </si>
  <si>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 2016 Elsevier B.V.</t>
  </si>
  <si>
    <t>https://www.scopus.com/inward/record.uri?eid=2-s2.0-85011101156&amp;doi=10.1016%2fj.infsof.2016.12.001&amp;partnerID=40&amp;md5=5d83de4205c653d278955a10e6ae6009</t>
  </si>
  <si>
    <t>Xuan, J., Jiang, H., Zhang, H. and Ren, Z.</t>
  </si>
  <si>
    <t>Developer recommendation on bug commenting: a ranking approach for the developer crowd</t>
  </si>
  <si>
    <t>Science China Information Sciences</t>
  </si>
  <si>
    <t>A bug tracking system provides a collaborative platform for the developer crowd. After a bug report is submitted, developers can make comments to supplement the details of the bug report. Due to the large number of developers and bug reports, it is hard to determine which developer (also called commenter) is able to comment on a particular bug report. We refer to the problem of recommending developers for commenting on bug reports as commenter recommendation. In this paper, we perform an empirical analysis on commenter recommendation based on five-year bug reports of four open source projects. First, we preliminarily analyze bug comments and commenters in three categories, the relationship between commenters and fixers, the data scale of comments, and the collaboration on bug commenting. Second, we design a recommendation approach via ranking developers in the crowd to reduce the manual effort of identifying commenters. In this approach, we formulize the commenter recommendation problem as a multi-label recommendation task and leverage both developer collaboration and bug content to find out appropriate commenters. Experimental results show that our approach can effectively recommend commenters; 41% to 75% of the recall value is achieved for top-10 recommendation. Our empirical analysis on bug commenting can help developers understand and improve the process of fixing bugs. © 2017, Science China Press and Springer-Verlag Berlin Heidelberg.</t>
  </si>
  <si>
    <t>https://www.scopus.com/inward/record.uri?eid=2-s2.0-85018793865&amp;doi=10.1007%2fs11432-015-0582-8&amp;partnerID=40&amp;md5=d340d06e597537ca25b0c97d69bed492</t>
  </si>
  <si>
    <t>Gyimesi, P., Gyimesi, G., Tóth, Z. and Ferenc, R.</t>
  </si>
  <si>
    <t>Characterization of source code defects by data mining conducted on GitHub</t>
  </si>
  <si>
    <t>In software systems the coding errors are unavoidable due to the frequent source changes, the tight deadlines and the inaccurate specifications. Therefore, it is important to have tools that help us in finding these errors. One way of supporting bug prediction is to analyze the characteristics of the previous errors and identify the unknown ones based on these characteristics. This paper aims to characterize the known coding errors. Nowadays, the popularity of the source code hosting services like GitHub are increasing rapidly. They provide a variety of services, among which the most important ones are the version and bug tracking systems. Version control systems store all versions of the source code, and bug tracking systems provide a unified interface for reporting errors. Bug reports can be used to identify the wrong and the previously fixed source code parts, thus the bugs can be characterized by static source code metrics or by other quantitatively measured properties using the gathered data. We chose GitHub for the base of data collection and we selected 13 Java projects for analysis. As a result, a database was constructed, which characterizes the bugs of the examined projects, thus can be used, inter alia, to improve the automatic detection of software defects. © Springer International Publishing Switzerland 2015.</t>
  </si>
  <si>
    <t>https://www.scopus.com/inward/record.uri?eid=2-s2.0-84949035043&amp;doi=10.1007%2f978-3-319-21413-9_4&amp;partnerID=40&amp;md5=f9ee3bba6e6683c2324b5cb869526eea</t>
  </si>
  <si>
    <t>Nagwani, N. K. and Verma, S.</t>
  </si>
  <si>
    <t>Generating Intelligent Summary Terms for Improving Knowledge Discovery in Software Bug Repositories</t>
  </si>
  <si>
    <t>International Journal of Software Engineering and Knowledge Engineering</t>
  </si>
  <si>
    <t>Software bug records are stored and managed using bug tracking tools. A software bug is characterized by a number of attributes like bug id, opened date, closed date, reported by, assigned to, summary (title), description and set of comments. Summary and description are the two important attributes of a bug. Description gives the detailed information about a bug, whereas summary (title) of a bug gives a quick glance and short information about a bug. The objective of this study is to discover the relationship between description and summary attributes of a bug and to find whether summary of a bug is really the compact and intelligent information of description of a bug. This finding helps in providing a new direction for faster knowledge discovery in a bug repository. Another objective of the work is to demonstrate that intelligent summary of a bug can be generated from description of bug using topic modeling techniques. In this work, topic modeling techniques are used to generate meaningful terms for framing the bug summary of software bugs which can be utilized for faster knowledge discovery. Topic modeling techniques can be utilized efficiently for generating intelligent summary from description of a software bugs and then the knowledge discovery can be performed using the intelligent summary only since it will reduce the volume of data for knowledge discovery. To demonstrate the presented approach, experiments are performed on three popular bug repositories namely, Android, Mozilla and MySql. Comparative analysis is carried using various performance parameters and in order to analyze the impact of present work, two knowledge discovery tasks namely, bug classification and duplicate bug identification are presented in this study. © 2016 World Scientific Publishing Company.</t>
  </si>
  <si>
    <t>https://www.scopus.com/inward/record.uri?eid=2-s2.0-84977587478&amp;doi=10.1142%2fS0218194016500273&amp;partnerID=40&amp;md5=340a29193ea2110402a793000d4d52f0</t>
  </si>
  <si>
    <t>Dias, M., Bacchelli, A., Gousios, G., Cassou, D. and Ducasse, S.</t>
  </si>
  <si>
    <t>Untangling fine-grained code changes</t>
  </si>
  <si>
    <t>After working for some time, developers commit their code changes to a version control system. When doing so, they often bundle unrelated changes (e.g., bug fix and refactoring) in a single commit, thus creating a so-called tangled commit. Sharing tangled commits is problematic because it makes review, reversion, and integration of these commits harder and historical analyses of the project less reliable. Researchers have worked at untangling existing commits, i.e., finding which part of a commit relates to which task. In this paper, we contribute to this line of work in two ways: (1) A publicly available dataset of untangled code changes, created with the help of two developers who accurately split their code changes into self contained tasks over a period of four months; (2) a novel approach, EpiceaUntangler, to help developers share untangled commits (aka. atomic commits) by using fine-grained code change information. EpiceaUntangler is based and tested on the publicly available dataset, and further evaluated by deploying it to 7 developers, who used it for 2 weeks. We recorded a median success rate of 91% and average one of 75%, in automatically creating clusters of untangled fine-grained code changes. © 2015 IEEE.</t>
  </si>
  <si>
    <t>https://www.scopus.com/inward/record.uri?eid=2-s2.0-84928662305&amp;doi=10.1109%2fSANER.2015.7081844&amp;partnerID=40&amp;md5=49d4b952134964832beffd0b30a879ca</t>
  </si>
  <si>
    <t>Arora, R. and Garg, A.</t>
  </si>
  <si>
    <t>Analysis of software repositories using process mining</t>
  </si>
  <si>
    <t>Software repositories such as Issue Tracking Systems (ITS) log bug history that contains important information about the activities followed during bug resolution. Mining of ITS can provide useful insights of such processes. This study uses process mining to extract knowledge from the event logs recorded in bug history report of ITS Monorail to determine the as-is process model. This study will help in identifying the kind and source of inefficiencies and inconsistencies and eventually help improving the software bug resolution process. © Springer Nature Singapore Pte Ltd. 2018.</t>
  </si>
  <si>
    <t>https://www.scopus.com/inward/record.uri?eid=2-s2.0-85039429612&amp;doi=10.1007%2f978-981-10-5547-8_65&amp;partnerID=40&amp;md5=5a9864ebc2a42ec3d4f7dd6854d208b5</t>
  </si>
  <si>
    <t>Palomba, F., Zanoni, M., Fontana, F. A., De Lucia, A. and Oliveto, R.</t>
  </si>
  <si>
    <t>Toward a smell-aware bug prediction model</t>
  </si>
  <si>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 © 1976-2012 IEEE.</t>
  </si>
  <si>
    <t>https://www.scopus.com/inward/record.uri?eid=2-s2.0-85034272704&amp;doi=10.1109%2fTSE.2017.2770122&amp;partnerID=40&amp;md5=6c8be47eecf246e1d0d4970438460843</t>
  </si>
  <si>
    <t>Singh, V. B., Chaturvedi, K. K., Khatri, S. and Sharma, M.</t>
  </si>
  <si>
    <t>Complexity of the code changes and issues dependent approach to determine the release time of software product</t>
  </si>
  <si>
    <t>Changes in source code of the software products are inevitable. We need to change the source code to fix the feature improvements, new features and bugs. Feature improvements, new features and bugs are collectively termed as issues. The changes in the source code of the software negatively impact its product, but necessary for the evolution of the software. The changes in source code are quantified using entropy based measure and it is called the complexity of code changes. In this paper, we built regression models to predict the next release time of software using the complexity of code changes (entropy), feature improvements, new feature implementation and bugs fixed. The regression models have been built using Multiple Linear Regression (MLR), various kernel functions based Support Vector Regression (SVR) and k-Nearest Neighbor (k-NN) methods. The proposed models have been empirically validated using four open source sub-projects of the Apache software foundation. The proposed models exhibit a good fit. The developed models will assist release managers in release planning of the software. © Springer International Publishing AG 2017.</t>
  </si>
  <si>
    <t>https://www.scopus.com/inward/record.uri?eid=2-s2.0-85026732609&amp;doi=10.1007%2f978-3-319-62404-4_39&amp;partnerID=40&amp;md5=d1e67f01af69bf7bbcb2cded7a390a71</t>
  </si>
  <si>
    <t>Aljemabi, M. A. and Wang, Z.</t>
  </si>
  <si>
    <t>Empirical study on the similarity and difference between VCS-DSN and BTS-DSN</t>
  </si>
  <si>
    <t>Most of the developers are collaborating freely as the team works through the Internet, for developing open source software projects without access restriction, playing different tasks including communications and coordination, making various social collaboration in the open source software projects (e.g., Bug/issue report, discussion, code revisions, etc.). All these activities can be recorded into software repositories like GitHub, and used to generate an implicit developer social network (DSN). In this paper, we conduct our empirical study using 50 open source software projects collected from GitHub and construct VCS-DSN and BTS-DSN to investigate the same collaboration between developers in the real world, and to find similarities and differences between them, in addition to the degree of similarity and diversity. © 2017 ACM.</t>
  </si>
  <si>
    <t>https://www.scopus.com/inward/record.uri?eid=2-s2.0-85018593922&amp;doi=10.1145%2f3034950.3034980&amp;partnerID=40&amp;md5=161153cf6c25f74255a3a77d13e20348</t>
  </si>
  <si>
    <t>Souza, R. and Chavez, C.</t>
  </si>
  <si>
    <t>Characterizing verification of bug fixes in two open source IDEs</t>
  </si>
  <si>
    <t>Data from bug repositories have been used to enable inquiries about software product and process quality. Unfortunately, such repositories often contain inaccurate, inconsistent, or missing data, which can originate misleading results. In this paper, we investigate how well data from bug repositories support the discovery of details about the software verification process in two open source projects, Eclipse and NetBeans. We have been able do identify quality assurance teams in NetBeans and to detect a well-defined verification phase in Eclipse. A major challenge, however, was to identify the verification techniques used in the projects. Moreover, we found cases in which a large batch of bug fixes is simultaneously reported to be verified, although no software verification was actually done. Such mass verifications, if not acknowledged, threatens analyses that rely on information about software verification reported on bug repositories. Therefore, we recommend that the exploratory analyses presented in this paper precede inferences based on reported verifications. © 2012 IEEE.</t>
  </si>
  <si>
    <t>https://www.scopus.com/inward/record.uri?eid=2-s2.0-84865137972&amp;doi=10.1109%2fMSR.2012.6224301&amp;partnerID=40&amp;md5=cf5ea23fe60bb8abac2e3bb3ecbdb709</t>
  </si>
  <si>
    <t>Ligu, E., Chaikalis, T. and Chatzigeorgiou, A.</t>
  </si>
  <si>
    <t>BuCo reporter: Mining software and bug repositories</t>
  </si>
  <si>
    <t>Version Control and Bug Tracking Systems are essential tools in contemporary software development methods and are widely employed by development teams for systematic source code revision tracking and effective bug management. By combining information provided from both tools, a maintainer could shed light to various qualitative and quantitative characteristics of software projects. BuCo Reporter is a Java application that mines source code and bug repositories and by combining these kinds of information provides useful reports that describe project history. BuCo also calculates several bug and source code metrics. Its novelty lies in its modular structure which allows for effortless extensibility. Moreover the framework that is provided is very easy to install, use and modify without requiring background knowledge. Copyright © 2013 for the individual papers by the papers' authors.</t>
  </si>
  <si>
    <t>https://www.scopus.com/inward/record.uri?eid=2-s2.0-84924809540&amp;partnerID=40&amp;md5=2fb04a5a41cd612ec5a47c072b37620c</t>
  </si>
  <si>
    <t>Zhang, W., Wang, S., Yang, Y. and Wang, Q.</t>
  </si>
  <si>
    <t>Heterogeneous network analysis of developer contribution in bug repositories</t>
  </si>
  <si>
    <t>Using a bug repository, developers contribute to improve the quality of software incrementally by creating and updating bug reports. All the software artifacts in bug repositories are derived from developer contribution. Most prior studies on developer contribution in bug repositories bias on one particular form, e.g., commenting bug reports. However, in real practice of bug repositories, developers participate in and contribute to software projects via multiple ways, e.g., reporting new bugs, reopening incorrectly fixed bugs, commenting unfixed bug reports, and fixing unsolved bugs. In this paper, we exploit recent advances in analysis of heterogeneous network to avoid biased aspects in measuring developer contribution and explore multiple types of developer contribution in bug repositories. Further, we consider leveraging such multiple types of developer contribution to assist a typical prediction problem in bug repositories, i.e., bug triage. Empirical studies on bug repositories of Eclipse and Mozilla show that our approach can provide enriched knowledge of developer contribution to improve the resolution of bug triage. This study strongly suggests using the promising aspects of heterogeneous network can open many actionable insights in analyzing software repositories. © 2013 IEEE.</t>
  </si>
  <si>
    <t>https://www.scopus.com/inward/record.uri?eid=2-s2.0-84893626183&amp;doi=10.1109%2fCSC.2013.23&amp;partnerID=40&amp;md5=5fda84462b6e5d3088f313d3fd6cd069</t>
  </si>
  <si>
    <t>An, L., Khomh, F. and Guéhéneuc, Y. G.</t>
  </si>
  <si>
    <t>An empirical study of crash-inducing commits in Mozilla Firefox</t>
  </si>
  <si>
    <t>Software crashes are dreaded by both software organisations and end-users. Many software organisations have automatic crash reporting tools embedded in their software systems to help quality-assurance teams track and fix crash-related bugs. Previous approaches, which focused on the triaging of crash-types and crash-related bugs, can help software organisations increase their debugging efficiency of crashes. However, these approaches can only be applied after the software systems have been crashing for a certain period of time. To help software organisations detect and fix crash-prone code earlier, we examine the characteristics of commits that lead to crashes, which we call crash-inducing commits, in Mozilla Firefox. We observe that crash-inducing commits are often submitted by developers with less experience and that developers perform more addition and deletion of lines of code in crash-inducing commits but also that they need less effort to fix the bugs caused by these commits. We also characterise commits that would lead to frequent crashes, which impact a large user base, which we call highly impactful crash-inducing commits. Compared to other crash-related bugs, we observe that bugs due to highly impactful crash-inducing commits were less reopened by developers and tend to be fixed by a single commit. We build predictive models to help software organisations detect and fix crash-prone bugs early, when their developers commit code. Our predictive models achieve a precision of 61.2% and a recall of 94.5% to predict crash-inducing commits and a precision of 60.9% and a recall of 91.1% to predict highly impactful crash-inducing commits. Software organisations could use our models and approach to track and fix crash-prone commits early, before they negatively impact users, thus increasing bug fixing efficiency and user-perceived quality. © 2017, Springer Science+Business Media New York.</t>
  </si>
  <si>
    <t>https://www.scopus.com/inward/record.uri?eid=2-s2.0-85014605746&amp;doi=10.1007%2fs11219-017-9361-y&amp;partnerID=40&amp;md5=7a5811b44bc7d587980eda4c07adf239</t>
  </si>
  <si>
    <t>Commit graphs</t>
  </si>
  <si>
    <t>We present commit graphs, a graph representation of the commit history in version control systems. The graph is structured by commonly changed files between commits. We derive two analysis patterns relating to bug-fixing commits and system modularity. © 2013 IEEE.</t>
  </si>
  <si>
    <t>https://www.scopus.com/inward/record.uri?eid=2-s2.0-84885221812&amp;doi=10.1109%2fDAPSE.2013.6603798&amp;partnerID=40&amp;md5=524586600a5f1da411cba998eca981ad</t>
  </si>
  <si>
    <t>Kononenko, O., Baysal, O., Guerrouj, L., Cao, Y. and Godfrey, M. W.</t>
  </si>
  <si>
    <t>Investigating code review quality: Do people and participation matter?</t>
  </si>
  <si>
    <t>Code review is an essential element of any mature software development project; it aims at evaluating code contributions submitted by developers. In principle, code review should improve the quality of code changes (patches) before they are committed to the project's master repository. In practice, bugs are sometimes unwittingly introduced during this process. In this paper, we report on an empirical study investigating code review quality for Mozilla, a large open-source project. We explore the relationships between the reviewers' code inspections and a set of factors, both personal and social in nature, that might affect the quality of such inspections. We applied the SZZ algorithm to detect bug-inducing changes that were then linked to the code review information extracted from the issue tracking system. We found that 54% of the reviewed changes introduced bugs in the code. Our findings also showed that both personal metrics, such as reviewer workload and experience, and participation metrics, such as the number of involved developers, are associated with the quality of the code review process. © 2015 IEEE.</t>
  </si>
  <si>
    <t>https://www.scopus.com/inward/record.uri?eid=2-s2.0-84961675434&amp;doi=10.1109%2fICSM.2015.7332457&amp;partnerID=40&amp;md5=e3f6b5e07a35ef5d22cf99c7f155c513</t>
  </si>
  <si>
    <t>Marinescu, P., Hosek, P. and Cadar, C.</t>
  </si>
  <si>
    <t>COVRIG: A framework for the analysis of code, test, and coverage evolution in real software</t>
  </si>
  <si>
    <t>Software repositories provide rich information about the construction and evolution of software systems. While static data that can be mined directly from version control systems has been extensively studied, dynamic metrics concerning the execution of the software have received much less attention, due to the inherent difficulty of running and monitoring a large number of software versions. In this paper, we present Covrig, a flexible infrastructure that can be used to run each version of a system in isolation and collect static and dynamic software metrics, using a lightweight virtual machine environment that can be deployed on a cluster of local or cloud machines. We use Covrig to conduct an empirical study examining how code and tests co-evolve in six popular open-source systems. We report the main characteristics of software patches, analyse the evolution of program and patch coverage, assess the impact of nondeterminism on the execution of test suites, and investigate whether the coverage of code containing bugs and bug fixes is higher than average. Copyright 2014 ACM.</t>
  </si>
  <si>
    <t>https://www.scopus.com/inward/record.uri?eid=2-s2.0-84942782772&amp;partnerID=40&amp;md5=0cd016fb711cfe723816ba5de43251bd</t>
  </si>
  <si>
    <t>Nguyen, A. T., Nguyen, T. T., Nguyen, H. A. and Nguyen, T. N.</t>
  </si>
  <si>
    <t>Multi-layered approach for recovering links between bug reports and fixes</t>
  </si>
  <si>
    <t>The links between the bug reports in an issue-tracking system and the corresponding fixing changes in a version repository are not often recorded by developers. Such linking information is crucial for research in mining software repositories in measuring software defects and maintenance efforts. However, the state-of-the-art bug-to-fix link recovery approaches still rely much on textual matching between bug reports and commit/change logs and cannot handle well the cases where their contents are not textually similar. This paper introduces MLink, a multi-layered approach that takes into account not only textual features but also source code features of the changed code corresponding to the commit logs. It is also capable of learning the association relations between the terms in bug reports and the names of entities/components in the changed source code of the commits from the established bug-to-fix links, and uses them for link recovery between the reports and commits that do not share much similar texts. Our empirical evaluation on real-world projects shows that MLink can improve the state-of-the-art bug-to-fix link recovery methods by 11 - 18%, 13 - 17%, and 8 - 17% in F-score, recall, and precision, respectively. © 2012 ACM.</t>
  </si>
  <si>
    <t>https://www.scopus.com/inward/record.uri?eid=2-s2.0-84871334415&amp;doi=10.1145%2f2393596.2393671&amp;partnerID=40&amp;md5=166372e1f509629530a56093c4d3fd63</t>
  </si>
  <si>
    <t>Claes, M., Mantyla, M., Kuutila, M. and Adams, B.</t>
  </si>
  <si>
    <t>Abnormal Working Hours: Effect of Rapid Releases and Implications to Work Content</t>
  </si>
  <si>
    <t>During the past years, overload at work leading to psychological diseases, such as burnouts, have drawn more public attention. This paper is a preliminary step toward an analysis of the work patterns and possible indicators of overload and time pressure on software developers with mining software repositories approach. We explore the working pattern of developers in the context of Mozilla Firefox, a large and long-lived open source project. To that end we investigate the impact of the move from traditional to rapid release cycle on work pattern. Moreover we compare Mozilla Firefox work pattern with another Mozilla product, Firefox OS, which has a different release cycle than Firefox. We find that both projects exhibit healthy working patterns, i.e. lower activity during the weekends and outside of office hours. Firefox experiences proportionally more activity on weekends than Firefox OS (Cohen's d = 0.94). We find that switching to rapid releases has reduced weekend work (Cohen's d = 1.43) and working during the night (Cohen's d = 0.45). This result holds even when we limit the analyzes on the hired resources, i.e. considering only individuals with Mozilla foundation email address, although, the effect sizes are smaller for weekends (Cohen's d = 0.64) and nights (Cohen's d = 0.23). Moreover, we use dissimilarity word clouds and find that work during the weekend is more technical while work during the week expresses more positive sentiment with words like 'good' and 'nice'. Our results suggest that moving to rapid releases have positive impact on the work health and work-life-balance of software engineers. However, caution is needed as our results are based on a limited set of quantitative data from a single organization. © 2017 IEEE.</t>
  </si>
  <si>
    <t>https://www.scopus.com/inward/record.uri?eid=2-s2.0-85026506528&amp;doi=10.1109%2fMSR.2017.3&amp;partnerID=40&amp;md5=2da8fa8a15b9ffb4b1969663af15ecac</t>
  </si>
  <si>
    <t>What are the factors impacting build breakage?</t>
  </si>
  <si>
    <t>Continuous Integration (CI) has become a good practice of software development in recent years. As an essential part of CI, build creates software from source code. Predicting build outcome help developers to review and fix bugs before building to save time. However, we are missing objective evidence of practical factors affecting build result. Travis CI provides a hosted, distributed continuous integration service used to build and test software projects hosted at GitHub. The TravisTorrent is a dataset which deeply analyzes source code, process and dependency status of projects hosting on Travis CI. We use this dataset to investigate which factors may impact a build result. We first preprocess TravisTorrent data to extract 27 features. We then analyze the correlation between these features and the result of a build. Finally, we build four prediction models to predict the result of a build and perform a horizontal analysis. We found that in our study, the number of commits in a build (git-num-all-built-commits) is the most import factor that has significant impact on the build result, and SVM performs best in the four of the prediction models we used. © 2017 IEEE.</t>
  </si>
  <si>
    <t>https://www.scopus.com/inward/record.uri?eid=2-s2.0-85049617051&amp;doi=10.1109%2fWISA.2017.17&amp;partnerID=40&amp;md5=8886591bf76edf6f0f854c82f045a91c</t>
  </si>
  <si>
    <t>Automated Software Engineering</t>
  </si>
  <si>
    <t>Teixeira, J., Robles, G. and González-Barahona, J. M.</t>
  </si>
  <si>
    <t>Lessons learned from applying social network analysis on an industrial Free/Libre/Open Source Software ecosystem</t>
  </si>
  <si>
    <t>Journal of Internet Services and Applications</t>
  </si>
  <si>
    <t>Many software projects are no longer done in-house by a single organization. Instead, we are in a new age where software is developed by a networked community of individuals and organizations, which base their relations to each other on mutual interest. Paradoxically, recent research suggests that software development can actually be jointly-developed by rival firms. For instance, it is known that the mobile-device makers Apple and Samsung kept collaborating in open source projects while running expensive patent wars in the court. Taking a case study approach, we explore how rival firms collaborate in the open source arena by employing a multi-method approach that combines qualitative analysis of archival data (QA) with mining software repositories (MSR) and Social Network Analysis (SNA). While exploring collaborative processes within the OpenStack ecosystem, our research contributes to Software Engineering research by exploring the role of groups, sub-communities and business models within a high-networked open source ecosystem. Surprising results point out that competition for the same revenue model (i.e., operating conflicting business models) does not necessary affect collaboration within the ecosystem. Moreover, while detecting the different sub-communities of the OpenStack community, we found out that the expected social tendency of developers to work with developers from same firm (i.e., homophony) did not hold within the OpenStack ecosystem. Furthermore, while addressing a novel, complex and unexplored open source case, this research also contributes to the management literature in coopetition strategy and high-tech entrepreneurship with a rich description on how heterogeneous actors within a high-networked ecosystem (involving individuals, startups, established firms and public organizations) joint-develop a complex infrastructure for big-data in the open source arena. © 2015, Teixeira et al.</t>
  </si>
  <si>
    <t>https://www.scopus.com/inward/record.uri?eid=2-s2.0-84939234078&amp;doi=10.1186%2fs13174-015-0028-2&amp;partnerID=40&amp;md5=d982b4fb4e6ece42a243c673526c0fbe</t>
  </si>
  <si>
    <t>Gupta, M.</t>
  </si>
  <si>
    <t>Nirikshan: Process mining software repositories to identify inefficiencies, imperfections, and enhance existing process capabilities</t>
  </si>
  <si>
    <t>Process mining is to extract knowledge about business pro-cesses from data stored implicitly in ad-hoc way or explic-itly by information systems. The aim is to discover runtime process, analyze performance and perform conformance verification, using process mining tools like ProM and Disco, for single software repository and processes spanning across multiple repositories. Application of process mining to soft-ware repositories has recently gained interest due to avail-ability of vast data generated during software development and maintenance. Process data are embodied in reposito-ries which can be used for analysis to improve the efficiency and capability of process, however, involves a lot of chal-lenges which have not been addressed so far. Project team defines work flow, design process and policies for tasks like issue tracking (defect or feature enhancement), peer code review (review the submitted patch to avoid defects before they are injected) etc. to streamline and structure the ac-tivities. The reality may not be the same as defined because of imperfections so the extent of non-conformance needs to be measured. We propose a research framework 'Nirikshan' to process mine the data of software repositories from multi-ple perspectives like process, organizational, data and time. We apply process mining on software repositories to derive runtime process map, identify and remove ineficiencies and imperfections, extend the capabilities of existing software engineering tools to make them more process aware, and un-derstand interaction pattern between various contributors to improve the efficiency of project. Copyright © 2014 ACM.</t>
  </si>
  <si>
    <t>https://www.scopus.com/inward/record.uri?eid=2-s2.0-84903637691&amp;doi=10.1145%2f2591062.2591080&amp;partnerID=40&amp;md5=a3d5487a9502ef1a79457b6e03653522</t>
  </si>
  <si>
    <t>Catal, C., Tugul, S. and Akpinar, B.</t>
  </si>
  <si>
    <t>Automatic Software Categorization Using Ensemble Methods and Bytecode Analysis</t>
  </si>
  <si>
    <t>Software repositories consist of thousands of applications and the manual categorization of these applications into domain categories is very expensive and time-consuming. In this study, we investigate the use of an ensemble of classifiers approach to solve the automatic software categorization problem when the source code is not available. Therefore, we used three data sets (package level/class level/method level) that belong to 745 closed-source Java applications from the Sharejar repository. We applied the Vote algorithm, AdaBoost, and Bagging ensemble methods and the base classifiers were Support Vector Machines, Naive Bayes, J48, IBk, and Random Forests. The best performance was achieved when the Vote algorithm was used. The base classifiers of the Vote algorithm were AdaBoost with J48, AdaBoost with Random Forest, and Random Forest algorithms. We showed that the Vote approach with method attributes provides the best performance for automatic software categorization; these results demonstrate that the proposed approach can effectively categorize applications into domain categories in the absence of source code. © 2017 World Scientific Publishing Company.</t>
  </si>
  <si>
    <t>https://www.scopus.com/inward/record.uri?eid=2-s2.0-85029663055&amp;doi=10.1142%2fS0218194017500425&amp;partnerID=40&amp;md5=8b123979f8a2a049bea3821ee4d0ccdf</t>
  </si>
  <si>
    <t>Sui, L., Dietrich, J. and Tahir, A.</t>
  </si>
  <si>
    <t>On the Use of Mined Stack Traces to Improve the Soundness of Statically Constructed Call Graphs</t>
  </si>
  <si>
    <t>Static program analysis is a cornerstone of modern software engineering - it is used to detect bugs and security vulnerabilities early before software is deployed. While there is a large body of research into the scalability and the precision of static analysis, the (un) soundness of static analysis is a critical issue that has not attracted the same level of attention by the research community. In this paper we investigate the question whether information harvested from stack traces obtained from the GitHub issue tracker and Stack Overflow Q&amp;A forums can be used in order to complement statically built call graphs. For this purpose, we extract reflective call graph edges from parsed stack traces, and check whether these edges are correctly computed by Doop, a widely used tool for static analysis with built-in support for reflection analysis. We do find edges that Doop misses when analysing real-world programs, even when reflection analysis is enabled. This suggests that mining techniques are a useful tool to test and improve the soundness of static analysis. © 2017 IEEE.</t>
  </si>
  <si>
    <t>https://www.scopus.com/inward/record.uri?eid=2-s2.0-85045923219&amp;doi=10.1109%2fAPSEC.2017.83&amp;partnerID=40&amp;md5=20bc9b0d8d970c8c19f9b8251d71721f</t>
  </si>
  <si>
    <t>Ren, J., Yin, H., Hu, Q., Fox, A. and Koszek, W.</t>
  </si>
  <si>
    <t>Towards quantifying the development value of code contributions</t>
  </si>
  <si>
    <t>Quantifying the value of developers' code contributions to a software project requires more than simply counting lines of code or commits.We define the development value of code as a combination of its structural value (the effect of code reuse) and its non-structural value (the impact on development). We propose techniques to automatically calculate both components of development value and combine them using Learning to Rank. Our preliminary empirical study shows that our analysis yields richer results than those obtained by human assessment or simple counting methods and demonstrates the potential of our approach. © 2018 Association for Computing Machinery.</t>
  </si>
  <si>
    <t>https://www.scopus.com/inward/record.uri?eid=2-s2.0-85058335251&amp;doi=10.1145%2f3236024.3264842&amp;partnerID=40&amp;md5=881d290f438ff9f48ec0591976b5f8ef</t>
  </si>
  <si>
    <t>Tiwari, N. M., Upadhyaya, G., Nguyen, H. A. and Rajan, H.</t>
  </si>
  <si>
    <t>Candoia: A platform for building and sharing mining software repositories tools as apps</t>
  </si>
  <si>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 2017 IEEE.</t>
  </si>
  <si>
    <t>https://www.scopus.com/inward/record.uri?eid=2-s2.0-85026506925&amp;doi=10.1109%2fMSR.2017.56&amp;partnerID=40&amp;md5=f2fc4d0384ca3f2993adff23e575bcfa</t>
  </si>
  <si>
    <t>Datta, S., Majumder, A. and Naidu, K. V. M.</t>
  </si>
  <si>
    <t>Capacitated team formation problem on social networks</t>
  </si>
  <si>
    <t>In a team formation problem, one is required to find a group of users that can match the requirements of a collaborative task. Example of such collaborative tasks abound, ranging from software product development to various participatory sensing tasks in knowledge creation. Due to the nature of the task, team members are often required to work on a co-operative basis. Previous studies [1, 2] have indicated that co-operation becomes effective in presence of social connections. Therefore, effective team selection requires the team members to be socially close as well as a division of the task among team members so that no user is overloaded by the assignment. In this work, we investigate how such teams can be formed on a social network. Since our team formation problems are proven to be NP-hard, we design efficient approximate algorithms for finding near optimum teams with provable guarantees. As traditional data-sets from on-line social networks (e.g. Twitter, Facebook etc) typically do not contain instances of large scale collaboration, we have crawled millions of software repositories spanning a period of four years and hundreds of thousands of developers from GitHub, a popular open-source social coding network. We perform large scale experiments on this data-set to evaluate the accuracy and efficiency of our algorithms. Experimental results suggest that our algorithms achieve significant improvement in finding effective teams, as compared to naive strategies and scale well with the size of the data. Finally, we provide a validation of our techniques by comparing with existing software teams. © 2012 ACM.</t>
  </si>
  <si>
    <t>https://www.scopus.com/inward/record.uri?eid=2-s2.0-84866010537&amp;doi=10.1145%2f2339530.2339690&amp;partnerID=40&amp;md5=992cf0e5704fbbd87bac92a1ee06933a</t>
  </si>
  <si>
    <t>This Innovative Practice Full Paper presents an approach of using software development artifacts to gauge student behavior and the effectiveness of changes to curriculum design. There is an ongoing need to adapt university courses to changing requirements and shifts in industry. As an educator it is therefore vital to have access to methods, with which to ascertain the effects of curriculum design changes. In this paper, we present our approach of analyzing software repositories in order to gauge student behavior during project work. We evaluate this approach in a case study of a university undergraduate software development course teaching agile development methodologies. Surveys revealed positive attitudes towards the course and the change of employed development methodology from Scrum to Kanban. However, surveys were not usable to ascertain the degree to which students had adapted their workflows and whether they had done so in accordance with course goals. Therefore, we analyzed students' software repository data, which represents information that can be collected by educators to reveal insights into learning successes and detailed student behavior. We analyze the software repositories created during the last five courses, and evaluate differences in workflows between Kanban and Scrum usage. © 2018 IEEE.</t>
  </si>
  <si>
    <t>https://www.scopus.com/inward/record.uri?eid=2-s2.0-85063455272&amp;doi=10.1109%2fFIE.2018.8659205&amp;partnerID=40&amp;md5=1d81d1806b7857ca036fcad8c0b670b8</t>
  </si>
  <si>
    <t>Sawadpong, P. and Allen, E. B.</t>
  </si>
  <si>
    <t>Software Defect Prediction Using Exception Handling Call Graphs: A Case Study</t>
  </si>
  <si>
    <t>The ability to predict which modules are fault-prone can assist in directing quality enhancement efforts to modules at risk. This is especially critical for high-assurance systems where software failures may have severe consequences. While the field of defect rediction based on software metrics is mature, no study has addressed the use of metrics for predicting faults related to exception handling. In this paper, we propose exception-based software metrics that are based on the structural attributes of exception handling call graphs. We empirically validate the proposed metrics through a case study of Hadoop Core using data mined from software repositories and defect reports. The results of our case study are comparable to the results of other software metric studies in the literature. We also show that our exception-based software metrics can be better predictors of fault-proneness of exception classes compared to conventional software metrics. © 2016 IEEE.</t>
  </si>
  <si>
    <t>https://www.scopus.com/inward/record.uri?eid=2-s2.0-84962891456&amp;doi=10.1109%2fHASE.2016.13&amp;partnerID=40&amp;md5=50ed2103a588ccd39cd6afc5b45bc797</t>
  </si>
  <si>
    <t>Mannion, M. and Kaindl, H.</t>
  </si>
  <si>
    <t>Using similarity metrics for mining variability from software repositories</t>
  </si>
  <si>
    <t>Much activity within software product line engineering has been concerned with explicitly representing and exploiting commonality and variability at the feature level for the purpose of a particular engineering task e.g. requirements specification, design, coding, verification, product derivation process, but not for comparing how similar products in the product line are with each other. In contrast, a case-based approach to software development is concerned with descriptions and models as a set of software cases stored in a repository for the purpose of searching at a product level, typically as a foundation for new product development. New products are derived by finding the most similar product descriptions in the repository using similarity metrics. The new idea is to use such similarity metrics for mining variability from software repositories. In this sense, software product line engineering could be informed by the case-based approach. This approach requires defining and implementing such similarity metrics based on the representations used for the software cases in such a repository. It provides complementary benefits to the ones given through feature-based representations of variability and may help mining such variability. Copyright 2014 ACM.</t>
  </si>
  <si>
    <t>https://www.scopus.com/inward/record.uri?eid=2-s2.0-84907809275&amp;doi=10.1145%2f2647908.2655964&amp;partnerID=40&amp;md5=fea4ea4da613b275d5d2a293ab4c6d01</t>
  </si>
  <si>
    <t>Barr, E. T., Bird, C., Rigby, P. C., Hindle, A., German, D. M. and Devanbu, P.</t>
  </si>
  <si>
    <t>Cohesive and isolated development with branches</t>
  </si>
  <si>
    <t>The adoption of distributed version control (DVC ), such as Git and Mercurial, in open-source software (OSS) projects has been explosive. Why is this and how are projects using DVC? This new generation of version control supports two important new features: distributed repositories and histories that preserve branches and merges. Through interviews with lead developers in OSS projects and a quantitative analysis of mined data from the histories of sixty project, we find that the vast majority of the projects now using DVC continue to use a centralized model of code sharing, while using branching much more extensively than before their transition to DVC. We then examine the Linux history in depth in an effort to understand and evaluate how branches are used and what benefits they provide. We find that they enable natural collaborative processes: DVC branching allows developers to collaborate on tasks in highly cohesive branches, while enjoying reduced interference from developers working on other tasks, even if those tasks are strongly coupled to theirs. © 2012 Springer-Verlag Berlin Heidelberg.</t>
  </si>
  <si>
    <t>https://www.scopus.com/inward/record.uri?eid=2-s2.0-84859148380&amp;doi=10.1007%2f978-3-642-28872-2_22&amp;partnerID=40&amp;md5=b83c77b254f3a19970356d64b8fea124</t>
  </si>
  <si>
    <t>Change profile analysis of open-source software systems to understand their evolutionary behavior</t>
  </si>
  <si>
    <t>Frontiers of Computer Science</t>
  </si>
  <si>
    <t>Source code management systems (such as git) record changes to code repositories of Open-Source Software (OSS) projects. The metadata about a change includes a change message to record the intention of the change. Classification of changes, based on change messages, into different change types has been explored in the past to understand the evolution of software systems from the perspective of change size and change density only. However, software evolution analysis based on change classification with a focus on change evolution patterns is still an open research problem. This study examines change messages of 106 OSS projects, as recorded in the git repository, to explore their evolutionary patterns with respect to the types of changes performed over time. An automated keyword-based classifier technique is applied to the change messages to categorize the changes into various types (corrective, adaptive, perfective, preventive, and enhancement). Cluster analysis helps to uncover distinct change patterns that each change type follows. We identify three categories of 106 projects for each change type: high activity, moderate activity, and low activity. Evolutionary behavior is different for projects of different categories. The projects with high and moderate activity receive maximum changes during 76–81 months of the project lifetime. The project attributes such as the number of committers, number of files changed, and total number of commits seem to contribute the most to the change activity of the projects. The statistical findings show that the change activity of a project is related to the number of contributors, amount of work done, and total commits of the projects irrespective of the change type. Further, we explored languages and domains of projects to correlate change types with domains and languages of the projects. The statistical analysis indicates that there is no significant and strong relation of change types with domains and languages of the 106 projects. © 2018, Higher Education Press and Springer-Verlag GmbH Germany, part of Springer Nature.</t>
  </si>
  <si>
    <t>https://www.scopus.com/inward/record.uri?eid=2-s2.0-85038830881&amp;doi=10.1007%2fs11704-016-6301-0&amp;partnerID=40&amp;md5=bd07cf424eb4e2a345e91dc805fa0eb0</t>
  </si>
  <si>
    <t>Kim, J. and Lee, E.</t>
  </si>
  <si>
    <t>The effect of IMPORT change in software change history</t>
  </si>
  <si>
    <t>Source code change analysis in the project history is one of main issues in mining software repositories, which incorporates change prediction, API evolution and refactoring, etc. In the previous studies, fine-grained source code changes, that is, code level changes, were used to find source code change patterns. In this paper, we closely investigate IMPORT change type, which has not been unnoticed. At first, we performed modifying the existing change extraction tool, change distiller [3], to extract IMPORT change history. And then, we extracted commit history data from project repository of eclipse CDT and IDT. Change types for each change in commit history data have been determined using change types in [3] and IMPORT change types defined in this work. Finally, we analyzed the effect of IMPORT change using the frequency of each change type occurred in the commit history. Experimental result shows that the IMPORT change meaningfully affects other changes and it would be better to consider IMPORT change types in change analysis work. Copyright 2014 ACM.</t>
  </si>
  <si>
    <t>https://www.scopus.com/inward/record.uri?eid=2-s2.0-84905665007&amp;doi=10.1145%2f2554850.2559925&amp;partnerID=40&amp;md5=c0fb01bc43829902d92ec3ffe76b035b</t>
  </si>
  <si>
    <t>Yamamori, A., Hagward, A. M. and Kobayashi, T.</t>
  </si>
  <si>
    <t>Can Developers' Interaction Data Improve Change Recommendation?</t>
  </si>
  <si>
    <t>One of the most common causes of bugs is overlooking changes. To prevent bugs and improve the quality of the products, numerous studies have been undertaken on change guides based on logical couplings extracted from developers' past process histories, such as change history. While valuable change rules based on logical couplings can be gleaned found from the change history, these rules often fail to find appropriate candidates because the change histories in repositories only preserve a summary of changes between commits. We recently analyzed the interaction data produced by a developer in an integrated development environment. Such interaction data contains not only a detailed change history but also reference activities between commits. In this paper, we investigate whether logical couplings extracted from interaction data could improve change recommendation performance. We used the interaction data from actual open source development, not from the project only for this study. Experimental results obtained using the interaction data from actual open source development showed a significant improvement in the efficiency of the change recommendation process. The results also indicated improvement in the number of detected artifacts that the developer had forgot to change. © 2017 IEEE.</t>
  </si>
  <si>
    <t>https://www.scopus.com/inward/record.uri?eid=2-s2.0-85029840337&amp;doi=10.1109%2fCOMPSAC.2017.79&amp;partnerID=40&amp;md5=d71b48ed13627c82fe4a85574a521862</t>
  </si>
  <si>
    <t>Wetzlmaier, T., Klammer, C. and Ramler, R.</t>
  </si>
  <si>
    <t>Extracting dependencies from software changes: An industry experience report</t>
  </si>
  <si>
    <t>Retrieving and analyzing information from software repositories and detecting dependencies are important tasks supporting software evolution. Dependency information is used for change impact analysis, defect prediction as well as cohesion and coupling measurement. In this paper we report our experience from extracting dependency information from the change history of a commercial software system. We analyzed the software system's evolution of about six years, from the start of development to the transition to product releases and maintenance. Analyzing the co-evolution of software artifacts allows detecting logical dependencies between system parts implemented with heterogeneous technologies as well as between different types of development artifacts such as source code, data models or documentation. However, the quality of the extracted dependencies relies on established development practices and conformance to a defined change process. In this paper we indicate resulting limitations and recommend further processing and filtering steps to prepare the dependency data for subsequent analysis and measurement activities. © 2014 IEEE.</t>
  </si>
  <si>
    <t>https://www.scopus.com/inward/record.uri?eid=2-s2.0-84929627007&amp;doi=10.1109%2fIWSM.Mensura.2014.12&amp;partnerID=40&amp;md5=a251a33fb83e71a63076d8b87477ae40</t>
  </si>
  <si>
    <t>Choudhary, G. R., Kumar, S., Kumar, K., Mishra, A. and Catal, C.</t>
  </si>
  <si>
    <t>Empirical analysis of change metrics for software fault prediction</t>
  </si>
  <si>
    <t>Computers and Electrical Engineering</t>
  </si>
  <si>
    <t>A quality assurance activity, known as software fault prediction, can reduce development costs and improve software quality. The objective of this study is to investigate change metrics in conjunction with code metrics to improve the performance of fault prediction models. Experimental studies are performed on different versions of Eclipse projects and change metrics are extracted from the GIT repositories. In addition to the existing change metrics, several new change metrics are defined and collected from the Eclipse project repository. Machine learning algorithms are applied in conjunction with the change and source code metrics to build fault prediction models. The classification model with new change metrics performs better than the models using existing change metrics. In this work, the experimental results demonstrate that change metrics have a positive impact on the performance of fault prediction models, and high-performance models can be built with several change metrics. © 2018 Elsevier Ltd</t>
  </si>
  <si>
    <t>https://www.scopus.com/inward/record.uri?eid=2-s2.0-85043332099&amp;doi=10.1016%2fj.compeleceng.2018.02.043&amp;partnerID=40&amp;md5=79e723b6b8e44abdd2335d2f71c5bde2</t>
  </si>
  <si>
    <t>Automated classification of software change messages by semi-supervised Latent Dirichlet Allocation</t>
  </si>
  <si>
    <t>Splitting commits via past code changes</t>
  </si>
  <si>
    <t>It is generally said that we should not perform code changes formultiple tasks in a single commit. Such code changes are called tangledones. Committing tangled changes is harmful to developers. Forexample, it is costly to merge a part of tangled changes with othercommits. Moreover, the presence of such tangled changes hindersanalyzing code repositories. That is because most of the miningsoftware repository approaches are designed under the assumption thatevery commit includes only changes for a single task. In this paper, wepropose a technique which informs developers that they are about tocommit tangled changes. The technique also suggests how to split agiven commit into multiple commits by using past code changes. Theproposed technique allows developers to determine whether they acceptthe suggestion or commit as it stands. By providing such support todevelopers, they can avoid committing tangled changes. © 2016 IEEE.</t>
  </si>
  <si>
    <t>https://www.scopus.com/inward/record.uri?eid=2-s2.0-85018465208&amp;doi=10.1109%2fAPSEC.2016.028&amp;partnerID=40&amp;md5=b1a3d4a2ed16a1ac9351ea431706eaa7</t>
  </si>
  <si>
    <t>Chahal, K. K. and Saini, M.</t>
  </si>
  <si>
    <t>Open source software evolution: A systematic literature review (part 1)</t>
  </si>
  <si>
    <t>Due to the dominance of Open Source Software (OSS) in IT and the IT enabled services industry, various stakeholders are keen to understand the OSS evolution process. Several studies have been conducted in the past in this regard. There are various techniques used in the past for understanding OSS evolution process from different perspectives. This paper reports a systematic literature review on the topic in order to understand its current state and to identify opportunities for future. This research identified 190 studies, selected against a set of questions, for discussion. It categorizes the research studies into nine categories. We report the review results in a set of two papers. This paper discusses the research results of the techniques used for OSS evolution analysis only i.e. one out of the nine categories. A subsequent paper carries discussion on the remaining categories. Based on the results obtained from the systematic review, there is evidence of shift in the metrics and methods for OSS evolution analysis over the period of time. OSS systems were found to grow at a super linear rate in the initial studies. But later studies revealed that branches of an OSS system grow at different rates. However, more number of studies should be carried out using a repeatable methodology in order to obtain well-formed and generalizable results. Copyright © 2016, IGI Global.</t>
  </si>
  <si>
    <t>https://www.scopus.com/inward/record.uri?eid=2-s2.0-85016441706&amp;doi=10.4018%2fIJOSSP.2016010101&amp;partnerID=40&amp;md5=2ece7bc1d45ae44634b33623ca44bf1b</t>
  </si>
  <si>
    <t>Linares-Vasquez, M., Hossen, K., Dang, H., Kagdi, H., Gethers, M. and Poshyvanyk, D.</t>
  </si>
  <si>
    <t>There is a tremendous wealth of code authorship information available in source code. Motivated with the presence of this information, in a number of open source projects, an approach to recommend expert developers to assist with a software change request (e.g., a bug fixes or feature) is presented. It employs a combination of an information retrieval technique and processing of the source code authorship information. The relevant source code files to the textual description of a change request are first located. The authors listed in the header comments in these files are then analyzed to arrive at a ranked list of the most suitable developers. The approach fundamentally differs from its previously reported counterparts, as it does not require software repository mining. Neither does it require training from past bugs/issues, which is often done with sophisticated techniques such as machine learning, nor mining of source code repositories, i.e., commits. An empirical study to evaluate the effectiveness of the approach on three open source systems, ArgoUML, JEdit, and MuCommander, is reported. Our approach is compared with two representative approaches: 1) using machine learning on past bug reports, and 2) based on commit logs. The presented approach is found to provide recommendation accuracies that are equivalent or better than the two compared approaches. These findings are encouraging, as it opens up a promising and orthogonal possibility of recommending developers without the need of any historical change information. © 2012 IEEE.</t>
  </si>
  <si>
    <t>https://www.scopus.com/inward/record.uri?eid=2-s2.0-84873175078&amp;doi=10.1109%2fICSM.2012.6405306&amp;partnerID=40&amp;md5=d0e7d799d70c94a012ac2f98cde60691</t>
  </si>
  <si>
    <t>Hammad, M., Hammad, M. and Bani-Salameh, H.</t>
  </si>
  <si>
    <t>Identifying designers and their design knowledge</t>
  </si>
  <si>
    <t>This paper presents an approach to identify designers who participated in shaping the design of software systems. Designers are identified as well as their design knowledge. Identified designers are recommended to handle a high level change request. High level requests require changing the design of software systems. The identified design knowledge of designers is used to find the appropriate designer to handle a change request. Designers are developers who made design changes to the software. Identifying designers and their design knowledge is based on mining software repositories to extract design changes from commits. Developers who committed any design change are considered designers. Type and amount of committed design changes are used to identify the knowledge of designers. A tool has been developed to automatically recommend a set of designers to handle a high level change request. Recommended designers are ranked based on their knowledge that is identified from cumulative design activities for designers. The tool also extracts useful information and statistics about designers and their activities. A case study of two open source projects is presented to show the benefits of the proposed approach and tool. Results showed that most committers are not designers. It also shows that designers can be ranked based on their design knowledge. © 2013 SERSC.</t>
  </si>
  <si>
    <t>Hillah, N. and Estier, T.</t>
  </si>
  <si>
    <t>The application of change indicators in mining software repositories</t>
  </si>
  <si>
    <t>This paper presents a framework to identify a problematic or uncontrollable rise in the number of software change requests and to take right actions to fix it. With this work, we propose the use of an acceptable limit number of change requests as indicators to track the evolution of software change requests. The change indicators are used to identify a periodical sharp rise in demands of change requests fast enough and provide the right fix on time. Not only these indicators track the evolution of change request, but they also help to identify the right solution to address the triggers of these change requests. © Springer International Publishing AG, part of Springer Nature 2018.</t>
  </si>
  <si>
    <t>https://www.scopus.com/inward/record.uri?eid=2-s2.0-85045330215&amp;doi=10.1007%2f978-3-319-77712-2_40&amp;partnerID=40&amp;md5=32ddf14c42e02c2850e7ba00542555f1</t>
  </si>
  <si>
    <t>Uquillas Gómez, V., Ducasse, S. and D'Hondt, T.</t>
  </si>
  <si>
    <t>Revision Control Systems (e.g., SVN, Git, Mercurial) include automatic and advanced merging algorithms that help developers to merge their modifications with development repositories. While these systems can help to textually detect conflicts, they do not help to identify the semantic consequences of a change. Unfortunately, there is little support to help release masters (integrators) to take decisions about the integration of changes into the system release. Most of the time, the release master needs to read all the modified code, check the diffs to build an idea of a change, and dig for details from related unchanged code to understand the context and potential impact of some changes. As a result, such a task can be overwhelming. In this article we present a visualization tool to support integrators of object-oriented programs in comprehending changes. Our approach named Torch characterizes changes based on structural information, authors and symbolic information. It mixes text-based diff information with visual representation and metrics characterizing the changes. The current implementation of our approach analyses Smalltalk programs, and thus we describe our experiments applying it to Pharo, a large open-source system. We also report on the evaluations of our approach by release masters and developers of several open-source projects. © 2013 Elsevier B.V. All rights reserved.</t>
  </si>
  <si>
    <t>https://www.scopus.com/inward/record.uri?eid=2-s2.0-84919463542&amp;doi=10.1016%2fj.scico.2013.08.002&amp;partnerID=40&amp;md5=225695241359f319e86a03cf602b40da</t>
  </si>
  <si>
    <t>Ghaleb, T. A., da Costa, D. A. and Zou, Y.</t>
  </si>
  <si>
    <t>An empirical study of the long duration of continuous integration builds</t>
  </si>
  <si>
    <t>Continuous Integration (CI) is a set of software development practices that allow software development teams to generate software builds more quickly and periodically (e.g., daily or even hourly). CI brings many advantages, such as the early identification of errors when integrating code. When builds are generated frequently, a long build duration may hold developers from performing other important tasks. Recent research has shown that a considerable amount of development time is invested on optimizing the generation of builds. However, the reasons behind long build durations are still vague and need an in-depth study. Our initial investigation shows that many projects have build durations that far exceed the acceptable build duration (i.e., 10 minutes) as reported by recent studies. In this paper, we study several characteristics of CI builds that may be associated with the long duration of CI builds. We perform an empirical study on 104,442 CI builds from 67 GitHub projects. We use mixed-effects logistic models to model long build durations across projects. Our results reveal that, in addition to common wisdom factors (e.g., project size, team size, build configuration size, and test density), there are other highly important factors to explain long build durations. We observe that rerunning failed commands multiple times is most likely to be associated with long build durations. We also find that builds may run faster if they are configured (a) to cache content that does not change often or (b) to finish as soon as all the required jobs finish. However, we observe that about 40% of the studied projects do not use or misuse such configurations in their builds. In addition, we observe that triggering builds on weekdays or at daytime is most likely to have a direct relationship with long build durations. Our results suggest that developers should use proper CI build configurations to maintain successful builds and to avoid long build durations. Tool builders should supply development teams with tools to identify cacheable spots of the project in order to accelerate the generation of CI builds. © 2019, Springer Science+Business Media, LLC, part of Springer Nature.</t>
  </si>
  <si>
    <t>https://www.scopus.com/inward/record.uri?eid=2-s2.0-85062703193&amp;doi=10.1007%2fs10664-019-09695-9&amp;partnerID=40&amp;md5=94cdf469b0aa6d49e8b72c58cffc71aa</t>
  </si>
  <si>
    <t>Ciani, A., Minelli, R., Mocci, A. and Lanza, M.</t>
  </si>
  <si>
    <t>UrbanIt: Visualizing repositories everywhere</t>
  </si>
  <si>
    <t>Software evolution is supported by a variety of tools that help developers understand the structure of a software system, analyze its history and support specific classes of analyses. However, the increasingly distributed nature of software development requires basic repository analyses to be always available to developers, even when they cannot access their workstation with full-fledged applications and command-line tools. We present URBANIT, a gesture-based tablet application for the iPad that supports the visualization of software repositories together with useful evolutionary analyses (e.g., version diff) and basic sharing features in a portable and mobile setting. URBANIT is paired with a web application that manages synchronization of multiple repositories. © 2015 IEEE.</t>
  </si>
  <si>
    <t>https://www.scopus.com/inward/record.uri?eid=2-s2.0-84961662127&amp;doi=10.1109%2fICSM.2015.7332479&amp;partnerID=40&amp;md5=77a41c2828ec86334456af05342dca10</t>
  </si>
  <si>
    <t>Krohn, R. and Weninger, T.</t>
  </si>
  <si>
    <t>Library adoption in public software repositories</t>
  </si>
  <si>
    <t>Journal of Big Data</t>
  </si>
  <si>
    <t>We study the the spread and adoption of libraries within Python projects hosted in public software repositories on GitHub. By modelling the use of Git pull, merge, commit, and other actions as deliberate cognitive activities, we are able to better understand the dynamics of what happens when users adopt new and cognitively demanding information. For this task we introduce a large corpus containing all commits, diffs, messages, and source code from 259,690 Python repositories (about 13% of all Python projects on Github), including all Git activity data from 89,311 contributing users. In this initial work we ask two primary questions: (1) What kind of behavior change occurs near an adoption event? (2) Can we model future adoption activity of a user? Using a fine-grained analysis of user behavior, we show that library adoptions are followed by higher than normal activity within the first 6 h, implying that a higher than normal cognitive effort is involved with an adoption. Further study is needed to understand the specific types of events that surround the adoption of new information, and the cause of these dynamics. We also show that a simple linear model is capable of classifying future commits as being an adoption or not, based on the commit contents and the preceding history of the user and repository. Additional work in this vein may be able to predict the content of future commits, or suggest new libraries to users. © 2019, The Author(s).</t>
  </si>
  <si>
    <t>https://www.scopus.com/inward/record.uri?eid=2-s2.0-85065572191&amp;doi=10.1186%2fs40537-019-0201-8&amp;partnerID=40&amp;md5=d4b4617f340ec214a43292cbd871bd5d</t>
  </si>
  <si>
    <t>Software bug prediction using weighted majority voting techniques</t>
  </si>
  <si>
    <t>Alexandria Engineering Journal</t>
  </si>
  <si>
    <t>Hönel, S., Ericsson, M., Löwe, W. and Wingkvist, A.</t>
  </si>
  <si>
    <t>Poster: A changeset-based approach to assess source code density and developer efficacy</t>
  </si>
  <si>
    <t>The productivity of a (team of) developer(s) can be expressed as a ratio between effort and delivered functionality. Several different estimation models have been proposed. These are based on statistical analysis of real development projects; their accuracy depends on the number and the precision of data points. We propose a data-driven method to automate the generation of precise data points. Functionality is proportional to the code size and Lines of Code (LoC) is a fundamental metric of code size. However, code size and LoC are not well defined as they could include or exclude lines that do not affect the delivered functionality. We present a new approach to measure the density of code in software repositories. We demonstrate how the accuracy of development time spent in relation to delivered code can be improved when basing it on net-instead of the gross-size measurements. We validated our tool by studying ca. 1,650 open-source software projects. © 2018 Authors.</t>
  </si>
  <si>
    <t>https://www.scopus.com/inward/record.uri?eid=2-s2.0-85049691648&amp;doi=10.1145%2f3183440.3195105&amp;partnerID=40&amp;md5=8918fcbf4b9dc62b584e8f04498d2b84</t>
  </si>
  <si>
    <t>Steidl, D., Hummel, B. and Juergens, E.</t>
  </si>
  <si>
    <t>The history of software systems tracked by version control systems is often incomplete because many file movements are not recorded. However, static code analyses that mine the file history, such as change frequency or code churn, produce precise results only if the complete history of a source code file is available. In this paper, we show that up to 38.9% of the files in open source systems have an incomplete history, and we propose an incremental, commit-based approach to reconstruct the history based on clone information and name similarity. With this approach, the history of a file can be reconstructed across repository boundaries and thus provides accurate information for any source code analysis. We evaluate the approach in terms of correctness, completeness, performance, and relevance with a case study among seven open source systems and a developer survey. Copyright 2014 ACM.</t>
  </si>
  <si>
    <t>https://www.scopus.com/inward/record.uri?eid=2-s2.0-84938774431&amp;doi=10.1145%2f2597073.2597111&amp;partnerID=40&amp;md5=9c399f4cbb2cbdfa11e597df888e495a</t>
  </si>
  <si>
    <t>Paula, A. C. D., Guerra, E., Lopes, C. V., Sajnani, H. and Lemos, O. A. L.</t>
  </si>
  <si>
    <t>An exploratory study of interface redundancy in code repositories</t>
  </si>
  <si>
    <t>An important property of software repositories is their level of cross-project redundancy. For instance, much has been done to assess how much code cloning happens across software corpora. In this paper we study a much less targeted type of replication: Interface Redundancy (IR). IR refers to the level of repetition of whole method interfaces- return type, method name, and parameters types- across a code corpus. Such type of redundancy is important because if two non-trivial methods ever share the same interface it is very likely that they implement analogous functions, even though their code, structure, or vocabulary might be diverse. A certain level of IR is a requirement for approaches that rely on the recurrence of interfaces to fulfill a given task (e.g., interface-driven code search- IDCS). In this paper we report on an experiment to measure IR in a large-scale Java repository. Our target corpus contains more than 380,000 methods from 99 Java projects extracted randomly from an open source repository. Results are promising as they show that the chances of an interface from a non-trivial method to repeat itself across a large repository is around 25% (i.e., approximately 1/4 of such interfaces are redundant). Also, more than 80% of the target projects contained IR (with the average percentage of redundant interfaces for these projects being above 30%). As additional analyses we investigated the distribution of the different types of redundant interfaces (e.g., intra-vs inter-project), characterized the redundant interfaces and show that such a knowledge can help improve IDCS, and provided evidence that only a very small part of IR refers to method cloning (around 0.002%). © 2016 IEEE.</t>
  </si>
  <si>
    <t>https://www.scopus.com/inward/record.uri?eid=2-s2.0-85010789945&amp;doi=10.1109%2fSCAM.2016.31&amp;partnerID=40&amp;md5=241939952fa5a26f9f5ccb900d3ad18a</t>
  </si>
  <si>
    <t>Malhotra, R., Pritam, N., Nagpal, K. and Upmanyu, P.</t>
  </si>
  <si>
    <t>Defect Collection and Reporting System for Git based Open Source Software</t>
  </si>
  <si>
    <t>This paper describes Defect Collection and Reporting System which is an automated tool that aids in generating various reports to provide useful information regarding the defects which were present in a given version of a Git Version Control System based Open Source Software and were fixed in the subsequent version. The generated reports contain information such as the total number of defects, class wise and the corresponding values of different OO metrics for each class in the source code. Such kind of defect data can be readily used for defect prediction hypothesis pertaining to Git based Open Source Software. Some potential fields of application could be analysis and validation of the effect of a given metric suite on fault proneness; to predict fault proneness models for Defect Prediction, etc. In addition to the core functionalities and overall functioning of the above stated tool, this paper also gives an overview of some of the functionalities which might be useful for the end user, namely- cloning of Git Repositories, and self-logging data of the tool. © 2014 IEEE.</t>
  </si>
  <si>
    <t>https://www.scopus.com/inward/record.uri?eid=2-s2.0-84919346983&amp;doi=10.1109%2fICDMIC.2014.6954234&amp;partnerID=40&amp;md5=4e5854beccadb55869550a8d5242f979</t>
  </si>
  <si>
    <t>Fung, K. H., Aurum, A. and Tang, D.</t>
  </si>
  <si>
    <t>Social forking in open source software: An empirical study</t>
  </si>
  <si>
    <t>Forking is the creation of a new software project by making a copy of artefacts from another project. Forking is gaining traction in industry because of the maturity of distributed version control systems and the abundance of open source software (OSS) and hosting platforms that support forking. However, forking in OSS is a poorly understood practice in research, often assumed to be damaging to the open source community. This research aims to explore social forking. It uses a conceptual model for forking centring on three key concepts - forks (i.e. created projects), communities (i.e. groups of forks) and contributions (i.e. changes contributed from a forked project to the project from which its artefacts were copied) - to empirically analyse nine public domain JavaScript development communities in GitHub, a web site for hosting social coding. The analysis examined the relationships of these communities, the nature of forking, and the way in which forking and contributions were used in a social setting.</t>
  </si>
  <si>
    <t>https://www.scopus.com/inward/record.uri?eid=2-s2.0-84892563679&amp;partnerID=40&amp;md5=d368a6fd6dd4b44efa08f8d8498c67e4</t>
  </si>
  <si>
    <t>Eddy, B. P. and Robinson, J.</t>
  </si>
  <si>
    <t>Supporting feature location and mining of software repositories on the Amazon EC2</t>
  </si>
  <si>
    <t>Software maintenance makes up the majority of a software project. For this reason, multiple tools have been developed to aid the developer in this process. Often times, such tools involve analyzing the entire source code or code repository before providing feedback. These tools are resource dependent and can be obtrusive and costly to the developer. In this paper, we introduce a system and methodology that leverages the Amazon EC2 to support two common types of tools. Copyright 2013 ACM.</t>
  </si>
  <si>
    <t>https://www.scopus.com/inward/record.uri?eid=2-s2.0-84881622631&amp;doi=10.1145%2f2498328.2500051&amp;partnerID=40&amp;md5=31381f55c792462f736e0a74ff00698b</t>
  </si>
  <si>
    <t>Shirey, R. G., Hopkinson, K. M., Stewart, K. E., Hodson, D. D. and Borghetti, B. J.</t>
  </si>
  <si>
    <t>Srinivas, C., Radhakrishna, V. and Guru Rao, C. V.</t>
  </si>
  <si>
    <t>Clustering and classification of software component for efficient component retrieval and building component reuse libraries</t>
  </si>
  <si>
    <t>A Software Repository is a collection of library files and function codes. Programmers and Engineers design develop and build software libraries in a continuous process. Selecting suitable function code from one among many in the repository is quite challenging and cumbersome as we need to analyze semantic issues in function codes or components. Clustering and Mining Software Components for efficient reuse is the current topic of interest among researchers in Software Reuse Engineering and Information Retrieval. A relatively less research work is contributed in this field and has a good scope in the future. In this paper, the main idea is to cluster the software components and form a subset of libraries from the available repository. These clusters thus help in choosing the required component with high cohesion and low coupling quickly and efficiently. We define a similarity function and use the same for the process of clustering the software components and for estimating the cost of new project. The approach carried out is a feature vector based approach. © 2014 Published by Elsevier B.V.</t>
  </si>
  <si>
    <t>https://www.scopus.com/inward/record.uri?eid=2-s2.0-84902267809&amp;doi=10.1016%2fj.procs.2014.05.358&amp;partnerID=40&amp;md5=ece655b460fb9a40552187a9420eda1d</t>
  </si>
  <si>
    <t>Clustering software project components for strategic decisions and building reuse libraries</t>
  </si>
  <si>
    <t>A Software Repository is a collection of function codes, library files , software requirement specification documents , software design patterns, architectural specifications to name a few. Software Engineers and Programmers analyse, design, implement, develop and build the software libraries , software projects as a continuous process. Mining Software Components for efficient reuse is the current topic of interest among researchers working in the areas of Software Reuse and Information Retrieval. A comparatively less research is contributed in this direction and has a good scope for research. In this paper, the main idea is to cluster the software projects, software components from the available repository and use these clusters in choosing the suitable software component quickly and efficiently. The software clustering process may also be used to estimate and know the hidden knowledge of software systems. We use the similarity function of our previous work submitted at the ACM ISDOC Conference [12] for the purpose of clustering the software projects and software components. The clusters formed may be used to estimate the hidden knowledge and behavior of software projects. The approach carried out is a feature vector based approach. © 2015 ACM.</t>
  </si>
  <si>
    <t>https://www.scopus.com/inward/record.uri?eid=2-s2.0-84988922035&amp;doi=10.1145%2f2832987.2833075&amp;partnerID=40&amp;md5=b3ca311bed7b1572fe4727e25fb63c7d</t>
  </si>
  <si>
    <t>Miura, K., McIntosh, S., Kamei, Y., Hassan, A. E. and Ubayashi, N.</t>
  </si>
  <si>
    <t>The Impact of Task Granularity on Co-evolution Analyses</t>
  </si>
  <si>
    <t>Background: Substantial research in the software evolution field aims to recover knowledge about development from the project history that is archived in repositories, such as a Version Control System (VCS). However, the data that is archived in these repositories can be analyzed at different levels of granularity. Although software evolution is a well-studied phenomenon at the revision-level, revisions may be too fine-grained to accurately represent development tasks. Aim: In this paper, we set out to understand the impact that the revision granularity has on co-change analyses. Method: We conduct an empirical study of 14 open source systems that are developed by the Apache Software Foundation. To understand the impact that the revision granularity may have on co-change activity, we study work items, i.e., logical groups of revisions that address a single issue. Results: We find that work item grouping has the potential to impact co-change activity, since 29% of work items consist of 2 or more revisions in 7 of the 14 studied systems. Deeper quantitative analysis shows that, in 7 of the 14 studied systems: (1) 11% of largest work items are entirely composed of small revisions, and would be missed by traditional approaches to filter or analyze large changes, (2) 83% of revisions that co-change under a single work item cannot be grouped using the typical configuration of the sliding time window technique and (3) 48% of work items that involve multiple developers cannot be grouped at the revision-level. Conclusions: Since the work item granularity is the natural means that practitioners use to separate development tasks, future software evolution studies, especially co-change analyses, should be conducted at the work item level. © 2016 ACM.</t>
  </si>
  <si>
    <t>https://www.scopus.com/inward/record.uri?eid=2-s2.0-84991585111&amp;doi=10.1145%2f2961111.2962607&amp;partnerID=40&amp;md5=bacee63428caccb78d109262c5ea0aaa</t>
  </si>
  <si>
    <t>Huang, Y., Zheng, Q., Chen, X., Xiong, Y., Liu, Z. and Luo, X.</t>
  </si>
  <si>
    <t>Mining Version Control System for Automatically Generating Commit Comment</t>
  </si>
  <si>
    <t>Commit comments increasingly receive attention as an important complementary component in code change comprehension. To address the comment scarcity issue, a variety of automatic approaches for commit comment generation have been intensively proposed. However, most of these approaches mechanically outline a superficial level summary of the changed software entities, the change intent behind the code changes is lost (e.g., the existing approaches cannot generate such comment: 'fixing null pointer exception'). Considering the comments written by developers often describe the intent behind the code change, we propose a method to automatically generate commit comment by reusing the existing comments in version control system. Specifically, for an input commit, we apply syntax, semantic, pre-syntax, and pre-semantic similarities to discover the similar commits from half a million commits, and recommend the reusable comments to the input commit from the ones of the similar commits. We evaluate our approach on 7 projects. The results show that 9.1% of the generated comments are good, 27.7% of the generated comments need minor fix, and 63.2% are bad, and we also analyze the reasons that make a comment available or unavailable. © 2017 IEEE.</t>
  </si>
  <si>
    <t>https://www.scopus.com/inward/record.uri?eid=2-s2.0-85042388214&amp;doi=10.1109%2fESEM.2017.56&amp;partnerID=40&amp;md5=3c9aafce8cd88151bcae5fd142a846bd</t>
  </si>
  <si>
    <t>Parveen, T. and Arora, H. D.</t>
  </si>
  <si>
    <t>Estimating release time and predicting bugs with Shannon entropy measure and their impact on software quality</t>
  </si>
  <si>
    <t>Thai Journal of Mathematics</t>
  </si>
  <si>
    <t>As large amount of software repositories are available, the quantification of code change process is made possible and software engineering process had been paced up over a period of time. These repositories which include code change process information, bugs, and details about developers are abundantly used by researchers to fetch information which are important for improving software quality. We presume that a complex code change procedure incompatibly affects software quality. Code change process affects the quality of software and hence the software cost is affected as well. We developed a system in which data derived from the change history of each software release version is taken under consideration. This analysis shows that history change complexity metrics are prominent in predicting bugs in the software system in comparison to classical predictors of faults i.e., prior alterations, prior defects etc. Source code change data of software releases has been fetched from github repository for over a fifteen years of time, which includes 151 releases. History complexity metrics for the code change and bugs registered are used for predicting the release time and future bugs in the software release. To the data statistical multilinear regression model is utilized in predicting the software release time and estimated bugs of a software based on the history complexity metric in various releases. The performance of the model had been compared using performance R2, RMSE and MAE values. © 2017 by the Mathematical Association of Thailand. All rights reserved.</t>
  </si>
  <si>
    <t>https://www.scopus.com/inward/record.uri?eid=2-s2.0-85039708371&amp;partnerID=40&amp;md5=c789b16d21abdd4a7c436f3beca71641</t>
  </si>
  <si>
    <t>Jiang, Q., Peng, X., Wang, H., Xing, Z. and Zhao, W.</t>
  </si>
  <si>
    <t>Understanding systematic and collaborative code changes by mining evolutionary trajectory patterns</t>
  </si>
  <si>
    <t>The life cycle of a large-scale software system can undergo many releases. Each release often involves hundreds or thousands of revisions committed by many developers over time. Many code changes are made in a systematic and collaborative way. However, such systematic and collaborative code changes are often undocumented and hidden in the evolution history of a software system. It is desirable to recover commonalities and associations among dispersed code changes in the evolutionary trajectory of a software system. In this paper, we present Summarizing Evolutionary Trajectory by Grouping and Aggregation (SETGA), an approach to summarizing historical commit records as trajectory patterns by grouping and aggregating relevant code changes committed over time. The SETGA extracts change operations from a series of commit records from version control systems. It then groups extracted change operations by their common properties from different dimensions such as change operation types, developers, and change locations. After that, SETGA aggregates relevant change operation groups by mining various associations among them. We implement SETGA and conduct an empirical study with 3 open-source systems. We investigate underlying evolution rules and problems that can be revealed by the identified patterns and analyze the evolution of trajectory patterns in different periods. The results show that SETGA can identify various types of trajectory patterns that are useful for software evolution management and quality assurance. Copyright © 2017 John Wiley &amp; Sons, Ltd.</t>
  </si>
  <si>
    <t>https://www.scopus.com/inward/record.uri?eid=2-s2.0-85015706775&amp;doi=10.1002%2fsmr.1840&amp;partnerID=40&amp;md5=5f27f9bc8c76ca91bf3b704470d38920</t>
  </si>
  <si>
    <t>Capturing software evolution and change through code repository smells</t>
  </si>
  <si>
    <t>In the last years we have seen the rise and the fall of many version control systems. These systems collect a large amount of data spanning from the path of the files involved in changes to the exact text changed in every file. This data can be exploited to produce an overview about how the system changed over time and evolved. We have developed a tool, called VCS-Analyzer, to use this information, both for data retrieval and analysis tasks. Currently, VCS-Analyzer implements six different analyses: two based on source code for the computation of metrics and the detection of code smells, and four original analysis based on repositories metadata, which are based on the concepts of Repository Metrics and Code Repository Smells. In this paper, we describe one smell and two metrics we have defined for source code repositories analysis. © Springer International Publishing Switzerland 2014.</t>
  </si>
  <si>
    <t>https://www.scopus.com/inward/record.uri?eid=2-s2.0-84917737866&amp;partnerID=40&amp;md5=793767590d1b12dc973cbe8c60aa3125</t>
  </si>
  <si>
    <t>Negara, S., Codoban, M., Dig, D. and Johnson, R. E.</t>
  </si>
  <si>
    <t>Identifying repetitive code changes benefits developers, tool builders, and researchers. Tool builders can automate the popular code changes, thus improving the productivity of developers. Researchers can better understand the practice of code evolution, advancing existing code assistance tools and benefiting developers even further. Unfortunately, existing research either predominantly uses coarse-grained Version Control System (VCS) snapshots as the primary source of code evolution data or considers only a small subset of program transformations of a single kind - refactorings. We present the first approach that identifies previously unknown frequent code change patterns from a fine-grained sequence of code changes. Our novel algorithm effectively handles challenges that distinguish continuous code change pattern mining from the existing data mining techniques. We evaluated our algorithm on 1,520 hours of code development collected from 23 developers, and showed that it is effective, useful, and scales to large amounts of data. We analyzed some of the mined code change patterns and discovered ten popular kinds of high-level program transformations. More than half of our 420 survey participants acknowledged that eight out of ten transformations are relevant to their programming activities. © 2014 ACM.</t>
  </si>
  <si>
    <t>https://www.scopus.com/inward/record.uri?eid=2-s2.0-84993660408&amp;doi=10.1145%2f2568225.2568317&amp;partnerID=40&amp;md5=c053adcb7b4fc9a27e09f4c29df712b4</t>
  </si>
  <si>
    <t>Nishi, M. A. and Damevski, K.</t>
  </si>
  <si>
    <t>Scalable code clone detection and search based on adaptive prefix filtering</t>
  </si>
  <si>
    <t>Code clone detection is a well-known software engineering problem that aims to detect all the groups of code blocks or code fragments that are functionally equivalent in a code base. It has numerous and wide ranging important uses in areas such as software metrics, plagiarism detection, aspect mining, copyright infringement investigation, code compaction, virus detection, and detecting bugs. A scalable code clone detection technique, able to process large source code repositories, is crucial in the context of multi-project or Internet-scale code clone detection scenarios. In this paper, we focus on improving the scalability of code clone detection, relative to current state of the art techniques. Our adaptive prefix filtering technique improves the performance of code clone detection for many common execution parameters, when tested on common benchmarks. The experimental results exhibit improvements for commonly used similarity thresholds of between 40% and 80%, in the best case decreasing the execution time up to 11% and increasing the number of filtered candidates up to 63%. © 2017 Elsevier Inc.</t>
  </si>
  <si>
    <t>Uemura, K., Mori, A., Choi, E. and Iida, H.</t>
  </si>
  <si>
    <t>Tracking Method-Level Clones and a Case Study</t>
  </si>
  <si>
    <t>Analyzing histories of code clones is important for understanding how they affect software development and developers. For this, many studies have been devoted to the approach of tracking code clones. However, to the best of our knowledge, no existing studies have attempted to track code clones in long-term and fine-grained change histories.In this paper, we report on the analysis of histories of method-level code clones hosted by a fine-grained version control system called historage, which allowed us to track source code entities across commits.We have tracked and analyzed method-level code clones in 10 open source software projects and found out that (1) in many projects, method-level code clones are removed regardless of whether they were changed or how frequently they were changed, and (2) a group of method-level code clones created at the same time tend to survive longer than those created individually. We believe that these findings will provide useful insights for future research on code clones such as determining the priority of code clone management. © 2019 IEEE.</t>
  </si>
  <si>
    <t>https://www.scopus.com/inward/record.uri?eid=2-s2.0-85063946600&amp;doi=10.1109%2fIWSC.2019.8665851&amp;partnerID=40&amp;md5=ca611fbab6205d324e393aa5091aa83f</t>
  </si>
  <si>
    <t>Sokol, F. Z., Aniche, M. F. and Gerosa, M. A.</t>
  </si>
  <si>
    <t>MetricMiner: Supporting researchers in mining software repositories</t>
  </si>
  <si>
    <t>Researchers use mining software repository (MSR) techniques for studying software engineering empirically, by means of analysis of artifacts, such as source code, version control systems metadata, etc. However, to conduct a study using these techniques, researchers usually spend time collecting data and developing a complex infrastructure, which demands disk space and processing time. In this paper, we present MetricMiner, a web application aimed to support researchers in some steps of mining software repositories, such as metrics calculation, data extraction, and statistical inference. The tool also contains data ready to be analyzed, saving time and computational resources. © 2013 IEEE.</t>
  </si>
  <si>
    <t>https://www.scopus.com/inward/record.uri?eid=2-s2.0-84891120718&amp;doi=10.1109%2fSCAM.2013.6648195&amp;partnerID=40&amp;md5=5eec6953ff7c46b39d940a91974ee3e6</t>
  </si>
  <si>
    <t>Ajay Prakash, B. V., Ashoka, D. V. and Manjunath Aradhya, V. N.</t>
  </si>
  <si>
    <t>A novel framework for integrating data mining techniques to software development phases</t>
  </si>
  <si>
    <t>In software development process, phases such as development effort estimation, code optimization, source code defect detection and software reuse are very important in order to improve the productivity and quality of the software. Software repository data produced in each phases have increased as component of software development process and new data analysis techniques have emerged in order to optimize the software development process. There is a gap between the software project management practices and the need of valuable data from software repository. To overcome this gap, a novel integrated framework is proposed, which integrates data mining techniques to extract valuable information from software repository and software metrics are used in different phases of software development process. Integrated framework can be used by software development project managers to improve quality of software and reduce time in predicting effort estimation, optimizing source code, defect detection and classification. © Springer India 2016.</t>
  </si>
  <si>
    <t>https://www.scopus.com/inward/record.uri?eid=2-s2.0-84959036722&amp;doi=10.1007%2f978-81-322-2752-6_47&amp;partnerID=40&amp;md5=5eb0b37f9dc86e8ff5f88548fe0fd22f</t>
  </si>
  <si>
    <t>West, A. G. and Lee, I.</t>
  </si>
  <si>
    <t>Towards content-driven reputation for collaborative code repositories</t>
  </si>
  <si>
    <t>As evidenced by SourceForge and GitHub, code repositories now integrate Web 2.0 functionality that enables global participation with minimal barriers-to-entry. To prevent detrimental contributions enabled by crowdsourcing, reputation is one proposed solution. Fortunately this is an issue that has been addressed in analogous version control systems such as the wiki for natural language content. The WikiTrust algorithm ("content-driven reputation"), while developed and evaluated in wiki environments operates under a possibly shared collaborative assumption: actions that "survive" subsequent edits are reflective of good authorship. In this paper we examine WikiTrust's ability to measure author quality in collaborative code development. We first define a mapping from repositories to wiki environments and use it to evaluate a production SVN repository with 92,000 updates. Analysis is particularly attentive to reputation loss events and attempts to establish ground truth using commit comments and bug tracking. A proof-of-concept evaluation suggests the technique is promising (about two-thirds of reputation loss is justified) with false positives identifying areas for future refinement. Equally as important, these false positives exemplify differences in content evolution and the cooperative process between wikis and code repositories. © 2012 ACM.</t>
  </si>
  <si>
    <t>https://www.scopus.com/inward/record.uri?eid=2-s2.0-84877598528&amp;doi=10.1145%2f2462932.2462950&amp;partnerID=40&amp;md5=c91474a7cb169d574c8645c3ec4c1e51</t>
  </si>
  <si>
    <t>Jiang, R., Chen, Z., Zhang, Z., Pei, Y., Pan, M. and Zhang, T.</t>
  </si>
  <si>
    <t>Semantics-based code search using input/output examples</t>
  </si>
  <si>
    <t>As the quality and quantity of open source code increase, semantics-based code search has become an emerging need for software developers to retrieve and reuse existing source code. We present an approach of semantics-based code search using input/output examples for the Java language. Our approach encodes Java methods in code repositories into path constraints via symbolic analysis and leverages SMT solvers to find the methods whose path constraints can satisfy the given input/output examples. Our approach extends the applicability of the semantics-based search technology to more general Java code compared with existing methods. To evaluate our approach, we encoded 1228 methods from GitHub and applied semantics-based code search on 35 queries extracted from Stack Overflow. Correct method code for 29 queries was obtained during the search and the average search time was just about 48 seconds. © 2018 IEEE.</t>
  </si>
  <si>
    <t>https://www.scopus.com/inward/record.uri?eid=2-s2.0-85058282320&amp;doi=10.1109%2fSCAM.2018.00018&amp;partnerID=40&amp;md5=50f1f7cb5ce34477104c7afca058a9e5</t>
  </si>
  <si>
    <t>McGrath, S., Bastola, K. and Siy, H.</t>
  </si>
  <si>
    <t>Concept to commit: A pattern designed to trace code changes from user requests to change implementation by analyzing mailing lists and code repositories</t>
  </si>
  <si>
    <t>The concept to commit pattern is used for tracing code changes from user requests (analyzing the mailing list) to change implementation (analyzing the code repository). The analysis is done via text mining of both emails and commits descriptions in 4 stages. The first stage is identifying a search time window for the mailing list by evaluating a targeted commit time stamp. Once a window is established, the body of the mailing list is reduced to match the search window. The next stage involves basic text mining processing (tokenization, stemming, and document matrix creation). The final step is to perform frequency analysis (word cloud, heat map, or dendrogram). © 2013 IEEE.</t>
  </si>
  <si>
    <t>https://www.scopus.com/inward/record.uri?eid=2-s2.0-84885217097&amp;doi=10.1109%2fDAPSE.2013.6603799&amp;partnerID=40&amp;md5=0d8d8250fd4afd820dd2112869c7810c</t>
  </si>
  <si>
    <t>Werner, C. M. and Berry, D. M.</t>
  </si>
  <si>
    <t>An empirical study of the software development process, including its requirements engineering, at very large organization: How to use data mining in such a study</t>
  </si>
  <si>
    <t>Very Large Organization (VLO) develops and manufacturers hardware and software products, with each product being developed in its own project. Each project, from its inception, maintains a database that contains a wealth of data pertaining to its software development lifecycle. To empirically study VLO’s software development process, the authors mined the data from seven consecutive VLO projects to determine whether the data exhibit any anomalies and whether these anomalies can help assess a project’s level of success. Some anomalies provide evidence of what VLO does well, while other anomalies highlight possible areas of improvement. Through the anomalies in the mined data, the organization can direct additional focus and research to specific areas of the development process, particularly its requirements engineering, to improve the likelihood of success for future projects. While describing the results of the empirical study, the paper also shows how such a study can be conducted even when the mined data are not very detailed. © Springer Nature Singapore Pte Ltd. 2018.</t>
  </si>
  <si>
    <t>https://www.scopus.com/inward/record.uri?eid=2-s2.0-85041120474&amp;doi=10.1007%2f978-981-10-7796-8_2&amp;partnerID=40&amp;md5=7cbd30015a2a4cfae6abc07ad98d6e8a</t>
  </si>
  <si>
    <t>Yang, Z., Xu, F., Chen, Z. and Sun, Y.</t>
  </si>
  <si>
    <t>An effective incremental analysis algorithm of open source repository</t>
  </si>
  <si>
    <t>Mining code repositories is a significant practice to detect the reuse of open source code in software engineering. As the existing analysis algorithms fail to meet the requirements of efficient large-scale open source analysis, this paper proposes an effective incremental analysis algorithm that can extract incremental text modifications by comparing snapshots in code repositories and then transform the above-mentioned text modifications into incremental functions through the application of mapping algorithm. Meanwhile, a fingerprint algorithm targeting incremental functions is put forward for efficient comparisons of functions. The experiments indicate that when dealing with large-scale code, the incremental analysis algorithm outperforms the traditional ones with less storage space and faster analysis speed. © 2018 Association for Computing Machinery.</t>
  </si>
  <si>
    <t>https://www.scopus.com/inward/record.uri?eid=2-s2.0-85055532766&amp;doi=10.1145%2f3230348.3230461&amp;partnerID=40&amp;md5=fb022459a98e902a9be1f77782d012d7</t>
  </si>
  <si>
    <t>Nguyen, H. A., Nguyen, A. T. and Nguyen, T. N.</t>
  </si>
  <si>
    <t>Filtering noise in mixed-purpose fixing commits to improve defect prediction and localization</t>
  </si>
  <si>
    <t>In open-source software projects, during fixing software faults, developers sometimes also perform other types of non-fixing code changes such as functionality enhancement, code restructuring/improving, or documentation. They commit non-fixing changes together with the fixing ones in the same transaction. We call them mixed-purpose fixing commits (MFCs). We have conducted an empirical study on MFCs in several popular open-source projects. Our results showed that MFCs are about 11%-39% of total fixing commits. In 3%-41% of MFCs, developers performed other change types without indicating them in the commit logs. Our study also showed that mining software repositories (MSR) approaches that rely on the recovery of the history of fixed/buggy files are affected by the noisy data where non-fixing changes in MFCs are considered as fixing ones. The results of our study motivated us to develop Cardo, a tool to identify MFCs and filter non-fixing changed files in the change sets of the fixing commits. It uses natural language processing to analyze the sentences in commit logs and program analysis to cluster the changes in the change sets to determine if a changed file is for non-fixing. Our empirical evaluation on several open-source projects showed that Cardo achieves on average 93% precision, and existing MSR approaches can be relatively improved up to 32% with data filtered by Cardo. © 2013 IEEE.</t>
  </si>
  <si>
    <t>https://www.scopus.com/inward/record.uri?eid=2-s2.0-84893225868&amp;doi=10.1109%2fISSRE.2013.6698913&amp;partnerID=40&amp;md5=be207310467359a047c58e049a3ea37d</t>
  </si>
  <si>
    <t>Menarini, M., Yan, Y. and Griswold, W. G.</t>
  </si>
  <si>
    <t>Bavota, G. and Russo, B.</t>
  </si>
  <si>
    <t>Pascarella, L., Spadini, D., Palomba, F., Bruntink, M. and Bacchelli, A.</t>
  </si>
  <si>
    <t>Information needs in contemporary code review</t>
  </si>
  <si>
    <t>Contemporary code review is a widespread practice used by software engineers to maintain high software quality and share project knowledge. However, conducting proper code review takes time and developers often have limited time for review. In this paper, we aim at investigating the information that reviewers need to conduct a proper code review, to better understand this process and how research and tool support can make developers become more effective and efficient reviewers. Previous work has provided evidence that a successful code review process is one in which reviewers and authors actively participate and collaborate. In these cases, the threads of discussions that are saved by code review tools are a precious source of information that can be later exploited for research and practice. In this paper, we focus on this source of information as a way to gather reliable data on the aforementioned reviewers’ needs. We manually analyze 900 code review comments from three large open-source projects and organize them in categories by means of a card sort. Our results highlight the presence of seven high-level information needs, such as knowing the uses of methods and variables declared/modified in the code under review. Based on these results we suggest ways in which future code review tools can better support collaboration and the reviewing task. Preprint [https://doi.org/10.5281/zenodo.1405894]. Data and Materials [https://doi.org/10.5281/zenodo.1405902]. © 2018 Copyright held by the owner/author(s). Publication rights licensed to ACM.</t>
  </si>
  <si>
    <t>https://www.scopus.com/inward/record.uri?eid=2-s2.0-85064148225&amp;doi=10.1145%2f3274404&amp;partnerID=40&amp;md5=b44ce1c9317ba3469aa32444a1b00503</t>
  </si>
  <si>
    <t>Thompson, C. and Wagner, D.</t>
  </si>
  <si>
    <t>A large-scale study of modern code review and security in open source projects</t>
  </si>
  <si>
    <t>Background: Evidence for the relationship between code review process and software security (and software quality) has the potential to help improve code review automation and tools, as well as provide a better understanding of the economics for improving software security and quality. Prior work in this area has primarily been limited to case studies of a small handful of software projects.Aims:We investigate the effect of modern code review on software security. We extend and generalize prior work that has looked at code review and software quality. Method: We gather a very large dataset from GitHub (3,126 projects in 143 languages, with 489,038 issues and 382,771 pull requests), and use a combination of quantification techniques and multiple regression modeling to study the relationship between code review coverage and participation and software quality and security. Results: We find that code review coverage has a significant effect on software security. We confirm prior results that found a relationship between code review coverage and software defects. Most notably, we find evidence of a negative relationship between code review of pull requests and the number of security bugs reported in a project. Conclusions: Our results suggest that implementing code review policies within the pull request model of development may have a positive effect on the quality and security of software. © 2017 Association for Computing Machinery. All rights reserved.</t>
  </si>
  <si>
    <t>https://www.scopus.com/inward/record.uri?eid=2-s2.0-85053180123&amp;doi=10.1145%2f3127005.3127014&amp;partnerID=40&amp;md5=fd9ab90f5feaa310e414521bad188c09</t>
  </si>
  <si>
    <t>Zanaty, F. E., Hirao, T., McIntosh, S., Ihara, A. and Matsumoto, K.</t>
  </si>
  <si>
    <t>An empirical study of design discussions in code review</t>
  </si>
  <si>
    <t>Background: Code review is a well-established software quality practice where developers critique each others' changes. A shift towards automated detection of low-level issues (e.g., integration with linters) has, in theory, freed reviewers up to focus on higher level issues, such as software design. Yet in practice, little is known about the extent to which design is discussed during code review. Aim: To bridge this gap, in this paper, we set out to study the frequency and nature of design discussions in code reviews. Method: We perform an empirical study on the code reviews of the OpenStack Nova (provisioning management) and Neutron (networking abstraction) projects. We manually classify 2,817 review comments from a randomly selected sample of 220 code reviews. We then train and evaluate classifiers to automatically label review comments as design related or not. Finally, we apply the classifiers to a larger sample of 2,506,308 review comments to study the characteristics of reviews that include design discussions. Results: Our manual analysis indicates that (1) design discussions are still quite rare, with only 9% and 14% of Nova and Neutron review comments being related to software design, respectively; and (2) design feedback is often constructive, with 73% of the design-related comments also providing suggestions to address the concerns. Furthermore, our classifiers achieve a precision of 59%-66% and a recall of 70%-78%, outperforming baselines like zeroR by 43 percentage points in terms of F1-score. Finally, code changes that have design-related feedback have a statistically significantly increased rate of abandonment (Pearson 2 test, DF=1, p &amp;lt; 0.001). Conclusion: Design-related discussion during code review is still rare. Since design discussion is a primary motivation for conducting code review, more may need to be done to encourage such discussions among contributors. © 2018 ACM.</t>
  </si>
  <si>
    <t>https://www.scopus.com/inward/record.uri?eid=2-s2.0-85061507096&amp;doi=10.1145%2f3239235.3239525&amp;partnerID=40&amp;md5=ff5cb4760909dcf6a6a5e9fd474f68ce</t>
  </si>
  <si>
    <t>In Support of Peer Code Review and Inspection in an Undergraduate Software Engineering Course</t>
  </si>
  <si>
    <t>Kalliamvakou, E., Gousios, G., Blincoe, K., Singer, L., German, D. M. and Damian, D.</t>
  </si>
  <si>
    <t>An in-depth study of the promises and perils of mining GitHub</t>
  </si>
  <si>
    <t>With over 10 million git repositories, GitHub is becoming one of the most important sources of software artifacts on the Internet. Researchers mine the information stored in GitHub’s event logs to understand how its users employ the site to collaborate on software, but so far there have been no studies describing the quality and properties of the available GitHub data. We document the results of an empirical study aimed at understanding the characteristics of the repositories and users in GitHub; we see how users take advantage of GitHub’s main features and how their activity is tracked on GitHub and related datasets to point out misalignment between the real and mined data. Our results indicate that while GitHub is a rich source of data on software development, mining GitHub for research purposes should take various potential perils into consideration. For example, we show that the majority of the projects are personal and inactive, and that almost 40 % of all pull requests do not appear as merged even though they were. Also, approximately half of GitHub’s registered users do not have public activity, while the activity of GitHub users in repositories is not always easy to pinpoint. We use our identified perils to see if they can pose validity threats; we review selected papers from the MSR 2014 Mining Challenge and see if there are potential impacts to consider. We provide a set of recommendations for software engineering researchers on how to approach the data in GitHub. © 2015, Springer Science+Business Media New York.</t>
  </si>
  <si>
    <t>https://www.scopus.com/inward/record.uri?eid=2-s2.0-84940823828&amp;doi=10.1007%2fs10664-015-9393-5&amp;partnerID=40&amp;md5=6da5f5f2ad376b05bb9034aeb22f3542</t>
  </si>
  <si>
    <t>Reiss, S. P., Miao, Y. and Xin, Q.</t>
  </si>
  <si>
    <t>Seeking the user interface</t>
  </si>
  <si>
    <t>User interface design and coding can be complex and messy. We describe a system that uses code search to simplify and automate the exploration of such code. We start with a simple sketch of the desired interface along with a set of keywords describing the application context. If necessary, we convert the sketch into a scalable vector graphics diagram. We then use existing code search engines to find results based on the keywords. We look for potential Java-based graphical user interface solutions within those results and apply a series of code transformations to the solutions to generate derivative solutions, aiming to get solutions that constitute only the user interface and that will compile and run. We run the resultant solutions and compare the generated interfaces to the user’s sketches. Finally, we let programmers interact with the matched solutions and return the running code for the solutions they choose. The system is useful for exploring alternative interfaces to the initial and for looking at graphical user interfaces in a code repository. © 2017, Springer Science+Business Media New York.</t>
  </si>
  <si>
    <t>https://www.scopus.com/inward/record.uri?eid=2-s2.0-85017176991&amp;doi=10.1007%2fs10515-017-0216-3&amp;partnerID=40&amp;md5=cdab3eb8a870d35ae387d80023010069</t>
  </si>
  <si>
    <t>Tufano, M., Palomba, F., Bavota, G., Oliveto, R., Penta, M. D., De Lucia, A. and Poshyvanyk, D.</t>
  </si>
  <si>
    <t>When and Why Your Code Starts to Smell Bad (and Whether the Smells Go Away)</t>
  </si>
  <si>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 © 1976-2012 IEEE.</t>
  </si>
  <si>
    <t>https://www.scopus.com/inward/record.uri?eid=2-s2.0-85040307811&amp;doi=10.1109%2fTSE.2017.2653105&amp;partnerID=40&amp;md5=d2b0c8b235fdd2cfb1fa8d1ec2b401ea</t>
  </si>
  <si>
    <t>Baltes, S. and Diehl, S.</t>
  </si>
  <si>
    <t>Usage and attribution of Stack Overflow code snippets in GitHub projects</t>
  </si>
  <si>
    <t>Stack Overflow (SO) is the most popular question-and-answer website for software developers, providing a large amount of copyable code snippets. Using those snippets raises maintenance and legal issues. SO’s license (CC BY-SA 3.0) requires attribution, i.e., referencing the original question or answer, and requires derived work to adopt a compatible license. While there is a heated debate on SO’s license model for code snippets and the required attribution, little is known about the extent to which snippets are copied from SO without proper attribution. We present results of a large-scale empirical study analyzing the usage and attribution of non-trivial Java code snippets from SO answers in public GitHub (GH) projects. We followed three different approaches to triangulate an estimate for the ratio of unattributed usages and conducted two online surveys with software developers to complement our results. For the different sets of projects that we analyzed, the ratio of projects containing files with a reference to SO varied between 3.3% and 11.9%. We found that at most 1.8% of all analyzed repositories containing code from SO used the code in a way compatible with CC BY-SA 3.0. Moreover, we estimate that at most a quarter of the copied code snippets from SO are attributed as required. Of the surveyed developers, almost one half admitted copying code from SO without attribution and about two thirds were not aware of the license of SO code snippets and its implications. © 2018, Springer Science+Business Media, LLC, part of Springer Nature.</t>
  </si>
  <si>
    <t>https://www.scopus.com/inward/record.uri?eid=2-s2.0-85054385016&amp;doi=10.1007%2fs10664-018-9650-5&amp;partnerID=40&amp;md5=de4d56d866ca9ea5b4a38d350cfa9e83</t>
  </si>
  <si>
    <t>Ozbas-Caglayan, K. and Dogru, A. H.</t>
  </si>
  <si>
    <t>Software repository analysis for investigating design-code compliance</t>
  </si>
  <si>
    <t>Compliance check between code and design is a labor-intensive job to do, since it requires the code to be reverse engineered and checked versus design manually. On the other hand, investigation of the design-code compliance would give some valuable information to software development and maintenance managers. In this study, an approach for employing software repository analysis and text mining techniques to extract and analyze compliance levels of design and code efficiently is presented. © 2013 IEEE.</t>
  </si>
  <si>
    <t>https://www.scopus.com/inward/record.uri?eid=2-s2.0-84893569321&amp;doi=10.1109%2fIWSM-Mensura.2013.40&amp;partnerID=40&amp;md5=37cfd743e90ec3c0a882f38f82ee5986</t>
  </si>
  <si>
    <t>Uemura, K., Saito, Y., Fujiwara, S., Tanaka, D., Fujiwara, K., Iida, H. and Matsumoto, K.</t>
  </si>
  <si>
    <t>A hosting service of multi-language historage repositories</t>
  </si>
  <si>
    <t>In the research of Mining Software Repositories, source code repositories are one of the core sources since it contains the product and the process of software development. A source code repository stores the versions of files and makes it possible to browse the histories of files, such as modification dates, authors, messages, so on. Although such rich information of file histories is easily available, extracting the histories of methods/functions, which are elements of source code files, is not easy from general code repositories. To tackle this difficulty, we have developed Historage, a fine-grained version control system. Historage repository is a Git repository, which is built upon an original Git repository. Therefore, similar mining techniques for general Git repositories are applicable to Historage repositories. We also have developed Kataribe, a hosting service of Historage repositories, which contains hundreds of Historage repositories constructed from repositories in GitHub, which are written in C#, Java, Python and Ruby. The list of all Historage and original repositories are available at http://kataribe.naist.jp/public. With this dataset, we will promote in-depth and fine-grained software evolution research with diversity of programming languages. © 2016 IEEE.</t>
  </si>
  <si>
    <t>https://www.scopus.com/inward/record.uri?eid=2-s2.0-84987940253&amp;doi=10.1109%2fICIS.2016.7550864&amp;partnerID=40&amp;md5=e1376d124c4789c298f56ae75b69548b</t>
  </si>
  <si>
    <t>Sharma, M. and Tondon, A.</t>
  </si>
  <si>
    <t>Developing prediction models to assist software developers and support managers</t>
  </si>
  <si>
    <t>A huge amount of historical information about the evolution of a software project is available in software repositories, namely bug repositories, source control repositories, archived communications, deployment logs, and code repositories. By mining the evolutionary history of a software, we have designed prediction models to assist software developers by predicting bug attributes like priority, severity, assignee and fix time. We have evaluated the uncertainty in the software in terms of entropy arises due to source code changes done in files of the software to fix different issues. To support software managers, we have designed prediction models to predict potential values of entropy and different issues, namely bugs, improvements in existing features (IMPs) and new features (NFs) over a long run. In this research work, we have developed mathematical models to assist software managers and developers in bug triag-ing, bug fixing and different software maintenance related tasks. Our work has been validated on issue and code change data of several open source projects, namely Eclipse, Open office, Mozilla and Apache. © Springer International Publishing AG 2017.</t>
  </si>
  <si>
    <t>https://www.scopus.com/inward/record.uri?eid=2-s2.0-85026729706&amp;doi=10.1007%2f978-3-319-62404-4_41&amp;partnerID=40&amp;md5=57c80c9c77e38b89074f8fefa39a1550</t>
  </si>
  <si>
    <t>Fish, A., Nguyen, T. L. and Song, M.</t>
  </si>
  <si>
    <t>CloneMap: A Clone-Aware Code Inspection Tool in Evolving Software</t>
  </si>
  <si>
    <t>Mining software repositories is a frequent tactic in the evaluation of software in our research. Software modification of large code bases often consists of recurring changes, similar but slightly different changes across multiple locations and revisions. It is a high-effort, time consuming process for developers to find all the relevant locations to maintain such changes among bug-fixes, refactorings, and new code being added to the code base for new features. This process is highly error-prone leading to many mistakes, such as inconsistent or incorrect updates. To address this problem, we present a tool that helps developers ensure correctness of recurring changes to multiple locations in an evolving software. CloneMap is a clone-aware code inspection tool which allows developers to specify the older and newer revisions of a software. It then applies a clone detection technique to (1) mine repositories for extracting differences of recurring changes, (2) visualize the clone evolution, and (3) help developers focus their attention to potential anomalies, such as inconsistent and missing updates as the software evolves from one revision to the next. © 2018 IEEE.</t>
  </si>
  <si>
    <t>https://www.scopus.com/inward/record.uri?eid=2-s2.0-85057109154&amp;doi=10.1109%2fEIT.2018.8500143&amp;partnerID=40&amp;md5=23d781ee5076326a3d1d86f579d85937</t>
  </si>
  <si>
    <t>Feist, M. D., Santos, E. A., Watts, I. and Hindle, A.</t>
  </si>
  <si>
    <t>Visualizing Project Evolution through Abstract Syntax Tree Analysis</t>
  </si>
  <si>
    <t>What is a developer's contribution to a repository? By only counting commits and number of lines changed, existing tools that visualize source code repositories (such as GitHub's graphs) fall short on showing the effective contributions made by each developer. When many commits are viewed as a group, the details are lost. Commit information can be misleading since lines of code give no indication of what was actually being worked on without careful examination of the changed code. Providing a semantic view of this information could provide deeper insights into how software projects evolve since changes to design and features are not clearly visible from line changes alone. We present TypeV: a method for visualizing Java source code repositories. Instead of counting line changes in a commit we extract detailed type information over time by using the differences between abstract syntax trees (ASTs). We are then able to track the additions and deletions of declarations and invocations for each type. Furthermore, we can track each author's type usage over time. Using TypeV, we examine specific cases in well-known repositories where our tool reveals interesting and useful information. We then compare type coverage information from the AST compared to file coverage to determine if unique information is provided by type information. © 2016 IEEE.</t>
  </si>
  <si>
    <t>https://www.scopus.com/inward/record.uri?eid=2-s2.0-85010424321&amp;doi=10.1109%2fVISSOFT.2016.6&amp;partnerID=40&amp;md5=c8e471fc733147a53b49a2f5b195474d</t>
  </si>
  <si>
    <t>Jermakovics, A., Sillitti, A. and Succi, G.</t>
  </si>
  <si>
    <t>Exploring collaboration networks in open-source projects</t>
  </si>
  <si>
    <t>Analysis of developer collaboration networks presents an opportunity for understanding and thus improving the software development process. Discovery of these networks, however, presents a challenge since the collaboration relationships are initially not known. In this work we apply an approach for discovering collaboration networks of open source developers from Version Control Systems (VCS). It computes similarities among developers based on common file changes, constructs the network of collaborating developers and applies filtering techniques to improve the readability of the visualized network. We use the approach in case studies of three different projects from open source (phpMyAdmin, Eclipse Data Tools Platform and Gnu Compiler Collection) to learn their organizational structure and patterns. Our results indicate that with little effort the approach is capable of revealing aspects of these projects that were previously not known or would require a lot of effort to discover manually via other means, such as reading project documentation and forums. © IFIP International Federation for Information Processing 2013.</t>
  </si>
  <si>
    <t>https://www.scopus.com/inward/record.uri?eid=2-s2.0-84916617806&amp;partnerID=40&amp;md5=9451743ca713b937b5f760958baadb2e</t>
  </si>
  <si>
    <t>Teixeira, J.</t>
  </si>
  <si>
    <t>Understanding collaboration in the open-source arena</t>
  </si>
  <si>
    <t>In an era of software crisis, the move of firms towards distributed software development teams is being challenged by emerging collaboration issues. On this matter, the opensource phenomenon may shed some light, as successful cases on distributed collaboration in the open-source community have been recurrently reported. In our research we explore collaboration networks in the WebKit and OpenStack open-source projects, by mining their source-code version-control-systems data with Social Network Analysis (SNA). Our approach allows us to observe how key events in the industry affect open-source collaboration networks over time. With our findings, we highlight the explanation power from network visualizations capturing the collaborative dynamics of high-networked software projects over time. Moreover, we depicted that competing companies that market similar products in the same market, can collaborate in the open-source community while publicly manifesting intense rivalry (e.g. Apple vs Samsung patent-wars). After integrating our findings with the current body of theoretical knowledge in management strategy, economics, strategic alliances and coopetition, we propose the novel notion of open-coopetition, where rival firms collaborate with competitors in the open-source community. We argue that classical coopetition management theories do not fully explain the competitive and collaborative issues that are simultaneously present and interconnected in the WebKit and Open-Stack open-source communities. We propose the development of the novel open-coopetition theory for a better understanding on how rival-firms collaborate with competitors in an open-source fashion. Copyright is held by the owner/author(s).</t>
  </si>
  <si>
    <t>https://www.scopus.com/inward/record.uri?eid=2-s2.0-84905446651&amp;doi=10.1145%2f2601248.2613086&amp;partnerID=40&amp;md5=9fc5369870ff0a6be2f09c273b6fba45</t>
  </si>
  <si>
    <t>Li, S., Tsukiji, H. and Takano, K.</t>
  </si>
  <si>
    <t>Analysis of software developer activity on a distributed version control system</t>
  </si>
  <si>
    <t>With the widespread use of distributed version control systems for software development, many software development projects are being shared and managed in a Web environment. This allows many developers, including project leaders and supporters, those who write important functions, those who resolve bugs and errors, and those who provide fundamental source code to relieve bottlenecks, to collaboratively progress their projects. In this paper, for the analysis of various characteristics of software developers, such as their skills and project roles, we present a method of feature extraction based on those developers' history of collaborative development using a distributed version control system. Real Git projects on GitHub were experimentally analyzed, and the experimental results demonstrate the feasibility of our proposed method. © 2016 IEEE.</t>
  </si>
  <si>
    <t>https://www.scopus.com/inward/record.uri?eid=2-s2.0-84983486811&amp;doi=10.1109%2fWAINA.2016.107&amp;partnerID=40&amp;md5=c82ec4cd64a8d6f7725cd10a1f95dd7c</t>
  </si>
  <si>
    <t>Padhye, R., Mani, S. and Sinha, V. S.</t>
  </si>
  <si>
    <t>Needfeed: Taming change notifications by modeling code relevance</t>
  </si>
  <si>
    <t>Most software development tools allow developers to subscribe to notifications about code checked-in by their team members in order to review changes to artifacts that they are responsible for. However, past user studies have indicated that this mechanism is counter-productive, as developers spend a significant amount of effort sifting through such feeds looking for items that are relevant to them. We present NeedFeed, a system that models code relevance by mining a project's software repository and highlights changes that a developer may need to review. We evaluate several techniques to model code relevance, from a naive TOUCH-based approach to generic HISTORY-based classifiers using temporal code metrics at file and method-level granularities, which are then improved by building developer-specific models using TEXT-based features from commit messages. NeedFeed reduces notification clutter by more than 90%, on average, with the best strategy giving an average precision and recall of more than 75%. © 2014 ACM.</t>
  </si>
  <si>
    <t>https://www.scopus.com/inward/record.uri?eid=2-s2.0-84908632074&amp;doi=10.1145%2f2642937.2642985&amp;partnerID=40&amp;md5=62c020ad395500788d942205540e20c9</t>
  </si>
  <si>
    <t>Ikonen, J., Agudo, I., Knutas, A. and Wu, Y.</t>
  </si>
  <si>
    <t>Is the world ready or do we need more tools for programming related teamwork?</t>
  </si>
  <si>
    <t>Teamwork is an essential part of work nowadays, but many student team projects have serious problems in collaboration. In this work we have identified success and failure factors in programming teamwork projects. Research was conducted with an internationally distributed questionnaire. The results identify that one of the main problems is a failure to see each project member's ongoing progress. Analysis of the data shows a strong correlation between active team communications and positive views of project success, especially in student teams. We propose that project tools should be researched further to support active communication behavior e.g. by visualizing each team member's current inputs in code repositories. © 2015 ACM.</t>
  </si>
  <si>
    <t>https://www.scopus.com/inward/record.uri?eid=2-s2.0-84959926567&amp;doi=10.1145%2f2828959.2828978&amp;partnerID=40&amp;md5=b6c4316c20272c8f2ac992b3461f58b4</t>
  </si>
  <si>
    <t>Weber, N. M.</t>
  </si>
  <si>
    <t>Combined methods, thick descriptions: Languages of collaboration on Github</t>
  </si>
  <si>
    <t>Proceedings of the ASIST Annual Meeting</t>
  </si>
  <si>
    <t>Like many professional work activities in this age of ubiquitous computing and high-speed internet connections, computer programming and software development are increasingly mediated by systems with 'social media' features like profiles, avatars, 'liking', and commenting capabilities. When working on shared tasks, programmers have effectively leveraged these capabilities to overcome differences in time and location while simultaneously using collaborative web applications, such as version control repositories like SCM or 'git' systems to work together more efficiently. Here we present preliminary findings from a project investigating patterns of collaboration on the social coding platform Github. We've used a research method that combines the use of statistical approaches from social network analysis (SNA) and traditional qualitative case study construction. Our results show that this method is useful in qualitatively explaining the topology of a collaborative network, especially the formation of cliques that have been identified using traditional SNA metrics.</t>
  </si>
  <si>
    <t>https://www.scopus.com/inward/record.uri?eid=2-s2.0-84878523818&amp;doi=10.1002%2fmeet.14504901347&amp;partnerID=40&amp;md5=ebddfe4fb50bfd9be2e280b8af9d9dd8</t>
  </si>
  <si>
    <t>Wong, E., Liu, T. and Tan, L.</t>
  </si>
  <si>
    <t>Code comments are an integral part of software development. They improve program comprehension and software maintainability. The lack of code comments is a common problem in the software industry. Therefore, it is beneficial to generate code comments automatically. In this paper, we propose a general approach to generate code comments automatically by analyzing existing software repositories. We apply code clone detection techniques to discover similar code segments and use the comments from some code segments to describe the other similar code segments. We leverage natural language processing techniques to select relevant comment sentences. In our evaluation, we analyze 42 million lines of code from 1,005 open source projects from GitHub, and use them to generate 359 code comments for 21 Java projects. We manually evaluate the generated code comments and find that only 23.7% of the generated code comments are good. We report to the developers the good code comments, whose code segments do not have an existing code comment. Amongst the reported code comments, seven have been confirmed by the developers as good and committable to the software repository while the rest await for developers' confirmation. Although our approach can generate good and committable comments, we still have to improve the yield and accuracy of the proposed approach before it can be used in practice with full automation. © 2015 IEEE.</t>
  </si>
  <si>
    <t>https://www.scopus.com/inward/record.uri?eid=2-s2.0-84928681873&amp;doi=10.1109%2fSANER.2015.7081848&amp;partnerID=40&amp;md5=ca952457bfc272516c6527b660d51502</t>
  </si>
  <si>
    <t>Chen, H., Huang, Y., Liu, Z., Chen, X., Zhou, F. and Luo, X.</t>
  </si>
  <si>
    <t>Automatically detecting the scopes of source code comments</t>
  </si>
  <si>
    <t>Comments convey useful information about the system functionalities and many methods for software engineering tasks take comments as an important source for many software engineering tasks such as code semantic analysis, code reuse and so on. However, unlike structural doc comments, it is challenging to identify the relationship between the functional semantics of the code and its corresponding textual descriptions nested inside the code and apply it to automatic analyzing and mining approaches in software engineering tasks efficiently. In this paper, we propose a general method for the detection of source code comment scopes. Based on machine learning, our method utilized features of code snippets and comments to detect the scopes of source code comments automatically in Java programs. On the dataset of comment-statement pairs from 4 popular open source projects, our method achieved a high accuracy of 81.45% in detecting the scopes of comments. Furthermore, the results demonstrated the feasibility and effectiveness of our comment scope detection method on new projects. Moreover, our method was applied to two specific software engineering tasks in our studies: analyzing software repositories for outdated comment detection and mining software repositories for comment generation. As a general approach, our method provided a solution to comment-code mapping. It improved the performance of baseline methods in both tasks, which demonstrated that our method is conducive to automatic analyzing and mining approaches on software repositories. © 2019 The Authors</t>
  </si>
  <si>
    <t>https://www.scopus.com/inward/record.uri?eid=2-s2.0-85063458121&amp;doi=10.1016%2fj.jss.2019.03.010&amp;partnerID=40&amp;md5=3b43cc844f31b4717ec2be757349a1b3</t>
  </si>
  <si>
    <t>Developer dynamics and syntactic quality of commit messages in OSS projects</t>
  </si>
  <si>
    <t>Community dynamics play an important role in the Open Source Software (OSS) development paradigm. Researchers have extensively studied the human aspects of the OSS paradigm from the point of view of community formation to community evolution. A few studies relate community dynamics with OSS product attributes such as code quality. However, the impact of community dynamics on non-code contributions such as commits has not been explored. In this paper, the aim is to analyze the impact of community dynamics on syntactic quality of commit messages of an OSS project. We first propose and validate a commit message quality model, and then use that model to analyze the OSS projects. Empirical analysis of seven OSS projects available in the Git repository shows that a small group of contributors active at the same time in a project leads to high syntactic quality contributions. These observations may prove useful to developers as well as project managers who need quantifiable techniques for monitoring the OSS projects. © 2018, IFIP International Federation for Information Processing.</t>
  </si>
  <si>
    <t>https://www.scopus.com/inward/record.uri?eid=2-s2.0-85049004230&amp;doi=10.1007%2f978-3-319-92375-8_6&amp;partnerID=40&amp;md5=a6685d447e985141cde42707f4090e4d</t>
  </si>
  <si>
    <t>Saini, M. and Kaur, K.</t>
  </si>
  <si>
    <t>Sun, Y., Wang, Q. and Yang, Y.</t>
  </si>
  <si>
    <t>FRLink: Improving the recovery of missing issue-commit links by revisiting file relevance</t>
  </si>
  <si>
    <t>Context: Though linking issues and commits plays an important role in software verification and maintenance, such link information is not always explicitly provided during software development or maintenance activities. Current practices in recovering such links highly depend on tedious manual examination. To automatically recover missing links, several approaches have been proposed to compare issue reports with log messages and source code files in commits. However, none of such approaches looked at the role of non-source code complementary documents in commits; nor did they consider the distinct roles each piece of the source code played in the same commit. Objective: We propose to revisit the definition of relevant files contributing to missing link recovery. More specifically, our work extends existing approaches from two perspectives: (1) Inclusion extension: incorporating complementary documents (i.e., non-source documents) to learn from more relevant data; (2) Exclusion extension: analyzing and filtering out irrelevant source code files to reduce data noise. Method: We propose a File Relevance-based approach (FRLink), to implement the above two considerations. FRLink utilizes non-source documents in commits, since they typically clarify code changes details, with similar textual information from corresponding issues. Moreover, FRLink differentiates the roles of different source code files in a single commit and discards files containing no similar code terms as those in issues based on similarity analysis. Results: FRLink is evaluated on 6 projects and compared with RCLinker, which is the latest state-of-the-art approach in missing link recovery. The result shows that FRLink outperforms RCLinker in F-Measure by 40.75% when achieving the highest recalls. Conclusion: FRLink can significantly improve the performance of missing link recovery compared with existing approaches. This indicates that in missing link recovery studies, sophisticated data selection and processing techniques necessitate more discussions due to the increasing variety and volume of information associated with issues and commits. © 2016 Elsevier B.V.</t>
  </si>
  <si>
    <t>https://www.scopus.com/inward/record.uri?eid=2-s2.0-85008193696&amp;doi=10.1016%2fj.infsof.2016.11.010&amp;partnerID=40&amp;md5=36267e2451f9a577303d511acedf2721</t>
  </si>
  <si>
    <t>Suzuki, S., Aman, H., Amasaki, S., Yokogawa, T. and Kawahara, M.</t>
  </si>
  <si>
    <t>An application of the pagerank algorithm to commit evaluation on git repository</t>
  </si>
  <si>
    <t>Many empirical studies have reported notable theories or methods for evaluating or predicting code quality through analyses of code repositories. This paper has yet another point of view: it focuses on 'commits' rather than source code. That is to say, this paper proposes to evaluate commits themselves. When an aim of a commit is to fix a bug, there can be another preceding commit which made a reason of the bug fixing. Those commits are linked by a bug fixing-based causal relationship. Then, commits can be modeled as a directed graph model of causal relationships. This paper applies Google's PageRank algorithm to the graph modelin order to evaluate commits' influences on the others. Through an empirical study with Git repositories of six open source projects, the following factors are showed to be noteworthy:(1) the number of added files at the commit,(2) the length of commit message,(3) the experience of committing author, and (4) the number of developers who have been involved in the modified files at the commit. © 2017 IEEE.</t>
  </si>
  <si>
    <t>https://www.scopus.com/inward/record.uri?eid=2-s2.0-85034455461&amp;doi=10.1109%2fSEAA.2017.24&amp;partnerID=40&amp;md5=c3776c1539026b18bf6bc12e5a77f7cb</t>
  </si>
  <si>
    <t>Shobe, J. F., Karim, Md Y. and Kagdi, H.</t>
  </si>
  <si>
    <t>How often does a source code unit change within a release window?</t>
  </si>
  <si>
    <t>To form a training set for a source-code change prediction model, e.g., using the association rule mining or machine learning techniques, commits from the source code history are needed. The traceability between releases and commits would facilitate a systematic choice of history in units of the project evolution scale (i.e., commits that constitute a software release). For example, the major release 25.0 in Chrome is mapped to the earliest revision 157687 and latest revision 165096 in the trunk. Using this traceability, an empirical study is reported on the frequency distribution of file changes for different release windows. In Chrome, the majority (50%) of the committed files change only once between a pair of consecutive releases. This trend is reversed after expanding the window size to at least 10. That is, the majority (50%) of the files change multiple times when commits constituting 10 or greater releases are considered. These results suggest that a training set of at least 10 releases is needed to provide a prediction coverage for majority of the files. Copyright 2015 ACM.</t>
  </si>
  <si>
    <t>https://www.scopus.com/inward/record.uri?eid=2-s2.0-84955451635&amp;doi=10.1145%2f2723742.2723759&amp;partnerID=40&amp;md5=65a541f58d8d97f3733b157eec3b7a7d</t>
  </si>
  <si>
    <t>Oliva, G. A., Steinmacher, I., Wiese, I. and Gerosa, M. A.</t>
  </si>
  <si>
    <t>What can commit metadata tell us about design degradation?</t>
  </si>
  <si>
    <t>Design degradation has long been assessed by means of structural analyses applied on successive versions of a software system. More recently, repository mining techniques have been developed in order to uncover rich historical information of software projects. In this paper, we leverage such information and propose an approach to assess design degradation that is programming language agnostic and relies almost exclusively on commit metadata. Our approach currently focuses on the assessment of two particular design smells: rigidity and fragility. Rigidity refer to designs that are difficult to change due to ripple effects and fragility refer to designs that tend to break in different areas every time a change is performed. We conducted an evaluation of our approach in the project Apache Maven 1 and the results indicated that our approach is feasible and that the project suffered from increasing fragility. Copyright © 2013 ACM.</t>
  </si>
  <si>
    <t>https://www.scopus.com/inward/record.uri?eid=2-s2.0-84883680545&amp;doi=10.1145%2f2501543.2501547&amp;partnerID=40&amp;md5=cc06e679b6047146f46cb6313918c26d</t>
  </si>
  <si>
    <t>Yang, W., Shen, B. and Xu, B.</t>
  </si>
  <si>
    <t>Mining GitHub: Why commit stops</t>
  </si>
  <si>
    <t>Using the freeware in GitHub, we are often confused by a phenomenon: the new version of GitHub freeware usually was released in an indefinite frequency; and developers often committed nothing for a long time. This evolution phenomenon interferes with our own development plan and architecture design. Why do these updates happen at that time? Can we predict GitHub software version evolution by developers' activities? This paper aims to explore the developer commit patterns in GitHub, and try to mine the relationship between these patterns (if exists) and code evolution. First, we define four metrics to measure commit activity and code evolution: the changes in each commit; the time between two commits; the author of each changes; and the source code dependency. Then, we adopt visualization techniques to explore developers' commit activity and code evolution. Visual techniques are used to describe the progress of the given project and the authors' contributions. To analyze the commit logs in GitHub software repository automatically, Commits Analysis Tool (CAT) is designed and implemented. Finally, eight open source projects in GitHub are analyzed using CAT, and we find that: 1) the file changes in the previous versions may affect the file depend on it in the next version; 2) the average days around "huge commit" is 3 times of that around normal commit. Using these two patterns and developer's commit model, we can predict when his next commit comes and which file may be changed in that commit. Such information is valuable for project planning of both GitHub projects and other projects which use GitHub freeware to develop software. © 2013 IEEE.</t>
  </si>
  <si>
    <t>https://www.scopus.com/inward/record.uri?eid=2-s2.0-84936873123&amp;doi=10.1109%2fAPSEC.2013.133&amp;partnerID=40&amp;md5=12a5ccab186dbabb3d2254695eca1724</t>
  </si>
  <si>
    <t>Behnamghader, P., Alfayez, R., Srisopha, K. and Boehm, B.</t>
  </si>
  <si>
    <t>Towards better understanding of software quality evolution through commit-impact analysis</t>
  </si>
  <si>
    <t>Developers intend to improve the quality of the software as it evolves. However, as software becomes larger and more complex, those intended actions may lead to unintended consequences. Analyzing change in software quality among different releases overlooks fine-grained changes that each commit introduces. We believe that studying software quality before and after each commit (commit-impact analysis) can reveal a wealth of information about how the software evolves and how each change impacts its quality. In this paper, we explore whether each commit has an impact on the source code, investigate the compilability of each impactful commit, examine how source code changes affect software quality metrics, and study the effectiveness of using a certain metric as software quality indicator. We analyze a total of 19,580 commits from 38 Apache Java software systems to better understand how change occurs, why, and by who. © 2017 IEEE.</t>
  </si>
  <si>
    <t>https://www.scopus.com/inward/record.uri?eid=2-s2.0-85029424197&amp;doi=10.1109%2fQRS.2017.36&amp;partnerID=40&amp;md5=2c90d6327a0e83bb4f005fec87dd9a92</t>
  </si>
  <si>
    <t>Zhang, W. Q., Nie, L. M., Jiang, H., Chen, Z. Y. and Liu, J.</t>
  </si>
  <si>
    <t>Developer social networks in software engineering: construction, analysis, and applications</t>
  </si>
  <si>
    <t>With the increasing popularity of Internet, more and more developers are collaborating together for software development. During the collaboration, a lot of information related to software development, including communication and coordination information of developers, can be recorded in software repositories. The information can be employed to construct Developer Social Networks (DSNs) for facilitating tasks in software engineering. In this paper, we survey recent advances of DSNs and examine three fundamental steps of DSNs, namely construction, analysis, and applications. We summarize the state-of-the-art methods in the three steps and investigate the relationships among them. Furthermore, we discuss the main issues and point out the future opportunities in the study of DSNs. © 2014, Science China Press and Springer-Verlag Berlin Heidelberg.</t>
  </si>
  <si>
    <t>https://www.scopus.com/inward/record.uri?eid=2-s2.0-84918511766&amp;doi=10.1007%2fs11432-014-5221-6&amp;partnerID=40&amp;md5=0f95ff1eebe1061c926a56c65f6bf40f</t>
  </si>
  <si>
    <t>Han, J. and Jung, W.</t>
  </si>
  <si>
    <t>Extraction of development organization in perspective of temporal locality</t>
  </si>
  <si>
    <t>Extracting communication structure of a development organization from a software repository</t>
  </si>
  <si>
    <t>Personal and Ubiquitous Computing</t>
  </si>
  <si>
    <t>Researchers have found that communication cost is one of the major overheads affecting the overall cost of software development. Actually, there could be communication problems caused by cultural difference, language barrier, different time zone, and, etc. in geographically distributed software development. Thus, extracting potential communication structural information is very useful in understanding and optimizing the development organization. Analyzing the communication structure is also crucial in order to resolve cost issues. While this is already true for general development organizations, geographically distributed software development organizations are especially sensitive to these issues because they are forced to rely on costly mediums. Therefore, this paper suggests a way to extract the development organization from software repositories with respect to the temporal locality. The temporal locality is important for when the project is prolonged for a lengthy period of time. In order to evaluate these issues, we define two metrics which measure contribution of the individual developer and communication need between developers. We also provide a tool to extract a communication structure using these two metrics. The extracted communication structure is visualized to give insight into managers and developers. Finally, we provide statistical results of empirical research to prove the soundness of our approach. The result shows that our approach reflects the real-world relationship between developers well. © 2013 Springer-Verlag London.</t>
  </si>
  <si>
    <t>https://www.scopus.com/inward/record.uri?eid=2-s2.0-84904810029&amp;doi=10.1007%2fs00779-013-0742-3&amp;partnerID=40&amp;md5=f6dbe97d6014fee7f94e5b5e72f0f596</t>
  </si>
  <si>
    <t>A study of external community contribution to Open-source projects on GitHub</t>
  </si>
  <si>
    <t>Open-source software projects are primarily driven by community contribution. However, commit access to such projects' software repositories is often strictly controlled. These projects prefer to solicit external participation in the form of patches or pull requests. In this paper, we analyze a set of 89 top-starred GitHub projects and their forks in order to explore the nature and distribution of such community contribution. We first classify commits (and developers) into three categories: CORE, EXTERNAL and MUTANT, and study the relative sizes of each of these classes through a ring-based visualization. We observe that projects written in mainstream scripting languages such as JavaScript and Python tend to include more external participation than projects written in upcoming languages such as Scala. We also visualize the geographic spread of these communities via geocoding. Finally, we classify the types of pull requests submitted based on their labels and observe that bug fixes are more likely to be merged into the main projects as compared to feature enhancements. Copyright 2014 ACM.</t>
  </si>
  <si>
    <t>https://www.scopus.com/inward/record.uri?eid=2-s2.0-84938786906&amp;doi=10.1145%2f2597073.2597113&amp;partnerID=40&amp;md5=f1d13f5403b9ef37b7cad4dc00bb6ff9</t>
  </si>
  <si>
    <t>Dias, L. F., Steinmacher, I. and Pinto, G.</t>
  </si>
  <si>
    <t>Who drives company-owned OSS projects: internal or external members?</t>
  </si>
  <si>
    <t>Journal of the Brazilian Computer Society</t>
  </si>
  <si>
    <t>Open-source software (OSS) communities leverage the workforce of volunteers to keep the projects sustainable. Some companies support OSS projects by paying developers to contribute to them, while others share their products under OSS licenses, keeping their employees in charge of maintaining the projects. In this paper, we investigate the activity of internal (employees) and external (volunteers) developers in this kind of setting. We conducted a case study using a convenience sample of five well-known OSS projects: atom, electron, hubot, git-lfs, and linguist. Analyzing a rich set of ∼ 12K contributions performed by means of pull requests to these projects, complemented with a manual analysis of ∼ 500 accepted pull requests, we derived a list of interesting findings. For instance, we found that both internal and external developers are rather active when it comes to submitting pull requests and that the studied projects are receptive for external developers. Considering all the projects, internal developers are responsible for 43.3% of the pull requests performed (external developers placed 56.7%). We also found that even with high support from the external community, employees still play the central roles in the project. We also found that the majority of the external developers are casual contributors (developers that placed only a single contribution to the project). However, we also observed that some external members play core roles (in addition to submitting code), like triaging bugs, reviewing, and integrating code to the main branch. Finally, when manually inspecting some code changes, we observed that external developers’ contributions range from documentation to complex code. Our results can benefit companies willing to open-source their code and developers that want to take part and actively contribute to company-owned code. © 2018, The Author(s).</t>
  </si>
  <si>
    <t>https://www.scopus.com/inward/record.uri?eid=2-s2.0-85058932134&amp;doi=10.1186%2fs13173-018-0079-x&amp;partnerID=40&amp;md5=3f84a457274c6079d24a4b620866c5a0</t>
  </si>
  <si>
    <t>Moura, M. H. D. D., Nascimento, H. A. D. D. and Rosa, T. C.</t>
  </si>
  <si>
    <t>Extracting new metrics from version control system for the comparison of software developers</t>
  </si>
  <si>
    <t>Previous studies have evaluated the work done by software developers using data extracted from version control systems (VCS). However, they have focused mostly on counting the amount of written lines of code and the number of commits, which are general information that can be obtained from these software repositories. In the present article, we innovate by considering fine-grain operations at line and file levels stored in the VCS, like additions, deletions and modifications, which allow to derive a much more detailed and rich information about the work done by developers. We also define a new set of metrics to measure such fine-grain information and present two simple approaches for comparing developers based on the proposed metrics. This helps to improve our understanding of how important and alike the developers were. A case study using data from a real software development project is described. The study showed that the metrics and the comparative approaches resulted in information that is consistent with the perception of the project manager. Furthermore, our investigation points to a great potential for future work by expanding the set of metrics and exploring new comparative approaches. © 2014 IEEE.</t>
  </si>
  <si>
    <t>https://www.scopus.com/inward/record.uri?eid=2-s2.0-84912111988&amp;doi=10.1109%2fSBES.2014.25&amp;partnerID=40&amp;md5=ea9c06e7178f53f591142ab97f4c3010</t>
  </si>
  <si>
    <t>Papoutoglou, M., Kapitsaki, G. M. and Mittas, N.</t>
  </si>
  <si>
    <t>Linking personality traits and interpersonal skills to gamification awards</t>
  </si>
  <si>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 © 2018 IEEE.</t>
  </si>
  <si>
    <t>https://www.scopus.com/inward/record.uri?eid=2-s2.0-85057202666&amp;doi=10.1109%2fSEAA.2018.00042&amp;partnerID=40&amp;md5=3037d3264739a5543873e3640d42c8ab</t>
  </si>
  <si>
    <t>Allamanis, M. and Sutton, C.</t>
  </si>
  <si>
    <t>Mining source code repositories at massive scale using language modeling</t>
  </si>
  <si>
    <t>The tens of thousands of high-quality open source software projects on the Internet raise the exciting possibility of studying software development by finding patterns across truly large source code repositories. This could enable new tools for developing code, encouraging reuse, and navigating large projects. In this paper, we build the first giga-token probabilistic language model of source code, based on 352 million lines of Java. This is 100 times the scale of the pioneering work by Hindle et al. The giga-token model is significantly better at the code suggestion task than previous models. More broadly, our approach provides a new "lens" for analyzing software projects, enabling new complexity metrics based on statistical analysis of large corpora. We call these metrics data-driven complexity metrics. We propose new metrics that measure the complexity of a code module and the topical centrality of a module to a software project. In particular, it is possible to distinguish reusable utility classes from classes that are part of a program's core logic based solely on general information theoretic criteria. © 2013 IEEE.</t>
  </si>
  <si>
    <t>https://www.scopus.com/inward/record.uri?eid=2-s2.0-84888990474&amp;doi=10.1109%2fMSR.2013.6624029&amp;partnerID=40&amp;md5=e2eecbf05153cd7ef47b1b2f9f3040b7</t>
  </si>
  <si>
    <t>Vouillon, J. and Di Cosmo, R.</t>
  </si>
  <si>
    <t>Modern software systems are built by composing components drawn from large repositories, whose size and complexity increase at a fast pace. Software systems built with components from a release of a repository should be seamlessly upgradeable using components from the next release. Unfortunately, users are often confronted with sets of components that were installed together, but cannot be upgraded together to the latest version from the new repository. Identifying these broken sets can be of great help for a quality assurance team, that could examine and fix these issues well before they reach the end user. Building on previous work on component co-installability, we show that it is possible to find these broken sets for any two releases of a component repository, computing extremely efficiently a concise representation of these upgrade issues, together with informative graphical explanations. A tool implementing the algorithm presented in this paper is available as free software, and is able to process the evolution between two major releases of the Debian GNU/Linux distribution in just a few seconds. These results make it possible to integrate seamlessly this analysis in a repository development process. © 2013 IEEE.</t>
  </si>
  <si>
    <t>https://www.scopus.com/inward/record.uri?eid=2-s2.0-84886429570&amp;doi=10.1109%2fICSE.2013.6606587&amp;partnerID=40&amp;md5=d4663766bfaf77338310f194915053d6</t>
  </si>
  <si>
    <t>Ghezzi, G. and Gall, H. C.</t>
  </si>
  <si>
    <t>Replicating mining studies with SOFAS</t>
  </si>
  <si>
    <t>The replication of studies in mining software repositories (MSR) is essential to compare different mining techniques or assess their findings across many projects. However, it has been shown that very few of these studies can be easily replicated. Their replication is just as fundamental as the studies themselves and is one of the main threats to validity that they suffer from. In this paper, we show how we can alleviate this problem with our SOFAS framework. SOFAS is a platform that enables a systematic and repeatable analysis of software projects by providing extensible and composable analysis workflows. These workflows can be applied on a multitude of software projects, facilitating the replication and scaling of mining studies. In this paper, we show how and to which degree replication can be achieved. We investigated the mining studies of MSR from 2004 to 2011 and found that from 88 studies published in the MSR proceedings so far, we can fully replicate 25 empirical studies. Additionally, we can replicate 27 additional studies to a large extent. These studies account for 30% and 32%, respectively, of the mining studies published. To support our claim we describe in detail one large study that we replicated and discuss how replication with SOFAS works for the other studies investigated. To discuss the potential of our platform we also characterise how studies can be easily enriched to deliver even more comprehensive answers by extending the analysis workflows provided by the platform. © 2013 IEEE.</t>
  </si>
  <si>
    <t>https://www.scopus.com/inward/record.uri?eid=2-s2.0-84889005239&amp;doi=10.1109%2fMSR.2013.6624050&amp;partnerID=40&amp;md5=1922e47f07007f904b5644783b978ab8</t>
  </si>
  <si>
    <t>Suovuo, T., Holvitie, J., Smed, J. and Leppänen, V.</t>
  </si>
  <si>
    <t>Mining knowledge on technical debt propagation</t>
  </si>
  <si>
    <t>Technical debt has gained considerable traction both in the industry and the academia due to its unique ability to distinguish asset management characteristics for problematic software project trade-offs. Management of technical debt relies on separate solutions identifying instances of technical debt, tracking the instances, and delivering information regarding the debt to relevant decision making processes. While there are several of these solutions available, due to the multiformity of software development, they are applicable only in predefined contexts that are often independent from one another. As technical debt management must consider all these aspects in unison, our work pursues connecting the software contexts via unlimited capturing and explanation of technical debt propagation intra- and inter-software-contexts. We mine software repositories (MSR) for data regarding the amount of work as a function of time. Concurrently, we gather information on events that are clearly external to the programmers' own work on these repositories. These data are then combined in an effort to statistically measure the impact of these events in the amount of work. With this data, as future work, we can apply taxonomies, code analysis, and other analyses to pinpoint these effects into different technical debt propagation channels. Abstraction of the channel patterns into rules is pursued so that development tools may automatically maintain technical debt information with them (the authors have introduced the DebtFlag tool for this). Hence, successfully implementing this study would allow further understanding and describing technical debt propagation at both the high level (longitudinal technical debt propagation effects for the project) and the low level (artifact level effects describing the mechanism of technical debt value accumulation).</t>
  </si>
  <si>
    <t>https://www.scopus.com/inward/record.uri?eid=2-s2.0-84962543117&amp;partnerID=40&amp;md5=f8fdbd9e260285ce7d85c02b545e26a4</t>
  </si>
  <si>
    <t>Wu, L., Du, L., Liu, B., Xu, G., Ge, Y., Fu, Y., Li, J., Zhou, Y. and Xiong, H.</t>
  </si>
  <si>
    <t>Heterogeneous Metric Learning with Content-Based Regularization for Software Artifact Retrieval</t>
  </si>
  <si>
    <t>The problem of software artifact retrieval has the goal to effectively locate software artifacts, such as a piece of source code, in a large code repository. This problem has been traditionally addressed through the textual query. In other words, information retrieval techniques will be exploited based on the textual similarity between queries and textual representation of software artifacts, which is generated by collecting words from comments, identifiers, and descriptions of programs. However, in addition to these semantic information, there are rich information embedded in source codes themselves. These source codes, if analyzed properly, can be a rich source for enhancing the efforts of software artifact retrieval. To this end, in this paper, we develop a feature extraction method on source codes. Specifically, this method can capture both the inherent information in the source codes and the semantic information hidden in the comments, descriptions, and identifiers of the source codes. Moreover, we design a heterogeneous metric learning approach, which allows to integrate code features and text features into the same latent semantic space. This, in turn, can help to measure the artifact similarity by exploiting the joint power of both code and text features. Finally, extensive experiments on real-world data show that the proposed method can help to improve the performances of software artifact retrieval with a significant margin. © 2014 IEEE.</t>
  </si>
  <si>
    <t>https://www.scopus.com/inward/record.uri?eid=2-s2.0-84936938573&amp;doi=10.1109%2fICDM.2014.147&amp;partnerID=40&amp;md5=1454e5f147de9c332e931237f3acf2e3</t>
  </si>
  <si>
    <t>Ntirandekura, M. C. and Eude, T.</t>
  </si>
  <si>
    <t>Git as a support to assess students' contribution in teamwork</t>
  </si>
  <si>
    <t>Meurice, L. and Cleve, A.</t>
  </si>
  <si>
    <t>DAHLIA: A visual analyzer of database schema evolution</t>
  </si>
  <si>
    <t>In a continuously changing environment, software evolution becomes an unavoidable activity. The mining software repositories (MSR) field studies the valuable data available in software repositories such as source code version-control systems, issue/bug-tracking systems, or communication archives. In recent years, many researchers have used MSR techniques as a way to support software understanding and evolution. While many software systems are data-intensive, i.e., their central artefact is a database, little attention has been devoted to the analysis of this important system component in the context of software evolution. The goal of our work is to reduce this gap by considering the database evolution history as an additional information source to aid software evolution. We present DAHLIA (Database ScHema EvoLutIon Analysis), a visual analyzer of database schema evolution. Our tool mines the database schema evolution history from the software repository and allows its interactive, visual analysis. We describe DAHLIA and present our novel approach supporting data-intensive software evolution. © 2014 IEEE.</t>
  </si>
  <si>
    <t>https://www.scopus.com/inward/record.uri?eid=2-s2.0-84898472802&amp;doi=10.1109%2fCSMR-WCRE.2014.6747219&amp;partnerID=40&amp;md5=ac012ef2a885292a4311f8f543cb9d53</t>
  </si>
  <si>
    <t>Why are commits being reverted? A comparative study of industrial and open source projects</t>
  </si>
  <si>
    <t>Software development is a cyclic process of integrating new features while introducing and fixing defects. During development, commits that modify source code files are uploaded to version control systems. Occasionally, these commits need to be reverted, i.e., the code changes need to be completely backed out of the software project. While one can often speculate about the purpose of reverted commits (e.g., the commit may have caused integration or build problems), little empirical evidence exists to substantiate such claims. The goal of this paper is to better understand why commits are reverted in large software systems. To that end, we quantitatively and qualitatively study two proprietary and four open source projects to measure: (1) the proportion of commits that are reverted, (2) the amount of time that commits that are eventually reverted linger within a codebase, and (3) the most frequent reasons why commits are reverted. Our results show that 1%-5% of the commits in the studied systems are reverted. Those commits that are eventually reverted linger within the studied codebases for 1-35 days (median). Furthermore, we identify 13 common reasons for reverting commits, and observe that the frequency of reverted commits of each reason varies broadly from project to project. A complementary qualitative analysis suggests that many reverted commits could have been avoided with better team communication and change awareness. Our findings made Sony Mobile's stakeholders aware that internally reverted commits can be reduced by paying more attention to their own changes. On the other hand, externally reverted commits could be minimized only if external stakeholders are involved to improve inter-company communication or requirements elicitation. © 2016 IEEE.</t>
  </si>
  <si>
    <t>https://www.scopus.com/inward/record.uri?eid=2-s2.0-85013105631&amp;doi=10.1109%2fICSME.2016.83&amp;partnerID=40&amp;md5=5e292906aefff823eeaeede850f2711a</t>
  </si>
  <si>
    <t>Sun, X., Li, B., Duan, Y., Shi, W. and Liu, X.</t>
  </si>
  <si>
    <t>Mining Software Repositories for Automatic Interface Recommendation</t>
  </si>
  <si>
    <t>Scientific Programming</t>
  </si>
  <si>
    <t>There are a large number of open source projects in software repositories for developers to reuse. During software development and maintenance, developers can leverage good interfaces in these open source projects and establish the framework of the new project quickly when reusing interfaces in these open source projects. However, if developers want to reuse them, they need to read a lot of code files and learn which interfaces can be reused. To help developers better take advantage of the available interfaces used in software repositories, we previously proposed an approach to automatically recommend interfaces by mining existing open source projects in the software repositories. We mainly used the LDA (Latent Dirichlet Allocation) topic model to construct the Feature-Interface Graph for each software project and recommended the interfaces based on the Feature-Interface Graph. In this paper, we improve our previous approach by clustering the recommending interfaces on the Feature-Interface Graph, which can recommend more accurate interfaces for developers to reuse. We evaluate the effectiveness of the improved approach and the results show that the improved approach can be more efficient to recommend more accurate interfaces for reuse over our previous work. © 2016 Xiaobing Sun et al.</t>
  </si>
  <si>
    <t>https://www.scopus.com/inward/record.uri?eid=2-s2.0-84976519777&amp;doi=10.1155%2f2016%2f5475964&amp;partnerID=40&amp;md5=4a0aed2fd34c0ef69e2d9bd86a772af1</t>
  </si>
  <si>
    <t>Hassan, F. and Wang, X.</t>
  </si>
  <si>
    <t>Mining readme files to support automatic building of Java projects in software repositories</t>
  </si>
  <si>
    <t>Automatic building of software projects providesa desirable foundation to support a large variety of softwareengineering research tasks based on open software repositories. In this paper, we propose the first technique to automaticallyextract software build commands from software readme files andWiki pages, and combine the extracted commands for softwarebuilding. Specifically, we leverage the Named Entity Recognition(NER) technique for build-command extraction, and prioritizethe extracted build commands to identify which one should beused in software build. Our experiment on top Java projectsfrom GitHub reveals that, the proposed technique can correctlyidentify more than 90% of build commands, and can successfullybuild 84% of the projects that can be built successfully throughmanual inspection of software support documents. © 2017 IEEE.</t>
  </si>
  <si>
    <t>https://www.scopus.com/inward/record.uri?eid=2-s2.0-85026788309&amp;doi=10.1109%2fICSE-C.2017.114&amp;partnerID=40&amp;md5=2a5333f1a948703559c8f7dd099e84b1</t>
  </si>
  <si>
    <t>Hu, J., Sun, X., Lo, D. and Li, B.</t>
  </si>
  <si>
    <t>Modeling the evolution of development topics using Dynamic Topic Models</t>
  </si>
  <si>
    <t>As the development of a software project progresses, its complexity grows accordingly, making it difficult to understand and maintain. During software maintenance and evolution, software developers and stakeholders constantly shift their focus between different tasks and topics. They need to investigate into software repositories (e.g., revision control systems) to know what tasks have recently been worked on and how much effort has been devoted to them. For example, if an important new feature request is received, an amount of work that developers perform on ought to be relevant to the addition of the incoming feature. If this does not happen, project managers might wonder what kind of work developers are currently working on. Several topic analysis tools based on Latent Dirichlet Allocation (LDA) have been proposed to analyze information stored in software repositories to model software evolution, thus helping software stakeholders to be aware of the focus of development efforts at various time during software evolution. Previous LDA-based topic analysis tools can capture either changes on the strengths of various development topics over time (i.e., strength evolution) or changes in the content of existing topics over time (i.e., content evolution). Unfortunately, none of the existing techniques can capture both strength and content evolution. In this paper, we use Dynamic Topic Models (DTM) to analyze commit messages within a project's lifetime to capture both strength and content evolution simultaneously. We evaluate our approach by conducting a case study on commit messages of two well-known open source software systems, jEdit and PostgreSQL. The results show that our approach could capture not only how the strengths of various development topics change over time, but also how the content of each topic (i.e., words that form the topic) changes over time. Compared with existing topic analysis approaches, our approach can provide a more complete and valuable view of software evolution to help developers better understand the evolution of their projects. © 2015 IEEE.</t>
  </si>
  <si>
    <t>https://www.scopus.com/inward/record.uri?eid=2-s2.0-84928669590&amp;doi=10.1109%2fSANER.2015.7081810&amp;partnerID=40&amp;md5=01ec16399544400546ea50fe51160be8</t>
  </si>
  <si>
    <t>Taeumel, M., Platz, S., Steinert, B., Hirschfeld, R. and Masuhara, H.</t>
  </si>
  <si>
    <t>Unravel programming sessions with THRESHER: Identifying coherent and complete sets of fine-granular source code changes</t>
  </si>
  <si>
    <t>Computer Software</t>
  </si>
  <si>
    <t>Development teams benefit from version control systems, which manage shared access to code repositories and persist entire project histories for analysis or recovery. Such systems will be efficient if developers commit coherent and complete change sets. These best practices, however, are difficult to follow because multiple activities often interleave without notice and existing tools impede unraveling changes before committing them. We propose an interactive, graphical tool, called Thresher, that employs adaptable scripts to support developers to group and commit changes-especially for fine-granular change tracking where numerous changes are logged even in short programming sessions. We implemented our tool in Squeak/Smalltalk and derived a foundation of scripts from five refactoring sessions. We evaluated those scripts' precision and recall, which indicate a reduced manual effort because developers can focus on project-specific adjustments. Having such an interactive approach, they can easily intervene to accurately reconstruct activities and thus follow best practices. © 2017, Japan Society for Software Science and Technology. All rights reserved.</t>
  </si>
  <si>
    <t>https://www.scopus.com/inward/record.uri?eid=2-s2.0-85015860786&amp;doi=10.11309%2fjssst.34.1_103&amp;partnerID=40&amp;md5=f3b1998a8f5e69742a547ae6f7bb9136</t>
  </si>
  <si>
    <t>Kagdi, H., Gethers, M., Poshyvanyk, D. and Hammad, M.</t>
  </si>
  <si>
    <t>Assigning change requests to software developers</t>
  </si>
  <si>
    <t>The paper presents an approach to recommend a ranked list of expert developers to assist in the implementation of software change requests (e.g., bug reports and feature requests). An Information Retrieval (IR)-based concept location technique is first used to locate source code entities, e.g., files and classes, relevant to a given textual description of a change request. The previous commits from version control repositories of these entities are then mined for expert developers. The role of the IR method in selectively reducing the mining space is different from previous approaches that textually index past change requests and/or commits. The approach is evaluated on change requests from three open-source systems: ArgoUML, Eclipse, and KOffice, across a range of accuracy criteria. The results show that the overall accuracies of the correctly recommended developers are between 47 and 96% for bug reports, and between 43 and 60% for feature requests. Moreover, comparison results with two other recommendation alternatives show that the presented approach outperforms them with a substantial margin. Project leads or developers can use this approach in maintenance tasks immediately after the receipt of a change request in a free-form text. © 2011 John Wiley &amp; Sons, Ltd.</t>
  </si>
  <si>
    <t>https://www.scopus.com/inward/record.uri?eid=2-s2.0-84863333792&amp;doi=10.1002%2fsmr.530&amp;partnerID=40&amp;md5=b1faa187297fed9081f1412209a18397</t>
  </si>
  <si>
    <t>Finlay, J., Pears, R. and Connor, A. M.</t>
  </si>
  <si>
    <t>Data stream mining for predicting software build outcomes using source code metrics</t>
  </si>
  <si>
    <t>Context Software development projects involve the use of a wide range of tools to produce a software artifact. Software repositories such as source control systems have become a focus for emergent research because they are a source of rich information regarding software development projects. The mining of such repositories is becoming increasingly common with a view to gaining a deeper understanding of the development process. Objective This paper explores the concepts of representing a software development project as a process that results in the creation of a data stream. It also describes the extraction of metrics from the Jazz repository and the application of data stream mining techniques to identify useful metrics for predicting build success or failure. Method This research is a systematic study using the Hoeffding Tree classification method used in conjunction with the Adaptive Sliding Window (ADWIN) method for detecting concept drift by applying the Massive Online Analysis (MOA) tool. Results The results indicate that only a relatively small number of the available measures considered have any significance for predicting the outcome of a build over time. These significant measures are identified and the implication of the results discussed, particularly the relative difficulty of being able to predict failed builds. The Hoeffding Tree approach is shown to produce a more stable and robust model than traditional data mining approaches. Conclusion Overall prediction accuracies of 75% have been achieved through the use of the Hoeffding Tree classification method. Despite this high overall accuracy, there is greater difficulty in predicting failure than success. The emergence of a stable classification tree is limited by the lack of data but overall the approach shows promise in terms of informing software development activities in order to minimize the chance of failure. © 2013 Elsevier B.V. All rights reserved.</t>
  </si>
  <si>
    <t>https://www.scopus.com/inward/record.uri?eid=2-s2.0-84889885864&amp;doi=10.1016%2fj.infsof.2013.09.001&amp;partnerID=40&amp;md5=8d49f66564d9b101f973703cdd8b9fe4</t>
  </si>
  <si>
    <t>McMillan, C., Grechanik, M., Poshyvanyk, D., Fu, C. and Xie, Q.</t>
  </si>
  <si>
    <t>Exemplar: A source code search engine for finding highly relevant applications</t>
  </si>
  <si>
    <t>A fundamental problem of finding software applications that are highly relevant to development tasks is the mismatch between the high-level intent reflected in the descriptions of these tasks and low-level implementation details of applications. To reduce this mismatch we created an approach called EXEcutable exaMPLes ARchive (Exemplar) for finding highly relevant software projects from large archives of applications. After a programmer enters a natural-language query that contains high-level concepts (e.g., MIME, datasets), Exemplar retrieves applications that implement these concepts. Exemplar ranks applications in three ways. First, we consider the descriptions of applications. Second, we examine the Application Programming Interface (API) calls used by applications. Third, we analyze the dataflow among those API calls. We performed two case studies (with professional and student developers) to evaluate how these three rankings contribute to the quality of the search results from Exemplar. The results of our studies show that the combined ranking of application descriptions and API documents yields the most-relevant search results. We released Exemplar and our case study data to the public. © 2012 IEEE.</t>
  </si>
  <si>
    <t>https://www.scopus.com/inward/record.uri?eid=2-s2.0-84863109141&amp;doi=10.1109%2fTSE.2011.84&amp;partnerID=40&amp;md5=273c2c43de464b1b199666a01cb07a94</t>
  </si>
  <si>
    <t>Gitana: A SQL-Based Git Repository Inspector</t>
  </si>
  <si>
    <t>Software development projects are notoriously complex and difficult to deal with. Several support tools such as issue tracking, code review and Source Control Management (SCM) systems have been introduced in the past decades to ease development activities. While such tools efficiently track the evolution of a given aspect of the project (e.g., bug reports), they provide just a partial view of the project and often lack of advanced querying mechanisms limiting themselves to command line or simple GUI support. This is particularly true for projects that rely on Git, the most popular SCM system today. In this paper, we propose a conceptual schema for Git and an approach that, given a Git repository, exports its data to a relational database in order to (1) promote data integration with other existing SCM tools and (2) enable writing queries on Git data using standard SQL syntax. To ensure efficiency, our approach comes with an incremental propagation mechanism that refreshes the database content with the latest modifications. We have implemented our approach in Gitana, an open-source tool available on GitHub. © Springer International Publishing Switzerland 2015.</t>
  </si>
  <si>
    <t>https://www.scopus.com/inward/record.uri?eid=2-s2.0-84951821696&amp;doi=10.1007%2f978-3-319-25264-3_24&amp;partnerID=40&amp;md5=7eb1c22a29612f2cf94248380f46bbbc</t>
  </si>
  <si>
    <t>Gu, R., Jin, G., Song, L., Zhu, L. and Lu, S.</t>
  </si>
  <si>
    <t>What change history tells us about thread synchronization</t>
  </si>
  <si>
    <t>Multi-threaded programs are pervasive, yet difficult to write. Missing proper synchronization leads to correctness bugs and over synchronization leads to performance problems. To improve the correctness and efficiency of multi-threaded software, we need a better understanding of synchronization challenges faced by real-world developers. This paper studies the code repositories of open-source multi-threaded software projects to obtain a broad and indepth view of how developers handle synchronizations. We first examine how critical sections are changed when software evolves by checking over 250,000 revisions of four representative open-source software projects. The findings help us answer questions like how often synchronization is an afterthought for developers; whether it is difficult for developers to decide critical section boundaries and lock variables; and what are real-world over-synchronization problems. We then conduct case studies to better understand (1) how critical sections are changed to solve performance problems (i.e. over-synchronization issues) and (2) how software changes lead to synchronization-related correctness problems (i.e. concurrency bugs). This in-depth study shows that tool support is needed to help developers tackle over-synchronization problems; it also shows that concurrency bug avoidance, detection, and testing can be improved through better awareness of code revision history. © 2015 ACM.</t>
  </si>
  <si>
    <t>https://www.scopus.com/inward/record.uri?eid=2-s2.0-84960360701&amp;doi=10.1145%2f2786805.2786815&amp;partnerID=40&amp;md5=4ceabcf49dc667c040f1704763359047</t>
  </si>
  <si>
    <t>Sowe, S. K., Cerone, A. and Settas, D.</t>
  </si>
  <si>
    <t>An empirical study of FOSS developers patterns of contribution: Challenges for data linkage and analysis</t>
  </si>
  <si>
    <t>The majority of Free and Open Source Software (FOSS) developers are mobile and often use different identities in the projects or communities they participate in. These characteristics pose challenges for researchers studying the presence and contributions of developers across multiple repositories. In this paper, we present a methodology, employ various statistical measures, and leverage Bayesian networks to study the patterns of contribution of 502 developers in both Version Control System (VCS) and mailing list repositories in 20 GNOME projects. Our findings shows that only a small percentage of developers are contributing to both repositories and this cohort is making more commits than they are posting messages to mailing lists. The implications of these findings for understanding the patterns of contribution in FOSS projects and on the quality of the final product are discussed. © 2013 Elsevier B.V. All rights reserved.</t>
  </si>
  <si>
    <t>https://www.scopus.com/inward/record.uri?eid=2-s2.0-84901796753&amp;doi=10.1016%2fj.scico.2013.11.033&amp;partnerID=40&amp;md5=9d4416272ab8825162a8cd2fc8c445fd</t>
  </si>
  <si>
    <t>Rahman, A. and Williams, L.</t>
  </si>
  <si>
    <t>Source code properties of defective infrastructure as code scripts</t>
  </si>
  <si>
    <t>Context: In continuous deployment, software and services are rapidly deployed to end-users using an automated deployment pipeline. Defects in infrastructure as code (IaC) scripts can hinder the reliability of the automated deployment pipeline. We hypothesize that certain properties of IaC source code such as lines of code and hard-coded strings used as configuration values, show correlation with defective IaC scripts. Objective: The objective of this paper is to help practitioners in increasing the quality of infrastructure as code (IaC) scripts through an empirical study that identifies source code properties of defective IaC scripts. Methodology: We apply qualitative analysis on defect-related commits mined from open source software repositories to identify source code properties that correlate with defective IaC scripts. Next, we survey practitioners to assess the practitioner's agreement level with the identified properties. We also construct defect prediction models using the identified properties for 2439 scripts collected from four datasets. Results: We identify 10 source code properties that correlate with defective IaC scripts. Of the identified 10 properties we observe lines of code and hard-coded string i.e. putting strings as configuration values, to show the strongest correlation with defective IaC scripts. According to our survey analysis, majority of the practitioners show agreement for two properties: include, the property of executing external modules or scripts, and hard-coded string. Using the identified properties, our constructed defect prediction models show a precision of 0.70∼0.78, and a recall of 0.54∼0.67. Conclusion: Based on our findings, we recommend practitioners to allocate sufficient inspection and testing efforts on IaC scripts that include any of the identified 10 source code properties of IaC scripts. © 2019 Elsevier B.V.</t>
  </si>
  <si>
    <t>https://www.scopus.com/inward/record.uri?eid=2-s2.0-85065170243&amp;doi=10.1016%2fj.infsof.2019.04.013&amp;partnerID=40&amp;md5=5a09f694db0d597e82a43d767e6909f6</t>
  </si>
  <si>
    <t>Xu, T. and Marinov, D.</t>
  </si>
  <si>
    <t>Mining container image repositories for software configuration and beyond</t>
  </si>
  <si>
    <t>This paper introduces the idea of mining container image repositories for configuration and other deployment information of software systems. Unlike traditional software repositories (e.g., source code repositories and app stores), image repositories encapsulate the entire execution ecosystem for running target software, including its configurations, dependent libraries and components, and OS-level utilities, which contributes to a wealth of data and information. We showcase the opportunities based on concrete software engineering tasks that can benefit from mining image repositories. To facilitate future mining efforts, we summarize the challenges of analyzing image repositories and the approaches that can address these challenges. We hope that this paper will stimulate exciting research agenda of mining this emerging type of software repositories. © 2018 Association for Computing Machinery.</t>
  </si>
  <si>
    <t>https://www.scopus.com/inward/record.uri?eid=2-s2.0-85049809116&amp;doi=10.1145%2f3183399.3183403&amp;partnerID=40&amp;md5=4ee760ce71bde2c67b124bed70286084</t>
  </si>
  <si>
    <t>Pastore, F., Mariani, L. and Micucci, D.</t>
  </si>
  <si>
    <t>BDCI: Behavioral driven conflict identification</t>
  </si>
  <si>
    <t>Source Code Management (SCM) systems support software evolution by providing features, such as version control, branching, and conflict detection. Despite the presence of these features, support to parallel software development is often limited. SCM systems can only address a subset of the conflicts that might be introduced by developers when concurrently working on multiple parallel branches. In fact, SCM systems can detect textual conflicts, which are generated by the concurrent modification of the same program locations, but they are unable to detect higher-order conflicts, which are generated by the concurrent modification of different program locations that generate program misbehaviors once merged. Higher-order conflicts are painful to detect and expensive to fix because they might be originated by the interference of apparently unrelated changes. In this paper we present Behavioral Driven Conflict Identification (BDCI), a novel approach to conflict detection. BDCI moves the analysis of conflicts from the source code level to the level of program behavior by generating and comparing behavioral models. The analysis based on behavioral models can reveal interfering changes as soon as they are introduced in the SCM system, even if they do not introduce any textual conflict. To evaluate the effectiveness and the cost of the proposed approach, we developed BDCIf, a specific instance of BDCI dedicated to the detection of higher-order conflicts related to the functional behavior of a program. The evidence collected by analyzing multiple versions of Git and Redis suggests that BDCIf can effectively detect higher-order conflicts and report how changes might interfere. © 2017 Copyright held by the owner/author(s).</t>
  </si>
  <si>
    <t>https://www.scopus.com/inward/record.uri?eid=2-s2.0-85030753557&amp;doi=10.1145%2f3106237.3106296&amp;partnerID=40&amp;md5=f721487970380770b3f5a5d91d829e39</t>
  </si>
  <si>
    <t>Nguyen, H. L. and Ignat, C. L.</t>
  </si>
  <si>
    <t>An Analysis of Merge Conflicts and Resolutions in Git-Based Open Source Projects</t>
  </si>
  <si>
    <t>Computer Supported Cooperative Work: CSCW: An International Journal</t>
  </si>
  <si>
    <t>Version control systems such as Git support parallel collaborative work and became very widespread in the open-source community. Whilst Git offers some very interesting features, resolving conflicts that arise during synchronisation of parallel changes is a time-consuming task. In this paper we present an analysis of concurrency and conflicts in official Git repository of four projects: Rails, IkiWiki, Samba and Linux Kernel. We analyse the collaboration process of these projects at specific periods revealing how change integration and conflict rates vary during project development life-cycle. We also analyse how often users decide to rollback to previous document version when the integration process generates conflicts. Finally, we discuss the mechanism adopted by Git to consider changes made on two continuous lines as conflicting. © 2018, Springer Science+Business Media B.V., part of Springer Nature.</t>
  </si>
  <si>
    <t>https://www.scopus.com/inward/record.uri?eid=2-s2.0-85047264155&amp;doi=10.1007%2fs10606-018-9323-3&amp;partnerID=40&amp;md5=115caa81c4eebaa986b550f215b9201c</t>
  </si>
  <si>
    <t>Dai, M., Shen, B., Zhang, T. and Zhao, M.</t>
  </si>
  <si>
    <t>Impact of consecutive changes on later file versions</t>
  </si>
  <si>
    <t>By analyzing histories of program versions, many researches have shown that software quality is associated with history-related metrics, such as code-related metrics, commit-related metrics, developer-related metrics, process-related metrics, and organizational metrics etc. It has also been revealed that consecutive changes on commit-level are strongly associated with software defects. In this paper, we introduce two novel concepts of consecutive changes: CFC (chain of consecutive bug-fixing file versions) and CAC (chain of consecutive file versions where each pair of adjacent versions are submitted by different developers). And then several experiments are conducted to explore the correlation between consecutive changes and software quality by using three open-source projects from Github. Our main findings include: 1) CFCs and CACs widely exist in file version histories; 2) Consecutive changes have a negative and strong impact on the later file versions in a short term, especially when the length of consecutive change chain is 4 or 5. © 2014 ACM.</t>
  </si>
  <si>
    <t>https://www.scopus.com/inward/record.uri?eid=2-s2.0-84903579304&amp;doi=10.1145%2f2627508.2627512&amp;partnerID=40&amp;md5=bc3a7e4e3dad9d7ac7f94d68739b7216</t>
  </si>
  <si>
    <t>Madeyski, L. and Kawalerowicz, M.</t>
  </si>
  <si>
    <t>Continuous defect prediction: The idea and a related dataset</t>
  </si>
  <si>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 2017 IEEE.</t>
  </si>
  <si>
    <t>https://www.scopus.com/inward/record.uri?eid=2-s2.0-85026546130&amp;doi=10.1109%2fMSR.2017.46&amp;partnerID=40&amp;md5=c0822d048e66d2dac45a3abee236646c</t>
  </si>
  <si>
    <t>Rahman, A., Stallings, J. and Williams, L.</t>
  </si>
  <si>
    <t>Poster: Defect prediction metrics for infrastructure as code scripts in DevOps</t>
  </si>
  <si>
    <t>Use of infrastructure as code (IaC) scripts helps software teams manage their configuration and infrastructure automatically. Information technology (IT) organizations use IaC scripts to create and manage automated deployment pipelines to deliver services rapidly. IaC scripts can be defective, resulting in dire consequences, such as creating wide-scale service outages for end-users. Prediction of defective IaC scripts can help teams to mitigate defects in these scripts by prioritizing their inspection efforts. The goal of this paper is to help software practitioners in prioritizing their inspection efforts for infrastructure as code (IaC) scripts by proposing defect prediction model-related metrics. IaC scripts use domain specific languages (DSL) that are fundamentally different from object-oriented programming (OOP) languages. Hence, the OOP-based metrics that researchers used in defect prediction might not be applicable for IaC scripts. We apply Constructivist Grounded Theory (CGT) on defect-related commits mined from version control systems to identify metrics suitable for IaC scripts. By applying CGT, we identify 18 metrics. Of these metrics, 13 are related to IaC, for example, count of string occurrences in a script. Four of the identified metrics are related to churn, and one metric is lines of code. © 2018 Authors.</t>
  </si>
  <si>
    <t>https://www.scopus.com/inward/record.uri?eid=2-s2.0-85049668341&amp;doi=10.1145%2f3183440.3195034&amp;partnerID=40&amp;md5=4dbefce66318ef0cee3116e8a6e106e8</t>
  </si>
  <si>
    <t>Hilton, M., Tunnell, T., Huang, K., Marinov, D. and Dig, D.</t>
  </si>
  <si>
    <t>Usage, costs, and benefits of continuous integration in open-source projects</t>
  </si>
  <si>
    <t>Continuous integration (CI) systems automate the compilation, building, and testing of software. Despite CI rising as a big success story in automated software engineering, it has received almost no attention from the research community. For example, how widely is CI used in practice, and what are some costs and benefits associated with CI? Without answering such questions, developers, tool builders, and researchers make decisions based on folklore instead of data. In this paper, we use three complementary methods to study the usage of CI in open-source projects. To understand which CI systems developers use, we analyzed 34,544 opensource projects from GitHub. To understand how developers use CI, we analyzed 1,529,291 builds from the most commonly used CI system. To understand why projects use or do not use CI, we surveyed 442 developers. With this data, we answered several key questions related to the usage, costs, and benefits of CI. Among our results, we show evidence that supports the claim that CI helps projects release more often, that CI is widely adopted by the most popular projects, as well as finding that the overall percentage of projects using CI continues to grow, making it important and timely to focus more research on CI. © 2016 ACM.</t>
  </si>
  <si>
    <t>https://www.scopus.com/inward/record.uri?eid=2-s2.0-84989159511&amp;doi=10.1145%2f2970276.2970358&amp;partnerID=40&amp;md5=7e96113dc1efb43fb7b51e2d6ed14763</t>
  </si>
  <si>
    <t>Yan, Y., Menarini, M. and Griswold, W.</t>
  </si>
  <si>
    <t>Mining software contracts for software evolution</t>
  </si>
  <si>
    <t>Maintenance and evolution are important parts for all successful software projects. In recent years, version control systems have played a key role in software development process. Not only do they provide a means to coordinate programmers, organize and manage source code, but they also persist the evolution history of the source code into their software repositories. Mining software repositories has provided many insights on the evolution of software, both for researchers and practitioners. In this paper we propose that versioned software contracts - mined from software repositories - can be a powerful tool for better understanding and supporting software evolution. Tooling support is critical, due to the complexities of configuring, compiling, and running the software to produce meaningful inferred contracts. This paper contributes both techniques and tool support for downloading, building, and analyzing open source software from social coding sites like GitHub. The tool automatically produces a description of software evolution represented by versions of program invariants. © 2014 IEEE.</t>
  </si>
  <si>
    <t>https://www.scopus.com/inward/record.uri?eid=2-s2.0-84931059876&amp;doi=10.1109%2fICSME.2014.76&amp;partnerID=40&amp;md5=82f82a05b4e0053e7da5bca82ca62cc0</t>
  </si>
  <si>
    <t>Rastogi, A. and Sureka, A.</t>
  </si>
  <si>
    <t>SamikshaViz: A panoramic view to measure contribution and performance of software maintenance professionals by mining bug archives</t>
  </si>
  <si>
    <t>In software maintenance teams appraisers discern the need to scrutinize underpinning factors involved in performance appraisal to justify it. However challenge lies in visually demonstrating distinguished performance based on performance metrics or Key Performance Indicators (KPI) taking into account the complex interplay of environmental factors. In this work, we try to address the above-mentioned requisites of appraisers by visual presentation. 'SamikshaViz' extends the idea proposed in 'Samiksa'. 'Samiksha' is a framework for contribution and performance assessment of software maintenance professionals by mining software repositories. 'Samiksha' proposes 11 role-based contribution and performance assessment metrics and demonstrate the results on real-world data of Google Chromium Issue Tracking System. The requirement gathering of factors influencing performance is based on survey conducted on experienced software maintenance professionals with more than a decade of experience. In this paper, we propose a framework for visualization techniques to study panoramic view of individual's contribution and performance in a team. The focus of the study is to demonstrate the application of 6 visualization techniques on role-based contribution and performance assessment metrics proposed in 'Samiksha'. The inferential power of 'SamikshaViz' is established on Google Chromium Issue Tracking System dataset. These visualization techniques reinforce and extend the rationale of the metrics proposed in 'Samiksha' and gather insights for appraisers to justify performance. The results are validated by practitioners in industry. Copyright 2014 ACM.</t>
  </si>
  <si>
    <t>https://www.scopus.com/inward/record.uri?eid=2-s2.0-84902602888&amp;doi=10.1145%2f2590748.2590750&amp;partnerID=40&amp;md5=e7a8063a40802f4d1702698f90fc1778</t>
  </si>
  <si>
    <t>Rodriguez-Bustos, C. and Aponte, J.</t>
  </si>
  <si>
    <t>Centralized Version Control Systems have been used by many open source projects for a long time. However, in recent years several widely-known projects have migrated their repositories to Distributed Version Control Systems, such as Mercurial, Bazaar, and Git. Such systems have technical features that allow contributors to work in new ways, as various different workflows are possible. We plan to study this migration process to assess how developers' organization and their contributions are affected. As a first step, we present an analysis of the Mozilla repositories, which migrated from CVS to Mercurial in 2007. This analysis reveals both expected and unexpected aspects of the contributors' activities. © 2012 IEEE.</t>
  </si>
  <si>
    <t>https://www.scopus.com/inward/record.uri?eid=2-s2.0-84865127280&amp;doi=10.1109%2fMSR.2012.6224297&amp;partnerID=40&amp;md5=b70c01a427c4f8106325897f93806b6e</t>
  </si>
  <si>
    <t>Hattori, L., D'Ambros, M., Lanza, M. and Lungu, M.</t>
  </si>
  <si>
    <t>Context: Developers often need to find answers to questions regarding the evolution of a system when working on its code base. While their information needs require data analysis pertaining to different repository types, the source code repository has a pivotal role for program comprehension tasks. However, the coarse-grained nature of the data stored by commit-based software configuration management systems often makes it challenging for a developer to search for an answer. Objective: We present Replay, an Eclipse plug-in that allows developers to explore the change history of a system by capturing the changes at a finer granularity level than commits, and by replaying the past changes chronologically inside the integrated development environment, with the source code at hand. Method: We conducted a controlled experiment to empirically assess whether Replay outperforms a baseline (SVN client in Eclipse) on helping developers to answer common questions related to software evolution. Results: The experiment shows that Replay leads to a decrease in completion time with respect to a set of software evolution comprehension tasks. Conclusion: We conclude that there are benefits in using Replay over the state of the practice tools for answering questions that require fine-grained change information and those related to recent changes. © 2012 Elsevier B.V. All rights reserved.</t>
  </si>
  <si>
    <t>https://www.scopus.com/inward/record.uri?eid=2-s2.0-84875209275&amp;doi=10.1016%2fj.infsof.2012.09.001&amp;partnerID=40&amp;md5=895ed80132d0b98076422710b29c7b37</t>
  </si>
  <si>
    <t>Fontana, F. A. and Zanoni, M.</t>
  </si>
  <si>
    <t>Tracking line changes in source code repositories</t>
  </si>
  <si>
    <t>Previous research determined that the analysis of file changes in software repositories is useful for maintenance activities, like defect prediction. Changes rarely modify the entire file contents, but are usually localized in specific code regions. © 2014 Authors.</t>
  </si>
  <si>
    <t>https://www.scopus.com/inward/record.uri?eid=2-s2.0-84907846489&amp;doi=10.1145%2f2652524.2652597&amp;partnerID=40&amp;md5=9d700604a29593b3bd0334bf794e94e6</t>
  </si>
  <si>
    <t>Oumarou, H., Anquetil, N., Etien, A., Ducasse, S. and Taiwe, K. D.</t>
  </si>
  <si>
    <t>Identifying the Exact Bug Fixing Actions</t>
  </si>
  <si>
    <t>In-spite of the principle of good programming practice which stipulates that a commit should include only modifications belonging to one task, programmers submit tangled commits consisting of modifications related to two or several distinct tasks. Some researches show that between 11 and 39% of bug fix commits are tangled and at least 16.6% of all the commits are incorrectly associated to bug reports. Tangled commits make historical analysis of the project less reliable, and impede the extraction of bug fix pattern because most mining software repository techniques are designed with the assumption that each commit includes only modifications for a single task. In this paper, we are proposing a method that identifies precisely the modifications that are related to a bug fix. We validate our solution on a real world system with real bugs and bug-fixes. © 2016 IEEE.</t>
  </si>
  <si>
    <t>https://www.scopus.com/inward/record.uri?eid=2-s2.0-84971472391&amp;doi=10.1109%2fIWESEP.2016.13&amp;partnerID=40&amp;md5=1598198c00a2a9c4f6b0c190cedd31c8</t>
  </si>
  <si>
    <t>Are suggestions from coupled file changes useful for perfective maintenance tasks?</t>
  </si>
  <si>
    <t>PeerJ Computer Science</t>
  </si>
  <si>
    <t>Background. Software maintenance is an important activity in the development process where maintenance team members leave and new members join over time. The identification of files which are changed together frequently has been proposed several times. Yet, existing studies about coupled file changes ignore the feedback from developers as well as the impact of these changes on the performance of maintenance and rather these studies rely on the analysis findings and expert evaluation. Methods. We investigate the usefulness of coupled file changes during perfective maintenance tasks when developers are inexperienced in programming or when they were new on the project. Using data mining on software repositories we identify files that are changed most frequently together in the past. We extract coupled file changes from the Git repository of a Java software system and join them with corresponding attributes from the versioning and issue tracking system and the project documentation. We present a controlled experiment involving 36 student participants in which we investigate if coupled file change suggestions influence the correctness of the task solutions and the required time to complete them. Results. The results show that the use of coupled file change suggestions significantly increases the correctness of the solutions. However, there is only a minor effect on the time required to complete the perfective maintenance tasks. We also derived a set of the most useful attributes based on the developers' feedback. Discussion. Coupled file changes and a limited number of the proposed attributes are useful for inexperienced developers working on perfective maintenance tasks where although the developers using these suggestions solved more tasks, they still need time to understand and organize this information. © 2017 Ramadani and Wagner.</t>
  </si>
  <si>
    <t>https://www.scopus.com/inward/record.uri?eid=2-s2.0-85032722997&amp;doi=10.7717%2fpeerj-cs.135&amp;partnerID=40&amp;md5=32db286f84cce2d7c9ed4e90fbd71320</t>
  </si>
  <si>
    <t>Are suggestions of coupled file changes interesting?</t>
  </si>
  <si>
    <t>Software repositories include information which can be made available for bug fixing or maintenance using repository mining. The identification of coupled changes have been proposed several times. Yet, existing studies focus on the found couplings and ignore feedback from developers. We investigate three development projects and their repositories to find files that frequently change together to support the software developers. We complement the coupled files information with details from the issue tracking system and the project documentation. We contrast our findings with feedback from the developers about how interesting our findings are for them. We found that the small size of the repositories made an insightful analysis difficult. The response to coupled changes both from experienced and inexperienced developers was mostly neutral. They accepted most of the additional attributes we presented. Furthermore, developers also suggested other additional issues to be relevant, e.g. the context of the coupled changes and the way they are presented, which we did not cover in this study. Therefore, coupled change analysis research will need to take the presentation and context information into account. Copyright © 2016 by SCITEPRESS - Science and Technology Publications, Lda. All rights reserved.</t>
  </si>
  <si>
    <t>https://www.scopus.com/inward/record.uri?eid=2-s2.0-84979574408&amp;partnerID=40&amp;md5=53e310e71b3fea84664eb645d19ba470</t>
  </si>
  <si>
    <t>Benomar, O., Abdeen, H., Sahraoui, H., Poulin, P. and Saied, M. A.</t>
  </si>
  <si>
    <t>Detection of Software Evolution Phases Based on Development Activities</t>
  </si>
  <si>
    <t>Software evolution history is usually represented at fine granularity by commits in software repositories, and at coarse granularity by software releases. In order to gain insights on development activities and on software evolution, the information on releases is too general, whereas the information on commits is prohibitively large to be efficiently processed by a developer. This paper proposes an automatic technique for the identification of distinct phases of evolution. Such software evolution phases are characterized by similar development activities in terms of changes to entities. Therefore, our technique decomposes software evolution history to assist developers identify periods of different development activities. Our analysis technique is a search-based optimization of the best decomposition of commits from the software repository using heuristics such as classes changed in each commit, and the magnitude/importance of these changes. To validate our technique, we applied it on the evolution history of five case studies covering multiple releases over several years of development. An interesting outcome of the evaluation is that our automatic decomposition of software evolution history recovered the original decomposition in software releases. © 2015 IEEE.</t>
  </si>
  <si>
    <t>https://www.scopus.com/inward/record.uri?eid=2-s2.0-84961337147&amp;doi=10.1109%2fICPC.2015.11&amp;partnerID=40&amp;md5=b89ca7ff6cfa195987e17cb790739240</t>
  </si>
  <si>
    <t>Mordinyi, R. and Biffl, S.</t>
  </si>
  <si>
    <t>Exploring traceability links via issues for detailed requirements coverage reports</t>
  </si>
  <si>
    <t>The coverage of requirements is a fundamental need throughout the software life cycle. It gives project managers an indication how well the software meets expected requirements. A precondition for the process is to link requirements with project artifacts, like test cases. There are various (semi-) automated methods deriving traceable relations between requirements and test scenarios aiming to counteract time consuming and error-prone manual approaches. However, even if traceability links are correctly established coverage is calculated based on passed test scenarios without taking into account the overall code base written to realize the requirement in the first place.In this paper we introduce the "Requirements-Testing-Coverage" (ReTeCo) approach that automatically establishes links between requirements and test cases through source code lines which a) have been written in the context of an issue as part of a linked requirement, b) have been committed into a version control system, and c) produce code coverage results. Since the approach takes into account source code lines it is able to calculate coverage reports on a fine-grained contextual level rather than on the result of high-level artifacts.We show the feasibility of the approach and initial evaluation results using the code base and test scenarios of large open source projects. © 2017 IEEE.</t>
  </si>
  <si>
    <t>https://www.scopus.com/inward/record.uri?eid=2-s2.0-85034626130&amp;doi=10.1109%2fREW.2017.69&amp;partnerID=40&amp;md5=d80d41e7af70abd4749f96cdedd3f12d</t>
  </si>
  <si>
    <t>Xu, Z., Li, S., Tang, Y., Luo, X., Zhang, T., Liu, J. and Xu, J.</t>
  </si>
  <si>
    <t>Cross version defect prediction with representative data via sparse subset selection</t>
  </si>
  <si>
    <t>Software defect prediction aims at detecting the defect-prone software modules by mining historical development data from software repositories. If such modules are identified at the early stage of the development, it can save large amounts of resources. Cross Version Defect Prediction (CVDP) is a practical scenario by training the classification model on the historical data of the prior version and then predicting the defect labels of modules of the current version. However, software development is a constantly-evolving process which leads to the data distribution differences across versions within the same project. The distribution differences will degrade the performance of the classification model. In this paper, we approach this issue by leveraging a state-of-the-art Dissimilarity-based Sparse Subset Selection (DS 3 ) method. This method selects a representative module subset from the prior version based on the pairwise dissimilarities between the modules of two versions and assigns each module of the current version to one of the representative modules. These selected modules can well represent the modules of the current version, thus mitigating the distribution differences. We evaluate the effectiveness of DS 3 for CVDP performance on total 40 cross-version pairs from 56 versions of 15 projects with three traditional and two effort-aware indicators. The extensive experiments show that DS 3 outperforms three baseline methods, especially in terms of two effort-aware indicators. © 2018 ACM.</t>
  </si>
  <si>
    <t>https://www.scopus.com/inward/record.uri?eid=2-s2.0-85051631927&amp;doi=10.1145%2f3196321.3196331&amp;partnerID=40&amp;md5=a5b38173f8193159b6e81e2bb10a1399</t>
  </si>
  <si>
    <t>Fujitani, T., Kobayashi, T., Atsumi, N. and Agusa, K.</t>
  </si>
  <si>
    <t>Munaiah, N., Kroh, S., Cabrey, C. and Nagappan, M.</t>
  </si>
  <si>
    <t>Curating GitHub for engineered software projects</t>
  </si>
  <si>
    <t>Software forges like GitHub host millions of repositories. Software engineering researchers have been able to take advantage of such a large corpora of potential study subjects with the help of tools like GHTorrent and Boa. However, the simplicity in querying comes with a caveat: there are limited means of separating the signal (e.g. repositories containing engineered software projects) from the noise (e.g. repositories containing home work assignments). The proportion of noise in a random sample of repositories could skew the study and may lead to researchers reaching unrealistic, potentially inaccurate, conclusions. We argue that it is imperative to have the ability to sieve out the noise in such large repository forges. We propose a framework, and present a reference implementation of the framework as a tool called reaper, to enable researchers to select GitHub repositories that contain evidence of an engineered software project. We identify software engineering practices (called dimensions) and propose means for validating their existence in a GitHub repository. We used reaper to measure the dimensions of 1,857,423 GitHub repositories. We then used manually classified data sets of repositories to train classifiers capable of predicting if a given GitHub repository contains an engineered software project. The performance of the classifiers was evaluated using a set of 200 repositories with known ground truth classification. We also compared the performance of the classifiers to other approaches to classification (e.g. number of GitHub Stargazers) and found our classifiers to outperform existing approaches. We found stargazers-based classifier (with 10 as the threshold for number of stargazers) to exhibit high precision (97%) but an inversely proportional recall (32%). On the other hand, our best classifier exhibited a high precision (82%) and a high recall (86%). The stargazer-based criteria offers precision but fails to recall a significant portion of the population. © 2017, Springer Science+Business Media New York.</t>
  </si>
  <si>
    <t>https://www.scopus.com/inward/record.uri?eid=2-s2.0-85017654597&amp;doi=10.1007%2fs10664-017-9512-6&amp;partnerID=40&amp;md5=6a70435a3c6130922b69d04fac369f3f</t>
  </si>
  <si>
    <t>Nguyen, P. T., Di Rocco, J. and Di Ruscio, D.</t>
  </si>
  <si>
    <t>Mining software repositories to support OSS developers: A recommender systems approach</t>
  </si>
  <si>
    <t>To facilitate the development activities, software developers frequently look up external sources for related information. Consulting data available at open source software (OSS) repositories can be considered as their daily routine. Nonetheless, the heterogeneity of resources and their corresponding dependencies are the main obstacles to the effective mining and exploitation of the data. Given the context, the manual search for every single resource to find the most suitable ones is a daunting and inefficient task. Thus, equipping developers with techniques and tools to accelerate the search process as well as to improve the search results will help them enhance the work efficiency. Within the scope of the EU funded CROSSMINER project, advanced techniques and tools are being conceived for providing open software developers with innovative features aiming at obtaining improvements in terms of development effort, cost savings, developer productivity, etc. To this end, cutting-edge technologies are applied, such as information retrieval and recommender systems to solve the problem of mining the rich metadata available at OSS repositories to support software developers. In this paper, we present the main research problems as well the proposed approach together with some preliminary results. Copyright held by the author(s).</t>
  </si>
  <si>
    <t>https://www.scopus.com/inward/record.uri?eid=2-s2.0-85050945456&amp;partnerID=40&amp;md5=48aa61294f19c4eaef7d27e93432ac33</t>
  </si>
  <si>
    <t>Syed, D., Sessa, J., Henschel, A. and Svetinovic, D.</t>
  </si>
  <si>
    <t>Data analysis of correlation between project popularity and code change frequency</t>
  </si>
  <si>
    <t>Github is a source code management platform with social networking features that help increase the popularity of a project. The features of the GitHub like watch, star, fork and pull requests help make a project popular among the developers, in addition to enabling them to work on the code together. In this work, we study the relation between the project popularity and the continual code changes made to a GitHub project. The correlation is found by using the metrics such as the number of watchers, pull requests, and the number of commits. We correlate the time series of code change frequency with the time series of project popularity. As a result, we have found that projects with at least 1500 watchers each month have a strong positive correlation between the project popularity and frequency of code changes. We have also found that the number of pull requests is 73.2% more important to the popularity of a project than the number of watchers. © Springer International Publishing AG 2016.</t>
  </si>
  <si>
    <t>https://www.scopus.com/inward/record.uri?eid=2-s2.0-84992690645&amp;doi=10.1007%2f978-3-319-46681-1_5&amp;partnerID=40&amp;md5=19fc6e9088beffc33f839ec6cb3ec560</t>
  </si>
  <si>
    <t>Cheikhi, L., Abran, A. and Desharnais, J. M.</t>
  </si>
  <si>
    <t>The data repository of the International Software Benchmarking Standards Group (ISBSG) can be used by researchers to investigate cause and effect relationships by enabling them to study which variables contribute to achieving certain objectives, such as increasing productivity and improving quality. The ISO 9126 series proposes a number of software quality models, and a large inventory of candidate derived measures for those models. However, even if in the 25000 series (an upcoming version of ISO 9126) there is a plan to better define the base and derived measures, neither the ISO 9126 nor ISO 25000 series include a data repository or intend to create one, and without data for comparison purposes or for analyzing actual relationships across quality attributes and models, the series is challenging to use in practice. This paper concurrently analyzes ISO 9126 and the ISBSG data repository on software projects in order to identify the subset of ISO 9126 quality characteristics that is referenced in the ISBSG repository. It also identifies a number of quality-related data fields from the ISBSG which can be useful in empirical and benchmarking studies. © 2012 IEEE.</t>
  </si>
  <si>
    <t>https://www.scopus.com/inward/record.uri?eid=2-s2.0-84872921350&amp;doi=10.1109%2fIECON.2012.6389405&amp;partnerID=40&amp;md5=46788485fb2eebc492d0daf79097e7ba</t>
  </si>
  <si>
    <t>Robbes, R., Röthlisberger, D. and Tanter, É</t>
  </si>
  <si>
    <t>Object-oriented software extensions in practice</t>
  </si>
  <si>
    <t>As software evolves, data types have to be extended, possibly with new data variants or new operations. Object-oriented design is well-known to support data extensions well. In fact, most popular books showcase data extensions to illustrate how objects adequately support software evolution. Conversely, operation extensions are typically better supported by a functional design. A large body of programming language research has been devoted to the challenge of properly supporting both kinds of extensions. While this challenge is well-known from a language design standpoint, it has not been studied empirically. We perform such a study on a large sample of Smalltalk projects (over half a billion lines of code) and their evolution over more than 130,000 committed changes. Our study of extensions during software evolution finds that extensions are indeed prevalent evolution tasks, and that both kinds of extensions are equally common in object-oriented software. We also discuss findings about: the evolution of the kinds of extensions over time; the viability of the Visitor pattern as an object-oriented solution to operation extensions; the change-proneness of extensions; and the prevalence of extensions by third parties. This study suggests that object-oriented design alone is not sufficient, and that practical support for both kinds of program decomposition approaches are in fact needed, either by the programming language or by the development environment. © 2014, Springer Science+Business Media New York.</t>
  </si>
  <si>
    <t>https://www.scopus.com/inward/record.uri?eid=2-s2.0-84929522924&amp;doi=10.1007%2fs10664-013-9298-0&amp;partnerID=40&amp;md5=029bdd592e7eaa2cd761306ae713afe2</t>
  </si>
  <si>
    <t>Chaturvedi, K. K., Sing, V. B. and Singh, P.</t>
  </si>
  <si>
    <t>Tools in mining software repositories</t>
  </si>
  <si>
    <t>Mining software repositories (MSR) is an important area of research. An international workshop on MSR has been established under the umbrella of international conference on software engineering (ICSE) in year 2004. The quality papers received and presented in the workshop has led to initiate full-fledged conference which purely focuses on issues related to mining software engineering data since 2007. This paper is the result of reviewing all the papers published in the proceedings of the conferences on Mining Software Repositories (MSR) and in other related conference/journals. We have analyzed the papers that contained experimental analysis of software projects related to data mining in software engineering. We have identified the data sets, techniques and tools used/ developed/ proposed in these papers. More than half of the papers are involved in the task accomplished by building or using the data mining tools to mine the software engineering data. It is apparent from the results obtained by analyzing these papers that MSR authors process the raw data which in general publicly available. We categorizes different tools used in MSR on the basis of newly developed, traditional data mining tools, prototype developed and scripts. We have shown the type of mining task that has been performed by using these tools along with the datasets used in these studies. © 2013 IEEE.</t>
  </si>
  <si>
    <t>https://www.scopus.com/inward/record.uri?eid=2-s2.0-84893310839&amp;doi=10.1109%2fICCSA.2013.22&amp;partnerID=40&amp;md5=9ab04a7249efa55c524a41636be16601</t>
  </si>
  <si>
    <t>Artheeswari, K., Venkataraman, S. and Dinesh, M.</t>
  </si>
  <si>
    <t>Challenges in extraction of data and analysis of test cases for automatic software repair</t>
  </si>
  <si>
    <t>International Journal of Control Theory and Applications</t>
  </si>
  <si>
    <t>In software life cycle bug fixing is a frequent activity. Where large software projects are subject to quality risks of having defective modules that will cause failures during the software execution. Here the software project activity targets at take out the gap between the estimated behavior of a software package and what it truly ensures. This research gap encompasses different malfunctions such as the failure of a program facing to a given scenario. Bug fixing is a task traditionally done by software developers. However, several software repositories contain source code of large projects that are composed of many components. These software repositories include data for the software metrics of these modules and the defective state of each component. In this research work, the challenges faced when automated software repair approach is used to show the attributes that predict the defective state of software components. Software solution architecture is proposed to convert the extracted knowledge into data mining models that can be integrated with the current software project metrics and bugs data in order to enhance the prediction. The results show better prediction capabilities when all the algorithms are combined using subjective returns. © International Science Press.</t>
  </si>
  <si>
    <t>https://www.scopus.com/inward/record.uri?eid=2-s2.0-85007047604&amp;partnerID=40&amp;md5=d27522b942d84131d6b0d9b9201dec46</t>
  </si>
  <si>
    <t>Awang Abu Bakar, N. S.</t>
  </si>
  <si>
    <t>Using regular expressions for mining data in large software repositories</t>
  </si>
  <si>
    <t>The usage of data mining technique in collecting data from software repositories involves the extraction of both basic and value-added information from existing software repositories. Regular Expressions (Regex) provide a mechanism to select specific strings from a set of character strings. In this paper, we discuss how regular expressions are used to create a data mining tool, known as OSSGrab. We developed the mining tool using Python scripting, in combination with Regex, and as a result, the time spent on data collection can be saved significantly. © 2014 IEEE.</t>
  </si>
  <si>
    <t>https://www.scopus.com/inward/record.uri?eid=2-s2.0-84946692148&amp;doi=10.1109%2fICT4M.2014.7020649&amp;partnerID=40&amp;md5=3ad6862ee6ab143d3e20a3989ed5004d</t>
  </si>
  <si>
    <t>Härtel, J., Heinz, M. and Lämmel, R.</t>
  </si>
  <si>
    <t>EMF patterns of usage on github</t>
  </si>
  <si>
    <t>Mining software repositories is a common activity in software engineering with diverse use cases such as understanding project quality, technology usage, and developer profiles. Such mining activities involve, more often than not, a phase for data extraction from the source code in the repository with recurring tasks such as processing the folder structure (possibly on the timeline), classifying repository artifacts (e.g., in terms of the languages or technologies used), and extracting facts from the artifacts by parsing or otherwise. We describe a new approach for such data extraction; its key pillar is a declarative rule-based language for the uniform, inference-based extraction of facts from the repository (the file system), the artifacts in the repository (their content), and previously extracted facts. All inferred facts are maintained in a triple store. We describe a case study for the purpose of understanding the usage of EMF. To this end, we describe an emerging catalog of patterns of using EMF in repositories and we detect these patterns on GitHub. In our implementation, we use Apache Jena for which we provide dedicated language support tailored towards mining software repositories. © 2018, Springer International Publishing AG, part of Springer Nature.</t>
  </si>
  <si>
    <t>https://www.scopus.com/inward/record.uri?eid=2-s2.0-85048775242&amp;doi=10.1007%2f978-3-319-92997-2_14&amp;partnerID=40&amp;md5=ee3d49a87e988ab0c914ad0c07fb6859</t>
  </si>
  <si>
    <t>Najadat, H. and Alsmadi, I.</t>
  </si>
  <si>
    <t>Enhance rule based detection for software fault prone modules</t>
  </si>
  <si>
    <t>Software quality assurance is necessary to increase the level of confidence in the developed software and reduce the overall cost for developing software projects. The problem addressed in this research is the prediction of fault prone modules using data mining techniques. Predicting fault prone modules allows the software managers to allocate more testing and resources to such modules. This can also imply a good investment in better design in future systems to avoid building error prone modules. Software quality models that are based upon data mining from previous projects can identify fault-prone modules in the current similar development project, once similarity between projects is established. In this paper, we applied different data mining rule-based classification techniques on several publicly available datasets of the NASA software repository (e.g. PC1, PC2, etc). The goal was to classify the software modules into either fault prone or not fault prone modules. The paper proposed a modification on the RIDOR algorithm on which the results show that the enhanced RIDOR algorithm is better than other classification techniques in terms of the number of extracted rules and accuracy. The implemented algorithm learns defect prediction using mining static code attributes. Those attributes are then used to present a new defect predictor with high accuracy and low error rate.</t>
  </si>
  <si>
    <t>https://www.scopus.com/inward/record.uri?eid=2-s2.0-84859858705&amp;partnerID=40&amp;md5=0c2be465f65ed4ded20fcb863ceac2ec</t>
  </si>
  <si>
    <t>Maqsood, J., Eshraghi, I. and Ali, S. S.</t>
  </si>
  <si>
    <t>Success or failure identification for GitHub's open source projects</t>
  </si>
  <si>
    <t>In this research we have tried to identify successful and unsuccessful projects on GitHub from a sample of 5000 randomly picked projects in a number of randomly selected languages (Java, PHP, JavaScript, C#/C++, HTML). We have selected 1000 projects for each of these languages through the publicly available GitHub API, refined our dataset, and applied different machine learning algorithms to achieve our aim. We initially implemented numerous queries against the dataset and found meaningful relationships and correlations between some of the fetched attributes which have an effect on the popularity of these projects. Later we could develop an application that will determine the success or failure of a specific open source project. © 2017 ACM.</t>
  </si>
  <si>
    <t>https://www.scopus.com/inward/record.uri?eid=2-s2.0-85018600255&amp;doi=10.1145%2f3034950.3034957&amp;partnerID=40&amp;md5=c1cd01a1b03541e1604528590d945da1</t>
  </si>
  <si>
    <t>Kögel, S.</t>
  </si>
  <si>
    <t>Recommender system for model driven software development</t>
  </si>
  <si>
    <t>Models are key artifacts in model driven software engineering, similar to source code in traditional software engineering. Integrated development environments help users while writing source code, e.g. with typed auto completions, quick fixes, or automatic refactorings. Similar integrated features are rare for modeling IDEs. The above source code IDE features can be seen as a recommender system. A recommender system for model driven software engineering can combine data from different sources in order to infer a list of relevant and actionable model changes in real time. These recommendations can speed up working on models by automating repetitive tasks and preventing errors when the changes are atypical for the changed models. Recommendations can be based on common model transformations that are taken from the literature or learned from models in version control systems. Further information can be taken from instance- to meta-model relationships, modeling related artifacts (e.g. correctness constraints), and versions histories of models under version control. We created a prototype recommender that analyses the change history of a single model. We computed its accuracy via crossvalidation and found that it was between 0.43 and 0.82 for models from an open source project. In order to have a bigger data set for the evaluation and the learning of model transformation, we also mined repositories from Eclipse projects for Ecore meta models and their versions.We found 4374 meta models with 17249 versions. 244 of these meta models were changed at least ten times and are candidates for learning common model transformations. We plan to evaluate our recommender system in two ways: (1) In off-line evaluations with data sets of models from the literature, created by us, or taken from industry partners. (2) In on-line user studies with participants from academia and industry, performed as case studies and controlled experiments. © 2017 Association for Computing Machinery.</t>
  </si>
  <si>
    <t>https://www.scopus.com/inward/record.uri?eid=2-s2.0-85030768868&amp;doi=10.1145%2f3106237.3119874&amp;partnerID=40&amp;md5=15d200b536b52a52fe24dd3ed3f6d97f</t>
  </si>
  <si>
    <t>Santos, T. J. A., Lima, A. M., Reis, C. A. L. and Reis, R. Q.</t>
  </si>
  <si>
    <t>It is widely recognized the potential of using organizational data analysis to enable automated tools supporting process management task. The organizational repositories should be used in an active way to accordingly support dynamic decision-making process in software project management. In this paper, we briefly describe a research aiming to support the human resource allocation process in the software process context based on the analysis of organizational repositories. It intends to provide an organizational data analysis as a mean to take empirical evidence to perform fact-based decisions upon historical and ongoing organizational experiences. As the work is in its beginning, we also present some differences from other already existing approaches and the main challenges to be overcome through completion of this work. © 2014 ACM.</t>
  </si>
  <si>
    <t>https://www.scopus.com/inward/record.uri?eid=2-s2.0-84931039265&amp;doi=10.1145%2f2593822.2593830&amp;partnerID=40&amp;md5=64d84a0ae6669c08581907751804d215</t>
  </si>
  <si>
    <t>Wang, P. J. and Guo, W.</t>
  </si>
  <si>
    <t>Data mining-based information extraction research of knowledge software</t>
  </si>
  <si>
    <t>This study analyzes and discusses the effective application of data mining in software repository information extraction in order to be able to provide useful data for software developers. © 2015 Taylor &amp; Francis Group, London.</t>
  </si>
  <si>
    <t>https://www.scopus.com/inward/record.uri?eid=2-s2.0-85000471216&amp;partnerID=40&amp;md5=f7e7f15147889468e92772d8ec4a3de7</t>
  </si>
  <si>
    <t>Eteläaho, A., Soini, J., Jaakkola, H. and Mattila, A. L.</t>
  </si>
  <si>
    <t>Visual data mining in software repositories: A survey</t>
  </si>
  <si>
    <t>Enormous quantities of data, collected and stored in large numerous data repositories, go unused or underused today, simply because people are unable to visualize the quantities and relationships involved. This huge amount of data has far exceeded our human ability for comprehension without powerful tools. Information visualization and visual data mining can help to deal with the flood of information. We can take advantage of visualization techniques to discover data relationships that are otherwise not easily observable by looking at the “raw data”. Visualization can add significant value when trying to understand not only the raw data available in large software archives, but also the results of data mining. These data are valuable especially in software maintenance activities, understanding software evolution and the socio-technical aspects of software development. Data mining and visualization are focal enablers for information recognition and knowledge discovery from any amount of data repositories. This paper present the results of a survey, which reviews some of the most common visual data mining (VDM) techniques and their usage in the software engineering field. The results indicate what kinds of aspects of the software engineering process are studied using VDM methods, and also the most common VDM methods used in the software engineering context. © 2018 The authors and IOS Press. All rights reserved.</t>
  </si>
  <si>
    <t>https://www.scopus.com/inward/record.uri?eid=2-s2.0-85063395894&amp;doi=10.3233%2f978-1-61499-834-1-354&amp;partnerID=40&amp;md5=b80b382d93e8522deec8cf09f6bac4a6</t>
  </si>
  <si>
    <t>Farah, G. and Correal, D.</t>
  </si>
  <si>
    <t>Analysis of intercrossed open-source software repositories data in GitHub</t>
  </si>
  <si>
    <t>The use of public repositories of software is becoming increasingly common as a strategy for reducing costs and streamlining software development processes. However, given the large amount of software available on such deposits, the task of selecting the components and applications of higher quality or that best meet the quality requirements of a product, has become a demanding task in time and effort. In this paper we present a tool to support the analysis and selection of components and software applications in public repositories, particularly GitHub. © 2013 IEEE.</t>
  </si>
  <si>
    <t>https://www.scopus.com/inward/record.uri?eid=2-s2.0-84890828996&amp;doi=10.1109%2fColombianCC.2013.6637537&amp;partnerID=40&amp;md5=0cdbbd6dfbb3215b30c18ce648bc740c</t>
  </si>
  <si>
    <t>Progress in Artificial Intelligence</t>
  </si>
  <si>
    <t>Cheluvaraju, B., Nagal, K. and Pasala, A.</t>
  </si>
  <si>
    <t>Savarimuthu, B. T. R. and Dam, H. K.</t>
  </si>
  <si>
    <t>Towards mining norms in open source software repositories</t>
  </si>
  <si>
    <t>Extracting norms from computer-mediated human interactions is gaining popularity since huge volume of data is available from which norms can be extracted. Open source communities offer exciting new application opportunities for extracting norms since such communities involve developers from different geographical regions, background and cultures. Investigating the types of norms that exist in open source projects and their efficacy (i.e. the usage of norms) in enabling smoother functioning however has not received much attention from the normative multi-agent systems (NorMAS) community. This paper makes two contributions in this regard. First, it presents norm compliance results from a case study involving three open source Java projects. Second, it presents an architecture for mining norms from open source projects. It also discusses the opportunities presented by the domain of software repositories for the study of norms. In particular, it points towards how norms can be mined by leveraging and extending prior work in the areas of Normative Multi-Agent Systems (NorMAS) and mining software repositories. © 2014 Springer-Verlag.</t>
  </si>
  <si>
    <t>https://www.scopus.com/inward/record.uri?eid=2-s2.0-84901661746&amp;doi=10.1007%2f978-3-642-55192-5_3&amp;partnerID=40&amp;md5=6ffd0c644e5b4437a5221fa30a8af215</t>
  </si>
  <si>
    <t>Schulz, C., Zeyfang, A., Van Garderen, M., Ben Lahmar, H., Herschel, M. and Weiskopf, D.</t>
  </si>
  <si>
    <t>Simultaneous Visual Analysis of Multiple Software Hierarchies</t>
  </si>
  <si>
    <t>We propose a tree visualization technique for comparison of structures and attributes across multiple hierarchies. Many software systems are structured hierarchically by design. For example, developers subdivide source code into libraries, modules, and functions. This design propagates to software configuration and business processes, rendering software hierarchies even more important. Often these structural elements are attributed with reference counts, code quality metrics, and the like. Throughout the entire software life cycle, these hierarchies are reviewed, integrated, debugged, and changed many times by different people so that the identity of a structural element and its attributes is not clearly traceable. We argue that pairwise comparison of similar trees is a tedious task due to the lack of overview, especially when applied to a large number of hierarchies. Therefore, we strive to visualize multiple similar trees as a whole by merging them into one supertree. To merge structures and combine attributes from different trees, we leverage the Jaccard similarity and solve a matching problem while keeping track of the origin of a structure element and its attributes. Our visualization approach allows users to inspect these supertrees using node-link diagrams and indented tree plots. The nodes in these plots depict aggregated attributes and, using word-sized line plots, detailed data. We demonstrate the usefulness of our method by exploring the evolution of software repositories and debugging data processing pipelines using provenance data. © 2018 IEEE.</t>
  </si>
  <si>
    <t>https://www.scopus.com/inward/record.uri?eid=2-s2.0-85058481571&amp;doi=10.1109%2fVISSOFT.2018.00017&amp;partnerID=40&amp;md5=bf4e4e2f3d39757125416f53817edc17</t>
  </si>
  <si>
    <t>Kery, M. B., Radensky, M., Arya, M., John, B. E. and Myers, B. A.</t>
  </si>
  <si>
    <t>The story in the notebook: Exploratory data science using a literate programming tool</t>
  </si>
  <si>
    <t>Literate programming tools are used by millions of programmers today, and are intended to facilitate presenting data analyses in the form of a narrative. We interviewed 21 data scientists to study coding behaviors in a literate programming environment and how data scientists kept track of variants they explored. For participants who tried to keep a detailed history of their experimentation, both informal and formal versioning attempts led to problems, such as reduced notebook readability. During iteration, participants actively curated their notebooks into narratives, although primarily through cell structure rather than markdown explanations. Next, we surveyed 45 data scientists and asked them to envision how they might use their past history in a future version control system. Based on these results, we give design guidance for future literate programming tools, such as providing history search based on how programmers recall their explorations, through contextual details including images and parameters. © 2018 Association for Computing Machinery.</t>
  </si>
  <si>
    <t>https://www.scopus.com/inward/record.uri?eid=2-s2.0-85046962150&amp;doi=10.1145%2f3173574.3173748&amp;partnerID=40&amp;md5=2fa17150fab95f19acfe32efe5415264</t>
  </si>
  <si>
    <t>Upadhyaya, G. and Rajan, H.</t>
  </si>
  <si>
    <t>On Accelerating Source Code Analysis at Massive Scale</t>
  </si>
  <si>
    <t>Encouraged by the success of data-driven software engineering (SE) techniques that have found numerous applications e.g., in defect prediction, specification inference, the demand for mining and analyzing source code repositories at scale has significantly increased. However, analyzing source code at scale remains expensive to the extent that data-driven solutions to certain SE problems are beyond our reach today. Extant techniques have focused on leveraging distributed computing to solve this problem, but with a concomitant increase in computational resource needs. This work proposes a technique that reduces the amount of computation performed by the ultra-large-scale source code mining task, especially those that make use of control and data flow analyses. Our key idea is to analyze the mining task to identify and remove the irrelevant portions of the source code, prior to running the mining task. We show a realization of our insight for mining and analyzing massive collections of control flow graphs of source codes. Our evaluation using 16 classical control-/data-flow analyses that are typical components of mining tasks and 7 Million CFGs shows that our technique can achieve on average a 40 percent reduction in the task computation time. Our case studies demonstrates the applicability of our technique to massive scale source code mining tasks. © 1976-2012 IEEE.</t>
  </si>
  <si>
    <t>https://www.scopus.com/inward/record.uri?eid=2-s2.0-85045737457&amp;doi=10.1109%2fTSE.2018.2828848&amp;partnerID=40&amp;md5=d6776b7ae2b8365b9021be4c5bc973cc</t>
  </si>
  <si>
    <t>German, D. M., Adams, B. and Hassan, A. E.</t>
  </si>
  <si>
    <t>A dataset of the activity of the git super-repository of Linux in 2012</t>
  </si>
  <si>
    <t>This dataset documents the activity in the public portion of the git Super-repository of the Linux kernel during 2012. In a distributed version control system, such as git, the Super-repository is the collection of all the repositories (repos) used for development. In such a Super-repository, some repos will be accessible only by their owners (they are private, and are located in places that are unreachable to other users) while others are available to other members of the team. The latter public repositories are used as avenues through which commits flow from one developer to another. During the last six weeks of 2011, we proceeded to automatically discover the public portion of the Super-repository of Linux. Then, in 2012, every 3 hrs, each of these public repositories was queried to see what new commits it had and what commits had disappeared from it using a process we call continuous mining. This resulted in the identification of 533,513 different commits across 451 different public repositories and how they propagated through the Linux Super-repository, including the repository of Linus Torvalds (i.e., The main repository of the Linux kernel). This information could help us understand how kernel contributors use git, how they collaborate and how commits are integrated into the Linux kernel and into the repositories of organizations that distribute the kernel. © 2015 IEEE.</t>
  </si>
  <si>
    <t>https://www.scopus.com/inward/record.uri?eid=2-s2.0-84957098755&amp;doi=10.1109%2fMSR.2015.66&amp;partnerID=40&amp;md5=4d1522f6fb0867cbdc98c2bfeb0ee122</t>
  </si>
  <si>
    <t>Robles, G., Ho-Quang, T., Hebig, R., Chaudron, M. R. V. and Fernandez, M. A.</t>
  </si>
  <si>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 2017 IEEE.</t>
  </si>
  <si>
    <t>https://www.scopus.com/inward/record.uri?eid=2-s2.0-85026499370&amp;doi=10.1109%2fMSR.2017.48&amp;partnerID=40&amp;md5=1de89344936136682ea2140d6a242fdf</t>
  </si>
  <si>
    <t>Kuutila, M., Mantyla, M. V., Claes, M. and Elovainio, M.</t>
  </si>
  <si>
    <t>Reviewing literature on time pressure in software engineering and related professions: Computer assisted interdisciplinary literature review</t>
  </si>
  <si>
    <t>During the past few years, psychological diseases related to unhealthy work environments, such as burnouts, have drawn more and more public attention. One of the known causes of these affective problems is time pressure. In order to form a theoretical background for time pressure detection in software repositories, this paper combines interdisciplinary knowledge by analyzing 1270 papers found on Scopus database and containing terms related to time pressure. By clustering those papers based on their abstract, we show that time pressure has been widely studied across different fields, but relatively little in software engineering. From a literature review of the most relevant papers, we infer a list of testable hypotheses that we want to verify in future studies in order to assess the impact of time pressures on software developers' mental health. © 2017 IEEE.</t>
  </si>
  <si>
    <t>https://www.scopus.com/inward/record.uri?eid=2-s2.0-85025803552&amp;doi=10.1109%2fSEmotion.2017.11&amp;partnerID=40&amp;md5=660af3faa6b9574f4bcddd5441f6a309</t>
  </si>
  <si>
    <t>Biazzini, M., Monperrus, M. and Baudry, B.</t>
  </si>
  <si>
    <t>On analyzing the topology of commit histories in decentralized version control systems</t>
  </si>
  <si>
    <t>Empirical analysis of software repositories usually deals with linear histories derived from centralized versioning systems. Decentralized version control systems allow a much richer structure of commit histories, which presents features that are typical of complex graph models. In this paper we bring some evidences of how the very structure of these commit histories carries relevant information about the distributed development process. By means of a novel data structure that we formally define, we analyze the topological characteristics of commit graphs of a sample of GIT projects. Our findings point out the existence of common recurrent structural patterns which identically occur in different projects and can be consider building blocks of distributed collaborative development. © 2014 IEEE.</t>
  </si>
  <si>
    <t>https://www.scopus.com/inward/record.uri?eid=2-s2.0-84931049002&amp;doi=10.1109%2fICSME.2014.48&amp;partnerID=40&amp;md5=3000360e8e04a5e2416f31aa4c4d1cc7</t>
  </si>
  <si>
    <t>Stevens, R.</t>
  </si>
  <si>
    <t>A Declarative Foundation for Comprehensive History Querying</t>
  </si>
  <si>
    <t>Researchers in the field of Mining Software Repositories perform studies about the evolution of software projects. To this end, they use the version control system storing the changes made to a single software project. Such studies are concerned with the source code characteristics in one particular revision, the commit data for that revision, how the code evolves over time and what concrete, fine-grained changes were applied to the source code between two revisions. Although tools exist to analyse an individual concern, scripts and manual work is required to combine these tools to perform a single experiment. We present a general-purpose history querying tool named QwalKeko that enables expressing these concerns in a single uniform language, and having them detected in a git repository. We have validated our work by means of replication studies as well as through MSR studies of our own. © 2015 IEEE.</t>
  </si>
  <si>
    <t>https://www.scopus.com/inward/record.uri?eid=2-s2.0-84951760021&amp;doi=10.1109%2fICSE.2015.289&amp;partnerID=40&amp;md5=6b5b2ea4cf323b360de105aeb83df70c</t>
  </si>
  <si>
    <t>Ott, J., Atchison, A. and Linstead, E. J.</t>
  </si>
  <si>
    <t>Exploring the applicability of low-shot learning in mining software repositories</t>
  </si>
  <si>
    <t>Background: Despite the well-documented and numerous recent successes of deep learning, the application of standard deep architectures to many classification problems within empirical software engineering remains problematic due to the large volumes of labeled data required for training. Here we make the argument that, for some problems, this hurdle can be overcome by taking advantage of low-shot learning in combination with simpler deep architectures that reduce the total number of parameters that need to be learned. Findings: We apply low-shot learning to the task of classifying UML class and sequence diagrams from Github, and demonstrate that surprisingly good performance can be achieved by using only tens or hundreds of examples for each category when paired with an appropriate architecture. Using a large, off-the-shelf architecture, on the other hand, doesn’t perform beyond random guessing even when trained on thousands of samples. Conclusion: Our findings suggest that identifying problems within empirical software engineering that lend themselves to low-shot learning could accelerate the adoption of deep learning algorithms within the empirical software engineering community. © 2019, The Author(s).</t>
  </si>
  <si>
    <t>https://www.scopus.com/inward/record.uri?eid=2-s2.0-85065421602&amp;doi=10.1186%2fs40537-019-0198-z&amp;partnerID=40&amp;md5=51f08fe056ff75c3eee3b2da810a1e42</t>
  </si>
  <si>
    <t>Verma, D. and Kumar, S.</t>
  </si>
  <si>
    <t>Prediction of defect density for open source software using repository metrics</t>
  </si>
  <si>
    <t>Journal of Web Engineering</t>
  </si>
  <si>
    <t>Open source software refers to software with unrestricted access for use or modification. Many software development organizations are using this open source methodology in their development process. Many software developers can work in parallel with the open source project using the web as a shared resource. The defect density of such projects is often required to be predicted for the purpose to ensure quality standards. Static metrics for defect density prediction require extraction of abstract information from the code. Repository metrics, on the other hand, are easy to extract from the repository data sets. In this paper, an analysis has been performed over repository metrics of open source software. Further, defect density is being predicted using these metrics individually and jointly. Sixty two open source software are considered for analysis using Simple and Multiple Linear Regression methods as statistical procedures. The results reveal a statistically significant level of acceptance for prediction of defect density using few repository metrics individually and jointly. © Rinton Press.</t>
  </si>
  <si>
    <t>https://www.scopus.com/inward/record.uri?eid=2-s2.0-85015720682&amp;partnerID=40&amp;md5=918fbf05d2626615c2f7e032cba88d28</t>
  </si>
  <si>
    <t>Yousef, A. H.</t>
  </si>
  <si>
    <t>Extracting software static defect models using data mining</t>
  </si>
  <si>
    <t>Ain Shams Engineering Journal</t>
  </si>
  <si>
    <t>Large software projects are subject to quality risks of having defective modules that will cause failures during the software execution. Several software repositories contain source code of large projects that are composed of many modules. These software repositories include data for the software metrics of these modules and the defective state of each module. In this paper, a data mining approach is used to show the attributes that predict the defective state of software modules. Software solution architecture is proposed to convert the extracted knowledge into data mining models that can be integrated with the current software project metrics and bugs data in order to enhance the prediction. The results show better prediction capabilities when all the algorithms are combined using weighted votes. When only one individual algorithm is used, Naïve Bayes algorithm has the best results, then the Neural Network and the Decision Trees algorithms. © 2014 Production and hosting by Elsevier B.V. on behalf of Ain Shams University.</t>
  </si>
  <si>
    <t>https://www.scopus.com/inward/record.uri?eid=2-s2.0-85027952352&amp;doi=10.1016%2fj.asej.2014.09.007&amp;partnerID=40&amp;md5=4bf37920cb9702801e00bdb49f8be4ba</t>
  </si>
  <si>
    <t>McIntosh, S. and Kamei, Y.</t>
  </si>
  <si>
    <t>Are Fix-Inducing Changes a Moving Target? A Longitudinal Case Study of Just-In-Time Defect Prediction</t>
  </si>
  <si>
    <t>Just-In-Time (JIT) models identify fix-inducing code changes. JIT models are trained using techniques that assume that past fix-inducing changes are similar to future ones. However, this assumption may not hold, e.g., as system complexity tends to accrue, expertise may become more important as systems age. In this paper, we study JIT models as systems evolve. Through a longitudinal case study of 37,524 changes from the rapidly evolving Qt and OpenStack systems, we find that fluctuations in the properties of fix-inducing changes can impact the performance and interpretation of JIT models. More specifically: (a) the discriminatory power (AUC) and calibration (Brier) scores of JIT models drop considerably one year after being trained; (b) the role that code change properties (e.g., Size, Experience) play within JIT models fluctuates over time; and (c) those fluctuations yield over- and underestimates of the future impact of code change properties on the likelihood of inducing fixes. To avoid erroneous or misleading predictions, JIT models should be retrained using recently recorded data (within three months). Moreover, quality improvement plans should be informed by JIT models that are trained using six months (or more) of historical data, since they are more resilient to period-specific fluctuations in the importance of code change properties. © 2017 IEEE.</t>
  </si>
  <si>
    <t>https://www.scopus.com/inward/record.uri?eid=2-s2.0-85046992607&amp;doi=10.1109%2fTSE.2017.2693980&amp;partnerID=40&amp;md5=2438ff0109752f04436dcc91fae69ae3</t>
  </si>
  <si>
    <t>Madeyski, L. and Majchrzak, M.</t>
  </si>
  <si>
    <t>Software measurement and defect prediction with depress extensible framework</t>
  </si>
  <si>
    <t>Foundations of Computing and Decision Sciences</t>
  </si>
  <si>
    <t>Context. Software data collection precedes analysis which, in turn, requires data science related skills. Software defect prediction is hardly used in industrial projects as a quality assurance and cost reduction mean. Objectives. There are many studies and several tools which help in various data analysis tasks but there is still neither an open source tool nor standardized approach. Results. We developed Defect Prediction for software systems (DePress), which is an extensible software measurement, and data integration framework which can be used for prediction purposes (e.g. defect prediction, effort prediction) and software changes analysis (e.g. release notes, bug statistics, commits quality). DePress is based on the KNIME project and allows building workflows in a graphic, end-user friendly manner. Conclusions. We present main concepts, as well as the development state of the DePress framework. The results show that DePress can be used in Open Source, as well as in industrial project analysis. © 2014 by Lech Madeyski.</t>
  </si>
  <si>
    <t>https://www.scopus.com/inward/record.uri?eid=2-s2.0-84920103047&amp;doi=10.2478%2ffcds-2014-0014&amp;partnerID=40&amp;md5=aae37c450c58f254d1960cabb5062abb</t>
  </si>
  <si>
    <t>Rahman, A.</t>
  </si>
  <si>
    <t>Characteristics of defective infrastructure as code scripts in DevOps</t>
  </si>
  <si>
    <t>Defects in infrastructure as code (IaC) scripts can have serious consequences for organizations who adopt DevOps. By identifying which characteristics of IaC scripts correlate with defects, we can identify anti-patterns, and help software practitioners make informed decisions on better development and maintenance of IaC scripts, and increase quality of IaC scripts. The goal of this paper is to help practitioners increase the quality of IaC scripts by identifying characteristics of IaC scripts and IaC development process that correlate with defects, and violate security and privacy objectives. We focus on characteristics of IaC scripts and IaC development that (i) correlate with IaC defects, and (ii) violate security and privacy-related objectives namely, confidentiality, availability, and integrity. For our initial studies, we mined open source version control systems from three organizations: Mozilla, Openstack, and Wikimedia, to identify the defect-related characteristics and conduct our case studies. From our empirical analysis, we identify (i) 14 IaC code and four churn characteristics that correlate with defects; and (ii) 12 process characteristics such as, frequency of changes, and ownership of IaC scripts that correlate with defects. We propose the following studies: (i) identify structural characteristics that correlate with defects; (ii) with respect to prediction performance, compare which characteristics of IaC scripts are more correlated with defects; and (iii) identify characteristics that violate security and privacy objectives. © 2018 ACM.</t>
  </si>
  <si>
    <t>https://www.scopus.com/inward/record.uri?eid=2-s2.0-85049683967&amp;doi=10.1145%2f3183440.3183452&amp;partnerID=40&amp;md5=dc8d33e72bd295caca1917985709e643</t>
  </si>
  <si>
    <t>Vizarreta, P., Sakic, E., Kellerer, W. and Machuca, C. M.</t>
  </si>
  <si>
    <t>Mining software repositories for predictive modelling of defects in SDN controller</t>
  </si>
  <si>
    <t>In Software Defined Networking (SDN) control plane of forwarding devices is concentrated in the SDN controller, which assumes the role of a network operating system. Big share of today's commercial SDN controllers are based on OpenDaylight, an open source SDN controller platform, whose bug repository is publicly available. In this article we provide a first insight into 8k+ bugs reported in the period over five years between March 2013 and September 2018. We first present the functional components in OpenDaylight architecture, localize the most vulnerable modules and measure their contribution to the total bug content. We provide high fidelity models that can accurately reproduce the stochastic behaviour of bug manifestation and bug removal rates, and discuss how these can be used to optimize the planning of the test effort, and to improve the software release management. Finally, we study the correlation between the code internals, derived from the Git version control system, and software defect metrics, derived from Jira issue tracker. To the best of our knowledge, this is the first study to provide a comprehensive analysis of bug characteristics in a production grade SDN controller. © 2019 IFIP.</t>
  </si>
  <si>
    <t>https://www.scopus.com/inward/record.uri?eid=2-s2.0-85067061524&amp;partnerID=40&amp;md5=30f5a1168f800ad89533807addc615fc</t>
  </si>
  <si>
    <t>Yamtani, Y. and Ohira, M.</t>
  </si>
  <si>
    <t>An exploratory analysis for studying software evolution: Time-delayed correlation analysis</t>
  </si>
  <si>
    <t>We propose an exploratory analysis method for software repositories so that you can study software evolution without an explicit goal. The method extends the traditional correlation analysis to consider a time lag between any pair of metrics. Using data collected from three kinds of repositories, the method automatically calculates optimal parameters to deal with a time lag between metrics and returns the highest correlation coefficient for each pair of metrics. Our case study using one hundred metrics data from three OSS projects shows that the method allows us to find unexpected relationships in some pairs of metrics if we only use the traditional correlation analysis and that using such relationships can be used to build an analysis goal to understand software evolution. © 2014 IEEE.</t>
  </si>
  <si>
    <t>https://www.scopus.com/inward/record.uri?eid=2-s2.0-84920514246&amp;doi=10.1109%2fIWESEP.2014.16&amp;partnerID=40&amp;md5=c8e99a26144820ef28b0828240af1857</t>
  </si>
  <si>
    <t>Kim, T., Chandra, R. and Zeldovich, N.</t>
  </si>
  <si>
    <t>Optimizing unit test execution in large software programs using dependency analysis</t>
  </si>
  <si>
    <t>TAO is a system that optimizes the execution of unit tests in large software programs and reduces the programmer wait time from minutes to seconds. TAO is based on two key ideas: First, TAO focuses on efficiency, unlike past work that focused on avoiding false negatives. TAO implements simple and fast function-level dependency tracking that identifies tests to run on a code change; any false negatives missed by this dependency tracking are caught by running the entire test suite on a test server once the code change is committed. Second, to make it easy for programmers to adopt TAO, it incorporates the dependency information into the source code repository. This paper describes an early prototype of TAO and demonstrates that TAO can reduce unit test execution time in two large Python software projects by over 96% while incurring few false negatives. Copyright 2013 ACM.</t>
  </si>
  <si>
    <t>https://www.scopus.com/inward/record.uri?eid=2-s2.0-84883074545&amp;doi=10.1145%2f2500727.2500748&amp;partnerID=40&amp;md5=238ddba82142c8a32e6932f0292b3c29</t>
  </si>
  <si>
    <t>Rolfsnes, T.</t>
  </si>
  <si>
    <t>Mining change history for test-plan generation (doctoral symposium)</t>
  </si>
  <si>
    <t>Regression testing is an essential step in safeguarding the evolution of a system, yet there is often not enough time to exercise all available tests. Identifying the subset of tests that can reveal potential issues introduced by a change is a challenge. It requires identifying the tests that test the changed part of the software. Furthermore, and more challenging, it requires identifying the parts of the system that are potentially affected by that change, a task typically done by means of static program analysis. In this doctoral research, we investigate an alternative approach, using software repository mining. We propose a method that mines the change history of a system to uncover dependencies, and uses these for test-selection and test-prioritization. By reducing the amount of test to exercise, and limiting time spend on test-plan creation (i.e., selecting and prioritizing tests), the aim of our approach is to increase cost-effectiveness of software regression testing. © 2015 ACM.</t>
  </si>
  <si>
    <t>https://www.scopus.com/inward/record.uri?eid=2-s2.0-84975757394&amp;doi=10.1145%2f2771783.2784776&amp;partnerID=40&amp;md5=4d401e5dfbb2e654e2140ecb0e21c1a7</t>
  </si>
  <si>
    <t>Li, Y., Zhu, C., Rubin, J. and Chechik, M.</t>
  </si>
  <si>
    <t>Semantic Slicing of Software Version Histories</t>
  </si>
  <si>
    <t>Software developers often need to transfer functionality, e.g., a set of commits implementing a new feature or a bug fix, from one branch of a configuration management system to another. That can be a challenging task as the existing configuration management tools lack support for matching high-level, semantic functionality with low-level version histories. The developer thus has to either manually identify the exact set of semantically-related commits implementing the functionality of interest or sequentially port a segment of the change history, 'inheriting' additional, unwanted functionality. In this paper, we tackle this problem by providing automated support for identifying the set of semantically-related commits implementing a particular functionality, which is defined by a set of tests. We formally define the semantic slicing problem, provide an algorithm for identifying a set of commits that constitute a slice, and propose techniques to minimize the produced slice. We then instantiate the overall approach, CSlicer, in a specific implementation for Java projects managed in Git and evaluate its correctness and effectiveness on a set of open-source software repositories. We show that it allows to identify subsets of change histories that maintain the functionality of interest but are substantially smaller than the original ones. © 1976-2012 IEEE.</t>
  </si>
  <si>
    <t>https://www.scopus.com/inward/record.uri?eid=2-s2.0-85042129677&amp;doi=10.1109%2fTSE.2017.2664824&amp;partnerID=40&amp;md5=13645d66ce31b78e41975fade3fa7f89</t>
  </si>
  <si>
    <t>Servant, F. and Jones, J. A.</t>
  </si>
  <si>
    <t>Xiong, Y., Meng, Z., Shen, B. and Yin, W.</t>
  </si>
  <si>
    <t>Mining developer behavior across git hub and stack overflow</t>
  </si>
  <si>
    <t>Nowadays, software developers are increasingly involved in GitHub and StackOverflow, creating a lot of valuable data in the two communities. Researchers mine the information in these software communities to understand developer behaviors, while previous work mainly focuses on mining data within a single community. In this paper, we propose a novel approach to mining developer behaviors across GitHub and StackOverflow. This approach links the accounts from two communities using a CART decision tree, leveraging the features from usernames, user behaviors and writing styles. Then, it explores cross-site developer behaviors through T-graph analysis, LDA-based topics clustering and cross-site tagging. We conducted several experiments to evaluate this approach. The results show that the precision and F-Score of our identity linkage method are higher than previous methods in software communities. Especially, we discovered that (1) active issue committers are also active question askers; (2) for most developers, the topics of their contents in GitHub are similar to that of their questions and answers in StackOverflow; (3) developers' concerns in StackOverflow shift over the time of their current participating projects in GitHub; (4) developers' concerns in GitHub are more relevant to their answers than questions and comments in StackOverflow.</t>
  </si>
  <si>
    <t>https://www.scopus.com/inward/record.uri?eid=2-s2.0-85029505066&amp;doi=10.18293%2fSEKE2017-062&amp;partnerID=40&amp;md5=4007c95be2102d68704fbc65ba51c8ca</t>
  </si>
  <si>
    <t>Da Costa, D. A., Kulesza, U., Aranha, E. and Coelho, R.</t>
  </si>
  <si>
    <t>Unveiling developers contributions behind code commits: An exploratory study</t>
  </si>
  <si>
    <t>The process and activities of software development are very dynamic and diverse. For instance, source code has to be written, tested and revised, e-mails have to be sent, bugs have to be communicated, managed and fixed. As a consequence, the contributions of the developers are very diversified. This paper describes an empirical study whose goal was to assess and compare the contributions of the developers through software repository mining. Two medium-sized projects - an open source and a commercial project - were analyzed. Overall, 17,490 commits and 10,308 bugs reports were analyzed. In the first part of our study, we have classified the developers based on their contribution to the software repository in three groups - core, active and peripheral developers. After that, we have collected a series of metrics - code contribution, buggy commits and resolution of priority bugs - for all the developers of the investigated projects. Finally, we have analyzed the collected metrics for the different developer groups. Our study findings show significant differences in the contribution provided by the developers groups considering the open-source and the commercial project. Copyright 2014 ACM.</t>
  </si>
  <si>
    <t>https://www.scopus.com/inward/record.uri?eid=2-s2.0-84905652472&amp;doi=10.1145%2f2554850.2555030&amp;partnerID=40&amp;md5=321ccacb5a888430a40b978b0211079d</t>
  </si>
  <si>
    <t>Jaruchotrattanasakul, T., Yang, X., Makihara, E., Fujiwara, K. and Iida, H.</t>
  </si>
  <si>
    <t>Open Source Resume (OSR): A Visualization Tool for Presenting OSS Biographies of Developers</t>
  </si>
  <si>
    <t>In order to recruit appropriate developersfor software projects, it is important to have a clarifiedunderstanding on the practical experience and expertise of eachcandidate. However, traditional resume only shows experiencesclaimed by developers, and very few evidence or informationregarding their actual development activities can be obtained. In this paper, we propose an approach to extract developers'practical activities from their participated open source software(OSS) projects, and generate the biographies that reflect theirOSS contributions. We applied the approach on the largest codehosting service, GitHub. By investigating the resumes generatedfrom the extracted dataset, recruiters of software projects canbe given a clearer view on whether the developers' experiencesfulfill the qualifications. Moreover, based on the approach, wepresent a web-based visualization tool, named as Open SourceResume (OSR). We believe our tool is useful to help recruitersfrom software development organizations to search for suitabledevelopers, and then construct development teams in softwareprojects based on their OSS contributions. © 2016 IEEE.</t>
  </si>
  <si>
    <t>https://www.scopus.com/inward/record.uri?eid=2-s2.0-84971425245&amp;doi=10.1109%2fIWESEP.2016.17&amp;partnerID=40&amp;md5=cbd175697912d418233bb635ffe99651</t>
  </si>
  <si>
    <t>Zamani, S., Lee, S. P., Shokripour, R. and Anvik, J.</t>
  </si>
  <si>
    <t>A feature location approach supported by time-aware weighting of terms associated with developer expertise profiles</t>
  </si>
  <si>
    <t>Feature location is a frequent software maintenance activity that aims to identify initial source code location pertinent to a software feature. Most of feature location approaches are based, at least in part, on text analysis methods which originate from the natural language context. However, the natural language context and the text data in software repositories have different properties that reveal the need for adaption of the methods to apply in the context of software repositories. One of the differences is the existence of a set of metadata, such as developer information and time stamp, which is associated with the data in the repositories. However, this difference has not been fully considered in previous feature location research studies. This study proposes a feature location approach that analyzes developer expertise profiles, which contain source code entities modified by the associated software developers, to identify the most similar location pertinent to a desired feature. This approach uses a time-aware term-weighting technique to determine the similarity. An experimental evaluation on four open-source projects shows an improvement in the accuracy, performance, and effectiveness up to 55, 39, and 29 %, respectively, compared to the high-performing information retrieval methods used in feature location. Moreover, the proposed time-aware technique increases the accuracy, performance, and effectiveness of the typical term-weighting technique, tf-idf, as much as 15, 11, and 13 %, respectively. Finally, the proposed approach outperforms our previous approach, noun-based feature location, as much as 17 %. These experimental results demonstrate that time-aware analysis of developers’ expertise significantly improves the feature location process. © 2016, Springer-Verlag London.</t>
  </si>
  <si>
    <t>https://www.scopus.com/inward/record.uri?eid=2-s2.0-84954327443&amp;doi=10.1007%2fs10115-015-0909-5&amp;partnerID=40&amp;md5=b3bcb941a395d7e0af7d31a1b55c0e36</t>
  </si>
  <si>
    <t>Sun, X., Yang, H., Leung, H., Li, B., Li, H. J. and Liao, L.</t>
  </si>
  <si>
    <t>Effectiveness of exploring historical commits for developer recommendation: an empirical study</t>
  </si>
  <si>
    <t>Developer recommendation is an essential task for resolving incoming issues in the evolution of software. Many developer recommendation techniques have been developed in the literature; among these studies, most techniques usually combined historical commits as supplementary information with bug repositories and/or source-code repositories to recommend developers. However, the question of whether the messages in historical commits are always useful has not yet been answered. This article aims at solving this problem by conducting an empirical study on four open-source projects. The results show that: (1) the number of meaningful words of the commit description has an impact on the quality of the commit, and a larger number of meaningful words in the description means that it can generally better reflect developers’ expertise; (2) using commit description to recommend the relevant developers is better than that using relevant files that are recorded in historical commits; (3) developers tend to change the relevant files that they have changed many times before; (4) developers generally tend to change the files that they have changed recently. © 2018, Higher Education Press and Springer-Verlag GmbH Germany, part of Springer Nature.</t>
  </si>
  <si>
    <t>https://www.scopus.com/inward/record.uri?eid=2-s2.0-85041623994&amp;doi=10.1007%2fs11704-016-6023-3&amp;partnerID=40&amp;md5=d016a749c80b3f64d65dad01084ee86f</t>
  </si>
  <si>
    <t>Yamashita, K., Kamei, Y., McIntosh, S., Hassan, A. E. and Ubayashi, N.</t>
  </si>
  <si>
    <t>Magnet or sticky? Measuring project characteristics from the perspective of developer attraction and retention</t>
  </si>
  <si>
    <t>Journal of Information Processing</t>
  </si>
  <si>
    <t>Open Source Software (OSS) is vital to both end users and enterprises. As OSS systems are becoming a type of infrastructure, long-term OSS projects are desired. For the survival of OSS projects, the projects need to not only retain existing developers, but also attract new developers to grow. To better understand how projects retain and attract contributors, our preliminary study aimed to measure the personnel attraction and retention of OSS projects using a pair of population migration metrics, called Magnet (personnel attraction) and Sticky (retention) metrics. Because the preliminary study analyzed only 90 projects and the 90 projects are not representative of GitHub, this paper extend the preliminary study to better understand the generalizability of the results by analyzing 16,552 projects of GitHub. Furthermore, we also add a pilot study to investigate the typical duration between releases to find more appropriate release duration. The study results show that (1) approximately 23% of developers remain in the same projects that the developers contribute to, (2) the larger projects are likely to attract and retain more developers, (3) 53% of terminal projects eventually decay to a state of fewer than ten developers and (4) 55% of attractive projects remain in an attractive category. © 2016 Information Processing Society of Japan.</t>
  </si>
  <si>
    <t>https://www.scopus.com/inward/record.uri?eid=2-s2.0-84961129492&amp;doi=10.2197%2fipsjjip.24.339&amp;partnerID=40&amp;md5=32e9df0d974f78ce3187f7ac54346727</t>
  </si>
  <si>
    <t>Bao, L., Xing, Z., Xia, X., Lo, D. and Li, S.</t>
  </si>
  <si>
    <t>Who Will Leave the Company?: A Large-Scale Industry Study of Developer Turnover by Mining Monthly Work Report</t>
  </si>
  <si>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 2017 IEEE.</t>
  </si>
  <si>
    <t>https://www.scopus.com/inward/record.uri?eid=2-s2.0-85026554861&amp;doi=10.1109%2fMSR.2017.58&amp;partnerID=40&amp;md5=d73b1bee686c3fcdee303e0be9727143</t>
  </si>
  <si>
    <t>Orrú, M. and Marchesi, M.</t>
  </si>
  <si>
    <t>Assessment of approaches for the analysis of refactoring activity on software repositories an empirical study</t>
  </si>
  <si>
    <t>Refactoring is the practice of changing source code without altering its external behavior. It is widely used since it is acknowledged to have a positive effect on software quality. However, different studies on the impact of Refactoring on software quality led to contrasting results. This might be due also to the fact that research works on Refactoring rely on different approaches to collect information about the refactoring activity on software repositories. Having a reliable approach is fundamental to draw solid conclusions. In this paper we empirically analyzed two of the most popular approaches to detect the refactoring activity on software repositories, finding that they return different outcomes. These results should be taken into account by researchers while designing the experimental settings of their studies. © 2016 ACM.</t>
  </si>
  <si>
    <t>https://www.scopus.com/inward/record.uri?eid=2-s2.0-84991448206&amp;doi=10.1145%2f2962695.2962717&amp;partnerID=40&amp;md5=b45d9bbacd639d5a134a40e6c7b775e9</t>
  </si>
  <si>
    <t>Di Bella, E., Sillitti, A. and Succi, G.</t>
  </si>
  <si>
    <t>A multivariate classification of open source developers</t>
  </si>
  <si>
    <t>Open source software development is becoming always more relevant. Understanding the behavior of developers in open source software projects and identifying the kinds of their contributions is an essential step to improve the efficiency of the development process and to organize the development teams more effectively. Moreover, understanding the level of participation of the different developers helps to understand which members of the development team are more important than others and who are the actual key developers. This paper investigates the behavior of open source developers and the structure of the development of open source projects through the analysis of a very large dataset: 10 well-known and widely used open source software projects for a total of more than 4 MLOC (millions of lines of code) modified distributed in more than 200 K versions. This study builds on the top of other studies in this area applying a set of rigorous statistical techniques, analyzing how developers contribute to the projects. Its novelty is in the fine gain analysis of the developers that have commit rights on the repository of the project they work on, in the automated identification of key contributors of the project, in the size of the analyzed datasets, and in the statistical techniques used to classify the behavior of the developers in an automated way. To collect such large volume of data and to ensure their integrity, a tool to automatically mine open source version control systems has been used. The main result of this study is the identification of a recurrent pattern of four kinds of contributors with the same characteristics in all the projects analyzed even if the projects are very different in domain, size, language, etc. © 2012 Elsevier Inc. All rights reserved.</t>
  </si>
  <si>
    <t>https://www.scopus.com/inward/record.uri?eid=2-s2.0-84868697929&amp;doi=10.1016%2fj.ins.2012.09.031&amp;partnerID=40&amp;md5=f69a5def9864650c75f825c0bf77819d</t>
  </si>
  <si>
    <t>De La Torre, G., Robbes, R. and Bergel, A.</t>
  </si>
  <si>
    <t>Imprecisions diagnostic in source code deltas</t>
  </si>
  <si>
    <t>Beyond a practical use in code review, source code change detection (SCCD) is an important component of many mining software repositories (MSR) approaches. As such, any error or imprecision in the detection may result in a wrong conclusion while mining repositories. We identified, analyzed, and characterized impressions in GumTree, which is the most advanced algorithm for SCCD. After analyzing its detection accuracy over a curated corpus of 107 C# projects, we diagnosed several imprecisions. Many of our findings confirm that a more language-aware perspective of GumTree can be helpful in reporting more precise changes. © 2018 ACM.</t>
  </si>
  <si>
    <t>https://www.scopus.com/inward/record.uri?eid=2-s2.0-85051659811&amp;doi=10.1145%2f3196398.3196404&amp;partnerID=40&amp;md5=6134dc01de9588886846ec348c75840c</t>
  </si>
  <si>
    <t>Lipčák, J. and Rossi, B.</t>
  </si>
  <si>
    <t>A large-scale study on source code reviewer recommendation</t>
  </si>
  <si>
    <t>Context: Software code reviews are an important part of the development process, leading to better software quality and reduced overall costs. However, finding appropriate code reviewers is a complex and time-consuming task. Goals: In this paper, we propose a large-scale study to compare performance of two main source code reviewer recommendation algorithms (RevFinder and a Naive Bayes-based approach) in identifying the best code reviewers for opened pull requests. Method: We mined data from Github and Gerrit repositories, building a large dataset of 51 projects, with more than 293K pull requests analyzed, 180K owners and 157K reviewers. Results: Based on the large analysis, we can state that i) no model can be generalized as best for all projects, ii) the usage of a different repository (Gerrit, GitHub) can have impact on the the recommendation results, iii) exploiting sub-projects information available in Gerrit can improve the recommendation results. © 2018 IEEE.</t>
  </si>
  <si>
    <t>https://www.scopus.com/inward/record.uri?eid=2-s2.0-85057204726&amp;doi=10.1109%2fSEAA.2018.00068&amp;partnerID=40&amp;md5=525ca30e887f1c7fac89306318ee8e08</t>
  </si>
  <si>
    <t>Continuously mining distributed version control systems: an empirical study of how Linux uses Git</t>
  </si>
  <si>
    <t>Distributed version control systems (D-VCSs —such as git and mercurial) and their hosting services (such as Github and Bitbucket) have revolutionalized the way in which developers collaborate by allowing them to freely exchange and integrate code changes in a peer-to-peer fashion. However, this flexibility comes at a price: code changes are hard to track because of the proliferation of code repositories and because developers modify (“rebase”) and filter (“cherry-pick”) the history of these changes to streamline their integration into the repositories of other developers. As a consequence, researchers and practitioners, who typically only consider the (cleaned up) history in the official project repository, are unaware of important elements and activities in the collaborative software development process. In this paper, we present a method that continuously mines all known D-VCSs of a software project to uncover the complete development history of a project. We use this method to (1) show the divergence between the code history development in the official Linux kernel repository and the complete kernel development history, and (2) to investigate the characteristics of the ecosystem of git repositories of the Linux kernel. Finally, we discuss how continuous mining could be adopted by current D-VCS hosting services. © 2014, Springer Science+Business Media New York.</t>
  </si>
  <si>
    <t>https://www.scopus.com/inward/record.uri?eid=2-s2.0-84955199765&amp;doi=10.1007%2fs10664-014-9356-2&amp;partnerID=40&amp;md5=6331aafc91184a2aa24de6cd284e1a54</t>
  </si>
  <si>
    <t>Yu, Y., Wang, H., Yin, G. and Liu, B.</t>
  </si>
  <si>
    <t>The Internetware" paradigm is fundamentally changing the traditional way of software development. More and more software projects are developed, maintained and shared on the Internet. However, a large quantity of heterogeneous software resources have not been organized in a reasonable and efficient way. Software feature is an ideal material to characterize software resources. The effectiveness of feature- related tasks will be greatly improved, if a multi-grained feature repository is available. In this paper, we propose a novel approach for organizing, analyzing and recommend- ing software features. Firstly, we construct a Hierarchical rEpository of Software feAture (HESA). Then, we mine the hidden affnities among the features and recommend relevant and high-quality features to stakeholders based on HESA. Finally, we conduct a user study to evaluate our approach quantitatively. The results show that HESA can organize software features in a more reasonable way compared to the traditional and the state-of-the-art approaches. The result of feature recommendation is effective and interesting. Categories and Subject Descriptors D.2.9 [Software Engineering]: Mining Software Reposi- tory; H.3.3 [Information Storage and retrieval]: Fea- ture Model, Clustering, Query formulation General Terms Algorithms, Human Factors.</t>
  </si>
  <si>
    <t>https://www.scopus.com/inward/record.uri?eid=2-s2.0-84890659252&amp;doi=10.1145%2f2532443.2532453&amp;partnerID=40&amp;md5=d3472bf1292f653c5bbc419f9031b7af</t>
  </si>
  <si>
    <t>Wijesiriwardana, C. and Wimalaratne, P.</t>
  </si>
  <si>
    <t>Software engineering data analytics: A framework based on a multi-layered abstraction mechanism</t>
  </si>
  <si>
    <t>This paper presents a concept of a domain-specific framework for software analytics by enabling querying, modeling, and integration of heterogeneous software repositories. The framework adheres to a multi-layered abstraction mechanism that consists of domain-specific operators. We showcased the potential of this approach by employing a case study. Copyright © 2019 The Institute of Electronics, Information and Communication Engineers.</t>
  </si>
  <si>
    <t>https://www.scopus.com/inward/record.uri?eid=2-s2.0-85063980735&amp;doi=10.1587%2ftransinf.2018EDL8070&amp;partnerID=40&amp;md5=a2ceb25a92bcbbc149714cdda9e1a25a</t>
  </si>
  <si>
    <t>Huang, C., Osaka, A., Kamei, Y. and Ubayashi, N.</t>
  </si>
  <si>
    <t>Automated DSL construction based on software product lines</t>
  </si>
  <si>
    <t>DSL (Domain-Specific Language) is one of the important approaches for software abstraction. In the past decades, DSLs have been provided by expert engineers familiar with domain knowledge and programming language processors. It is not easy for ordinary programmers to construct DSLs for their own purposes. To deal with this problem, we propose a language workbench called Argyle that can automatically generate a DSL by only specifying a set of functions needed to the DSL and an execution platform supported by the DSL. Argyle is based on software product lines and consists of the following two steps: 1) development of the core assets for constructing a family of DSLs and 2) DSL configuration using these core assets. To demonstrate the effectiveness of our approach, we developed a prototype DSL for supporting MSR (Mining Software Repositories), the most active research field in software engineering. Copyright © 2015 SCITEPRESS - Science and Technology Publications.</t>
  </si>
  <si>
    <t>https://www.scopus.com/inward/record.uri?eid=2-s2.0-84939553753&amp;partnerID=40&amp;md5=2d317333a96a56e366447d11bbf74be2</t>
  </si>
  <si>
    <t>Huang, C., Yamashita, K., Kamei, Y., Hisazumi, K. and Ubayashi, N.</t>
  </si>
  <si>
    <t>Domain analysis for mining software repositories: Towards feature-based DSL construction</t>
  </si>
  <si>
    <t>The mining software repositories (MSR) analyze data stored in software repositories and discover meaningful information to support software development. However, MSR is complex due to conducting large scale data collection with various repositories. To help practitioners perform MSR analysis, one possible way is to apply the approaches of software product line (SPL) to the MSR domain to understand variability and commonality for the domain, and to construct domain specific languages (DSLs) because DSLs have high readability to reduce the complexity of the procedure of MSR. In this paper, we construct a SQL-based DSL to support MSR and provide a systematic approach to conduct Feature-Oriented Domain Analysis (FODA) for MSR towards the construction of the DSL. We provide the syntax of the DSL and explain how to locate language elements of the DSL to the four-layer structure used in FODA. © 2013 IEEE.</t>
  </si>
  <si>
    <t>https://www.scopus.com/inward/record.uri?eid=2-s2.0-84886007828&amp;doi=10.1109%2fPLEASE.2013.6608663&amp;partnerID=40&amp;md5=17c74bbe9d45956d99b07fb52c74555e</t>
  </si>
  <si>
    <t>Nakamura, H., Nagano, R., Hisazumi, K., Kamei, Y., Ubayashi, N. and Fukuda, A.</t>
  </si>
  <si>
    <t>QORAL: An external domain-specific language for mining software repositories</t>
  </si>
  <si>
    <t>The mining software repositories (MSR) field integrates and analyzes data stored in repositories such as source control and bug repositories to provide support to practitioners. In order to provide useful information to practitioners, MSR researchers need to perform tasks iteratively, these tasks include extracting data from repositories, transforming them into specific data formats, and loading them into the statistical analysis tool. These tasks require a significant amount of man hours to implement and execute according to the requirements of the researchers. This paper proposes an external domain-specific language (DSL) called QORAL to facilitate the performance of multiple iterations and environment development. The results from a questionnaire used to evaluate QORAL indicate that it is easy to understand and modify source code. © 2012 IEEE.</t>
  </si>
  <si>
    <t>https://www.scopus.com/inward/record.uri?eid=2-s2.0-84871554764&amp;doi=10.1109%2fIWESEP.2012.20&amp;partnerID=40&amp;md5=2ad6bee4168f3645162c589d505a7c6f</t>
  </si>
  <si>
    <t>Pinto, F., Kulesza, U., Silva, L. and Guerra, E.</t>
  </si>
  <si>
    <t>Automating the Assessment of the Performance Quality Attribute for Evolving Software Systems: An Exploratory Study</t>
  </si>
  <si>
    <t>This paper describes an exploratory study for the evaluation of the performance quality attribute for releases of the same system. The main aim is to reveal performance degradations of architectural scenarios and their possible causes. Three software systems from different domains are used in our study, including a large-scale web system (SIGAA), a UML modeling tool (Argo UML), and a client-server framework for development of network applications (Netty). The data collection of the study is accomplished using a scenario-based approach that uses dynamic analysis and code repository mining to provide an automated way to reveal degradations of scenarios on releases of software systems. The results of our study show the feasibility of the approach to determine the causes of the performance degradations of scenarios, including the degraded and changed methods of scenarios, and the issues that have affected them. © 2015 IEEE.</t>
  </si>
  <si>
    <t>https://www.scopus.com/inward/record.uri?eid=2-s2.0-84944186710&amp;doi=10.1109%2fHICSS.2015.608&amp;partnerID=40&amp;md5=97181e1dd19cc7163be17813619dedf3</t>
  </si>
  <si>
    <t>Javed, O., Villazón, A. and Binder, W.</t>
  </si>
  <si>
    <t>JUniVerse: Large-scale jUnit-test analysis in the wild</t>
  </si>
  <si>
    <t>Current approaches for analyzing large number of open-source projects mainly focus on data mining or on static analysis techniques. On the contrary, research applying dynamic analyses such as Runtime Verification (RV) to open-source projects is scarce. This is due to lack of automatic means for executing arbitrary pieces of software that rely on complex dependencies and input parameters. In this paper, we present a fully automated infrastructure, JUniVerse, to conduct large-scale studies on unit tests in open-source projects in the wild. The proposed infrastructure runs on a cluster for parallel execution. We demonstrate the effectiveness of JUniVerse by conducting a large-scale study on Java projects hosted on GitHub. We apply a selection criteria based on static analysis to select 3 490 active projects. To show the feasibility of JUniVerse, we choose RV as a case study, and investigate the applicability of 182 publicly available JavaMOP specifications to the code exercised by unit tests. Our study reveals that 37 (out of 182) specifications (i.e., 20%) are not applicable to the code exercised by unit tests of real-world projects. Finally, with JUniVerse, we are able to identify a set of specs and projects for future RV studies. © 2019 Association for Computing Machinery.</t>
  </si>
  <si>
    <t>https://www.scopus.com/inward/record.uri?eid=2-s2.0-85065659382&amp;doi=10.1145%2f3297280.3297453&amp;partnerID=40&amp;md5=12200ff5f1f8f3ec25e297baf569803d</t>
  </si>
  <si>
    <t>Boa: A language and infrastructure for analyzing ultra-large-scale software repositories</t>
  </si>
  <si>
    <t>In today's software-centric world, ultra-large-scale software repositories, e.g. SourceForge (350,000+ projects), GitHub (250,000+ projects), and Google Code (250,000+ projects) are the new library of Alexandria. They contain an enormous corpus of software and information about software. Scientists and engineers alike are interested in analyzing this wealth of information both for curiosity as well as for testing important hypotheses. However, systematic extraction of relevant data from these repositories and analysis of such data for testing hypotheses is hard, and best left for mining software repository (MSR) experts! The goal of Boa, a domain-specific language and infrastructure described here, is to ease testing MSR-related hypotheses. We have implemented Boa and provide a web-based interface to Boa's infrastructure. Our evaluation demonstrates that Boa substantially reduces programming efforts, thus lowering the barrier to entry. We also see drastic improvements in scalability. Last but not least, reproducing an experiment conducted using Boa is just a matter of re-running small Boa programs provided by previous researchers. © 2013 IEEE.</t>
  </si>
  <si>
    <t>https://www.scopus.com/inward/record.uri?eid=2-s2.0-84886380715&amp;doi=10.1109%2fICSE.2013.6606588&amp;partnerID=40&amp;md5=d71c254aa9ed0b65b541606cc0a4780b</t>
  </si>
  <si>
    <t>Joy, A., Thangavelu, S. and Jyotishi, A.</t>
  </si>
  <si>
    <t>Performance of GitHub Open-Source Software Project: An Empirical Analysis</t>
  </si>
  <si>
    <t>The phenomenon of open-source software (OSS) has gained importance among the information technology (IT) firms and software entrepreneurial ventures in the recent years due to its advantages over proprietary closed software including high level of innovation, low cost of development, availability of reusable architectural and functional component, free and unrestrictive access to the source codes. The firms have started recognizing the importance and value of the open source software over the proprietary closed software. It is important to understand and analyze various characteristics of the OSS projects which influence their performance. In this research, we examine OSS project characteristics forks count, number of contributors, project age, project size, project owner, number of programming languages used, primary language intensity, and watchers using 130 project repositories which are started in 2017 from GitHub one of the leading web-based Git version control repository hosting services. A conceptual model of OSS Project performance and hypotheses are developed. The results conclude that the number of programming languages, the project size, the number of contributors, and the project age are showing significant positive influence on the OSS project performance. The project ownership and the primary language are not showing any significant influence on the OSS project performance. © 2018 IEEE.</t>
  </si>
  <si>
    <t>https://www.scopus.com/inward/record.uri?eid=2-s2.0-85056170100&amp;doi=10.1109%2fICAECC.2018.8479462&amp;partnerID=40&amp;md5=e1b0cfbb71d24edcc7f1a9d97c40ba31</t>
  </si>
  <si>
    <t>Wu, Y., Kropczynski, J., Shih, P. C. and Carroll, J. M.</t>
  </si>
  <si>
    <t>Exploring the ecosystem of software developers on github and other platforms</t>
  </si>
  <si>
    <t>GitHub provides various social features for developers to collaborate with others. Those features are important for developers to coordinate their work (Dabbish et al., 2012; Marlow et al., 2013). We hypothesized that the social system of GitHub users was bound by system interactions such that contributing to similar code repositories would lead to users following one another on GitHub or vice versa. Using a quadratic assignment procedure (QAP) correlation, however, only a weak correlation among followship and production activities (code, issue, and wiki contributions) was found. Survey with GitHub users revealed an ecosystem on the Internet for software developers, which includes many platforms, such as Forrst, Twitter, and Hacker News, among others. Developers make social introductions and other interactions on these platforms and engage with one anther on GitHub. Due to these preliminary findings, we describe GitHub as a part of a larger ecosystem of developer interactions.</t>
  </si>
  <si>
    <t>https://www.scopus.com/inward/record.uri?eid=2-s2.0-84898980963&amp;doi=10.1145%2f2556420.2556483&amp;partnerID=40&amp;md5=bee5c4240970cb9a6ba21c8efbabd455</t>
  </si>
  <si>
    <t>Mittal, M. and Sureka, A.</t>
  </si>
  <si>
    <t>Mani, S.</t>
  </si>
  <si>
    <t>There is an increasing trend to outsource maintenance of large applications and application portfolios of a business to third parties, specializing in application maintenance, who are incented to deliver the best possible maintenance at the lowest cost. In a typical industry setting any maintenance project spans three different phases; Transition, Steady-State and Preventive Maintenance. Each phase has different goals and drivers, but underlying software repositories or artifacts remain the same. To improve the overall efficiency of the process and people involved in these different phases, we require appropriate insights to be derived from the available software repositories. In the past decade considerable research has been done in mining software repositories and deriving insights, particularly focussed on open source softwares. However, focussed studies on enterprise software maintenance in an industrial setting is severely lacking. In this thesis work, we intend to understand the industry needs on desired insights and limitations on available software artifacts across these different phases. Based on this understanding we intend to propose and develop novel methods and approaches for deriving desirable insights from software repositories. We also intend to leverage empirical techniques to validate our approaches both qualitatively and quantitatively. Copyright © 2014 ACM.</t>
  </si>
  <si>
    <t>https://www.scopus.com/inward/record.uri?eid=2-s2.0-84903641089&amp;doi=10.1145%2f2591062.2591085&amp;partnerID=40&amp;md5=b1018435ab0a9634720e47e219964737</t>
  </si>
  <si>
    <t>Rodríguez, D., Sicilia, M. A., García, E. and Harrison, R.</t>
  </si>
  <si>
    <t>Empirical findings on team size and productivity in software development</t>
  </si>
  <si>
    <t>The size of software project teams has been considered to be a driver of project productivity. Although there is a large literature on this, new publicly available software repositories allow us to empirically perform further research. In this paper we analyse the relationships between productivity, team size and other project variables using the International Software Benchmarking Standards Group (ISBSG) repository. To do so, we apply statistical approaches to a preprocessed subset of the ISBSG repository to facilitate the study. The results show some expected correlations between productivity, effort and time as well as corroborating some other beliefs concerning team size and productivity. In addition, this study concludes that in order to apply statistical or data mining techniques to these type of repositories extensive preprocessing of the data needs to be performed due to ambiguities, wrongly recorded values, missing values, unbalanced datasets, etc. Such preprocessing is a difficult and error prone activity that would need further guidance and information that is not always provided in the repository. © 2011 Elsevier Inc. All rights reserved.</t>
  </si>
  <si>
    <t>https://www.scopus.com/inward/record.uri?eid=2-s2.0-84857361268&amp;doi=10.1016%2fj.jss.2011.09.009&amp;partnerID=40&amp;md5=247dabc541019a5c2ffd28673cd89a32</t>
  </si>
  <si>
    <t>Robles, G., González-Barahona, J. M., Cervigón, C., Capiluppi, A. and Izquierdo-Cortázar, D.</t>
  </si>
  <si>
    <t>Estimating development effort in free/open source software projects by mining software repositories: A case study of OpenStack</t>
  </si>
  <si>
    <t>Because of the distributed and collaborative nature of free/open source software (FOSS) projects, the development effort invested in a project is usually unknown, even after the software has been released. However, this information is becoming of major interest, especially-but not only-because of the growth in the number of companies for which FOSS has become relevant for their business strategy. In this paper we present a novel approach to estimate effort by considering data from source code management repositories. We apply our model to the OpenStack project, a FOSS project with more than 1,000 authors, in which several tens of companies cooperate. Based on data from its repositories and together with the input from a survey answered by more than 100 developers, we show that the model offers a simple, but sound way of obtaining software development estimations with bounded margins of error. Copyright 2014 ACM.</t>
  </si>
  <si>
    <t>https://www.scopus.com/inward/record.uri?eid=2-s2.0-84938773117&amp;doi=10.1145%2f2597073.2597107&amp;partnerID=40&amp;md5=ac554b73266d44d28f86cee10d94d21d</t>
  </si>
  <si>
    <t>Noll, J., Seichter, D. and Beecham, S.</t>
  </si>
  <si>
    <t>A qualitative method for mining open source software repositories</t>
  </si>
  <si>
    <t>The volume of data archived in open source software project repositories makes automated, quantitative techniques attractive for extracting and analyzing information from these archives. However, many kinds of archival data include blocks of natural language text that are difficult to analyze automatically. This paper introduces a qualitative analysis method that is transparent and repeatable, leads to objective findings when dealing with qualitative data, and is efficient enough to be applied to large archives. The method was applied in a case study of developer and user forum discussions of an open source electronic medical record project. The study demonstrates that the qualitative repository mining method can be employed to derive useful results quickly yet accurately. These results would not be possible using a strictly automated approach. © 2012 IFIP International Federation for Information Processing.</t>
  </si>
  <si>
    <t>https://www.scopus.com/inward/record.uri?eid=2-s2.0-84870380428&amp;doi=10.1007%2f978-3-642-33442-9_18&amp;partnerID=40&amp;md5=1571002e095e142419dd07f5c775d326</t>
  </si>
  <si>
    <t>Gupta, M. and Sureka, A.</t>
  </si>
  <si>
    <t>Gousios, G. and Spinellis, D.</t>
  </si>
  <si>
    <t>Mining software engineering data from GitHub</t>
  </si>
  <si>
    <t>GitHub is the largest collaborative source code hosting site built on top of the Git version control system. The availability of a comprehensive API has made GitHub a target for many software engineering and online collaboration research efforts. In our work, we have discovered that a) obtaining data from GitHub is not trivial, b) the data may not be suitable for all types of research, and c) improper use can lead to biased results. In this tutorial, we analyze how data from GitHub can be used for large-scale, quantitative research, while avoiding common pitfalls. We use the GHTorrent dataset, a queryable offline mirror of the GitHub API data, to draw examples from and present pitfall avoidance strategies. © 2017 IEEE.</t>
  </si>
  <si>
    <t>https://www.scopus.com/inward/record.uri?eid=2-s2.0-85026766727&amp;doi=10.1109%2fICSE-C.2017.164&amp;partnerID=40&amp;md5=a7e3ae6ba9f697e869a42845b77e2707</t>
  </si>
  <si>
    <t>Process cube for software defect resolution</t>
  </si>
  <si>
    <t>Online Analytical Processing (OLAP) cube is a multi-dimensional dataset used for analyzing data in a Data Warehouse (DW) for the purpose of extracting actionable intelligence. Process mining consists of analyzing event log data produced from Process Aware Information Systems (PAIS) for the purpose of discovering and improving business processes. Process cube is a concept which falls at the intersection of OLAP cube and process mining. Process cube facilitates process mining from multiple-dimensions and enables comparison of process mining results across various dimensions. We present an application of process cube to software defect resolution process to analyze and compare process data from a multi-dimensional perspective. We present a framework, a novel perspective to mine software repositories using process cube. Each cell of process cube is defined by metrics from multiple process mining perspectives like control flow, time, conformance and organizational perspective. We conduct a case-study on Google Chromium project data in which the software defect resolution process spans three software repositories: Issue Tracking System (ITS), Peer Code Review System (PCR) and Version Control System (VCS). We define process cube with 9 dimensions as issue report timestamp, priority, state, closed status, OS, component, bug type, reporter and owner. We define hierarchies along various dimensions and cluster members to handle sparsity. We apply OLAP cube operations such as slice, dice, roll-up and drill-down, and create materialized sublog for each cell. We demonstrate the solution approach by discovering process map and compare process mining results from control flow and time perspective for Performance and Security issues. © 2014 IEEE.</t>
  </si>
  <si>
    <t>https://www.scopus.com/inward/record.uri?eid=2-s2.0-84951277134&amp;doi=10.1109%2fAPSEC.2014.45&amp;partnerID=40&amp;md5=e475ad80707b2b3e3d19b7b2ddd946c9</t>
  </si>
  <si>
    <t>Pascarella, L., Palomba, F. and Bacchelli, A.</t>
  </si>
  <si>
    <t>Fine-grained just-in-time defect prediction</t>
  </si>
  <si>
    <t>Defect prediction models focus on identifying defect-prone code elements, for example to allow practitioners to allocate testing resources on specific subsystems and to provide assistance during code reviews. While the research community has been highly active in proposing metrics and methods to predict defects on long-term periods (i.e.,at release time), a recent trend is represented by the so-called short-term defect prediction (i.e.,at commit-level). Indeed, this strategy represents an effective alternative in terms of effort required to inspect files likely affected by defects. Nevertheless, the granularity considered by such models might be still too coarse. Indeed, existing commit-level models highlight an entire commit as defective even in cases where only specific files actually contain defects. In this paper, we first investigate to what extent commits are partially defective; then, we propose a novel fine-grained just-in-time defect prediction model to predict the specific files, contained in a commit, that are defective. Finally, we evaluate our model in terms of (i) performance and (ii) the extent to which it decreases the effort required to diagnose a defect. Our study highlights that: (1) defective commits are frequently composed of a mixture of defective and non-defective files, (2) our fine-grained model can accurately predict defective files with an AUC-ROC up to 82% and (3) our model would allow practitioners to save inspection efforts with respect to standard just-in-time techniques. © 2018</t>
  </si>
  <si>
    <t>https://www.scopus.com/inward/record.uri?eid=2-s2.0-85059617149&amp;doi=10.1016%2fj.jss.2018.12.001&amp;partnerID=40&amp;md5=e18332213b4ec63d273dcd1be2e9bb2e</t>
  </si>
  <si>
    <t>Leitner, P. and Bezemer, C. P.</t>
  </si>
  <si>
    <t>An exploratory study of the state of practice of performance testing in Java-based open source projects</t>
  </si>
  <si>
    <t>The usage of open source (OS) software is wide-spread across many industries. While the functional quality of OS projects is considered to be similar to closed-source software, much is unknown about the quality in terms of performance. One challenge for OS developers is that, unlike for functional testing, there is a lack of accepted best practices for performance testing. To reveal the state of practice of performance testing in OS projects, we conduct an exploratory study on 111 Java-based OS projects from GitHub. We study the performance tests of these projects from five perspectives: (1) developers, (2) size, (3) test organization, (4) types of performance tests and (5) used tooling. We show that writing performance tests is not a popular task in OS projects: performance tests form only a small portion of the test suite, are rarely updated, and are usually maintained by a small group of core project developers. Further, even though many projects are aware that they need performance tests, developers appear to struggle implementing them. We argue that future performance testing frameworks should provider better support for low-friction testing, for instance via non-parameterized methods or performance test generation, as well as focus on a tight integration with standard continuous integration tooling. © 2017 Copyright held by the owner/author(s).</t>
  </si>
  <si>
    <t>https://www.scopus.com/inward/record.uri?eid=2-s2.0-85019046338&amp;doi=10.1145%2f3030207.3030213&amp;partnerID=40&amp;md5=014e9d6263420a8166cf42cbaa28c2ff</t>
  </si>
  <si>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 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 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 © 2016 ACM.</t>
  </si>
  <si>
    <t>https://www.scopus.com/inward/record.uri?eid=2-s2.0-84974604506&amp;doi=10.1145%2f2901739.2901742&amp;partnerID=40&amp;md5=522504d1861300cb6fd2b195801e9ac9</t>
  </si>
  <si>
    <t>De Farias, M. A. F., Colaço, M., Jr., Mendonça, M., Novais, R., Da Silva Carvalho, L. P. and Spínola, R. O.</t>
  </si>
  <si>
    <t>Background: Software repositories provide large amount of data encompassing software changes throughout its evolution. Those repositories can be effectively used to extract and analyze pertinent information and derive conclusions related to the software history or its current snapshot. Objective: This work aims to investigate recent studies on Mining Software Repositories (MSR) approaches collecting evidences about software analysis goals (purpose, focus, and object of analysis), data sources, evaluation methods, tools, and how the area is evolving. Method: A systematic mapping study was performed to identify and analyze research on mining software repositories by analyzing five editions of Working Conference on Mining Software Repositories - the main conference on this area. Results: MSR approaches have been used for many different goals, mainly for comprehension of defects, analysis of the contribution and behavior of developers, and software evolution comprehension. Besides, some gaps were identified with respect to their goals, focus, and data source type (e.g. lack of usage of comments to identify smells, refactoring, and issues of software quality). Regarding the evaluation method, our analysis pointed out to an extensive usage of some types of empirical evaluation. Conclusion: Studies of the MSR have focused on different goals, however there are still many research opportunities to be explored and issues associated with MSR that should be considered. © 2016 ACM.</t>
  </si>
  <si>
    <t>https://www.scopus.com/inward/record.uri?eid=2-s2.0-84975865303&amp;doi=10.1145%2f2851613.2851786&amp;partnerID=40&amp;md5=d1b1fc4a5e42c4d56609c78a0b546e52</t>
  </si>
  <si>
    <t>Luo, Z., Mao, X. and Li, A.</t>
  </si>
  <si>
    <t>An Exploratory Research of GitHub Based on Graph Model</t>
  </si>
  <si>
    <t>GitHub has accumulated a great number of developers and open source projects. In this research, we utilize property graph model to explore complex relationships and entities of GitHub. We attempt to answer three questions associated with GitHub using the dataset from MSR2014 data challenge. Firstly, we propose a graph based method to find out the cross technology background developers on GitHub. Secondly we define interesting metrics based on discrete entropy to analyze the project imbalance induced by commit action within a software family. The results show that the imbalance of development size induced by root projects is greater than that of development speed. Finally, we sort out the relatively important root projects with two link analysis methods and the experiment result demonstrates that our method is effective. © 2015 IEEE.</t>
  </si>
  <si>
    <t>https://www.scopus.com/inward/record.uri?eid=2-s2.0-84961718539&amp;doi=10.1109%2fFCST.2015.45&amp;partnerID=40&amp;md5=11cf629ce2d4586d0e671b64a7de0ebd</t>
  </si>
  <si>
    <t>A method for the identification of logical dependencies</t>
  </si>
  <si>
    <t>Logical dependencies refer to implicit relationships established among software artifacts that make them frequently change together throughout the software development process. Research in global software development has shown that such dependencies influence the quality of software systems and the coordination needs among developers and teams in software development. Properly identifying logical dependencies is thus important. However, several challenges in this topic remain open and must be overcome, such as finding more adequate ways to group related commits and to filter out irrelevant dependencies. Driven by these factors, the goal of the candidate's PhD thesis is to conceive, implement, and evaluate an effective method for logical dependencies identification. Preliminary results have shown that the initial version of our proposed method is feasible even in large scale scenarios and that it is also able to group related commits in atomic-commit-featured version control systems. © 2012 IEEE.</t>
  </si>
  <si>
    <t>https://www.scopus.com/inward/record.uri?eid=2-s2.0-84870707355&amp;doi=10.1109%2fICGSEW.2012.19&amp;partnerID=40&amp;md5=bfefdbfbe83888bf5d2f13cc9a01ad68</t>
  </si>
  <si>
    <t>Exploring software developers’ work practices: Task differences, participation, engagement, and speed of task resolution</t>
  </si>
  <si>
    <t>Information and Management</t>
  </si>
  <si>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 © 2016 Elsevier B.V.</t>
  </si>
  <si>
    <t>https://www.scopus.com/inward/record.uri?eid=2-s2.0-85008600348&amp;doi=10.1016%2fj.im.2016.09.005&amp;partnerID=40&amp;md5=23715a3456950e140f0826f92735fa6e</t>
  </si>
  <si>
    <t>Vendome, C., Bavota, G., Penta, M. D., Linares-Vásquez, M., German, D. and Poshyvanyk, D.</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</si>
  <si>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</si>
  <si>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</si>
  <si>
    <t>https://www.scopus.com/inward/record.uri?eid=2-s2.0-85020033576&amp;doi=10.1007%2fs10664-016-9438-4&amp;partnerID=40&amp;md5=8854e37b29ad157bd8c1251cb52edb99</t>
  </si>
  <si>
    <t>Zagalsky, A., German, D. M., Storey, M. A., Teshima, C. G. and Poo-Caamaño, G.</t>
  </si>
  <si>
    <t>How the R community creates and curates knowledge: an extended study of stack overflow and mailing lists</t>
  </si>
  <si>
    <t>One of the effects of social media’s prevalence in software development is the many flourishing communities of practice where users share a common interest. These large communities use many different communication channels, but little is known about how they create, share, and curate knowledge using such channels. In this paper, we report a mixed methods study of how one community of practice, the R software development community, creates and curates knowledge associated with questions and answers (Q&amp;A) in two of its main communication channels: the R tag in Stack Overflow and the R-Help mailing list. The results reveal that knowledge is created and curated in two main forms: participatory, where multiple users explicitly collaborate to build knowledge, and crowdsourced, where individuals primarily work independently of each other. Moreover, we take a unique approach at slicing the data based on question score and participation activities over time. Our study reveals participation patterns, showing the existence of prolific contributors: users who are active across both channels and are responsible for a large proportion of the answers, serving as a bridge of knowledge. The key contributions of this paper are: a characterization of knowledge artifacts that are exchanged by this community of practice; the reasons why users choose one channel over the other; and insights on the community participation patterns, which indicate an evolution of the community and a shift from knowledge creation to knowledge curation. © 2017, Springer Science+Business Media, LLC.</t>
  </si>
  <si>
    <t>https://www.scopus.com/inward/record.uri?eid=2-s2.0-85027732227&amp;doi=10.1007%2fs10664-017-9536-y&amp;partnerID=40&amp;md5=becca4cbe5a68e2aaac3bb1925c43bdd</t>
  </si>
  <si>
    <t>Sun, X., Li, B., Leung, H., Li, B. and Li, Y.</t>
  </si>
  <si>
    <t>MSR4SM: Using topic models to effectively mining software repositories for software maintenance tasks</t>
  </si>
  <si>
    <t>Context Mining software repositories has emerged as a research direction over the past decade, achieving substantial success in both research and practice to support various software maintenance tasks. Software repositories include bug repository, communication archives, source control repository, etc. When using these repositories to support software maintenance, inclusion of irrelevant information in each repository can lead to decreased effectiveness or even wrong results. Objective This article aims at selecting the relevant information from each of the repositories to improve effectiveness of software maintenance tasks. Method For a maintenance task at hand, maintainers need to implement the maintenance request on the current system. In this article, we propose an approach, MSR4SM, to extract the relevant information from each software repository based on the maintenance request and the current system. That is, if the information in a software repository is relevant to either the maintenance request or the current system, this information should be included to perform the current maintenance task. MSR4SM uses the topic model to extract the topics from these software repositories. Then, relevant information in each software repository is extracted based on the topics. Results MSR4SM is evaluated for two software maintenance tasks, feature location and change impact analysis, which are based on four subject systems, namely jEdit, ArgoUML, Rhino and KOffice. The empirical results show that the effectiveness of traditional software repositories based maintenance tasks can be greatly improved by MSR4SM. Conclusions There is a lot of irrelevant information in software repositories. Before we use them to implement a maintenance task at hand, we need to preprocess them. Then, the effectiveness of the software maintenance tasks can be improved. © 2015 Elsevier B.V.</t>
  </si>
  <si>
    <t>https://www.scopus.com/inward/record.uri?eid=2-s2.0-84937578211&amp;doi=10.1016%2fj.infsof.2015.05.003&amp;partnerID=40&amp;md5=a51bb32e0a3c4f9da56f595f485a5b44</t>
  </si>
  <si>
    <t>Bigliardi, L., Lanza, M., Bacchelli, A., Dambros, M. and Mocci, A.</t>
  </si>
  <si>
    <t>Quantitatively exploring non-code software artifacts</t>
  </si>
  <si>
    <t>Most software engineering research focuses its analyses on source code, because correct, well designed, and efficient program code is the desired end output of software development. Nevertheless, source code is not the only constituent of software systems: Programs also comprise other types of artifacts, such as documentation, build system and configuration files, and graphics. These non-code artifacts only recently got the attention of researchers and are not yet investigated as a whole, but separately and with very specific aims. By taking a quantitative perspective, we look into non-code software artifacts to measure their role in software systems. We analyze 35 mature open-source software systems and we address exploratory questions such as: How many non-code software artifacts do software systems contain? How do they relate to source code? How much effort is put into producing and maintaining them? Our results show that a significant portion of systems is made of non-code artifacts, and that programmers spend a relevant part of their effort on non-code artifacts during the development process. Our analysis opens questions for future investigations. © 2014 IEEE.</t>
  </si>
  <si>
    <t>https://www.scopus.com/inward/record.uri?eid=2-s2.0-84912120623&amp;doi=10.1109%2fQSIC.2014.31&amp;partnerID=40&amp;md5=12bac05e639da1497148e69b561008c3</t>
  </si>
  <si>
    <t>Digkas, G., Lungu, M., Chatzigeorgiou, A. and Avgeriou, P.</t>
  </si>
  <si>
    <t>The evolution of technical debt in the apache ecosystem</t>
  </si>
  <si>
    <t>Software systems must evolve over time or become increasingly irrelevant says one of Lehman’s laws of software evolution. Many studies have been presented in the literature that investigate the evolution of software systems but few have focused on the evolution of technical debt. In this paper we study sixty-six Java open-source software projects from the Apache ecosystem focusing on the evolution of technical debt. We analyze the evolution of these systems over the past five years at the temporal granularity level of weekly snapshots. We calculate the trends of the technical debt time series but we also investigate the lower-level constituent components of this technical debt. We aggregate some of the information to the ecosystem level. Our findings show that the technical debt together with source code metrics increase for the majority of the systems. However, technical debt normalized to the size of the system actually decreases over time in the majority of the systems under investigation. Furthermore, we discover that some of the most frequent and time-consuming types of technical debt are related to improper exception handling and code duplication. © 2017, Springer International Publishing AG.</t>
  </si>
  <si>
    <t>https://www.scopus.com/inward/record.uri?eid=2-s2.0-85028988722&amp;doi=10.1007%2f978-3-319-65831-5_4&amp;partnerID=40&amp;md5=2a01fe706f7a1c5f71eeb5b48f50e34b</t>
  </si>
  <si>
    <t>Bansal, A., Malhotra, R. and Raje, K.</t>
  </si>
  <si>
    <t>Analyzing and assessing the security-related defects</t>
  </si>
  <si>
    <t>The use of the Internet has become an integral part of everyone's life. Due to this, the introduction of virus and other malicious crackers is increasing everyday. This in turn leads to the introduction of defects which adversely affect the security. Thus, protecting vital information in this cyber world is not an easy task. We need to deal with security related defects to ensure failure free and smooth functioning of the software. Thus, in this paper, we intend to study and analyze various aspects of security-related defects by analyzing the defect reports available in various open-source software repositories. Besides this, prediction models can also be constructed which can be used by researchers and practitioners to predict various aspects of security-related defects. Such prediction models are especially beneficial for large-scale systems, where testing experts need to focus their attention and resources to the problem areas of the system under development. Thus, application of software prediction models in the early phases of the software life cycle contributes to efficient defect removal and results in delivering more reliable and better quality software products. Empirical studies lack the use of proper research methodology and thus result in reporting inconsistent results. This study will review the sequence of steps followed in the research process for carrying empirical and replicated studies. The steps include a) literature survey and definition of variables b) data collection c) report findings using statistical and machine learning techniques d) analyzing performance measures for evaluating the performance of the predicted models and e) interpretation of the obtained results for developing a software prediction model. These steps are explained with the help of experimental public domain data set. In addition, the paper provides an overview of repositories for mining software engineering data, tools for analyzing this data and various categories of machine learning methods. It also discusses existing research avenues and provides future research directions in this area. © 2016 IEEE.</t>
  </si>
  <si>
    <t>https://www.scopus.com/inward/record.uri?eid=2-s2.0-84985902350&amp;doi=10.1109%2fICICCS.2016.7542332&amp;partnerID=40&amp;md5=7ab72e315ad95805fcfd3e12cba88920</t>
  </si>
  <si>
    <t>Da Silva, R. R. O., Vernier, E. F., Rauber, P. E., Comba, J. L. D., Minghim, R. and Telea, A. C.</t>
  </si>
  <si>
    <t>Metric evolution maps: Multidimensional attribute-driven exploration of software repositories</t>
  </si>
  <si>
    <t>Understanding how software entities in a repository evolve over time is challenging, as an entity has many aspects that undergo such changes. We cast this problem in a multidimensional visualization context: First, we capture change by extracting quality metrics from all software entities in all revisions in a software repository, yielding a multidimensional time-dependent dataset. Next, we propose Metric Evolution Maps (MEMs), a new visual approach to create dynamic maps that show the similarity of entities in a revision and changes across revisions. We enrich MEMs with visual cues to show which metrics and metric values are key to formation of similar-entity patterns. Additionally, we show how entities change between revisions, and due to which metrics. We illustrate our approach by exploring changes in two real-world software repositories. c 2016 The Author(s) Eurographics Proceedingsc 2016 The Eurographics Association.</t>
  </si>
  <si>
    <t>https://www.scopus.com/inward/record.uri?eid=2-s2.0-85019644658&amp;doi=10.2312%2fvmv.20161343&amp;partnerID=40&amp;md5=3bf67fb324043f1233125aa169f99354</t>
  </si>
  <si>
    <t>Kirbas, S., Caglayan, B., Hall, T., Counsell, S., Bowes, D., Sen, A. and Bener, A.</t>
  </si>
  <si>
    <t>The relationship between evolutionary coupling and defects in large industrial software</t>
  </si>
  <si>
    <t>Evolutionary coupling (EC) is defined as the implicit relationship between 2 or more software artifacts that are frequently changed together. Changing software is widely reported to be defect-prone. In this study, we investigate the effect of EC on the defect proneness of large industrial software systems and explain why the effects vary. We analysed 2 large industrial systems: a legacy financial system and a modern telecommunications system. We collected historical data for 7 years from 5 different software repositories containing 176 thousand files. We applied correlation and regression analysis to explore the relationship between EC and software defects, and we analysed defect types, size, and process metrics to explain different effects of EC on defects through correlation. Our results indicate that there is generally a positive correlation between EC and defects, but the correlation strength varies. Evolutionary coupling is less likely to have a relationship to software defects for parts of the software with fewer files and where fewer developers contributed. Evolutionary coupling measures showed higher correlation with some types of defects (based on root causes) such as code implementation and acceptance criteria. Although EC measures may be useful to explain defects, the explanatory power of such measures depends on defect types, size, and process metrics. Copyright © 2017 John Wiley &amp; Sons, Ltd.</t>
  </si>
  <si>
    <t>https://www.scopus.com/inward/record.uri?eid=2-s2.0-85012964590&amp;doi=10.1002%2fsmr.1842&amp;partnerID=40&amp;md5=bacc48dfdd52b31ba594cd1b9a13d23e</t>
  </si>
  <si>
    <t>Farias, M., Novais, R., Ortins, P., Colaço, M. and Mendonça, M.</t>
  </si>
  <si>
    <t>Analyzing distributions of emails and commits from OSS contributors through mining software repositories: An exploratory study</t>
  </si>
  <si>
    <t>Context: Distributed software development is a modern practice in software industry. This is especially true in Open Source Software (OSS) community. In this context, developers are normally distributed around the world. In addition, most of them work for free and without or with low coordinating. Understanding how developers' practices are on those projects may guide communities to successfully manage their projects. Goal: We mined two repositories of the Apache Httpd project in order to gather information about its developers' behavior. Method: We developed an approach to cross data gathered from mail list and source code repository through mining techniques. The approach uses software visualization to analyze the mined data. We conducted an experimental evaluation of the approach to assess the behavioral patterns from OSS development community. Results: Our results show Apache developers' behavior patterns. In addition, we deepen the analysis of the Preferred Representational System of four top developers presented by Colaço et. al in (Colaço et al., 2010). Conclusion: The use of data mining and software visualization to analyze data from different sources can spot important properties of development processes. Copyright © 2015 SCITEPRESS - Science and Technology Publications.</t>
  </si>
  <si>
    <t>https://www.scopus.com/inward/record.uri?eid=2-s2.0-84939535236&amp;partnerID=40&amp;md5=56e0642108e73b67bbb472da1a23a75d</t>
  </si>
  <si>
    <t>Santos, A., Souza, M., Oliveira, J. and Figueiredo, E.</t>
  </si>
  <si>
    <t>Mining software repositories to identify library experts</t>
  </si>
  <si>
    <t>Programming is multi-faceted, inherently involving several different skills. With the advent of collaboration platforms like GitHub, developers have the opportunity to contribute to projects from different organizations and collaborate with various developers from around the world. With GitHub data, new opportunities to identify developers abilities become possible. From GitHub, it is possible to infer several skills from a developer, for instance, the user of libraries. In this paper, we propose a method to identify library experts, based on the knowledge they produce on GitHub. We evaluated our method in an experiment to identify possible experts in three Java libraries. Our method ranked the top 100 developers for each technology. Then we compared the selected profiles from GitHub with profiles of these developers on the social network LinkedIn to see if what they report in LinkedIn matches what they produce in GitHub. We also surveyed students to compare the results of our method to the manual analysis. Our results showed that 89% of selected GitHub developers reported their skills in social networking sites as LinkedIn, according to the ranking made by our method and that the ranking produced by our method is related to the classification made by survey participants. © 2018 Association for Computing Machinery.</t>
  </si>
  <si>
    <t>https://www.scopus.com/inward/record.uri?eid=2-s2.0-85055725132&amp;doi=10.1145%2f3267183.3267192&amp;partnerID=40&amp;md5=d2a081f5cf897f9402dd02ace307a6d2</t>
  </si>
  <si>
    <t>De Jesus, J. S. and De Melo, A. C. V.</t>
  </si>
  <si>
    <t>Technical debt and the software project characteristics. A repository-based exploratory analysis</t>
  </si>
  <si>
    <t>Technical debt is a deviation of any software project's aspect related to a quality standard previously established. In general, this deviation is created to accomplish a short-term objective, but may cause some difficulties to perform further software developments and evolutions. Even though this happens in many software projects today, there is no common understanding of which factors and conditions can contribute to the accumulation of software technical debts. To account for the aspects of software projects (like size, time, the number of commit to correct defects and the number of collaborators) that may contribute to software technical debts, we collected data from fifty projects in a public software repository to make a statistical analysis on the relation of some aspects with the software technical debts. This paper presents the results of this study from which we realized that the project's size, the number of collaborators and speed of development are the most related aspects with the number of software technical debts. On the other hand, the number of commits created to correct the defects did not show to be connected to the amount of technical debt found in the analyzed projects. © 2017 IEEE.</t>
  </si>
  <si>
    <t>https://www.scopus.com/inward/record.uri?eid=2-s2.0-85029419343&amp;doi=10.1109%2fCBI.2017.62&amp;partnerID=40&amp;md5=1254d7e09bcf872899d089a6f7456608</t>
  </si>
  <si>
    <t>Da Silva, J. R., Jr., Clua, E., Murta, L. and Sarma, A.</t>
  </si>
  <si>
    <t>Exploratory data analysis of software repositories via GPU processing</t>
  </si>
  <si>
    <t>Analyzing software repositories with thousands of artifacts is data intensive, which makes interactive exploration analysis of such data infeasible. We introduce a novel approach, Dominoes, that can support automated exploration of relationships amongst project elements, where users have the flexibility to explore on the fly the numerous types of project relationships. Dominoes organizes data extracted from software repositories into multiple matrices that can be treated as domino pieces (e.g., [commit|method]). It allows connecting such pieces based on a set of matrix operations to derive additional domino pieces. These derived domino pieces represent semantics on project entity relationships (e.g., number of commits in which two methods co-occurred) and can be used for further explorations. This opens a vast possibility of data analysis, since these domino pieces can be iteratively combined. Our proposed matrix representation and operations allow for fast and efficient processing of a large volume of data by using a highly parallel architecture, such as GPUs. Copyright © 2014 by Knowledge Systems Institute Graduate School.</t>
  </si>
  <si>
    <t>https://www.scopus.com/inward/record.uri?eid=2-s2.0-84938296000&amp;partnerID=40&amp;md5=270d12c03da1f390c1b03a92703dca40</t>
  </si>
  <si>
    <t>Mining Scala Framework Extensions for Recommendation Patterns</t>
  </si>
  <si>
    <t>Keivanloo, I., Forbes, C., Hmood, A., Erfani, M., Neal, C., Peristerakis, G. and Rilling, J.</t>
  </si>
  <si>
    <t>A Linked Data platform for mining software repositories</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</si>
  <si>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 © 2012 IEEE.</t>
  </si>
  <si>
    <t>https://www.scopus.com/inward/record.uri?eid=2-s2.0-84865111297&amp;doi=10.1109%2fMSR.2012.6224296&amp;partnerID=40&amp;md5=3ba25c19f3ef8e8532339207302bc9b6</t>
  </si>
  <si>
    <t>Ishio, T., Sakaguchi, Y., Ito, K. and Inoue, K.</t>
  </si>
  <si>
    <t>Source File Set Search for Clone-And-Own Reuse Analysis</t>
  </si>
  <si>
    <t>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 © 2017 IEEE.</t>
  </si>
  <si>
    <t>https://www.scopus.com/inward/record.uri?eid=2-s2.0-85026535951&amp;doi=10.1109%2fMSR.2017.19&amp;partnerID=40&amp;md5=f53139130656df9cbb57a2845d71adfd</t>
  </si>
  <si>
    <t>Gligoric, M., Eloussi, L. and Marinov, D.</t>
  </si>
  <si>
    <t>Karimi, Z., Baraani-Dastjerdi, A., Ghasem-Aghaee, N. and Wagner, S.</t>
  </si>
  <si>
    <t>Links between the personalities, styles and performance in computer programming</t>
  </si>
  <si>
    <t>There are repetitive patterns in strategies of manipulating source code. For example, modifying source code before acquiring knowledge of how a code works is a depth-first style and reading and understanding before modifying source code is a breadth-first style. To the extent we know there is no study on the influence of personality on them. The objective of this study is to understand the influence of personality on programming styles. We did a correlational study with 65 programmers at the University of Stuttgart. Academic achievement, programming experience, attitude towards programming and five personality factors were measured via self-assessed survey. The programming styles were asked in the survey or mined from the software repositories. Performance in programming was composed of bug-proneness of programmers which was mined from software repositories, the grades they got in a software project course and their estimate of their own programming ability. We did statistical analysis and found that Openness to Experience has a positive association with breadth-first style and Conscientiousness has a positive association with depth-first style. We also found that in addition to having more programming experience and better academic achievement, the styles of working depth-first and saving coarse-grained revisions improve performance in programming. © 2015 Elsevier Inc. All rights reserved.</t>
  </si>
  <si>
    <t>https://www.scopus.com/inward/record.uri?eid=2-s2.0-84949908499&amp;doi=10.1016%2fj.jss.2015.09.011&amp;partnerID=40&amp;md5=a27be6e49becf15818e4b8bb9dd429e2</t>
  </si>
  <si>
    <t>Mukala, P., Cerone, A. and Turini, F.</t>
  </si>
  <si>
    <t>Mining learning processes from FLOSS mailing archives</t>
  </si>
  <si>
    <t>Evidence suggests that Free/Libre Open Source Software (FLOSS) environments provide unlimited learning opportunities. Community members engage in a number of activities both during their interaction with their peers and while making use of these environments. As FLOSS repositories store data about participants’ interaction and activities, we analyze participants’ interaction and knowledge exchange in emails to trace learning activities that occur in distinct phases of the learning process. We make use of semantic search in SQL to retrieve data and build corresponding event logs which are then fed to a process mining tool in order to produce visual workflow nets. We view these nets as representative of the traces of learning activities in FLOSS as well as their relevant flow of occurrence. Additional statistical details are provided to contextualize and describe these models. © IFIP International Federation for Information Processing 2015.</t>
  </si>
  <si>
    <t>https://www.scopus.com/inward/record.uri?eid=2-s2.0-84951804681&amp;doi=10.1007%2f978-3-319-25013-7_23&amp;partnerID=40&amp;md5=90b6853822627f473ef020ad17917084</t>
  </si>
  <si>
    <t>Zhu, J., Zhou, M. and Mockus, A.</t>
  </si>
  <si>
    <t>Patterns of folder use and project popularity: A case study of github repositories</t>
  </si>
  <si>
    <t>Context: Every software development project uses folders to organize software artifacts. Goal: We would like to understand how folders are used and what ramifications different uses may have. Method: In this paper we study the frequency of folders used by 140k Github projects and use regression analysis to model how folder use is related to project popularity, i.e., the extent of forking. Results: We find that the standard folders, such as document, testing, and examples, are not only among the most frequently used, but their presence in a project is associated with increased chances that a project's code will be forked (i.e., used by others) and an increased number of forks. Conclusions: This preliminary study of folder use suggests opportunities to quantify (and improve) file organization practices based on folder use patterns of large collections of repositories. © 2014 ACM.</t>
  </si>
  <si>
    <t>https://www.scopus.com/inward/record.uri?eid=2-s2.0-84907846797&amp;doi=10.1145%2f2652524.2652564&amp;partnerID=40&amp;md5=7555db0c297eb223b471ce7372173f3b</t>
  </si>
  <si>
    <t>Hebig, R., Quang, T. H., Chaudron, M. R. V., Robles, G. and Fernandez, M. A.</t>
  </si>
  <si>
    <t>The quest for open source projects that use UML: Mining GitHub</t>
  </si>
  <si>
    <t>Context: While industrial use of UML was studied intensely, little is known about UML use in Free/Open Source Software (FOSS) projects. Goal: We aim at systematically mining GitHub projects to answer the question when models, if used, are created and updated throughout the whole project's life-span. Method: We present a semi-automated approach to collect UML stored in images, .xmi, and .uml files and scanned ten percent of all GitHub projects (1.24 million). Our focus was on number and role of contributors that created/updated models and the time span during which this happened. Results: We identified and studied 21 316 UML diagrams within 3 295 projects. Conclusion: Creating/updating of UML happens most often during a very short phase at the project start. For 12% of the models duplicates were found, which are in average spread across 1.88 projects. Finally, we contribute a list of GitHub projects that include UML files. © 2016 ACM.</t>
  </si>
  <si>
    <t>https://www.scopus.com/inward/record.uri?eid=2-s2.0-85008473064&amp;doi=10.1145%2f2976767.2976778&amp;partnerID=40&amp;md5=fdbcbac35257972b3ab5d7484f73c91a</t>
  </si>
  <si>
    <t>Terceiro, A., Mendonça, M., Chavez, C. and Cruzes, D. S.</t>
  </si>
  <si>
    <t>Understanding structural complexity evolution: A quantitative analysis</t>
  </si>
  <si>
    <t>Background: An increase in structural complexity makes the source code of software projects more difficult to understand, and consequently more difficult and expensive to maintain and evolve. Knowing the factors that influence structural complexity helps developers to avoid the effects of higher levels of structural complexity on the maintainability of their projects. Aims: This paper investigates factors that might influence the evolution of structural complexity. Method: We analyzed the source code repositories of 5 free/open source software projects, with commits as experimental units. For each commit we measured the structural complexity variation it caused, the experience of the developer who made the commit, the size variation caused by the commit, and the change diffusion of the commit. Commits that increased structural complexity were analyzed separately from commits that decreased structural complexity, since they represent activities of distinct natures. Results: Change diffusion was the most influential among the factors studied, followed by size variation and developer experience; system growth was not necessarily associated with complexity increase; all the factors we studied influenced at least two projects; different projects were affected by different factors; and the factors that influenced the increase in structural complexity were usually not the same that influenced the decrease. Conclusions: All the factors explored in this study should be taken into consideration when analysing structural complexity evolution. However, they do not fully explain the structural complexity evolution in the studied projects: this suggests that qualitative studies are needed in order to better understand structural complexity evolution and identify other factors that must be included in future quantitative analysis. © 2012 IEEE.</t>
  </si>
  <si>
    <t>https://www.scopus.com/inward/record.uri?eid=2-s2.0-84860523389&amp;doi=10.1109%2fCSMR.2012.19&amp;partnerID=40&amp;md5=a953385ff8516bb846f61c08fa73e65b</t>
  </si>
  <si>
    <t>Feiner, J. and Andrews, K.</t>
  </si>
  <si>
    <t>RepoVis: Visual Overviews and Full-Text Search in Software Repositories</t>
  </si>
  <si>
    <t>Project managers and software developers often have difficulty maintaining an overview of the structure, evolution, and status of collaborative software projects. Some tools are available for typical source code management systems, which provide summary statistics or simple visual representations of merge-branch graphs. However, comprehensive visual overview and search facilities for such repositories are lacking. RepoVis is a new tool which provides comprehensive visual overviews and full-text search for projects maintained in Git repositories. The overview shows folders, files, and lines of code colour-coded according to last modification, developer, file type, or associated issues. Full-text searches can be performed for terms of interest within source code files, commit messages, or any associated metadata or usability findings, with matches displayed visually in the overview. The utility of the RepoVis approach is illustrated with three use cases of real-world software inspection. Insights are presented into the utility of full-text search and visual presentation of matches for program comprehension. © 2018 IEEE.</t>
  </si>
  <si>
    <t>https://www.scopus.com/inward/record.uri?eid=2-s2.0-85058433440&amp;doi=10.1109%2fVISSOFT.2018.00009&amp;partnerID=40&amp;md5=fd4cdb6b06c5c734c201d99b9efe0711</t>
  </si>
  <si>
    <t>Wang, W., Poo-Caamaño, G., Wilde, E. and German, D. M.</t>
  </si>
  <si>
    <t>What is the GIST? Understanding the use of public gists on GitHub</t>
  </si>
  <si>
    <t>GitHub is a popular source code hosting site which serves as a collaborative coding platform. The many features of GitHub have greatly facilitated developers' collaboration, communication, and coordination. Gists are one feature of GitHub, which defines them as 'a simple way to share snippets and pastes with others.' This three-part study explores how users are using Gists. The first part is a quantitative analysis of Gist metadata and contents. The second part investigates the information contained in a Gist: We sampled 750k users and their Gists (totalling 762k Gists), then manually categorized the contents of 398. The third part of the study investigates what users are saying Gists are for by reading the contents of web pages and twitter feeds. The results indicate that Gists are used by a small portion of GitHub users, and those that use them typically only have a few. We found that Gists are usually small and composed of a single file. However, Gists serve a wide variety of uses, from saving snippets of code, to creating reusable components for web pages. © 2015 IEEE.</t>
  </si>
  <si>
    <t>https://www.scopus.com/inward/record.uri?eid=2-s2.0-84957045308&amp;doi=10.1109%2fMSR.2015.36&amp;partnerID=40&amp;md5=d61a9a6cba0a692d4f56e36eb77e8688</t>
  </si>
  <si>
    <t>What makes an open source code popular on Git Hub?</t>
  </si>
  <si>
    <t>The rise of social networks for software development has attached a notion of popularity to open source projects. This work attempts to extract knowledge from the differences between popular and unpopular Python projects on GitHub. A large set of projects was mined for a rich variety of features that measure language utilization, documentation, and code volume. These features were used to train a classifier which predicted current popularity well (F-score = ×8). Notably, these features outperformed measures of author popularity (F-score = ×7). However, these features did not strongly predict future growth in popularity. An in-depth analysis of the performant features revealed that they could be useful as a measure of not only popularity, but of code quality. © 2014 IEEE.</t>
  </si>
  <si>
    <t>https://www.scopus.com/inward/record.uri?eid=2-s2.0-84936877708&amp;doi=10.1109%2fICDMW.2014.55&amp;partnerID=40&amp;md5=25d844379c0ccb91162a5dd9874da870</t>
  </si>
  <si>
    <t>Casalnuovo, C., Suchak, Y., Ray, B. and Rubio-González, C.</t>
  </si>
  <si>
    <t>GitcProc: A tool for processing and classifying GitHub commits</t>
  </si>
  <si>
    <t>Sites such as GitHub have created a vast collection of software artifacts that researchers interested in understanding and improving software systems can use. Current tools for processing such GitHub data tend to target project metadata and avoid source code processing, or process source code in a manner that requires significant effort for each language supported. This paper presents GitcProc, a lightweight tool based on regular expressions and source code blocks, which downloads projects and extracts their project history, including fine-grained source code information and development time bug fixes. GitcProc can track changes to both single-line and block source code structures and associate these changes to the surrounding function context with minimal set up required from users. We demonstrate GitcProc's ability to capture changes in multiple languages by evaluating it on C, C++, Java, and Python projects, and show it finds bug fixes and the context of source code changes effectively with few false positives. © 2017 Association for Computing Machinery.</t>
  </si>
  <si>
    <t>https://www.scopus.com/inward/record.uri?eid=2-s2.0-85026671393&amp;doi=10.1145%2f3092703.3098230&amp;partnerID=40&amp;md5=483c194dae9f5a0957018390c292842d</t>
  </si>
  <si>
    <t>Spadini, D., Aniche, M. and Bacchelli, A.</t>
  </si>
  <si>
    <t>Software repositories contain historical and valuable information about the overall development of software systems. Mining software repositories (MSR) is nowadays considered one of the most interesting growing fields within software engineering. MSR focuses on extracting and analyzing data available in software repositories to uncover interesting, useful, and actionable information about the system. Even though MSR plays an important role in software engineering research, few tools have been created and made public to support developers in extracting information from Git repository. In this paper, we present Pydriller, a Python Framework that eases the process of mining Git. We compare our tool against the state-of-the-art Python Framework GitPython, demonstrating that Pydriller can achieve the same results with, on average, 50% less LOC and significantly lower complexity. © 2018 Association for Computing Machinery.</t>
  </si>
  <si>
    <t>https://www.scopus.com/inward/record.uri?eid=2-s2.0-85058339699&amp;doi=10.1145%2f3236024.3264598&amp;partnerID=40&amp;md5=68d04fe939dcb63b72298e100f4e991d</t>
  </si>
  <si>
    <t>Salis, V. and Spinellis, D.</t>
  </si>
  <si>
    <t>RepoFS: File system view of Git repositories</t>
  </si>
  <si>
    <t>Empirical software engineering work often involves studying revision control system repositories maintained using the popular Git system. Checking out each revision one wants to study is inefficient. On the other hand the examination of directories and files of past revisions using Git's commands suffers from a usability perspective. We introduce RepoFS, a tool that exposes a Git repository as a virtual user-level file system. Commits, branches, and tags appear as separate directory trees allowing them to be efficiently processed through command-line tools and file explorers. We illustrate these points through motivating examples and discuss the advantages and drawbacks of the proposed approach. © 2019</t>
  </si>
  <si>
    <t>https://www.scopus.com/inward/record.uri?eid=2-s2.0-85063379208&amp;doi=10.1016%2fj.softx.2019.03.007&amp;partnerID=40&amp;md5=be4f5c1cef46c61bc061c4702b6583df</t>
  </si>
  <si>
    <t>Silva, D. and Valente, M. T.</t>
  </si>
  <si>
    <t>RefDiff: Detecting Refactorings in Version Histories</t>
  </si>
  <si>
    <t>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 © 2017 IEEE.</t>
  </si>
  <si>
    <t>https://www.scopus.com/inward/record.uri?eid=2-s2.0-85026557767&amp;doi=10.1109%2fMSR.2017.14&amp;partnerID=40&amp;md5=a4dff771bcc8c60534a5ba66442c1542</t>
  </si>
  <si>
    <t>Borges, H. and Tulio Valente, M.</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</si>
  <si>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</si>
  <si>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 2018 Elsevier Inc.</t>
  </si>
  <si>
    <t>https://www.scopus.com/inward/record.uri?eid=2-s2.0-85053752644&amp;doi=10.1016%2fj.jss.2018.09.016&amp;partnerID=40&amp;md5=539ba2003efbac792b873a3607d448f4</t>
  </si>
  <si>
    <t>Giri, A., Ravikumar, A., Mote, S. and Bharadwaj, R.</t>
  </si>
  <si>
    <t>Vritthi - A theoretical framework for IT recruitment based on machine learning techniques applied over Twitter, LinkedIn, SPOJ and GitHub profiles</t>
  </si>
  <si>
    <t>In this model, we propose an innovative recruitment system using social networking websites like Twitter and LinkedIn along with code repository hosting website GitHub and competitive coding platforms like SPOJ. It is aimed to develop advanced search engines to automatically sort the job-seekers based on job offer requirements using various data mining and machine learning techniques. Vritthi allows job-seekers to quantify their job preparedness and offer a list of specific areas for them to focus on. We propose the formulation of VPQF (Vritthi Professional Quotient) that involves the use of K-means algorithm to classify users into appropriate clusters and provide them with appropriate suggestions for improvement. Using classic data mining techniques like filtration, classification, clustering, profiling as well as string matching &amp; user profiling, this tool will enable recruiters to effectively select candidates who fit their organization in a hassle-free automated manner. © 2016 IEEE.</t>
  </si>
  <si>
    <t>https://www.scopus.com/inward/record.uri?eid=2-s2.0-85010403149&amp;doi=10.1109%2fSAPIENCE.2016.7684163&amp;partnerID=40&amp;md5=958d050f0f9ad95eeb827ebb7c1cba12</t>
  </si>
  <si>
    <t>Venkataramani, R., Gupta, A., Asadullah, A., Muddu, B. and Bhat, V.</t>
  </si>
  <si>
    <t>Discovery of technical expertise from open source code repositories</t>
  </si>
  <si>
    <t>Online Question and Answer websites for developers have emerged as the main forums for interaction during the software development process. The veracity of an answer in such websites is typically verified by the number of 'upvotes' that the answer garners from peer programmers using the same forum. Although this mechanism has proved to be extremely successful in rating the usefulness of the answers, it does not lend itself very elegantly to model the expertise of a user in a particular domain. In this paper, we propose a model to rank the expertise of the developers in a target domain by mining their activity in different opensource projects. To demonstrate the validity of the model, we built a recommendation system for StackOverflow which uses the data mined from GitHub.</t>
  </si>
  <si>
    <t>https://www.scopus.com/inward/record.uri?eid=2-s2.0-84893154943&amp;partnerID=40&amp;md5=4ee0d0809aadd9f48fe421c3412dc8c2</t>
  </si>
  <si>
    <t>Badashian, A. S. and Stroulia, E.</t>
  </si>
  <si>
    <t>Measuring user influence in Github: The million follower fallacy</t>
  </si>
  <si>
    <t>Influence in social networks has been extensively studied for collaborative-filtering recommendations and marketing purposes. We are interested in the notion of influence in Software Social Networks (SSNs); more specifically, we want to answer the following questions: 1) What does "influence" mean in SSNs? Given the variety of types of interactions supported in these networks and the abundance of centrality-type metrics, what is the nature of the influence captured by these matrics? 2) Are there silos of influence in these platforms or does influence span across thematic boundaries? To investigate these two questions, we first conducted an in-depth comparison of three influence metrics, number of followers, number of forked projects, and number of project watchers in GitHub1 (the largest code-sharing and version-control system). Next, we examined how the influence of the most influential software-engineering people in GitHub is spread over different programming languages. Our results indicate (a) that the three influence metrics capture two major characteristics: popularity and content value (code reusability) and (b) that the influence of influentials is spread over more than one programming language,but there is no specific trend toward any two programming languages. © 2016 ACM.</t>
  </si>
  <si>
    <t>https://www.scopus.com/inward/record.uri?eid=2-s2.0-84973508300&amp;doi=10.1145%2f2897659.2897663&amp;partnerID=40&amp;md5=6c74927a7af54e9e137d1ed52e3606d7</t>
  </si>
  <si>
    <t>Borges, H., Hora, A. and Valente, M. T.</t>
  </si>
  <si>
    <t>Predicting the popularity of GitHub repositories</t>
  </si>
  <si>
    <t>GitHub is the largest source code repository in the world. It provides a git-based source code management platform and also many features inspired by social networks. For example, GitHub users can show appreciation to projects by adding stars to them. Therefore, the number of stars of a repository is a direct measure of its popularity. In this paper, we use multiple linear regressions to predict the number of stars of GitHub repositories. These predictions are useful both to repository owners and clients, who usually want to know how their projects are performing in a competitive open source development market. In a large-scale analysis, we show that the proposed models start to provide accurate predictions after being trained with the number of stars received in the last six months. Furthermore, specific models—generated using data from repositories that share the same growth trends—are recommended for repositories with slow growth and/or for repositories with less stars. Finally, we evaluate the ability to predict not the number of stars of a repository but its rank among the GitHub repositories. We found a very strong correlation between predicted and real rankings (Spearman’s rho greater than 0.95). © 2016 ACM.</t>
  </si>
  <si>
    <t>https://www.scopus.com/inward/record.uri?eid=2-s2.0-85049039914&amp;doi=10.1145%2f2972958.2972966&amp;partnerID=40&amp;md5=9ef0403f59b76fd857461c44d9fd8f91</t>
  </si>
  <si>
    <t>Rusk, D. and Coady, Y.</t>
  </si>
  <si>
    <t>Location-based analysis of developers and technologies on GitHub</t>
  </si>
  <si>
    <t>GitHub is a popular platform for collaboration on open source projects. It also provides a rich API to query various aspects of the public activity. This combination of a popular social coding website with a rich API presents an opportunity for researchers to gather empirical data about software development practices. There are an overwhelmingly large number of competing platforms to choose from in software development. Knowing which are gaining widespread adoption is valuable both for individual developers trying to increase their employability, as well as software engineers deciding which technology to use in their next big project. In terms of a developer's employability and an employer's ability to find available developers in their economic region, it is important to identify the most common technologies by geographic location. In this paper, analyses are done on GitHub data taking into account the developers' location and their technology usage. A web-based tool has been developed to interact with and visualize this data. In its current state of development, the tool summarizes the amount of code developers have in their public repositories broken down by programming language, and summarizes data about programmers using specific programming languages. This allows website visitors to get an immediate picture of the programming language usage in their region of interest. Future research could expand this work to technologies beyond programming languages such as frameworks and libraries. © 2014 IEEE.</t>
  </si>
  <si>
    <t>https://www.scopus.com/inward/record.uri?eid=2-s2.0-84904480400&amp;doi=10.1109%2fWAINA.2014.110&amp;partnerID=40&amp;md5=e976cddcd5b449f7fadf917c72e5d6f2</t>
  </si>
  <si>
    <t>Xavier, J., Macedo, A. and Maia, M. D. A.</t>
  </si>
  <si>
    <t>Understanding the popularity of reporters and assignees in the Github</t>
  </si>
  <si>
    <t>Github has evolved from traditional version control systems to incorporate the wave of the Web 2.0. Intensive collaboration among developers is one of the main goals of Github beyond traditional version control. Understanding how those developers collaborate is a key issue to enhance the outcomes of individuals and of the ecosystem as a whole, as well. Developers activity during the collaboration may be partially registered in the Github database. The analysis of this database can help to answer important questions about different facets of collaboration. In this work, our interest is to understand which factors can influence developers' popularity and provide insights for individuals to enhance their own popularity. We measure popularity with the number of developer followers. We have analyzed a subset of the Github database in order to explain the high popularity phenomenon. Although, we have found that commit activity is an important factor for high popularity, we also have observed developers with low activity (reports and assigns) but with a high number of followers. We present external factors that can explain this dichotomy and they should be considered as key factors in the ecosystem of open-source development. Copyright © 2014 by Knowledge Systems Institute Graduate School.</t>
  </si>
  <si>
    <t>https://www.scopus.com/inward/record.uri?eid=2-s2.0-84938372473&amp;partnerID=40&amp;md5=bf3bc15218a2c5050d7d703fcb385c07</t>
  </si>
  <si>
    <t>Resumes and social recommendations are often high-level indicators of a candidate's technical skillset. In this paper, we present a method to create a more detailed technology skill profile of a candidate based on her code repository contributions. For this purpose, we annotate user contributions to GitHub code repositories with technology tags found in Stack Overflow questions and answers (Q&amp;A) in an unsupervised manner. We also present SkillMap, a visual representation of candidate skill profile, for quick review and comparison with other candidate profiles. We create SkillMaps for 66 Java programmers and present a preliminary qualitative assessment though manual analysis and interviews of technical recruiters.</t>
  </si>
  <si>
    <t>Kaur, A. and Chopra, D.</t>
  </si>
  <si>
    <t>GCC-Git Change Classifier for Extraction and Classification of Changes in Software Systems</t>
  </si>
  <si>
    <t>Software repositories are used for many purposes like version control, source code management, bug and issue tracking and change log management. GitHub is one of the popular software repositories. GitHub contains commit history of software that lists all changes recorded in the software system, but it does not classify the changes according to the reason for change. In this study a mechanism for extraction and classification of changes is proposed and Git Change Classifier (GCC) tool is developed. The tool uses regular expression to extract changes and employs Text Mining to determine the type of change. GCC Tool reports the year-wise number of changes for a file and classifies the changes into three types: (a) Bug Repairing Changes (BRC), (b) Feature Introducing Changes (FIC) and (c) General Changes (GC). This classification is useful for predicting the effort required for new changes, tracking the resolution of bugs in software and understanding the evolution of the software as it may depend on the type of change. © 2018, Springer Nature Singapore Pte. Ltd.</t>
  </si>
  <si>
    <t>https://www.scopus.com/inward/record.uri?eid=2-s2.0-85058944875&amp;doi=10.1007%2f978-981-10-5523-2_24&amp;partnerID=40&amp;md5=a8cbb18ddffd3117e69471e51a6ec680</t>
  </si>
  <si>
    <t>Hidalgo Suarez, C. G., Bucheli, V. A., Restrepo-Calle, F. and Gonzalez, F. A.</t>
  </si>
  <si>
    <t>A strategy based on technological maps for the identification of the state-of-the-art techniques in software development projects: Virtual judge projects as a case study</t>
  </si>
  <si>
    <t>We propose a novel strategy based on technological watch (TW) to identify the state-of-the-art techniques of software development projects. Taking as a starting point the data analysis of the GitHub platform using the VigHub tool, technological maps that describe the development and evolution of software projects, and perspectives of specific technologies are obtained. The proposed strategy was tested in a case study about virtual judge projects for programming. When analyzing the GitHub data, four main technological maps were obtained: programming languages, topic evolution timeline, successful projects, and successful users and organizations. This article shows how the use of the developed strategy supports the identification of the state-of-the-art software techniques. This facilitates the appropriate identification of ideas, source code, and tools that can support and improve the software development, expanding the creation of strategies to support the decision-making process on new development projects and technological inventions. © Springer Nature Switzerland AG 2018.</t>
  </si>
  <si>
    <t>https://www.scopus.com/inward/record.uri?eid=2-s2.0-85054399705&amp;doi=10.1007%2f978-3-319-98998-3_27&amp;partnerID=40&amp;md5=9d1b686d24342232ad3cf35e2cd44e61</t>
  </si>
  <si>
    <t>Siddiqui, T. and Ahmad, A.</t>
  </si>
  <si>
    <t>Data mining tools and techniques for mining software repositories: A systematic review</t>
  </si>
  <si>
    <t>A software repository contains a historical and valuable wealth of information about overall development of software system (project’s status, progress, and evolution). Mining software repositories (MSR) are one of the interesting and fastest growing fields within software engineering. It focuses on extracting and analyzing the heterogeneous data available in software repositories to uncover interesting, useful, and actionable information about software system and projects. Using well-established data mining tools and techniques, professionals, practitioners, and researchers can explore the potential of this valuable data in order to better understand and manage their complicated projects and also to produce high reliable software system delivered on time and within estimated budget. This paper is an effort to discover problems encountered during development of software projects and the role of mining software repositories to resolve these problems. A comparative study of data mining tools and techniques for mining software repositories has been presented. © 2018, Springer Nature Singapore Pte Ltd.</t>
  </si>
  <si>
    <t>https://www.scopus.com/inward/record.uri?eid=2-s2.0-85031419113&amp;doi=10.1007%2f978-981-10-6620-7_70&amp;partnerID=40&amp;md5=95f708aa7cd049a4b654e8098f5c4d5f</t>
  </si>
  <si>
    <t>Wang, T., Wang, H., Yin, G., Ling, C. X., Li, X. and Zou, P.</t>
  </si>
  <si>
    <t>Mining software profile across multiple repositories for hierarchical categorization</t>
  </si>
  <si>
    <t>The large amounts of software repositories over the Internet are fundamentally changing the traditional paradigms of software maintenance. Efficient categorization of the massive projects for retrieving the relevant software in these repositories is of vital importance for Internet-based maintenance tasks such as solution searching, best practices learning and so on. Many previous works have been conducted on software categorization by mining source code or byte code, which are only verified on relatively small collections of projects with coarse-grained categories or clusters. However, Internet-based software maintenance requires finer-grained, more scalable and language-independent categorization approaches. In this paper, we propose a novel approach to hierarchically categorize software projects based on their online profiles across multiple repositories. We design a SVM-based categorization framework to classify the massive number of software hierarchically. To improve the categorization performance, we aggregate different types of profile attributes from multiple repositories and design a weighted combination strategy which assigns greater weights to more important attributes. Extensive experiments are carried out on more than 18,000 projects across three repositories. The results show that our approach achieves significant improvements by using weighted combination, and the overall precision, recall and F-Measure can reach 71.41%, 65.60% and 68.38% in appropriate settings. Compared to the previous work, our approach presents competitive results with 123 finer-grained and multi-layered categories. In contrast to those using source code or byte code, our approach is more effective for large-scale and language-independent software categorization. © 2013 IEEE.</t>
  </si>
  <si>
    <t>https://www.scopus.com/inward/record.uri?eid=2-s2.0-84891721254&amp;doi=10.1109%2fICSM.2013.35&amp;partnerID=40&amp;md5=c629474528b7cd95c76ea900d143e285</t>
  </si>
  <si>
    <t>Levin, S. and Yehudai, A.</t>
  </si>
  <si>
    <t>Boosting automatic commit classification into maintenance activities by utilizing source code changes</t>
  </si>
  <si>
    <t>Background: Understanding maintenance activities performed in a source code repository could help practitioners reduce uncertainty and improve cost-effectiveness by planning ahead and pre-allocating resources towards source code maintenance. Theresearch community uses 3 main classification categories for maintenance activities: Corrective: fault fixing; Perfective: system improvements; Adaptive: new feature introduction. Previous work in this area has mostly concentrated on evaluating commit classification (into maintenance activities) models in the scope of a single software project. Aims: In this work we seek to design a commit classification model capable of providing high accuracy and Kappa across different projects. In addition, we wish to compare the accuracy and kappa characteristics of classification models that utilize word frequency analysis, source code changes, and combination thereof. Method: We suggest a novel method for automatically classifying commits into maintenance activities by utilizing source code changes (e.g, statement added, method removed, etc.). The results we report are based on studying 11 popular open source projects from various professional domains from which we had manually classified 1151 commits, over 100 from each of the studied projects. Our models were trained using 85% of the dataset, while the remaining 15% were used as a test set. Results: Our method shows a promising accuracy of 76% and Cohen's kappa of 63% (considered "Good" in this context) for the test dataset, an improvement of over 20 percentage points, and a relative boost of ~40% in the context of cross-project classification. Conclusions: We show that by using source code changes in combination with commit message word frequency analysis we are able to considerably boost classification quality in a project agnostic manner. © 2017 Association for Computing Machinery. All rights reserved.</t>
  </si>
  <si>
    <t>https://www.scopus.com/inward/record.uri?eid=2-s2.0-85049036799&amp;doi=10.1145%2f3127005.3127016&amp;partnerID=40&amp;md5=419840fbf1a87a585e24fffaa6baddab</t>
  </si>
  <si>
    <t>Destefanis, G., Ortu, M., Bowes, D., Marchesi, M. and Tonelli, R.</t>
  </si>
  <si>
    <t>On measuring affects of github issues' commenters</t>
  </si>
  <si>
    <t>In this study, we analyzed issues and comments on GitHub projects and built collaboration networks dividing contributors into two categories: users and commenters. We identified as commenters those users who only post comments without posting any issues nor committing changes in the source code. Since previous studies showed that there is a link between a positive environment (regarding affectiveness) and productivity, our goal was to investigate commenters' contribution to the project concerning affectiveness. We analyzed more than 370K comments from 100K issues of 25K contributors from 3 open source projects. We then calculated and compared the affectiveness of the issues' comments written by users and commenters in terms of sentiment, politeness, and emotions. We provide empirical evidence that commenters are less polite, less positive and in general they express a lower level of emotions in their comments than users. Our results also confirm that GitHub's contributors consist of different groups which behave differently, and this provides useful information for future studies in the field. © 2018 ACM.</t>
  </si>
  <si>
    <t>https://www.scopus.com/inward/record.uri?eid=2-s2.0-85051131380&amp;doi=10.1145%2f3194932.3194936&amp;partnerID=40&amp;md5=7415d8c6b7bdfe25e4020c33a19f3493</t>
  </si>
  <si>
    <t>Mashima, Y., Hirokawa, S. and Takeuchi, K.</t>
  </si>
  <si>
    <t>Ties between mined structural patterns in program and their identifier names</t>
  </si>
  <si>
    <t>Identifier names in readable and maintainable source codes are always descriptive. These names are given based on the implicit knowledge of experienced programmers. In this paper, we propose a structural pattern mining method based on support vector machines (SVM) for source codes. We extract 1,000 method names in object-oriented source codes collected from online software repositories and create 1,000 datasets labeled by positive and negative class. The structural features used for the input feature vectors to the SVM learning are designed for representing partial characteristics in the abstract syntax tree (AST) parsed from a source code. Applying this method, we made an F1 score list of the 1,000 method names, which shows the degree of patterning of each name, by using our structural features. From the list, we confirmed structural patterns were strongly associated with specific method names. A qualitative evaluation of method names was also conducted by mapping the structural feature vector of each program example to the two-dimensional plane in the same way as a previous major study. From the evaluation, we confirmed that the contrasting structure among the programs corresponds to the names given to programs. Furthermore, we show examples of visualization of structural patterns using structural features extracted by feature selection. © Springer Nature Switzerland AG 2019.</t>
  </si>
  <si>
    <t>https://www.scopus.com/inward/record.uri?eid=2-s2.0-85064214136&amp;doi=10.1007%2f978-3-030-14815-7_28&amp;partnerID=40&amp;md5=b38b638a12915fc6c097b88010d70a32</t>
  </si>
  <si>
    <t>Neil, L., Mittal, S. and Joshi, A.</t>
  </si>
  <si>
    <t>Kim, Y. W., Consens, M. P. and Hartig, O.</t>
  </si>
  <si>
    <t>An empirical analysis of GraphQL API schemas in open code repositories and package registries</t>
  </si>
  <si>
    <t>GraphQL is a query language for APIs that has been increasingly adopted by Web developers since its specification was open sourced in 2015. The GraphQL framework lets API clients tailor data requests by using queries that return JSON objects described using GraphQL Schema. We present initial results of an exploratory empirical study with the goal of characterizing GraphQL Schemas in open code repositories and package registries. Our first approach identifies over 20 thousand GraphQL-related projects in publicly accessible repositories hosted by GitHub. Our second, and complementary, approach uses package registries to find over 37 thousand dependent packages and repositories. In addition, over 2 thousand schema files were loaded into the GraphQL-JS reference implementation to conduct a detailed analysis of the schema information. Our study provides insights into the usage of different schema constructs, the number of distinct types and the most popular types in schemas, as well as the presence of cycles in schemas. © 2019 CEUR-WS. All rights reserved.</t>
  </si>
  <si>
    <t>https://www.scopus.com/inward/record.uri?eid=2-s2.0-85066978177&amp;partnerID=40&amp;md5=93a82b208b3137e56012703227cafa3f</t>
  </si>
  <si>
    <t>A code inspection tool by mining recurring changes in evolving software</t>
  </si>
  <si>
    <t>Mining software repositories have frequently been investigated in recent research. Software modification in repositories are often recurring changes, similar but different changes across multiple locations. It is not easy for developers to find all the relevant locations to maintain such changes, including bug-fixes, new feature addition, and refactorings. Performing recurring changes is tedious and error-prone, resulting in in-consistent and missing updates. To address this problem, we present CloneMap, a clone-aware code inspection tool that helps developers ensure correctness of recurring changes to multiple locations in an evolving software. CloneMap allows developers to specify the old and new versions of a program. It then applies a clone detection technique to (1) mine repositories for extracting differences of recurring changes, (2) visualize the clone evolution, and (3) help developers focus their attention to potential anomalies, such as inconsistent and missing updates. © 2017 IEEE.</t>
  </si>
  <si>
    <t>https://www.scopus.com/inward/record.uri?eid=2-s2.0-85040762340&amp;doi=10.1109%2fSOFTWAREMINING.2017.8100853&amp;partnerID=40&amp;md5=4fc7038021b5ef1af07631d5236c03cd</t>
  </si>
  <si>
    <t>Gomes, T. L., Oliveira, T. C., Cowan, D. and Alencar, P.</t>
  </si>
  <si>
    <t>Mining reuse processes</t>
  </si>
  <si>
    <t>Object-oriented frameworks are widely used for improving software reuse. However, learning how to use these frameworks may be a difficult task. Developers need to know which classes and methods to reuse (reuse actions) and in which order they should be implemented. In this context, this paper describes how to support the software reuse task by mining reuse actions from existing framework applications. The reuse actions are mined from a code repository and they are used as input to discover the underlying instantiation process, using process discovery algorithms from process mining.</t>
  </si>
  <si>
    <t>https://www.scopus.com/inward/record.uri?eid=2-s2.0-84906057854&amp;partnerID=40&amp;md5=b529efd5931d3035b23537ff5e78b96e</t>
  </si>
  <si>
    <t>Orellana, G., Laghari, G., Murgia, A. and Demeyer, S.</t>
  </si>
  <si>
    <t>On the Differences between Unit and Integration Testing in the TravisTorrent Dataset</t>
  </si>
  <si>
    <t>Already from the early days of testing, practitioners distinguish between unit tests and integration tests as a strategy to locate defects. Unfortunately, the mining software engineering community rarely distinguishes between these two strategies, mainly because it is not straightforward to separate them in the code repositories under study. In this paper we exploited the TravisTorrent dataset provided for the MSR 2017 mining challenge, separated unit tests from integration tests, and correlated these against the workflow as recorded in the corresponding issue reports. Further analysis confirmed that it is worthwhile to treat unit tests and integration tests differently: we discovered that unit tests cause more breaking builds, that fixing the defects exposed by unit tests takes longer and implies more coordination between team members. © 2017 IEEE.</t>
  </si>
  <si>
    <t>https://www.scopus.com/inward/record.uri?eid=2-s2.0-85026505190&amp;doi=10.1109%2fMSR.2017.25&amp;partnerID=40&amp;md5=d4e8df766c817e4efa9793274b5c96b0</t>
  </si>
  <si>
    <t>Kikas, R., Dumas, M. and Pfahl, D.</t>
  </si>
  <si>
    <t>Using dynamic and contextual features to predict issue lifetime in GitHub projects</t>
  </si>
  <si>
    <t>Methods for predicting issue lifetime can help software project managers to prioritize issues and allocate resources accordingly. Previous studies on issue lifetime prediction have focused on models built from static features, meaning features calculated at one snapshot of the issue's lifetime based on data associated to the issue itself. However, during its lifetime, an issue typically receives comments from various stakeholders, which may carry valuable insights into its perceived priority and difficulty and may thus be exploited to update lifetime predictions. Moreover, the lifetime of an issue depends not only on characteristics of the issue itself, but also on the state of the project as a whole. Hence, issue lifetime prediction may benefit from taking into account features capturing the issue's context (contextual features). In this work, we analyze issues from more than 4000 GitHub projects and build models to predict, at different points in an issue's lifetime, whether or not the issue will close within a given calendric period, by combining static, dynamic and contextual features. The results show that dynamic and contextual features complement the predictive power of static ones, particularly for long-term predictions. © 2016 ACM.</t>
  </si>
  <si>
    <t>https://www.scopus.com/inward/record.uri?eid=2-s2.0-84974574214&amp;doi=10.1145%2f2901739.2901751&amp;partnerID=40&amp;md5=d6a0b8f4d3018e8f4448eeeac18fedba</t>
  </si>
  <si>
    <t>Fan, Q., Yu, Y., Yin, G., Wang, T. and Wang, H.</t>
  </si>
  <si>
    <t>Where Is the Road for Issue Reports Classification Based on Text Mining?</t>
  </si>
  <si>
    <t>Currently, open source projects receive various kinds of issues daily, because of the extreme openness of Issue Tracking System (ITS) in GitHub. ITS is a labor-intensive and time-consuming task of issue categorization for project managers. However, a contributor is only required a short textual abstract to report an issue in GitHub. Thus, most traditional classification approaches based on detailed and structured data (e.g., priority, severity, software version and so on) are difficult to adopt. In this paper, issue classification approaches on a large-scale dataset, including 80 popular projects and over 252,000 issue reports collected from GitHub, were investigated. First, four traditional text-based classification methods and their performances were discussed. Semantic perplexity (i.e., an issues description confuses bug-related sentences with nonbug-related sentences) is a crucial factor that affects the classification performances based on quantitative and qualitative study. Finally, A two-stage classifier framework based on the novel metrics of semantic perplexity of issue reports was designed. Results show that our two-stage classification can significantly improve issue classification performances. © 2017 IEEE.</t>
  </si>
  <si>
    <t>https://www.scopus.com/inward/record.uri?eid=2-s2.0-85042390490&amp;doi=10.1109%2fESEM.2017.19&amp;partnerID=40&amp;md5=dea9798dcb29be183597396473ba2a3c</t>
  </si>
  <si>
    <t>Hu, J., Sun, X. and Li, B.</t>
  </si>
  <si>
    <t>Software repositories such as revision control systems and bug tracking systems are usually used to manage the changes of software projects. During software maintenance and evolution, software developers and stakeholders need to investigate these repositories to identify what tasks were worked on in a particular time interval and how much effort was devoted to them. A typical way of mining software repositories is to use topic analysis models, e.g., Latent Dirichlet Allocation (LDA), to identify and organize the underlying structure in software documents to understand the evolution of development topics. These previously LDA-based topic analysis models can capture either changes on the strength (popularity) of various development topics over time (i.e., strength evolution) or changes in the content (the words that form the topic) of existing topics over time (i.e., content evolution). Unfortunately, few techniques can capture both strength and content evolution simultaneously. However, both pieces of information are necessary for developers to fully understand how software evolves. In this paper, we propose a novel approach to analyze commit messages within a project's lifetime to capture both strength and content evolution simultaneously via Online Latent Dirichlet Allocation (On-Line LDA). Moreover, the proposed approach also provides an efficient way to detect emerging topics in real development iteration when a new feature request arrives at a particular time, thus helping project stakeholds progress their projects smoothly. © 2015 IEEE.</t>
  </si>
  <si>
    <t>https://www.scopus.com/inward/record.uri?eid=2-s2.0-84928666041&amp;doi=10.1109%2fSANER.2015.7081876&amp;partnerID=40&amp;md5=6cdf418d185acb3d9ab5e495752fa77d</t>
  </si>
  <si>
    <t>Cammariere, G., Portelli, M. and Russo, P.</t>
  </si>
  <si>
    <t>Git hub analyser: A tool detecting class correlations on git repositories</t>
  </si>
  <si>
    <t>We have realised a tool, dubbed GitHubAnalyser, performing data mining and analysis of GitHub repositories in order to gain several statistics on Java classes. The sought statistics aim at highlighting the correlation between classes, detected from the simultaneous occurrence of changes on a repository. The tool has been developed using MetricMiner2, a Java mining library, and MrJob that uses Python with the MapReduce model to compute data analysis in a distributed and parallel manner. © Copyright 2016 held by the authors.</t>
  </si>
  <si>
    <t>https://www.scopus.com/inward/record.uri?eid=2-s2.0-84999277557&amp;partnerID=40&amp;md5=20a9a9fb17b9c54bd4b91f4f48ef0177</t>
  </si>
  <si>
    <t>Robillard, M. P., Nassif, M. and McIntosh, S.</t>
  </si>
  <si>
    <t>Replication package for 'threats of aggregating software repository data'</t>
  </si>
  <si>
    <t>This artifact is a data set generated as part of a study on the threats of aggregating software repository data, which includes information derived from the GitHub repositories of eight open-source projects. © 2018 IEEE.</t>
  </si>
  <si>
    <t>https://www.scopus.com/inward/record.uri?eid=2-s2.0-85058315721&amp;doi=10.1109%2fICSME.2018.00082&amp;partnerID=40&amp;md5=314cf2ec5900c7c7f7ad2e4af20f860b</t>
  </si>
  <si>
    <t>Dyer, R., Rajan, H., Nguyen, T. N. and Nguyen, H. A.</t>
  </si>
  <si>
    <t>Demonstrating programming language feature mining using boa</t>
  </si>
  <si>
    <t>Programming language researchers often study real-world projects to see how language features have been adopted and are being used. Typically researchers choose a small number of projects to study, due to the immense challenges associated with finding, downloading, storing, processing, and querying large amounts of data. The Boa programming language and infrastructure was designed to solve these challenges and allow researchers to focus on simply asking the right questions. Boa provides a domain-specific language to abstract details of how to mine hundreds of thousands of projects and also abstracts how to efficiently query that data. We have previously used this platform to perform a large study of the adoption of Java's language features over time. In this demonstration, we will show you how we used Boa to quickly analyze billions of AST nodes and study the adoption of Java's language features. © 2015 ACM.</t>
  </si>
  <si>
    <t>https://www.scopus.com/inward/record.uri?eid=2-s2.0-84960446800&amp;doi=10.1145%2f2814189.2814192&amp;partnerID=40&amp;md5=f7472b91dbdb427ef919248f0f624533</t>
  </si>
  <si>
    <t>Kusunoki, N., Hotta, K., Higo, Y. and Kusumoto, S.</t>
  </si>
  <si>
    <t>How much do code repositories include peripheral modifications?</t>
  </si>
  <si>
    <t>In the last decade, a variety of studies on mining software repositories has been conducted. Mining repositories has a potential to obtain useful knowledge for the future development and maintenance. When software repositories are mined, large commits in them are often excluded from mining targets because large commits include merging and we believe that large commits include peripheral modifications, which may affect negative impacts on mining code repositories. However, if large commits include code modifications, excluding large commits loses such modifications unintentionally. Moreover, such data cleansing assumes that there are no peripheral modifications in small commits. In this paper, we investigate how much peripheral modifications are included in commits in code repositories. As a result, we found that excluding large commits is insufficient to remove hindrances in commits for mining code repositories. © 2013 IEEE.</t>
  </si>
  <si>
    <t>https://www.scopus.com/inward/record.uri?eid=2-s2.0-84897451864&amp;doi=10.1109%2fAPSEC.2013.106&amp;partnerID=40&amp;md5=99623cb9e89eb3a4252cea98cee27d25</t>
  </si>
  <si>
    <t>Martins, P., Achar, R. and Lopes, C. V.</t>
  </si>
  <si>
    <t>50K-C: A dataset of compilable, and compiled, Java projects</t>
  </si>
  <si>
    <t>We provide a repository of 50,000 compilable Java projects. Each project in this dataset comes with references to all the dependencies required to compile it, the resulting bytecode, and the scripts with which the projects were built. The dependencies and the build scripts provide a mechanism to re-create compilation of the projects, if needed (to instruct source code for bytecode analysis, for example). The bytecode is ready for testing, execution, and dynamic analysis tools. © 2018 ACM.</t>
  </si>
  <si>
    <t>https://www.scopus.com/inward/record.uri?eid=2-s2.0-85051665552&amp;doi=10.1145%2f3196398.3196450&amp;partnerID=40&amp;md5=b83891c6da8f6d7ba17f6ee5f24529ce</t>
  </si>
  <si>
    <t>Hindle, A., Bird, C., Zimmermann, T. and Nagappan, N.</t>
  </si>
  <si>
    <t>Campbell, J. C., Hindle, A. and Stroulia, E.</t>
  </si>
  <si>
    <t>Latent Dirichlet Allocation: Extracting Topics from Software Engineering Data</t>
  </si>
  <si>
    <t>Topic analysis is a powerful tool that extracts "topics" from document collections. Unlike manual tagging, which is effort intensive and requires expertise in the documents' subject matter, topic analysis (in its simplest form) is an automated process. Relying on the assumption that each document in a collection refers to a small number of topics, it extracts bags of words attributable to these topics. These topics can be used to support document retrieval or to relate documents to each other through their associated topics. Given the variety and amount of textual information included in software repositories, in issue reports, in commit and source-code comments, and in other forms of documentation, this method has found many applications in the software-engineering field of mining software repositories.This chapter provides an overview of the theory underlying latent Dirichlet allocation (LDA), the most popular topic-analysis method today. Next, it illustrates, with a brief tutorial introduction, how to employ LDA on a textual data set. Third, it reviews the software-engineering literature for uses of LDA for analyzing textual software-development assets, in order to support developers' activities. Finally, we discuss the interpretability of the automatically extracted topics, and their correlation with tags provided by subject-matter experts. © 2015 Elsevier Inc. All rights reserved.</t>
  </si>
  <si>
    <t>https://www.scopus.com/inward/record.uri?eid=2-s2.0-84944057714&amp;doi=10.1016%2fB978-0-12-411519-4.00006-9&amp;partnerID=40&amp;md5=ad9378fd33f4ddbb4ad02b9de38f00f9</t>
  </si>
  <si>
    <t>Chen, T. H., Thomas, S. W. and Hassan, A. E.</t>
  </si>
  <si>
    <t>A survey on the use of topic models when mining software repositories</t>
  </si>
  <si>
    <t>Researchers in software engineering have attempted to improve software development by mining and analyzing software repositories. Since the majority of the software engineering data is unstructured, researchers have applied Information Retrieval (IR) techniques to help software development. The recent advances of IR, especially statistical topic models, have helped make sense of unstructured data in software repositories even more. However, even though there are hundreds of studies on applying topic models to software repositories, there is no study that shows how the models are used in the software engineering research community, and which software engineering tasks are being supported through topic models. Moreover, since the performance of these topic models is directly related to the model parameters and usage, knowing how researchers use the topic models may also help future studies make optimal use of such models. Thus, we surveyed 167 articles from the software engineering literature that make use of topic models. We find that i) most studies centre around a limited number of software engineering tasks; ii) most studies use only basic topic models; iii) and researchers usually treat topic models as black boxes without fully exploring their underlying assumptions and parameter values. Our paper provides a starting point for new researchers who are interested in using topic models, and may help new researchers and practitioners determine how to best apply topic models to a particular software engineering task. © 2015, Springer Science+Business Media New York.</t>
  </si>
  <si>
    <t>https://www.scopus.com/inward/record.uri?eid=2-s2.0-84941334238&amp;doi=10.1007%2fs10664-015-9402-8&amp;partnerID=40&amp;md5=5cc07f46d203ed9806f84d5928f437ca</t>
  </si>
  <si>
    <t>Shachnev, D.</t>
  </si>
  <si>
    <t>Web ontology editor: Architecture and applications</t>
  </si>
  <si>
    <t>The paper presents the ontology editor which was built as part of ISTINA (Intellectual System for Thematic Analysis of Scientometrical Data), a system which is used in Lomonosov Moscow State University and a number of other institutions. The client side of the editor is based on web technologies (HTML 5, Twitter Bootstrap, JS), and allows one to enter concepts and relations between them in a web browser in an interactive mode. The server side of the editor is using the Django web framework like the rest of the ISTINA system, and implements a SPARQL endpoint, a version control system, users' personal ontology pages, collaborative editing and conflicts resolution mechanisms. The data is stored in a relational database, queries to the database are generated using the Django object-relational mapping system. This paper presents the editor architecture, database storage, details of the version control system and various applications, including automating the learning process.</t>
  </si>
  <si>
    <t>https://www.scopus.com/inward/record.uri?eid=2-s2.0-85036648712&amp;partnerID=40&amp;md5=7ced62b31ca35e4237ad1f485b9ec4a5</t>
  </si>
  <si>
    <t>Dam, H. K., Savarimuthu, B. T. R., Avery, D. and Ghose, A.</t>
  </si>
  <si>
    <t>Mining Software Repositories for Social Norms</t>
  </si>
  <si>
    <t>Social norms facilitate coordination and cooperation among individuals, thus enable smoother functioning of social groups such as the highly distributed and diverse open source software development (OSSD) communities. In these communities, norms are mostly implicit and hidden in huge records of human-interaction information such as emails, discussions threads, bug reports, commit messages and even source code. This paper aims to introduce a new line of research on extracting social norms from the rich data available in software repositories. Initial results include a study of coding convention violations in JEdit, Argo UML and Glassfish projects. It also presents a new life-cycle model for norms in OSSD communities and demonstrates how a number of norms extracted from the Python development community follow this life-cycle model. © 2015 IEEE.</t>
  </si>
  <si>
    <t>https://www.scopus.com/inward/record.uri?eid=2-s2.0-84951777426&amp;doi=10.1109%2fICSE.2015.209&amp;partnerID=40&amp;md5=b852ac322364e08417f4e5da336c8db2</t>
  </si>
  <si>
    <t>Rath, M., Rendall, J., Guo, J. L. C., Cleland-Huang, J. and Mäder, P.</t>
  </si>
  <si>
    <t>Traceability in the wild: Automatically augmenting incomplete trace links</t>
  </si>
  <si>
    <t>Software and systems traceability is widely accepted as an essential element for supporting many software development tasks. Today's version control systems provide inbuilt features that allow developers to tag each commit with one or more issue ID, thereby providing the building blocks from which project-wide traceability can be established between feature requests, bug fixes, commits, source code, and specific developers. However, our analysis of six open source projects showed that on average only 60% of the commits were linked to specific issues. Without these fundamental links the entire set of project-wide links will be incomplete, and therefore not trustworthy. In this paper we address the fundamental problem of missing links between commits and issues. Our approach leverages a combination of process and text-related features characterizing issues and code changes to train a classifier to identify missing issue tags in commit messages, thereby generating the missing links. We conducted a series of experiments to evaluate our approach against six open source projects and showed that it was able to effectively recommend links for tagging issues at an average of 96% recall and 33% precision. In a related task for augmenting a set of existing trace links, the classifier returned precision at levels greater than 89% in all projects and recall of 50%. © 2018 ACM.</t>
  </si>
  <si>
    <t>https://www.scopus.com/inward/record.uri?eid=2-s2.0-85049401953&amp;doi=10.1145%2f3180155.3180207&amp;partnerID=40&amp;md5=aa19d59eb98ca55654754c62360b3eb5</t>
  </si>
  <si>
    <t>Keivanloo, I.</t>
  </si>
  <si>
    <t>Online sharing and integration of results from mining software repositories</t>
  </si>
  <si>
    <t>The mining of software repository involves the extraction of both basic and value-added information from existing software repositories. Depending on stakeholders (e.g., researchers, management), these repositories are mined several times for different application purposes. To avoid unnecessary pre-processing steps and improve productivity, sharing, and integration of extracted facts and results are needed. The motivation of this research is to introduce a novel collaborative sharing platform for software datasets that supports on-the-fly inter-datasets integration. We want to facilitate and promote a paradigm shift in the source code analysis domain, similar to the one by Wikipedia in the knowledge-sharing domain. In this paper, we present the SeCold project, which is the first online, publicly available software ecosystem Linked Data dataset. As part of this research, not only theoretical background on how to publish such datasets is provided, but also the actual dataset. SeCold contains about two billion facts, such as source code statements, software licenses, and code clones from over 18.000 software projects. SeCold is also an official member of the Linked Data cloud and one of the eight largest online Linked Data datasets available on the cloud. © 2012 IEEE.</t>
  </si>
  <si>
    <t>https://www.scopus.com/inward/record.uri?eid=2-s2.0-84864222708&amp;doi=10.1109%2fICSE.2012.6227215&amp;partnerID=40&amp;md5=a265ec72f78552dbe6df7ba9fccc113f</t>
  </si>
  <si>
    <t>Li, H., Shang, W., Zou, Y. and Hassan, A. E.</t>
  </si>
  <si>
    <t>Towards just-in-time suggestions for log changes (journal-first abstract)</t>
  </si>
  <si>
    <t>This is an extended abstract of a paper published in the Empirical Software Engineering journal. The original paper is communicated by Arie van Deursen. The paper empirically studied why developers make log changes and proposed an automated approach to provide developers with log change suggestions as soon as they commit a code change. Through a case study on four open source projects, we found that the reasons for log changes can be grouped along four categories: Block change, log improvement, dependence-driven change, and logging issue. We also found that our automated approach can effectively suggest whether a log change is needed for a code change with a balanced accuracy of 0.76 to 0.82. © 2018 IEEE.</t>
  </si>
  <si>
    <t>https://www.scopus.com/inward/record.uri?eid=2-s2.0-85051041674&amp;doi=10.1109%2fSANER.2018.8330233&amp;partnerID=40&amp;md5=1199327b17580774ada48ba254122194</t>
  </si>
  <si>
    <t>Zeng, Y., Chen, J., Shang, W. and Chen, T. H. P.</t>
  </si>
  <si>
    <t>Studying the characteristics of logging practices in mobile apps: a case study on F-Droid</t>
  </si>
  <si>
    <t>Logging is a common practice in software engineering. Prior research has investigated the characteristics of logging practices in system software (e.g., web servers or databases) as well as desktop applications. However, despite the popularity of mobile apps, little is known about their logging practices. In this paper, we sought to study logging practices in mobile apps. In particular, we conduct a case study on 1,444 open source Android apps in the F-Droid repository. Through a quantitative study, we find that although mobile app logging is less pervasive than server and desktop applications, logging is leveraged in almost all studied apps. However, we find that there exist considerable differences between the logging practices of mobile apps and the logging practices in server and desktop applications observed by prior studies. In order to further understand such differences, we conduct a firehouse email interview and a qualitative annotation on the rationale of using logs in mobile app development. By comparing the logging level of each logging statement with developers’ rationale of using the logs, we find that all too often (35.4%), the chosen logging level and the rationale are inconsistent. Such inconsistency may prevent the useful runtime information to be recorded or may generate unnecessary logs that may cause performance overhead. Finally, to understand the magnitude of such performance overhead, we conduct a performance evaluation between generating all the logs and not generating any logs in eight mobile apps. In general, we observe a statistically significant performance overhead based on various performance metrics (response time, CPU and battery consumption). In addition, we find that if the performance overhead of logging is significantly observed in an app, disabling the unnecessary logs indeed provides a statistically significant performance improvement. Our results show the need for a systematic guidance and automated tool support to assist in mobile logging practices. © 2019, Springer Science+Business Media, LLC, part of Springer Nature.</t>
  </si>
  <si>
    <t>https://www.scopus.com/inward/record.uri?eid=2-s2.0-85061227403&amp;doi=10.1007%2fs10664-019-09687-9&amp;partnerID=40&amp;md5=e7e8e8f271b8fd2e1d0d11ba2ce4e082</t>
  </si>
  <si>
    <t>Merten, T., Falis, M., Hübner, P., Quirchmayr, T., Bürsner, S. and Paech, B.</t>
  </si>
  <si>
    <t>Software Feature Request Detection in Issue Tracking Systems</t>
  </si>
  <si>
    <t>Communication about requirements is often handled in issue tracking systems, especially in a distributed setting. As issue tracking systems also contain bug reports or programming tasks, the software feature requests of the users are often difficult to identify. This paper investigates natural language processing and machine learning features to detect software feature requests in natural language data of issue tracking systems. It compares traditional linguistic machine learning features, such as "bag of words", with more advanced features, such as subject-action-object, and evaluates combinations of machine learning features derived from the natural language and features taken from the issue tracking system meta-data. Our investigation shows that some combinations of machine learning features derived from natural language and the issue tracking system meta-data outperform traditional approaches. We show that issues or data fields (e.g. descriptions or comments), which contain software feature requests, can be identified reasonably well, but hardly the exact sentence. Finally, we show that the choice of machine learning algorithms should depend on the goal, e.g. maximization of the detection rate or balance between detection rate and precision. In addition, the paper contributes a double coded gold standard and an open-source implementation to further pursue this topic. © 2016 IEEE.</t>
  </si>
  <si>
    <t>https://www.scopus.com/inward/record.uri?eid=2-s2.0-85007242834&amp;doi=10.1109%2fRE.2016.8&amp;partnerID=40&amp;md5=04f0fb66e61eef2bfecf58860568e45a</t>
  </si>
  <si>
    <t>Li, H. Y., Li, M. and Zhou, Z. H.</t>
  </si>
  <si>
    <t>Towards one reusable model for various software defect mining tasks</t>
  </si>
  <si>
    <t>Software defect mining is playing an important role in software quality assurance. Many deep neural network based models have been proposed for software defect mining tasks, and have pushed forward the state-of-the-art mining performance. These deep models usually require a huge amount of task-specific source code for training to capture the code functionality to mine the defects. But such requirement is often hard to be satisfied in practice. On the other hand, lots of free source code and corresponding textual explanations are publicly available in the open source software repositories, which is potentially useful in modeling code functionality. However, no previous studies ever leverage these resources to help defect mining tasks. In this paper, we propose a novel framework to learn one reusable deep model for code functional representation using the huge amount of publicly available task-free source code as well as their textual explanations. And then reuse it for various software defect mining tasks. Experimental results on three major defect mining tasks with real world datasets indicate that by reusing this model in specific tasks, the mining performance outperforms its counterpart that learns deep models from scratch, especially when the training data is insufficient. © Springer Nature Switzerland AG 2019.</t>
  </si>
  <si>
    <t>https://www.scopus.com/inward/record.uri?eid=2-s2.0-85065025289&amp;doi=10.1007%2f978-3-030-16142-2_17&amp;partnerID=40&amp;md5=31c32405c42cd75321a02bea2612d6c7</t>
  </si>
  <si>
    <t>Perl, H., Dechand, S., Smith, M., Arp, D., Yamaguchi, F., Rieck, K., Fahl, S. and Acar, Y.</t>
  </si>
  <si>
    <t>VCCFinder: Finding potential vulnerabilities in open-source projects to assist code audits</t>
  </si>
  <si>
    <t>Despite the security community's best effort, the number of serious vulnerabilities discovered in software is increasing rapidly. In theory, security audits should find and remove the vulnerabilities before the code ever gets deployed. How-ever, due to the enormous amount of code being produced, as well as a the lack of manpower and expertise, not all code is sufficiently audited. Thus, many vulnerabilities slip into production systems. A best-practice approach is to use a code metric analysis tool, such as Flaw finder, to ag potentially dangerous code so that it can receive special attention. However, because these tools have a very high false-positive rate, the manual effort needed to find vulnerabilities remains overwhelming. In this paper, we present a new method of finding potentially dangerous code in code repositories with a significantly lower false-positive rate than comparable systems. We combine code-metric analysis with metadata gathered from code repositories to help code review teams prioritize their work. The paper makes three contributions. First, we conducted the first large-scale mapping of CVEs to GitHub commits in order to create a vulnerable commit database. Second, based on this database, we trained a SVM classifier to ag suspicious commits. Compared to Flaw finder, our approach reduces the amount of false alarms by over 99% at the same level of recall. Finally, we present a thorough quantitative and qualitative analysis of our approach and discuss lessons learned from the results. We will share the database as a benchmark for future research and will also provide our analysis tool as a web service. © 2015 ACM.</t>
  </si>
  <si>
    <t>https://www.scopus.com/inward/record.uri?eid=2-s2.0-84954179224&amp;doi=10.1145%2f2810103.2813604&amp;partnerID=40&amp;md5=717198cb840a8d793b59c8e29fa5bb55</t>
  </si>
  <si>
    <t>Gonzalez, D., Santos, J. C. S., Popovich, A., Mirakhorli, M. and Nagappan, M.</t>
  </si>
  <si>
    <t>A Large-Scale Study on the Usage of Testing Patterns That Address Maintainability Attributes: Patterns for Ease of Modification, Diagnoses, and Comprehension</t>
  </si>
  <si>
    <t>Test case maintainability is an important concern, especially in open source and distributed development environments where projects typically have high contributor turn-over with varying backgrounds and experience, and where code ownership changes often. Similar to design patterns, patterns for unit testing promote maintainability quality attributes such as ease of diagnoses, modifiability, and comprehension. In this paper, we report the results of a large-scale study on the usage of four xUnit testing patterns which can be used to satisfy these maintainability attributes. This is a first-of-its-kind study which developed automated techniques to investigate these issues across 82,447 open source projects, and the findings provide more insight into testing practices in open source projects. Our results indicate that only 17% of projects had test cases, and from the 251 testing frameworks we studied, 93 of them were being used. We found 24% of projects with test files implemented patterns that could help with maintainability, while the remaining did not use these patterns. Multiple qualitative analyses indicate that usage of patterns was an ad-hoc decision by individual developers, rather than motivated by the characteristics of the project, and that developers sometimes used alternative techniques to address maintainability concerns. © 2017 IEEE.</t>
  </si>
  <si>
    <t>https://www.scopus.com/inward/record.uri?eid=2-s2.0-85026510051&amp;doi=10.1109%2fMSR.2017.8&amp;partnerID=40&amp;md5=5e17bbdd3b0d41ca0e6141a97f266f93</t>
  </si>
  <si>
    <t>Shang, W., Adams, B. and Hassan, A. E.</t>
  </si>
  <si>
    <t>Using Pig as a data preparation language for large-scale mining software repositories studies: An experience report</t>
  </si>
  <si>
    <t>The Mining Software Repositories (MSR) field analyzes software repository data to uncover knowledge and assist development of ever growing, complex systems. However, existing approaches and platforms for MSR analysis face many challenges when performing large-scale MSR studies. Such approaches and platforms rarely scale easily out of the box. Instead, they often require custom scaling tricks and designs that are costly to maintain and that are not reusable for other types of analysis. We believe that the web community has faced many of these software engineering scaling challenges before, as web analyses have to cope with the enormous growth of web data. In this paper, we report on our experience in using a web-scale platform (i.e., Pig) as a data preparation language to aid large-scale MSR studies. Through three case studies, we carefully validate the use of this web platform to prepare (i.e., Extract, Transform, and Load, ETL) data for further analysis. Despite several limitations, we still encourage MSR researchers to leverage Pig in their large-scale studies because of Pig's scalability and flexibility. Our experience report will help other researchers who want to scale their analyses. © 2011 Elsevier Inc. All rights reserved.</t>
  </si>
  <si>
    <t>https://www.scopus.com/inward/record.uri?eid=2-s2.0-84863618901&amp;doi=10.1016%2fj.jss.2011.07.034&amp;partnerID=40&amp;md5=93bec8254185202c207931f798c053ab</t>
  </si>
  <si>
    <t>Mining source code repositories with Boa</t>
  </si>
  <si>
    <t>Mining source code has become a common task for researchers and yielded significant benefits for the software engineering community. Mining source code however is a very difficult and time consuming task. The Boa language and infrastructure was designed to ease mining of project and revision metadata. Recently Boa was extended to support mining source code and currently contains source code for over 23k Java projects, including full revision histories. In this demonstration we pose source code mining tasks and give solutions using Boa. We then execute these programs via our web-based infrastructure and show how to easily make the results available for future researchers. Copyright © 2013 by the Association for Computing Machinery, Inc. (ACM).</t>
  </si>
  <si>
    <t>https://www.scopus.com/inward/record.uri?eid=2-s2.0-84888170055&amp;doi=10.1145%2f2508075.2514570&amp;partnerID=40&amp;md5=1a33a924c0e8e1c980ccd5d35427bf90</t>
  </si>
  <si>
    <t>Qiang, W., Liao, Y., Sun, G., Yang, L. T., Zou, D. and Jin, H.</t>
  </si>
  <si>
    <t>Patch-Related Vulnerability Detection Based on Symbolic Execution</t>
  </si>
  <si>
    <t>During the lifecycle of a software system, software patches are committed to software repositories to fix discovered bugs or append new features. Unfortunately, the patches may bring new bugs or vulnerabilities, which could break the stability and security of the software system. A study shows that more than 15% of software patches are erroneous due to poor testing. In this paper, we present a novel approach for automatically determining whether a patch brings new vulnerabilities. Our approach combines symbolic execution with data flow analysis and static analysis, which allows a quick check of patch-related codes. We focus on typical memory-related vulnerabilities, including buffer overflows, memory leaks, uninitialized data, and dangling pointers. We have implemented our approach as a tool called KPSec, which we used to test a set of real-world software patches. Our experimental results show that our approach can effectively identify typical memory-related vulnerabilities introduced by the patches and improve the security of the updated software. © 2013 IEEE.</t>
  </si>
  <si>
    <t>https://www.scopus.com/inward/record.uri?eid=2-s2.0-85036454718&amp;doi=10.1109%2fACCESS.2017.2676161&amp;partnerID=40&amp;md5=dbbcaf7602b200526ec61e848ce91776</t>
  </si>
  <si>
    <t>Scheidgen, M., Smidt, M. and Fischer, J.</t>
  </si>
  <si>
    <t>Lee, J. and Jung, W.</t>
  </si>
  <si>
    <t>Automated metric visualizations for analyzing source code repositories</t>
  </si>
  <si>
    <t>Nowadays, the size of information from software projects are overwhelming developers and maintainers. Thus, researchers have studied to extract useful knowledge from the source code repositories. However, it is difficult to find patterns or trends from the text-style data directly. In this paper, we propose an automated approach to visualize the metrics of multiple projects. The case studies with the Android open source projects from v1.6 to v4.2 show that outliers, patterns or trends of code changes can be effectively detected with our approach. © 2013 IEEE.</t>
  </si>
  <si>
    <t>Yasutaka, S., Matsumoto, S., Saiki, S. and Nakamura, M.</t>
  </si>
  <si>
    <t>Visualizing software metrics with service-oriented mining software repository for reviewing personal process</t>
  </si>
  <si>
    <t>We have proposed a framework named SO-MSR: service-oriented mining software repository, which applied service oriented architecture to MSR. Following the SO-MSR, we have developed a web service, named MetricsWebAPI, for metrics calculation from a variety of software repositories and a variety source codes. In this paper, we develop and propose Metrics Viewer, which is client of Metrics Viewer and is a web application to support personal process improvement. Metrics Viewer provides an interactive user interface for repository file exploring. Moreover the Metrics Viewer visualizes change of source code metrics to support overhead view of personal process. End user can improve their development activities based on software repository data without MSR specific knowledge by using Metrics Viewer. We have conducted a pilot study to evaluate the effect of proposed system for personal process improvement. © 2013 IEEE.</t>
  </si>
  <si>
    <t>https://www.scopus.com/inward/record.uri?eid=2-s2.0-84886037173&amp;doi=10.1109%2fSNPD.2013.96&amp;partnerID=40&amp;md5=8e2cb1d06570f4630bb38fece1349a05</t>
  </si>
  <si>
    <t>Sun, Y., Wang, Q. and Li, M.</t>
  </si>
  <si>
    <t>Understanding the Contribution of Non-source Documents in Improving Missing Link Recovery: An Empirical Study</t>
  </si>
  <si>
    <t>Background: Links between issue reports and their fixing commits play an important role in software maintenance. Such link data are often missing in practice and many approaches have been proposed in order to recover them automatically. Most of existing approaches focus on comparing log messages and source code files in commits with issues reports. Besides the two kinds of data in commits, non-source documents (NSDs) such as change logs usually record the fixing activities and sometimes share similar texts as those in issue reports. However, few discussions have been made on the role of NSDs in designing link recovery approaches. Aims: This paper aims at understanding whether and how NSDs affect the performance of link recovery approaches. Method: An empirical study is conducted to evaluate the role of NSDs in link recovery approaches in 18 open source projects with 6370 issues and 22761 commits. Results: With the inclusion of NSDs, link recovery approaches can get an average increase in F-Measure ranging from 2.76%-25.63%. Further examinations show NSDs contribute to the performance improvement in 15 projects and have exceptions in 3 projects. The performance improvement in the 15 projects is mainly from the filtering of noisy links. On average, 23.59%-76.30% false links can be excluded by exploiting NSDs in the link recovery approach. We also analyze the 3 projects in which NSDs cannot improve the performance. Our finding shows sophisticated data selection in NSDs is necessary. Conclusions: Our preliminary findings demonstrate that involving NSDs can improve the performance of link recovery approaches in most cases. © 2016 ACM.</t>
  </si>
  <si>
    <t>https://www.scopus.com/inward/record.uri?eid=2-s2.0-84991571523&amp;doi=10.1145%2f2961111.2962605&amp;partnerID=40&amp;md5=4559336dd483d7e7b64504785eff0c28</t>
  </si>
  <si>
    <t>Sabor, K. K., Nayrolles, M., Trabelsi, A. and Hamou-Lhadj, A.</t>
  </si>
  <si>
    <t>An Approach for Predicting Bug Report Fields Using a Neural Network Learning Model</t>
  </si>
  <si>
    <t>Bug fixing is a major activity in software development and maintenance. Developers use information reported in bug reports to identify bug causes and to provide a fix. Previous studies have shown that bug report fields are often reassigned to different development teams after the report is sent to developers. This can introduce considerable time delays in the bug handling process. To overcome this issue, there exist numerous methods to automatically predict bug report fields by examining historical data. In this paper, we combine a neural network based model with stack traces to predict bug report fields. When applied to bug reports of the Eclipse repository, we found that our approach achieves improvement of about 73% in product prediction accuracy, and 85% in component prediction accuracy over the well-known K-nearest neighbors (KNN) algorithm. The results of this preliminary study suggest that neural networks provide a robust alternative to traditional classification techniques. © 2018 IEEE.</t>
  </si>
  <si>
    <t>https://www.scopus.com/inward/record.uri?eid=2-s2.0-85059865504&amp;doi=10.1109%2fISSREW.2018.00011&amp;partnerID=40&amp;md5=cb07e055ef7d26096e2bdbccf1edffb5</t>
  </si>
  <si>
    <t>Corona, E. I. M. and Rossi, B.</t>
  </si>
  <si>
    <t>Linchpin developers in open source software projects</t>
  </si>
  <si>
    <t>In Open Source Software (OSS) development, the so-called linchpin developers are those that contribute contemporaneously to several projects, contributing to keeping the community tied together. While such developers have been identified in previous research, their importance within the OSS community has not been widely discussed. The main objective of this work is to analyze their "weaving" role across projects. With this aim, we mined software repositories, using text mining techniques as log-likehood ratio and co-word analysis, further building social networks of developers within emerging communities. The findings show that linchpin developers generally attach in a preferential way to projects in a single specific domain. They tend to be more "project managers", and "allhands- persons", meaning that they bring multi-disciplinary experience across projects. They tend to cover the same role across projects. They generally have high centrality in their projects, and contribute to create projects that ease the transition from a fragmented projects community to a more core-periphery community.</t>
  </si>
  <si>
    <t>https://www.scopus.com/inward/record.uri?eid=2-s2.0-84875496103&amp;doi=10.2316%2fP.2013.796-018&amp;partnerID=40&amp;md5=3ed300eff0dfca4652bdabebe2c7b667</t>
  </si>
  <si>
    <t>Pashchenko, I., Plate, H., Ponta, S. E., Sabetta, A. and Massacci, F.</t>
  </si>
  <si>
    <t>Vulnerable open source dependencies: Counting those that matter</t>
  </si>
  <si>
    <t>Background: Vulnerable dependencies are a known problem in today's open-source software ecosystems because OSS libraries are highly interconnected and developers do not always update their dependencies. Aim: Our paper addresses the over-inflation problem of academic and industrial approaches for reporting vulnerable dependencies in OSS software, and therefore, caters to the needs of industrial practice for correct allocation of development and audit resources. Method: Careful analysis of deployed dependencies, aggregation of dependencies by their projects, and distinction of halted dependencies allow us to obtain a counting method that avoids over-inflation. To understand the industrial impact of a more precise approach, we considered the 200 most popular OSS Java libraries used by SAP in its own software. Our analysis included 10905 distinct GAVs (group, artifact, version) in Maven when considering all the library versions. Results: We found that about 20% of the dependencies affected by a known vulnerability are not deployed, and therefore, they do not represent a danger to the analyzed library because they cannot be exploited in practice. Developers of the analyzed libraries are able to fix (and actually responsible for) 82% of the deployed vulnerable dependencies. The vast majority (81%) of vulnerable dependencies may be fixed by simply updating to a new version, while 1% of the vulnerable dependencies in our sample are halted, and therefore, potentially require a costly mitigation strategy. Conclusions: Our case study shows that the correct counting allows software development companies to receive actionable information about their library dependencies, and therefore, correctly allocate costly development and audit resources, which is spent inefficiently in case of distorted measurements. © 2018 ACM.</t>
  </si>
  <si>
    <t>https://www.scopus.com/inward/record.uri?eid=2-s2.0-85061481100&amp;doi=10.1145%2f3239235.3268920&amp;partnerID=40&amp;md5=d74fa6dcdc019e7f5e95ab0dc73fa112</t>
  </si>
  <si>
    <t>Rastogi, A.</t>
  </si>
  <si>
    <t>Contributor's Performance, Participation Intentions, Its Influencers and Project Performance</t>
  </si>
  <si>
    <t>Software project performance largely depends on the software development team. Studies have shown that interest and activity levels of contributors at any time significantly affect project success measures. This dissertation provides suggestions to enhance contributors' performance and participation intentions to help improve project performance. To do so, we mine historical data in software repositories from a two-pronged approach: 1) To assess contributors' performance to identify strengths and areas of improvement. 2) To measure the influence of factors on contributors' participation and performance, and provide suggestions that help advance contributor's engagement. The methodology used in this study leverage empirical techniques, both quantitative and qualitative, to conduct the analysis. We believe that the insights presented here will help contributors improve their performance. Also, we expect managers and business analysts to benefit from the suggestions to revise factors that negatively influence contributors' engagement and hence improve project performance. © 2015 IEEE.</t>
  </si>
  <si>
    <t>https://www.scopus.com/inward/record.uri?eid=2-s2.0-84951740096&amp;doi=10.1109%2fICSE.2015.292&amp;partnerID=40&amp;md5=2ec5418220193bd9fd382ee3bbd20e86</t>
  </si>
  <si>
    <t>Bettenburg, N. and Begel, A.</t>
  </si>
  <si>
    <t>Deciphering the story of software development through frequent pattern mining</t>
  </si>
  <si>
    <t>Software teams record their work progress in task repositories which often require them to encode their activities in a set of edits to field values in a form-based user interface. When others read the tasks, they must decode the schema used to write the activities down. We interviewed four software teams and found out how they used the task repository fields to record their work activities. However, we also found that they had trouble interpreting task revisions that encoded for multiple activities at the same time. To assist engineers in decoding tasks, we developed a scalable method based on frequent pattern mining to identify patterns of frequently co-edited fields that each represent a conceptual work activity. We applied our method to our two years of our interviewee's task repositories and were able to abstract 83,000 field changes into just 27 patterns that cover 95% of the task revisions. We used the 27 patterns to render the teams' tasks in web-based English newsfeeds and evaluated them with the product teams. The team agreed with most of our patterns and English interpretations, but outlined a number of improvements that we will incorporate into future work. © 2013 IEEE.</t>
  </si>
  <si>
    <t>https://www.scopus.com/inward/record.uri?eid=2-s2.0-84886445761&amp;doi=10.1109%2fICSE.2013.6606677&amp;partnerID=40&amp;md5=628bc09b702f36673d1c109cad97f62f</t>
  </si>
  <si>
    <t>Puławski, Ł</t>
  </si>
  <si>
    <t>Temporal relations of rough anti-patterns in software development</t>
  </si>
  <si>
    <t>Design anti-patterns are common wrong solutions in software, whose frequency has been proven to be correlated with poor system quality. This paper investigates temporal relations between different types of anti-patters, i.e. how the appearance of one type of anti-pattern in the source code increases the probability that different anti-pattern will appear shortly after in its neighbourhood. The notion of rough anti-pattern used to model the vagueness of anti-patterns allows us to reformulate the question and establish if certain rough patterns tend to be temporally correlated. The proposed framework was used to build a classifier, which can be employed to predict the appearance of some anti-patterns by looking at the temporal relations between other anti-patterns. The experiments conducted on two large open-source projects suggest that a few common anti-patterns tend to be temporally dependent on others, whereas a few others do not. © Springer International Publishing AG 2017.</t>
  </si>
  <si>
    <t>https://www.scopus.com/inward/record.uri?eid=2-s2.0-85022334594&amp;doi=10.1007%2f978-3-319-60837-2_37&amp;partnerID=40&amp;md5=382b9c4cb8f2d2f37de464f2d90cf784</t>
  </si>
  <si>
    <t>Just, S., Herzig, K., Czerwonka, J. and Murphy, B.</t>
  </si>
  <si>
    <t>Switching to Git: The Good, the Bad, and the Ugly</t>
  </si>
  <si>
    <t>Since its introduction 10 years ago, GIT has taken the world of version control systems (VCS) by storm. Its success is partly due to creating opportunities for new usage patterns that empower developers to work more efficiently. However, the resulting change in both user behavior and the way GIT stores changes impacts data mining and data analytics procedures [6], [13]. While some of these unique characteristics can be managed by adjusting mining and analytical techniques, others can lead to severe data loss and the inability to audit code changes, e.g. knowing the full history of changes of code related to security and privacy functionality. Thus, switching to GIT comes with challenges to established development process analytics. This paper is based on our experience in attempting to provide continuous process analysis for Microsoft product teams who switching to GIT as their primary VCS. We illustrate how GIT's concepts and usage patterns create a need for changing well-established data analytic processes. The goal of this paper is to raise awareness how certain GIT operations may damage or even destroy information about historical code changes necessary for continuous data development process analytics. To that end, we provide a list of common GIT usage patterns with a description of how these operations impact data mining applications. Finally, we provide examples of how one may counteract the effects of such destructive operations in the future. We further provide a new algorithm to detect integration paths that is specific to distributed version control systems like GIT, which allows us to reconstruct the information that is crucial to most development process analytics. © 2016 IEEE.</t>
  </si>
  <si>
    <t>https://www.scopus.com/inward/record.uri?eid=2-s2.0-85013230952&amp;doi=10.1109%2fISSRE.2016.38&amp;partnerID=40&amp;md5=2808c36992b6b372b249687ebc8982b4</t>
  </si>
  <si>
    <t>Fujiwara, K., Fushida, K., Yoshida, N. and Iida, H.</t>
  </si>
  <si>
    <t>Assessing refactoring instances and the maintainability benefits of them from version archives</t>
  </si>
  <si>
    <t>For the development of high quality software, process quality assessment should be applied into development organization. So far, several process quality assessment methodologies are proposed and applied into a lot of organizations. In this paper, we propose an approach to assess instances of refactoring that is one of the key processes for quality improvement. The proposed approach can be done semi-automatically by investigating version archives in a configuration management system. We applied our proposed method to the Columba project which is an open source software project. The result of our preliminary case study shows that the frequency of defect introduction tends to decrease in the term after frequent refactoring. © 2013 Springer-Verlag.</t>
  </si>
  <si>
    <t>https://www.scopus.com/inward/record.uri?eid=2-s2.0-84884928699&amp;doi=10.1007%2f978-3-642-39259-7_25&amp;partnerID=40&amp;md5=077bd883bb6fb5bf262eb6a59c1f2f3d</t>
  </si>
  <si>
    <t>History slicing: Assisting code-evolution tasks</t>
  </si>
  <si>
    <t>Many software-engineering tasks require developers to understand the history and evolution of source code. However, today's software-development techniques and tools are not well suited for the easy and efficient procurement of such information. In this paper, we present an approach called history slicing that can automatically identify a minimal number of code modifications, across any number of revisions, for any arbitrary segment of source code at fine granularity. We also present our implementation of history slicing, Chronos, that includes a novel visualization of the entire evolution for the code of interest. We provide two experiments: one experiment automatically computes 16,000 history slices to determine the benefit brought by various levels of automation, and another experiment that assesses the practical implications of history slicing for actual developers using the technique for actual software-maintenance tasks that involve code evolution. The experiments show that history slicing offered drastic improvements over the conventional techniques in three ways: (1) the amount of information needed to be examined and traced by developers was reduced by up to three orders of magnitude; (2) the correctness of developers attempting to solve software-maintenance tasks was more than doubled; and (3) the time to completion of these software-maintenance tasks was almost halved. © 2012 ACM.</t>
  </si>
  <si>
    <t>https://www.scopus.com/inward/record.uri?eid=2-s2.0-84871289477&amp;doi=10.1145%2f2393596.2393646&amp;partnerID=40&amp;md5=b3dc70a79f5e12ab751ba37cc7b6ff96</t>
  </si>
  <si>
    <t>Foucault, M., Palyart, M., Blanc, X., Murphy, G. C. and Falléri, J. R.</t>
  </si>
  <si>
    <t>Impact of developer turnover on quality in open-source software</t>
  </si>
  <si>
    <t>Turnover is the phenomenon of continuous influx and retreat of human resources in a team. Despite being well-studied in many settings, turnover has not been characterized for open- source software projects. We study the source code repositories of five open-source projects to characterize patterns of turnover and to determine the effects of turnover on software quality. We define the base concepts of both external and internal turnover, which are the mobility of developers in and out of a project, and the mobility of developers inside a project, respectively. We provide a qualitative analysis of turnover patterns. We also found, in a quantitative analysis, that the activity of external newcomers negatively impact software quality. © 2015 ACM.</t>
  </si>
  <si>
    <t>https://www.scopus.com/inward/record.uri?eid=2-s2.0-84960453790&amp;doi=10.1145%2f2786805.2786870&amp;partnerID=40&amp;md5=646bc7db998b55b8411c734ff31f34ab</t>
  </si>
  <si>
    <t>Padhye, R., Mukherjee, D. and Sinha, V. S.</t>
  </si>
  <si>
    <t>API as a social glue</t>
  </si>
  <si>
    <t>The rapid growth of social platforms such as Facebook, Twit-ter and LinkedIn underscores the need for people to connect to existing and new contacts for recreational and profes-sional purposes. A parallel of this phenomenon exists in the software development arena as well. Open-source code shar-ing platforms such as GitHub provide the ability to follow people and projects of interest. However, users are manu-ally required to identify projects or other users whom they might be interested in following. We observe that most soft-ware projects use third-party libraries and that developers who contribute to multiple projects often use the same li-brary APIs across projects. Thus, the library APIs seem to be a good fingerprint of their skill set. Hence, we argue that library APIs can form the social glue to connect people and projects having similar interests. We propose APINet, a system that mines API usage profiles from source code version management systems and create a social network of people, projects and libraries. We describe our initial im-plementation that uses data from 568 open-source projects hosted on GitHub. Our system recommends to a user new projects and people that they may be interested in, suggests communities of people who use related libraries and finds experts for a given topic who are closest in a user's social graph. Copyright © 2014 ACM.</t>
  </si>
  <si>
    <t>https://www.scopus.com/inward/record.uri?eid=2-s2.0-84903647935&amp;doi=10.1145%2f2591062.2591115&amp;partnerID=40&amp;md5=6e78b05b3270e5948ff0b8c3086eae52</t>
  </si>
  <si>
    <t>Hora, A., Silva, D., Valente, M. T. and Robbes, R.</t>
  </si>
  <si>
    <t>Assessing the threat of untracked changes in software evolution</t>
  </si>
  <si>
    <t>While refactoring is extensively performed by practitioners, many Mining Software Repositories (MSR) approaches do not detect nor keep track of refactorings when performing source code evolution analysis. In the best case, keeping track of refactorings could be unnecessary work; in the worst case, these untracked changes could significantly affect the performance of MSR approaches. Since the extent of the threat is unknown, the goal of this paper is to assess whether it is significant. Based on an extensive empirical study, we answer positively: we found that between 10 and 21% of changes at the method level in 15 large Java systems are untracked. This results in a large proportion (25%) of entities that may have their histories split by these changes, and a measurable effect on at least two MSR approaches. We conclude that handling untracked changes should be systematically considered by MSR studies. © 2018 ACM.</t>
  </si>
  <si>
    <t>https://www.scopus.com/inward/record.uri?eid=2-s2.0-85049384092&amp;doi=10.1145%2f3180155.3180212&amp;partnerID=40&amp;md5=07ba3737c8a737f50be2574980302c3e</t>
  </si>
  <si>
    <t>Maffort, C., Valente, M. T., Terra, R., Bigonha, M., Anquetil, N. and Hora, A.</t>
  </si>
  <si>
    <t>Mining architectural violations from version history</t>
  </si>
  <si>
    <t>Software architecture conformance is a key software quality control activity that aims to reveal the progressive gap normally observed between concrete and planned software architectures. However, formally specifying an architecture can be difficult, as it must be done by an expert of the system having a high level understanding of it. In this paper, we present a lightweighted approach for architecture conformance based on a combination of static and historical source code analysis. The proposed approach relies on four heuristics for detecting absences (something expected was not found) and divergences (something prohibited was found) in source code based architectures. We also present an architecture conformance process based on the proposed approach. We followed this process to evaluate the architecture of two industrial-strength information systems, achieving an overall precision of 62.7 % and 53.8 %. We also evaluated our approach in an open-source information retrieval library, achieving an overall precision of 59.2 %. We envision that an heuristic-based approach for architecture conformance can be used to rapidly raise architectural warnings, without deeply involving experts in the process. © 2015, Springer Science+Business Media New York.</t>
  </si>
  <si>
    <t>https://www.scopus.com/inward/record.uri?eid=2-s2.0-84921880033&amp;doi=10.1007%2fs10664-014-9348-2&amp;partnerID=40&amp;md5=7ae36bc1bd15c37be29bf06b433439ae</t>
  </si>
  <si>
    <t>González-Barahona, J. M. and Robles, G.</t>
  </si>
  <si>
    <t>On the reproducibility of empirical software engineering studies based on data retrieved from development repositories</t>
  </si>
  <si>
    <t>Among empirical software engineering studies, those based on data retrieved from development repositories (such as those of source code management, issue tracking or communication systems) are specially suitable for reproduction. However their reproducibility status can vary a lot, from easy to almost impossible to reproduce. This paper explores which elements can be considered to characterize the reproducibility of a study in this area, and how they can be analyzed to better understand the type of reproduction studies they enable or obstruct. One of the main results of this exploration is the need of a systematic approach to asses the reproducibility of a study, due to the complexity of the processes usually involved, and the many details to be taken into account. To address this need, a methodology for assessing the reproducibility of studies is also presented and discussed, as a tool to help to raise awareness about research reproducibility in this field. The application of the methodology in practice has shown how, even for papers aimed to be reproducible, a systematic analysis raises important aspects that render reproduction difficult or impossible. We also show how, by identifying elements and attributes related to reproducibility, it can be better understood which kind of reproduction can be done for a specific study, given the description of datasets, methodologies and parameters it uses. © 2011 The Author(s).</t>
  </si>
  <si>
    <t>https://www.scopus.com/inward/record.uri?eid=2-s2.0-84857372534&amp;doi=10.1007%2fs10664-011-9181-9&amp;partnerID=40&amp;md5=8e17569d2a9e6701a6218a68767fd88e</t>
  </si>
  <si>
    <t>Sadeghi, A., Esfahani, N. and Malek, S.</t>
  </si>
  <si>
    <t>Mining the categorized software repositories to improve the analysis of security vulnerabilities</t>
  </si>
  <si>
    <t>Security has become the Achilles' heel of most modern software systems. Techniques ranging from the manual inspection to automated static and dynamic analyses are commonly employed to identify security vulnerabilities prior to the release of the software. However, these techniques are time consuming and cannot keep up with the complexity of ever-growing software repositories (e.g., Google Play and Apple App Store). In this paper, we aim to improve the status quo and increase the efficiency of static analysis by mining relevant information from vulnerabilities found in the categorized software repositories. The approach relies on the fact that many modern software systems are developed using rich application development frameworks (ADF), allowing us to raise the level of abstraction for detecting vulnerabilities and thereby making it possible to classify the types of vulnerabilities that are encountered in a given category of application. We used open-source software repositories comprising more than 7 million lines of code to demonstrate how our approach can improve the efficiency of static analysis, and in turn, vulnerability detection. © 2014 Springer-Verlag.</t>
  </si>
  <si>
    <t>https://www.scopus.com/inward/record.uri?eid=2-s2.0-84900555373&amp;doi=10.1007%2f978-3-642-54804-8_11&amp;partnerID=40&amp;md5=696d3cec9807b273bc7bb1c120f60606</t>
  </si>
  <si>
    <t>Da Maldonado, E. S., Abdalkareem, R., Shihab, E. and Serebrenik, A.</t>
  </si>
  <si>
    <t>An empirical study on the removal of Self-Admitted Technical Debt</t>
  </si>
  <si>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 © 2017 IEEE.</t>
  </si>
  <si>
    <t>https://www.scopus.com/inward/record.uri?eid=2-s2.0-85040559968&amp;doi=10.1109%2fICSME.2017.8&amp;partnerID=40&amp;md5=87314b2704eb01c637755bc6b19462bc</t>
  </si>
  <si>
    <t>Nguyen, P. T., Di Rocco, J., Rubei, R. and Di Ruscio, D.</t>
  </si>
  <si>
    <t>CrossSim: Exploiting mutual relationships to detect similar OSS projects</t>
  </si>
  <si>
    <t>Software development is a knowledge-intensive activity, which requires mastering several languages, frameworks, technology trends (among other aspects) under the pressure of ever-increasing arrays of external libraries and resources. Recommender systems are gaining high relevance in software engineering since they aim at providing developers with real-time recommendations, which can reduce the time spent on discovering and understanding reusable artifacts from software repositories, and thus inducing productivity and quality gains. In this paper, we focus on the problem of mining open source software repositories to identify similar projects, which can be evaluated and eventually reused by developers. To this end, CrossSim is proposed as a novel approach to model open source software projects and related artifacts and to compute similarities among them. An evaluation on a dataset containing 580 GitHub projects shows that CrossSim outperforms an existing technique, which has been proven to have a good performance in detecting similar GitHub repositories. © 2018 IEEE.</t>
  </si>
  <si>
    <t>https://www.scopus.com/inward/record.uri?eid=2-s2.0-85050935610&amp;doi=10.1109%2fSEAA.2018.00069&amp;partnerID=40&amp;md5=2de17dec943e6b40757cbe10cc073b1c</t>
  </si>
  <si>
    <t>Fostering real-time software analysis by leveraging heterogeneous and autonomous software repositories</t>
  </si>
  <si>
    <t>Mining software repositories allow software practitioners to improve the quality of software systems and to support maintenance based on historical data. Such data is scattered across autonomous and heterogeneous information sources, such as version control, bug tracking and build automation systems. Despite having many tools to track and measure the data originated from such repositories, software practitioners often suffer from a scarcity of the techniques necessary to dynamically leverage software repositories to fulfill their complex information needs. For example, answering a question such as "What is the number of commits between two successful builds?" requires tiresome manual inspection of multiple repositories. As a solution, this paper presents a conceptual framework and a proof of concept visual query interface to satisfy distinct software quality related information needs of software practitioners. The data originated from repositories is integrated and analyzed to perform systematic investigations, which helps to uncover hidden relationships between software quality and trends of software evolution. This approach has several significant benefits such as the ability to perform real-time analyses, the ability to combine data from various software repositories and generate queries dynamically. The framework evaluated with 31 subjects by using a series of questions categorized into three software evolution scenarios. The evaluation results evidently show that our framework surpasses the state of the art tools in terms of correctness, time and usability. © 2018 The Institute of Electronics, Information and Communication Engineers.</t>
  </si>
  <si>
    <t>https://www.scopus.com/inward/record.uri?eid=2-s2.0-85056144748&amp;doi=10.1587%2ftransinf.2018EDP7094&amp;partnerID=40&amp;md5=2502b3683b5580062901ace596ab8fa5</t>
  </si>
  <si>
    <t>Maffort, C., Valente, M. T., Bigonha, M., Anquetil, N. and Hora, A.</t>
  </si>
  <si>
    <t>Heuristics for discovering architectural violations</t>
  </si>
  <si>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 © 2013 IEEE.</t>
  </si>
  <si>
    <t>https://www.scopus.com/inward/record.uri?eid=2-s2.0-84893374797&amp;doi=10.1109%2fWCRE.2013.6671297&amp;partnerID=40&amp;md5=bbd385c97846c62aad78c3ad5c2c7007</t>
  </si>
  <si>
    <t>Behnamghader, P., Meemeng, P., Fostiropoulos, I., Huang, D., Srisopha, K. and Boehm, B.</t>
  </si>
  <si>
    <t>A scalable and efficient approach for compiling and analyzing commit history</t>
  </si>
  <si>
    <t>Background: Researchers oftentimes measure quality metrics only in the changed files when analyzing software evolution over commit-history. This approach is not suitable for compilation and using program analysis techniques that require byte-code. At the same time, compiling the whole software not only is costly but may also leave us with many uncompilable and unanalyzed revisions. Aims: We intend to demonstrate if analyzing changes in a module results in achieving a high compilation ratio and a better understanding of software quality evolution. Method: We conduct a large-scale multi-perspective empirical study on 37838 distinct revisions of the core module of 68 systems across Apache, Google, and Netflix to assess their compilability and identify when the software is uncompilable as a result of a developer's fault. We study the characteristics of uncompilable revisions and analyze compilable ones to understand the impact of developers on software quality. Results: We achieve high compilation ratios: 98.4% for Apache, 99.0% for Google, and 94.3% for Netflix. We identify 303 sequences of uncompile commits and create a model to predict uncompilability based on commit metadata with an F1-score of 0.89 and an AUC of 0.96. We identify statistical differences between the impact of affiliated and external developers of organizations. Conclusions: Focusing on a module results in a more complete and accurate software evolution analysis, reduces the cost and complexity, and facilitates manual inspection. © 2018 ACM.</t>
  </si>
  <si>
    <t>https://www.scopus.com/inward/record.uri?eid=2-s2.0-85061480185&amp;doi=10.1145%2f3239235.3239237&amp;partnerID=40&amp;md5=ea4516f8ea3cde7b24d759113020b21f</t>
  </si>
  <si>
    <t>Canfora, G., Cerulo, L., Cimitile, M. and Di Penta, M.</t>
  </si>
  <si>
    <t>How changes affect software entropy: An empirical study</t>
  </si>
  <si>
    <t>Context Software systems continuously change for various reasons, such as adding new features, fixing bugs, or refactoring. Changes may either increase the source code complexity and disorganization, or help to reducing it. Aim This paper empirically investigates the relationship of source code complexity and disorganization - measured using source code change entropy - with four factors, namely the presence of refactoring activities, the number of developers working on a source code file, the participation of classes in design patterns, and the different kinds of changes occurring on the system, classified in terms of their topics extracted from commit notes. Method We carried out an exploratory study on an interval of the life-time span of four open source systems, namely ArgoUML, Eclipse-JDT, Mozilla, and Samba, with the aim of analyzing the relationship between the source code change entropy and four factors: refactoring activities, number of contributors for a file, participation of classes in design patterns, and change topics. Results The study shows that (i) the change entropy decreases after refactoring, (ii) files changed by a higher number of developers tend to exhibit a higher change entropy than others, (iii) classes participating in certain design patterns exhibit a higher change entropy than others, and (iv) changes related to different topics exhibit different change entropy, for example bug fixings exhibit a limited change entropy while changes introducing new features exhibit a high change entropy. Conclusions Results provided in this paper indicate that the nature of changes (in particular changes related to refactorings), the software design, and the number of active developers are factors related to change entropy. Our findings contribute to understand the software aging phenomenon and are preliminary to identifying better ways to contrast it. © 2012 Springer Science+Business Media, LLC.</t>
  </si>
  <si>
    <t>https://www.scopus.com/inward/record.uri?eid=2-s2.0-84893777685&amp;doi=10.1007%2fs10664-012-9214-z&amp;partnerID=40&amp;md5=de380a11caae0c385106640fc5f5cbb9</t>
  </si>
  <si>
    <t>Chaikalis, T., Ligu, E., Melas, G. and Chatzigeorgiou, A.</t>
  </si>
  <si>
    <t>SEAgle: Effortless software evolution analysis</t>
  </si>
  <si>
    <t>The analysis of software evolution by means of mining public repositories has been established as one of the dominant approaches for empirical studies in software engineering. However, even the investigation of the simplest research question demands a mazy process involving installation and configuration of tools, climbing their learning curve and tedious collection of desired information. Acknowledging the need for effortless querying of remote repositories we introduce a Web-based 'one-click approach' to perform software evolution analysis of Git projects. © 2014 IEEE.</t>
  </si>
  <si>
    <t>https://www.scopus.com/inward/record.uri?eid=2-s2.0-84931065197&amp;doi=10.1109%2fICSME.2014.100&amp;partnerID=40&amp;md5=acea124229640e4df7c6cc715cc1b858</t>
  </si>
  <si>
    <t>Yamashita, K.</t>
  </si>
  <si>
    <t>In this paper, we propose an analysis tool for mining software repository (MSR) called E-CUBE, which corresponds to three types of evolution in MSR (i.e., Platform Evolution, Target Evolution and Scale Evolution). To encapsulate the essence of these types of evolution, we introduce modular construction for MSR studies to E-CUBE. We make a choice of features (i.e., modules) in the field of MSR using Feature Oriented Domain Analysis (FODA) and implement those modules using an internal Domain specific language (DSL). Copyright © 2013 ACM.</t>
  </si>
  <si>
    <t>https://www.scopus.com/inward/record.uri?eid=2-s2.0-84875975038&amp;doi=10.1145%2f2457392.2457409&amp;partnerID=40&amp;md5=35c93b94c0d90958ab918d23810fe30c</t>
  </si>
  <si>
    <t>Tufano, M., Palomba, F., Bavota, G., Di Penta, M., Oliveto, R., De Lucia, A. and Poshyvanyk, D.</t>
  </si>
  <si>
    <t>An empirical investigation into the nature of test smells</t>
  </si>
  <si>
    <t>Test smells have been defined as poorly designed tests and, as reported by recent empirical studies, their presence may negatively affect comprehension and maintenance of test suites. Despite this, there are no available automated tools to support identification and repair of test smells. In this paper, we firstly investigate developers' perception of test smells in a study with 19 participants. The results show that developers generally do not recognize (potentially harmful) test smells, highlighting that automated tools for identifying such smells are much needed. However, to build effective tools, deeper insights into the test smells phenomenon are required. To this aim, we conducted a large-scale empirical investigation aimed at analyzing (i) when test smells occur in source code, (ii) what their survivability is, and (iii) whether their presence is associated with the presence of design problems in production code (code smells). The results indicate that test smells are usually introduced when the corresponding test code is committed in the repository for the first time, and they tend to remain in a system for a long time. Moreover, we found various unexpected relationships between test and code smells. Finally, we show how the results of this study can be used to build e.ective automated tools for test smell detection and refactoring. © 2016 ACM.</t>
  </si>
  <si>
    <t>https://www.scopus.com/inward/record.uri?eid=2-s2.0-84989211424&amp;doi=10.1145%2f2970276.2970340&amp;partnerID=40&amp;md5=73fba37c34073daef12441796e6ce798</t>
  </si>
  <si>
    <t>Ghezzi, G., Würsch, M., Giger, E. and Gall, H. C.</t>
  </si>
  <si>
    <t>Current version control systems are not built to be systematically analyzed. They have greatly evolved since their first appearance, but their focus has always been towards supporting developers in forward engineering activities. Supporting the analysis of the development history has so far been neglected. A plethora of third party applications have been built to fill this gap. To extract the data needed, they use interfaces that were not built for that. Drawing from our experience in mining and analyzing version control repositories, we propose an architectural blueprint for a plug-in based version control system in which analyses can be directly plugged into it in a flexible and lightweight way, to support both developers and analysts. We show the potential of this approach in three usage scenarios and we also give some examples for these analysis plug-ins. © 2012 IEEE.</t>
  </si>
  <si>
    <t>https://www.scopus.com/inward/record.uri?eid=2-s2.0-84864258448&amp;doi=10.1109%2fTOPI.2012.6229803&amp;partnerID=40&amp;md5=6a43608d46bdd79a3912aac9aa61f778</t>
  </si>
  <si>
    <t>Shang, W., Nagappan, M. and Hassan, A. E.</t>
  </si>
  <si>
    <t>Studying the relationship between logging characteristics and the code quality of platform software</t>
  </si>
  <si>
    <t>Platform software plays an important role in speeding up the development of large scale applications. Such platforms provide functionalities and abstraction on which applications can be rapidly developed and easily deployed. Hadoop and JBoss are examples of popular open source platform software. Such platform software generate logs to assist operators in monitoring the applications that run on them. These logs capture the doubts, concerns, and needs of developers and operators of platform software. We believe that such logs can be used to better understand code quality. However, logging characteristics and their relation to quality has never been explored. In this paper, we sought to empirically study this relation through a case study on four releases of Hadoop and JBoss. Our findings show that files with logging statements have higher post-release defect densities than those without logging statements in 7 out of 8 studied releases. Inspired by prior studies on code quality, we defined log-related product metrics, such as the number of log lines in a file, and log-related process metrics such as the number of changed log lines. We find that the correlations between our log-related metrics and post-release defects are as strong as their correlations with traditional process metrics, such as the number of pre-release defects, which is known to be one the metrics with the strongest correlation with post-release defects. We also find that log-related metrics can complement traditional product and process metrics resulting in up to 40 % improvement in explanatory power of defect proneness. Our results show that logging characteristics provide strong indicators of defect-prone source code files. However, we note that removing logs is not the answer to better code quality. Instead, our results show that it might be the case that developers often relay their concerns about a piece of code through logs. Hence, code quality improvement efforts (e.g., testing and inspection) should focus more on the source code files with large amounts of logs or with large amounts of log churn. © 2013, Springer Science+Business Media New York.</t>
  </si>
  <si>
    <t>https://www.scopus.com/inward/record.uri?eid=2-s2.0-84922001381&amp;doi=10.1007%2fs10664-013-9274-8&amp;partnerID=40&amp;md5=3e2698304867833acfe9c475bacdcf9f</t>
  </si>
  <si>
    <t>Mattila, A. L., Systä, K., Sievi-Korte, O., Leppänen, M. and Mikkonen, T.</t>
  </si>
  <si>
    <t>Discovering software process deviations using visualizations</t>
  </si>
  <si>
    <t>Modern software development is supported by a rich set of tools that accumulate data from the software process automatically. That data can be used for understanding and improving software processes without any manual data collection. In this paper we introduce an industrial case where data visualization of issue management system was used to investigate software projects. The results of the study show that visualization of issue management system data can really reveal deviations between planned process and executed process. © The Author(s) 2017.</t>
  </si>
  <si>
    <t>https://www.scopus.com/inward/record.uri?eid=2-s2.0-85018707883&amp;doi=10.1007%2f978-3-319-57633-6_18&amp;partnerID=40&amp;md5=6a70fdc55cbce45f99ae419055e06a79</t>
  </si>
  <si>
    <t>Hey! Are you committing tangled changes?</t>
  </si>
  <si>
    <t>Although there is a principle that states a commit should only include changes for a single task, it is not always respected by developers. This means that code repositories often include commits that contain tangled changes. The presence of such tangled changes hinders analyzing code repositories because most mining software repository (MSR) approaches are designed with the assumption that every commit includes only changes for a single task. In this paper, we propose a technique to inform developers that they are in the process of committing tangled changes. The proposed technique utilizes the changes included in the past commits to judge whether a given commit includes tangled changes. If it determines that the proposed commit may include tangled changes, it offers suggestions on how the tangled changes can be split into a set of untangled changes. Copyright © 2014 ACM.</t>
  </si>
  <si>
    <t>https://www.scopus.com/inward/record.uri?eid=2-s2.0-84931030008&amp;doi=10.1145%2f2597008.2597798&amp;partnerID=40&amp;md5=cfb86cd319a62938cc57147c725727a1</t>
  </si>
  <si>
    <t>Thongtanunam, P., Yang, X., Yoshida, N., Kula, R. G., Cruz, A. E. C., Fujiwara, K. and Iida, H.</t>
  </si>
  <si>
    <t>REDA: A web-based visualization tool for analyzing modern code review dataset</t>
  </si>
  <si>
    <t>ReDA (http://reda.naist.jp/) is a web-based visualization tool for analyzing Modern Code Review (MCR) datasets for large Open Source Software (OSS) projects. MCR is a commonly practiced and lightweight inspection of source code using a support tool such as Gerrit system. Recently, mining code review history of such systems has received attention as a potentially effective method of ensuring software quality. However, due to increasing size and complexity of softwares being developed, these datasets are becoming unmanageable. ReDA aims to assist researchers of mining code review data by enabling better understand of dataset context and identifying abnormalities. Through real-time data interaction, users can quickly gain insight into the data and hone in on interesting areas to investigate. A video highlighting the main features can be found at: http://youtu.be/-fEoTRRas0U. © 2014 IEEE.</t>
  </si>
  <si>
    <t>https://www.scopus.com/inward/record.uri?eid=2-s2.0-84931049440&amp;doi=10.1109%2fICSME.2014.106&amp;partnerID=40&amp;md5=9a121ca68632e951007b53dd526cea1d</t>
  </si>
  <si>
    <t>Sun, C., Zhang, H., Lou, J. G., Zhang, H., Wang, Q., Zhang, D. and Khoo, S. C.</t>
  </si>
  <si>
    <t>Querying sequential software engineering data</t>
  </si>
  <si>
    <t>We propose a pattern-based approach to effectively and efficiently analyzing sequential software engineering (SE) data. Different from other types of SE data, sequential SE data preserves unique temporal properties, which cannot be easily analyzed without much programming effort. In order to facilitate the analysis of sequential SE data, we design a sequential pattern query language (SPQL), which specifies the temporal properties based on regular expressions, and is enhanced with variables and statements to store and manipulate matching states. We also propose a query engine to effectively process the SPQL queries. We have applied our approach to analyze two types of SE data, namely bug report history and source code change history. We experiment with 181,213 Eclipse bug reports and 323,989 code revisions of Android. SPQL enables us to explore interesting temporal properties underneath these sequential data with a few lines of query code and low matching overhead. The analysis results can help better understand a software process and identify process violations. Copyright 2014 ACM.</t>
  </si>
  <si>
    <t>https://www.scopus.com/inward/record.uri?eid=2-s2.0-84986912677&amp;doi=10.1145%2f2635868.2635902&amp;partnerID=40&amp;md5=a174baf66c7496ee675f6ba13e3416a4</t>
  </si>
  <si>
    <t>Yano, Y., Kula, R. G., Ishio, T. and Inoue, K.</t>
  </si>
  <si>
    <t>VerXCombo: An Interactive Data Visualization of Popular Library Version Combinations</t>
  </si>
  <si>
    <t>In large software systems, it is common practice to adopt third-party libraries. Decisions by system maintainers to either update or introduce new third-party libraries can range from trivial to complex. For instance, incompatibility between internal library dependencies may complicate adoption. Therefore, system maintainers especially need adequate assurance of any candidate library release. Using the 'wisdom of the crowd', VerXCombo aims to assist system maintainers by mining popular library dependency patterns of similar systems. Through data interactions, VerXCombo leverages parallel sets to break-down large and complex dataset into distinguishable patterns of 1.) popular and 2.) latest library dependency release combinations. Populating our tool with a maven library dependency dataset from over 4,000 Java Open Source projects, we demonstrate through a case scenario navigation and best fit combinations of the VerXCombo tool. A video highlighting the main features of the tool can be found at: http://goo.gl/wWPylL. © 2015 IEEE.</t>
  </si>
  <si>
    <t>https://www.scopus.com/inward/record.uri?eid=2-s2.0-84961363449&amp;doi=10.1109%2fICPC.2015.43&amp;partnerID=40&amp;md5=49ecb6ea08ab5927db91a1ea146885e4</t>
  </si>
  <si>
    <t>Cosentino, V., Cánovas Izquierdo, J. L. and Cabot, J.</t>
  </si>
  <si>
    <t>GITANA: A software project inspector</t>
  </si>
  <si>
    <t>The development of software projects entails significant implementation and collaboration activities, typically supported by tools such as issue trackers, code review tools and Version Control Systems. However, these tools only provide a partial view of the project and often lack of advanced querying mechanisms, thus hampering the analysis of the status of the project and endangering the decision making process on the best way to drive the development process. We present GITANA, a software project inspector able to import the activity of the different support tools into a single relational database, thus providing a central point to perform all kinds of cross-cutting analysis on the software project data. Tool website: https://github.com/SOM-Research/gitana. © 2017 Elsevier B.V.</t>
  </si>
  <si>
    <t>https://www.scopus.com/inward/record.uri?eid=2-s2.0-85040378606&amp;doi=10.1016%2fj.scico.2017.12.002&amp;partnerID=40&amp;md5=5d74984296ccf7b92d70a14f32a5a4b6</t>
  </si>
  <si>
    <t>Taibi, F.</t>
  </si>
  <si>
    <t>Filtered mining in program code repositories</t>
  </si>
  <si>
    <t>An approach to automatically mine program code repositories in order to support software reuse is proposed in this paper. Code attributes and structural relationships are used to find and rank the potential elements based on a given query. Static program analysis is used to allow a filtered mining through three well-established metrics that have a direct impact on code quality. The approach has been empirically evaluated and the results obtained were promising. © 2012 IEEE.</t>
  </si>
  <si>
    <t>Park, J., Kim, M. and Bae, D. H.</t>
  </si>
  <si>
    <t>An empirical study on reducing omission errors in practice</t>
  </si>
  <si>
    <t>Since studies based on mining software repositories sparked interests in the field of guiding software changes, many change recommendation techniques have been proposed to reduce omission errors. While these techniques only used existing software commit data sets to evaluate their effectiveness, we use the data set of supplementary patches which correct initial incomplete patches to investigate how much actual omission errors could be prevented in practice. We find that while a single trait is inadequate, combining multiple traits is limited as well for predicting supplementary change locations. Neither does a boosting approach improve accuracy significantly, nor filtering based on developer or package specific information necessarily improves the accuracy. Developers rarely repeat the same mistakes, making the potential value of history-based change prediction less promising. We share our skepticism that omission errors are hard to prevent in practice based on a systematic evaluation of a supplementary patch data set. © 2014 ACM.</t>
  </si>
  <si>
    <t>https://www.scopus.com/inward/record.uri?eid=2-s2.0-84908613978&amp;doi=10.1145%2f2642937.2642956&amp;partnerID=40&amp;md5=81838e4a234acbeb0c2a8b578ffe721a</t>
  </si>
  <si>
    <t>Kaur, A. and Vig, V.</t>
  </si>
  <si>
    <t>Challenges in data extraction from Open Source software repositories</t>
  </si>
  <si>
    <t>Open source softwares (OSS) are a boon to research and development. Their free access and availability of thousands of projects pushes research into new dimensions. But are these repositories actually helpful in quality research? Heterogeneous and incomplete data, lack of integration between repositories, performance and usability issues and lack of documentation are few factors that affect the quality of research in Open Source. In this paper, we lay down the difficulties experienced while working on extraction and analysis of data from open source repositories for quality research. © 2016 IEEE.</t>
  </si>
  <si>
    <t>https://www.scopus.com/inward/record.uri?eid=2-s2.0-85017327764&amp;doi=10.1109%2fCONFLUENCE.2016.7508135&amp;partnerID=40&amp;md5=a6fda61c0e9228115fcf2c7449880a1a</t>
  </si>
  <si>
    <t>Bacchelli, A., Bettenburg, N. and Guerrouj, L.</t>
  </si>
  <si>
    <t>Workshop on mining unstructured data (MUD)... because 'mining unstructured data is like fishing in muddy waters'!</t>
  </si>
  <si>
    <t>Software developers have long been supported by a variety of tools, such as version control systems (e.g., GIT), issue tracking systems (e.g., BugZilla), and mailing list services (e.g., Mailman). These tools accumulate a wide range of information that is recorded in the repositories these tools store their data in. This information is comprised of two significantly different types of data: structured and unstructured data. Structured data (e.g., source code or execution traces) has a well-established structure and grammar, thus is straightforward to parse and use with computer machinery. Unstructured data (e.g., documentation, discussions, comments, or customer support requests) consists of a mixture of natural language text, snippets of structured data, and noise. Mining unstructured data is very challenging since out-of-the box approaches adopted from related fields, such as Natural Language Processing and Information Retrieval, cannot be directly applied in software engineering. To tackle challenges faced when mining unstructured data and make the knowledge contained in unstructured data repositories accessible to both practitioners and researchers, we organize the 2nd workshop on Mining Unstructured Data (MUD'12). The aim is to provide a unique interactive venue for discussing in-depth challenges, approaches, and applications and share experiences, and results on the topic of mining software unstructured data. © 2012 IEEE.</t>
  </si>
  <si>
    <t>https://www.scopus.com/inward/record.uri?eid=2-s2.0-84872299598&amp;doi=10.1109%2fWCRE.2012.67&amp;partnerID=40&amp;md5=b95808d563f432c9d59f4677eb24ae42</t>
  </si>
  <si>
    <t>Buffoni, L., Pop, A. and Mengist, A.</t>
  </si>
  <si>
    <t>Traceability and impact analysis in requirement verification</t>
  </si>
  <si>
    <t>Seamless tracing of the requirements and associating them with the models and the simulation results is becoming increasingly important. This can be used to support several activities such as variant handling, impact analysis, component reuse, verification, and validation. This work in progress paper presents an approach for combining traceability with requirement verification in Modelica. Traceability is supported via the OSLC specification standard combined with Git version control system. All operations on artifacts of interest are traced. Currently, the traceability data is stored in a graph database which can be queried for generating various reports such as impact analysis, variant handling, etc. © 2017 Copyright held by the owner/author(s).</t>
  </si>
  <si>
    <t>https://www.scopus.com/inward/record.uri?eid=2-s2.0-85041909345&amp;doi=10.1145%2f3158191.3158207&amp;partnerID=40&amp;md5=04bbc50a249d92728425bf32144e30a2</t>
  </si>
  <si>
    <t>Di Penta, M.</t>
  </si>
  <si>
    <t>Mining developers' communication to assess software quality: Promises, challenges, perils</t>
  </si>
  <si>
    <t>In recent years, researchers are building models relying on a wide variety of data that can be extracted from software repositories, concerning for example characteristics of source code changes, or be related to bug introduction and fixing. Software repositories also contain a huge amount of non-structured information, often expressed in natural language, concerning communication between developers, as well as tags, commit notes, or comments developers produce during their activities. This keynote illustrates, on the one hand, how explanatory or predictive models build upon software repositories could be enhanced by integrating them with the analysis of communication among developers. On the other hand, the keynote warns agains perils in doing that, due to the intrinsic imprecision and incompleteness of such a textual information, and explains how such problems could, at least, be mitigated. © 2012 IEEE.</t>
  </si>
  <si>
    <t>https://www.scopus.com/inward/record.uri?eid=2-s2.0-84864138845&amp;doi=10.1109%2fWETSoM.2012.6226987&amp;partnerID=40&amp;md5=390d265901cadbdab66b158455a8af21</t>
  </si>
  <si>
    <t>Papamichail, M., Diamantopoulos, T. and Symeonidis, A.</t>
  </si>
  <si>
    <t>User-Perceived Source Code Quality Estimation Based on Static Analysis Metrics</t>
  </si>
  <si>
    <t>The popularity of open source software repositories and the highly adopted paradigm of software reuse have led to the development of several tools that aspire to assess the quality of source code. However, most software quality estimation tools, even the ones using adaptable models, depend on fixed metric thresholds for defining the ground truth. In this work we argue that the popularity of software components, as perceived by developers, can be considered as an indicator of software quality. We present a generic methodology that relates quality with source code metrics and estimates the quality of software components residing in popular GitHub repositories. Our methodology employs two models: A one-class classifier, used to rule out low quality code, and a neural network, that computes a quality score for each software component. Preliminary evaluation indicates that our approach can be effective for identifying high quality software components in the context of reuse. © 2016 IEEE.</t>
  </si>
  <si>
    <t>https://www.scopus.com/inward/record.uri?eid=2-s2.0-84995422229&amp;doi=10.1109%2fQRS.2016.22&amp;partnerID=40&amp;md5=b1b95dc15bcf88711fe2be4dc636bf26</t>
  </si>
  <si>
    <t>Bayati, S.</t>
  </si>
  <si>
    <t>Poster: Understanding newcomers success in open source community</t>
  </si>
  <si>
    <t>Newcomers and volunteers contributions play an effective role the open source software (OSS) success. This role is confirmed through a rigor set of studies in software engineering discipline. As Open source projects are developed based on social and technical efforts, then it is very important for newcomers to empower their socio-Technical skills. This paper focuses on newcomers' success in open source community by analyzing newcomers' reputation on their initial activities in a social coding environment such as GitHub. By applying mining software repositories (MSR) techniques on GitHub data we found the main projects' attributes where successful newcomers contributed to them. These attributes can help other newcomers to select the right project for their initial activities. © 2018 Author.</t>
  </si>
  <si>
    <t>https://www.scopus.com/inward/record.uri?eid=2-s2.0-85049685304&amp;doi=10.1145%2f3183440.3195073&amp;partnerID=40&amp;md5=98c06fa4d16342849040d8f7b4241efd</t>
  </si>
  <si>
    <t>Batista, N. A., Brandão, M. A., Alves, G. B., Da Silva, A. P. C. and Moro, M. M.</t>
  </si>
  <si>
    <t>Collaboration strength metrics and analyses on GitHub</t>
  </si>
  <si>
    <t>We perform social analyses over an important community: The open code collaboration network. Specifically, we study the correlation among features that measure the strength of social coding collaboration on GitHub -AWeb-based source code repository that can be modeled as a social coding network. We also make publicly available a curated dataset called GitSED, GitHub Socially Enhanced Dataset. Our results have many practical applications such as to improve the recommendation of developers, the evaluation of team formation and existing analysis algorithms. © 2017 ACM.</t>
  </si>
  <si>
    <t>https://www.scopus.com/inward/record.uri?eid=2-s2.0-85031033370&amp;doi=10.1145%2f3106426.3106480&amp;partnerID=40&amp;md5=1fac8b4b2923518730d973355325f22e</t>
  </si>
  <si>
    <t>Ekstazi: Lightweight Test Selection</t>
  </si>
  <si>
    <t>Regression testing is a crucial, but potentially time-consuming, part of software development. Regression test selection (RTS), which runs only a subset of tests, was proposed over three decades ago as a promising way to speed up regression testing. However, RTS has not been widely adopted in practice. We propose EKSTAZI , a lightweight RTS tool, that can integrate well with testing frameworks and build systems, increasing the chance for adoption. EKSTAZI tracks dynamic dependencies of tests on files and requires no integration with version-control systems. We implemented EKSTAZI for Java+JUnit and Scala+ScalaTest, and evaluated it on 615 revisions of 32 open-source projects (totaling almost 5M LOC). The results show that EKSTAZI reduced the end-to-end testing time by 32% on average compared to executing all tests. EKSTAZI has been adopted for day-to-day use by several Apache developers. The demo video for EKSTAZI can be found at http://www.youtube.com/watch?v=jE8K5 UCP28. © 2015 IEEE.</t>
  </si>
  <si>
    <t>https://www.scopus.com/inward/record.uri?eid=2-s2.0-84951764887&amp;doi=10.1109%2fICSE.2015.230&amp;partnerID=40&amp;md5=8169ea1e9b8c3479747ba6d03a3e462d</t>
  </si>
  <si>
    <t>Martínez-Torres, M. R., Toral, S. L., Barrero, F. J. and Gregor, D.</t>
  </si>
  <si>
    <t>A text categorisation tool for open source communities based on semantic analysis</t>
  </si>
  <si>
    <t>Behaviour and Information Technology</t>
  </si>
  <si>
    <t>Open source software (OSS) projects are supported by communities interacting through software repositories and mailing lists. Thousands of contributors participate in the development of the projects although they rarely meet each other. The result is a huge archived repository with thousands of questions, answers and contributions usually difficult to explore. We propose a tool based on semantic analysis for both performing an automatic knowledge discovery and a categorisation of the content of mailing lists repositories. Semantic analysis is a practical method for extracting and inferring relations of words in passages of discourse, producing measures of relations among words or passages that are well correlated with semantic similarity. The objective of this article is two-fold: (1) to develop a text categorisation tool based on indexing terms and semantic annotation, and (2) to apply the developed tool to extract the main dimensions related to knowledge sharing activities in virtual communities. Debian Linux ports to embedded processors are used as a case study to accomplish the proposed double objective. © 2013 Copyright Taylor and Francis Group, LLC.</t>
  </si>
  <si>
    <t>https://www.scopus.com/inward/record.uri?eid=2-s2.0-84879326234&amp;doi=10.1080%2f0144929X.2011.624634&amp;partnerID=40&amp;md5=48e995ea7a79e484a8c8b8ac32ffe6ae</t>
  </si>
  <si>
    <t>Marinescu, P. D. and Cadar, C.</t>
  </si>
  <si>
    <t>KATCH: High-coverage testing of software patches</t>
  </si>
  <si>
    <t>One of the distinguishing characteristics of software systems is that they evolve: new patches are committed to software repositories and new versions are released to users on a continuous basis. Unfortunately, many of these changes bring unexpected bugs that break the stability of the system or affect its security. In this paper, we address this problem using a technique for automatically testing code patches. Our technique combines symbolic execution with several novel heuristics based on static and dynamic program analysis which allow it to quickly reach the code of the patch. We have implemented our approach in a tool called katch, which we have applied to all the patches written in a combined period of approximately six years for nineteen mature programs from the popular GNU diffutils, GNU binutils and GNU findutils utility suites, which are shipped with virtually all UNIX-based distributions. Our results show that katch can automatically synthesise inputs that significantly increase the patch coverage achieved by the existing manual test suites, and find bugs at the moment they are introduced.</t>
  </si>
  <si>
    <t>https://www.scopus.com/inward/record.uri?eid=2-s2.0-84883674331&amp;doi=10.1145%2f2491411.2491438&amp;partnerID=40&amp;md5=2a4fae9e5a39511b1ec24468a0ed8c9d</t>
  </si>
  <si>
    <t>Although numerous research attempts can be found in the related literature focusing on the ability of software-related factors (e.g. software metrics) to indicate the existence of vulnerabilities in software applications, none of them have demonstrated perfect results. In addition, none of the existing studies have focused on the popularity of software products, which is an important characteristic of open-source software applications and libraries. To this end, in this paper, the ability of popularity (i.e. utilization) to indicate the existence of vulnerabilities and, in turn, to highlight the internal security level of software products is investigated. For this purpose, a relatively large software repository based on well-known libraries retrieved from the Maven Repository was constructed and its security was analyzed using a widely-used open-source static code analyzer. Correlation analysis was employed in order to examine whether a statistically significant correlation exists between the security and popularity of the selected software products. The preliminary results of the analysis suggest that popularity may not constitute a reliable indicator of the security level of software products. To the best of our knowledge, this is the first study that examines the relationship between the popularity of software products and their security level. © 2018 IEEE.</t>
  </si>
  <si>
    <t>https://www.scopus.com/inward/record.uri?eid=2-s2.0-85065985778&amp;doi=10.1109%2fIS.2018.8710484&amp;partnerID=40&amp;md5=578f9eca4b3052752232b030c9c54b25</t>
  </si>
  <si>
    <t>Li, L., Goethals, F., Baesens, B. and Snoeck, M.</t>
  </si>
  <si>
    <t>Predicting software revision outcomes on GitHub using structural holes theory</t>
  </si>
  <si>
    <t>Computer Networks</t>
  </si>
  <si>
    <t>Many software repositories are hosted publicly online via social platforms. Online users contribute to the software projects not only by providing feedback and suggestions, but also by submitting revisions to improve the software quality. This study takes a close look at revisions and examines the impact of social media networks on the revision outcome. A novel approach with a mix of different research methods (e.g., ego-centric social network analysis, structural holes theory and survival analysis) is used to build a comprehensible model to predict the revision outcome. The predictive performance is validated using real life datasets obtained from GitHub, the social coding website, which contains 32,962 pull requests to submit revisions, 20,399 distinctive software project repositories, and a social network of 234,322 users. Good predictive performance has been achieved with an average AUC of 0.84. The results suggest that a repository host's position in the ego network plays an important role in determining the duration before a revision is accepted. Specifically, hosts that are positioned in between densely connected social groups are likely to respond more quickly to accept the revisions. The study demonstrates that online social networks are vital to software development and advances the understanding of collaboration in software development research. The proposed method can be applied to support decision making in software development to forecast revision duration. The result also has several implications for managing project collaboration using social media. © 2016 Elsevier B.V.</t>
  </si>
  <si>
    <t>https://www.scopus.com/inward/record.uri?eid=2-s2.0-85012118575&amp;doi=10.1016%2fj.comnet.2016.08.024&amp;partnerID=40&amp;md5=74981f62d4f0bad5885f0415299e581e</t>
  </si>
  <si>
    <t>Bala, S., Cabanillas, C., Mendling, J., Rogge-Solti, A. and Polleres, A.</t>
  </si>
  <si>
    <t>Mining project-oriented business processes</t>
  </si>
  <si>
    <t>Large engineering processes need to be monitored in detail regarding when what was done in order to prove compliance with rules and regulations. A typical problem of these processes is the lack of control that a central process engine provides, such that it is difficult to track the actual course of work even if data is stored in version control systems (VCS). In this paper, we address this problem by defining a mining technique that helps to generate models that visualize the work history as GANTT charts. To this end, we formally define the notion of a project-oriented business process and a corresponding mining algorithm. Our evaluation based on a prototypical implementation demonstrates the benefits in comparison to existing process mining approaches for this specific class of processes. © Springer International Publishing Switzerland 2015.</t>
  </si>
  <si>
    <t>https://www.scopus.com/inward/record.uri?eid=2-s2.0-84944678284&amp;doi=10.1007%2f978-3-319-23063-4_28&amp;partnerID=40&amp;md5=a55d288fb6f51eef6cc243a58716af04</t>
  </si>
  <si>
    <t>Balogh, G., Antal, G., Beszedes, A., Vidacs, L., Gyimothy, T. and Vegh, A. Z.</t>
  </si>
  <si>
    <t>Identifying wasted effort in the field via developer interaction data</t>
  </si>
  <si>
    <t>During software projects, several parts of the source code are usually re-written due to imperfect solutions before the code is released. This wasted effort is of central interest to the project management to assure on-time delivery. Although the amount of thrown-away code can be measured from version control systems, stakeholders are more interested in productivity dynamics that reflect the constant change in a software project. In this paper we present a field study of measuring the productivity of a medium-sized J2EE project. We propose a productivity analysis method where productivity is expressed through dynamic profiles- the so-called Micro-Productivity Profiles (MPPs). They can be used to characterize various constituents of software projects such as components, phases and teams. We collected detailed traces of developers' actions using an Eclipse IDE plug-in for seven months of software development throughout two milestones. We present and evaluate profiles of two important axes of the development process: by milestone and by application layers. MPPs can be an aid to take project control actions and help in planning future projects. Based on the experiments, project stakeholders identified several points to improve the development process. It is also acknowledged, that profiles show additional information compared to a naive diff-based approach. © 2015 IEEE.</t>
  </si>
  <si>
    <t>https://www.scopus.com/inward/record.uri?eid=2-s2.0-84961675304&amp;doi=10.1109%2fICSM.2015.7332490&amp;partnerID=40&amp;md5=666bbdafd32164061de69ce1de8a7b9e</t>
  </si>
  <si>
    <t>Runtime verification (RV) is a field of study which suffers from a lack of dedicated benchmarks. Many published evaluations of RV tools rely on workloads which are not representative of real-world programs. In this paper, we present a methodology to automatically discover relevant open-source projects for evaluating RV tools. This is done by analyzing unit tests on a large number of projects hosted on GitHub. Our evaluation shows that analyzing a large number of open-source projects - instead of a handful of manually selected workloads - provides better insight into the behavior of three state-of-the-art RV tools (JavaMOP, MarQ, and Muffin) based on two metrics (memory utilization and runtime overhead). By monitoring test executions of a large number of projects, we show that none of the evaluated RV tools wins for both metrics. © 2018 IEEE.</t>
  </si>
  <si>
    <t>https://www.scopus.com/inward/record.uri?eid=2-s2.0-85066813309&amp;doi=10.1109%2fAPSEC.2018.00091&amp;partnerID=40&amp;md5=774c92a28e078dbc128ef6a41f455f92</t>
  </si>
  <si>
    <t>Ieva, C., Gotlieb, A., Kaci, S. and Lazaar, N.</t>
  </si>
  <si>
    <t>Deploying smart program understanding on a large code base</t>
  </si>
  <si>
    <t>Program understanding aims at discovering human-readable properties of a software project from the analysis of its source code. Recently, we proposed a smart approach based on hierarchical agglomerative clustering that extracts so-called it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 © 2019 IEEE.</t>
  </si>
  <si>
    <t>https://www.scopus.com/inward/record.uri?eid=2-s2.0-85067113626&amp;doi=10.1109%2fAITest.2019.000-4&amp;partnerID=40&amp;md5=cc1c542e471f30031fdb8573c102388e</t>
  </si>
  <si>
    <t>Dias, M., Polito, G., Cassou, D. and Ducasse, S.</t>
  </si>
  <si>
    <t>Deltaimpactfinder: Assessing semantic merge conflicts with dependency analysis</t>
  </si>
  <si>
    <t>In software development, version control systems (VCS) provide branching and merging support tools. Such tools are popular among developers to concurrently change a codebase in separate lines and reconcile their changes automatically afterwards. However, two changes that are correct independently can introduce bugs when merged together. We call semantic merge conflicts this kind of bugs. Change impact analysis (CIA) aims at estimating the effects of a change in a codebase. In this paper, we propose to detect semantic merge conflicts using CIA. On a merge, DELTAIMPACTFINDER analyzes and compares the impact of a change in its origin and destination branches. We call the difference between these two impacts the delta-impact. If the delta-impact is empty, then there is no indicator of a semantic merge conflict and the merge can continue automatically. Otherwise, the delta-impact contains what are the sources of possible conflicts. Copyright © 2015 ACM.</t>
  </si>
  <si>
    <t>https://www.scopus.com/inward/record.uri?eid=2-s2.0-84964292841&amp;doi=10.1145%2f2811237.2811299&amp;partnerID=40&amp;md5=2b9b1cd2d029d2b4f584ea53d4f571be</t>
  </si>
  <si>
    <t>Meyerovich, L. A. and Rabkin, A.</t>
  </si>
  <si>
    <t>How not to survey developers and repositories: Experiences analyzing language adoption</t>
  </si>
  <si>
    <t>We present cross-sectional analyses of programming language use and reflect upon our experience in doing so. In particular, we directly analyze groups of 1,500-13,000 developers by using questionnaires and 260,000 developers indirectly so by mining 210,000 software repositories. Our analysis reveals programming language adoption phenomena surrounding developer age, birth year, workplace, and software repository preference. We find that survey methods are increasingly accessible and relevant, but there are distinctive problems in examining developers and code repositories. We show that analyzing software repositories suffers from sample bias problems similar to those encountered when directly polling developers. Such bias limits the general validity of research claims based on analysis of software repositories.We aid future empirical researchers by describing concrete practices and opportunities to improve the results of developer and software repository surveys. Copyright © 2012 ACM.</t>
  </si>
  <si>
    <t>https://www.scopus.com/inward/record.uri?eid=2-s2.0-84872117314&amp;doi=10.1145%2f2414721.2414724&amp;partnerID=40&amp;md5=23a471b0d475cef1a28d251a544c30e4</t>
  </si>
  <si>
    <t>Conducting quantitative software engineering studies with Alitheia Core</t>
  </si>
  <si>
    <t>Quantitative empirical software engineering research benefits mightily from processing large open source software repository data sets. The diversity of repository management tools and the long history of some projects, renders the task of working with those datasets a tedious and error-prone exercise. The Alitheia Core analysis platform preprocesses repository data into an intermediate format that allows researchers to provide custom analysis tools. Alitheia Core automatically distributes the processing load on multiple processors while enabling programmatic access to the raw data, the metadata, and the analysis results. The tool has been successfully applied on hundreds of medium to large-sized open-source projects, enabling large-scale empirical studies. © 2013 Springer Science+Business Media New York.</t>
  </si>
  <si>
    <t>https://www.scopus.com/inward/record.uri?eid=2-s2.0-84901842459&amp;doi=10.1007%2fs10664-013-9242-3&amp;partnerID=40&amp;md5=381a77bef375338e9cd84673c8e3f416</t>
  </si>
  <si>
    <t>Huang, S., Xu, L., Liu, J., Elmore, A. J. and Parameswaran, A.</t>
  </si>
  <si>
    <t>ORPHEUSDB: Bolton versioning for relational databases</t>
  </si>
  <si>
    <t>Data science teams often collaboratively analyze datasets, generating dataset versions at each stage of iterative exploration and analysis. There is a pressing need for a system that can support dataset versioning, enabling such teams to efficiently store, track, and query across dataset versions. We introduce ORPHEUSDB, a dataset version control system that "bolts on" versioning capabilities to a traditional relational database system, thereby gaining the analytics capabilities of the database "for free". We develop and evaluate multiple data models for representing versioned data, as well as a light-weight partitioning scheme, LYRESPLIT, to further optimize the models for reduced query latencies. With LYRESPLIT, ORPHEUSDB is on average 10 3 × faster in finding effective (and better) partitionings than competing approaches, while also reducing the latency of version retrieval by up to 20× relative to schemes without partitioning. LYRESPLIT can be applied in an online fashion as new versions are added, alongside an intelligent migration scheme that reduces migration time by 10× on average. © 2017 VLDB Endowment.</t>
  </si>
  <si>
    <t>https://www.scopus.com/inward/record.uri?eid=2-s2.0-85029564496&amp;doi=10.14778%2f3115404.3115417&amp;partnerID=40&amp;md5=dc8544138b1a7928a12cec1cf32f55b3</t>
  </si>
  <si>
    <t>Forbes, C., Keivanloo, I. and Rilling, J.</t>
  </si>
  <si>
    <t>Doppel-code: A clone visualization tool for prioritizing global and local clone impacts</t>
  </si>
  <si>
    <t>In our research, we have focused on mining software repositories to support software engineering development and code clone search. We developed Doppel- Code, a clone visualization tool to aid searching for code clones across 18 000 open source projects. For clone visualization, we take into account clone impact - both globally and locally - to further aid developers' software maintenance activities. © 2012 IEEE.</t>
  </si>
  <si>
    <t>https://www.scopus.com/inward/record.uri?eid=2-s2.0-84870849774&amp;doi=10.1109%2fCOMPSAC.2012.58&amp;partnerID=40&amp;md5=63dea6f62a72c629b46211b79447b6c5</t>
  </si>
  <si>
    <t>Ziftci, C. and Reardon, J.</t>
  </si>
  <si>
    <t>Who broke the build? Automatically identifying changes that induce test failures in continuous integration at google scale</t>
  </si>
  <si>
    <t>Quickly identifying and fixing code changes that introduce regressions is critical to keep the momentum on software development, especially in very large scale software repositories with rapid development cycles, such as at Google. Identifying and fixing such regressions is one of the most expensive, tedious, and time consuming tasks in the software development life-cycle. Therefore, there is a high demand for automated techniques that can help developers identify such changes while minimizing manual human intervention. Various techniques have recently been proposed to identify such code changes. However, these techniques have shortcomings that make them unsuitable for rapid development cycles as at Google. In this paper, we propose a novel algorithm to identify code changes that introduce regressions, and discuss case studies performed at Google on 140 projects. Based on our case studies, our algorithm automatically identifies the change that introduced the regression in the top-5 among thousands of candidates 82% of the time, and provides considerable savings on manual work developers need to perform. © 2017 IEEE.</t>
  </si>
  <si>
    <t>https://www.scopus.com/inward/record.uri?eid=2-s2.0-85026801807&amp;doi=10.1109%2fICSE-SEIP.2017.13&amp;partnerID=40&amp;md5=6e5bdafd319dac6e2ed2ff000aa40034</t>
  </si>
  <si>
    <t>Tóth, Z., Novák, G., Ferenc, R. and Siket, I.</t>
  </si>
  <si>
    <t>Using version control history to follow the changes of source code elements</t>
  </si>
  <si>
    <t>Version control systems store the whole history of the source code. Since the source code of a system is organized into files and folders, the history tells us the concerned files and their changed lines only but software engineers are also interested in which source code elements (e.g. classes or methods) are affected by a change. Unfortunately, in most programming languages source code elements do not follow the file system hierarchy, which means that a file can contain more classes and methods and a class can be stored in more files, which makes it difficult to determine the changes of classes by using the changes of files. To solve this problem we developed an algorithm, which is able to follow the changes of the source code elements by using the changes of files and we successfully applied it on the Web Kit open source system. © 2013 IEEE.</t>
  </si>
  <si>
    <t>https://www.scopus.com/inward/record.uri?eid=2-s2.0-84877296626&amp;doi=10.1109%2fCSMR.2013.40&amp;partnerID=40&amp;md5=087b24f4cf7df7df1169bffc9ac6248d</t>
  </si>
  <si>
    <t>Scheidgen, M. and Fischer, J.</t>
  </si>
  <si>
    <t>Model-based mining of source code repositories</t>
  </si>
  <si>
    <t>The Mining Software Repositories (MSR) field analyzes the rich data available in source code repositories (SCR) to uncover interesting and actionable information about software system evolution. Major obstacles in MSR are the heterogeneity of software projects and the amount of data that is processed. Model-driven software engineering (MDSE) can deal with heterogeneity by abstraction as its core strength, but only recent efforts in adopting NoSQL-databases for persisting and processing very large models made MDSE a feasible approach for MSR. This paper is a work in progress report on srcrepo: a model-based MSR system. Srcrepo uses the NoSQL-based EMF-model persistence layer EMF-Fragments and Eclipse’s MoDisco reverse engineering framework to create EMF-models of whole SCRs that comprise all code of all revisions at an abstract syntax tree (AST) level. An OCL-like language is used as an accessible way to finally gather information such as software metrics from these SCR models. © Springer International Publishing Switzerland 2014.</t>
  </si>
  <si>
    <t>https://www.scopus.com/inward/record.uri?eid=2-s2.0-84949121427&amp;partnerID=40&amp;md5=b3a45b2a87393ddf43d2bfceb3fec41f</t>
  </si>
  <si>
    <t>Thomas, S. W., Hassan, A. E. and Blostein, D.</t>
  </si>
  <si>
    <t>Mining unstructured software repositories</t>
  </si>
  <si>
    <t>Mining software repositories, which is the process of analyzing the data related to software development practices, is an emerging field of research which aims to improve software evolutionary tasks. The data in many software repositories is unstructured (for example, the natural language text in bug reports), making it particularly difficult to mine and analyze. In this chapter, we survey tools and techniques for mining unstructured software repositories, with a focus on information retrieval models. In addition, we discuss several software engineering tasks that can be enhanced by leveraging unstructured data, including bug prediction, clone detection, bug triage, feature location, code search engines, traceability link recovery, evolution and trendanalysis, bug localization, and more. Finally, we provide a hands-on tutorial for using an IR model on an unstructured repository to perform a software engineering task. © Springer-Verlag Berlin Heidelberg 2014.</t>
  </si>
  <si>
    <t>https://www.scopus.com/inward/record.uri?eid=2-s2.0-84928665784&amp;doi=10.1007%2f978-3-642-45398-4_5&amp;partnerID=40&amp;md5=806bf172c47289ae56299af768322575</t>
  </si>
  <si>
    <t>Alohaly, M. and Takabi, H.</t>
  </si>
  <si>
    <t>When Do Changes Induce Software Vulnerabilities?</t>
  </si>
  <si>
    <t>Version control systems (VCSs) have almost become the de facto standard for the management of open-source projects and the development of their source code. In VCSs, source code which can potentially be vulnerable is introduced to a system through what are so called commits. Vulnerable commits force the system into an insecure state. The farreaching impact of vulnerabilities attests to the importance of identifying and understanding the characteristics of prior vulnerable changes (or commits), in order to detect future similar ones. The concept of change classification was previously studied in the literature of bug detection to identify commits with defects. In this paper, we borrow the notion of change classification from the literature of defect detection to further investigate its applicability to vulnerability detection problem using semi-supervised learning. In addition, we also experiment with new vulnerability predictors, and compare the predictive power of our proposed features with vulnerability prediction techniques based on text mining. The experimental results show that our semi-supervised approach holds promise in improving change classification effectiveness by leveraging unlabeled data. © 2017 IEEE.</t>
  </si>
  <si>
    <t>https://www.scopus.com/inward/record.uri?eid=2-s2.0-85046635942&amp;doi=10.1109%2fCIC.2017.00020&amp;partnerID=40&amp;md5=49b3e5ad2a32ac3b5d365958347b9aea</t>
  </si>
  <si>
    <t>Trautsch, F., Herbold, S., Makedonski, P. and Grabowski, J.</t>
  </si>
  <si>
    <t>Research in software repository mining has grown considerably the last decade. Due to the data-driven nature of this venue of investigation, we identified several problems within the current state-of-the-art that pose a threat to the external validity of results. The heavy re-use of data sets in many studies may invalidate the results in case problems with the data itself are identified. Moreover, for many studies data and/or the implementations are not available, which hinders a replication of the results and, thereby, decreases the comparability between studies. Even if all information about the studies is available, the diversity of the used tooling can make their replication even then very hard. Within this paper, we discuss a potential solution to these problems through a cloud-based platform that integrates data collection and analytics. We created the prototype SmartSHARK that implements our approach. Using SmartSHARK, we collected data from several projects and created different analytic examples. Within this article, we present Smart-SHARK and discuss our experiences regarding the use of SmartSHARK and the mentioned problems. © 2016 ACM.</t>
  </si>
  <si>
    <t>https://www.scopus.com/inward/record.uri?eid=2-s2.0-84974527552&amp;doi=10.1145%2f2901739.2901753&amp;partnerID=40&amp;md5=ddc74744bb6b7e64a5929835d0a41236</t>
  </si>
  <si>
    <t>Shoroye, Z., Yaqub, W., Mohammed, A. A., Aung, Z. and Svetinovic, D.</t>
  </si>
  <si>
    <t>Exploring social contagion in open-source communities by mining software repositories</t>
  </si>
  <si>
    <t>The emergence of data mining has helped improve our understanding of social contagion in networks. The magnitude of contagion in networks such as Facebook and Twitter has been studied in detail. Study of social contagion in software development networks can provide interesting findings in order to increase return on investment and improve quality of software. For example, developers could be incentivised and the time to start an open-source projects optimized by analyzing social contagion in online repositories. In this study, open-source repositories' data was analyzed and it was observed that highly followed developers tend to attract more contributors to a project. Also, the number of commits was aggregated on a yearly basis to provide insight into the question of the best time to start a project. GitHub online repository data was collected since its inception until 2014. The number of commits in the online repository was found to follow the “power law”. By considering only large projects, a correlation between the number of followers a user has and the contagion rate of their commits was observed. Understanding these questions and social contagion can help software companies to leverage on the open-source community and improve their own internal social networks. © Springer International Publishing Switzerland 2015.</t>
  </si>
  <si>
    <t>https://www.scopus.com/inward/record.uri?eid=2-s2.0-84951870190&amp;doi=10.1007%2f978-3-319-26561-2_15&amp;partnerID=40&amp;md5=7f54270efcc0f1a9e7ff8c97cea38f39</t>
  </si>
  <si>
    <t>Agrawal, K., Amreen, S. and Mockus, A.</t>
  </si>
  <si>
    <t>Commit quality in five high performance computing projects</t>
  </si>
  <si>
    <t>High Performance Computing (HPC) has a long history of software development but relatively little is known about the approaches this community uses to create and maintain software. To close this gap we study the practices of using version control tools in five HPC production projects. We also contrast these practices to practices used in three distinct non-HPC open source projects. We first obtain version history of the projects from SVN, Mercurial, and Git. We then clean and process the data and use published material to construct three measures of code commit quality: the fraction of unique commit comments, their size, and the number of files per commit. Our results indicate relatively high but declining commit quality, and relatively large commits in HPC projects. We expect this work to highlight the differences among different software engineering domains and may lead to ideas suggesting good practices of using software tools in these domains. © 2015 IEEE.</t>
  </si>
  <si>
    <t>https://www.scopus.com/inward/record.uri?eid=2-s2.0-84989246677&amp;doi=10.1109%2fSE4HPCS.2015.11&amp;partnerID=40&amp;md5=7363dee36f4165f26fdce13ab95dafb2</t>
  </si>
  <si>
    <t>Aghajani, E., Mocci, A., Bavota, G. and Lanza, M.</t>
  </si>
  <si>
    <t>The Code Time Machine</t>
  </si>
  <si>
    <t>Exploring and analyzing the history of changes is an intrinsic part of software evolution comprehension. Existing tools that exploit the data residing in version control repositories provide only limited support for the intuitive navigation of code changes from a historical perspective. We present the Code Time Machine, a lightweight IDE plugin which uses visualization techniques to depict the history of any chosen file augmented with information mined from the underlying versioning system. Inspired by Apple's Time Machine, our tool allows both developers and the system itself to seamlessly move through time. A video of the Code Time Machine can be found at https://youtu.be/meblwFO95oA. © 2017 IEEE.</t>
  </si>
  <si>
    <t>https://www.scopus.com/inward/record.uri?eid=2-s2.0-85025146911&amp;doi=10.1109%2fICPC.2017.6&amp;partnerID=40&amp;md5=1a4cbbb03ef107ac6f64969f89e517bb</t>
  </si>
  <si>
    <t>Querel, L. P. and Rigby, P. C.</t>
  </si>
  <si>
    <t>WarningsGuru: Integrating statistical bug models with static analysis to provide timely and specific bug warnings</t>
  </si>
  <si>
    <t>The detection of bugs in software systems has been divided into two research areas: Static code analysis and statistical modeling of historical data. Static analysis indicates precise problems on line numbers but has the disadvantage of suggesting many warning which are often false positives. In contrast, statistical models use the history of the system to suggest which files or commits are likely to contain bugs. These course-grained predictions do not indicate to the developer the precise reasons for the bug prediction. We combine static analysis with statistical bug models to limit the number of warnings and provide specific warnings information at the line level. Previous research was able to process only a limited number of releases, our tool, WarningsGuru, can analyze all commits in a source code repository and we currently have processed thousands of commits and warnings. Since we process every commit, we present developers with more precise information about when a warning is introduced allowing us to show recent warnings that are introduced in statistically risky commits. Results from two OSS projects show that CommitGuru's statistical model flags 25% and 29% of all commits as risky. When we combine this with static analysis in WarningsGuru the number of risky commits with warnings is 20% for both projects and the number commits with newwarnings is only 3% and 6%.We can drastically reduce the number of commits and warnings developers have to examine. © 2018 Association for Computing Machinery.</t>
  </si>
  <si>
    <t>https://www.scopus.com/inward/record.uri?eid=2-s2.0-85058286979&amp;doi=10.1145%2f3236024.3264599&amp;partnerID=40&amp;md5=9bcd27c6139e55707c733b0f6f2d2b8b</t>
  </si>
  <si>
    <t>Ahmed, T. M., Bezemer, C. P., Chen, T. H., Hassan, A. E., Shang, W. Y. and Acm</t>
  </si>
  <si>
    <t>Performance regressions, such as a higher CPU utilization than in the previous version of an application, are caused by software application updates that negatively affect the performance of an application. Although a plethora of mining software repository research has been done to detect such regressions, research tools are generally not readily available to practitioners. Application Performance Management (APM) tools are commonly used in practice for detecting performance issues in the field by mining operational data. In contrast to performance regression detection tools that assume a changing code base and a stable workload, APM tools mine operational data to detect performance anomalies caused by a changing workload in an otherwise stable code base. Although APM tools are widely used in practice, no research has been done to understand 1) whether APM tools can identify performance regressions caused by code changes and 2) how well these APM tools support diagnosing the root-cause of these regressions. In this paper, we explore if the readily accessible APM tools can help practitioners detect performance regressions. We perform a case study using three commercial (AppDynamics, New Relic and Dynatrace) and one open source (Pinpoint) APM tools. In particular, we examine the effectiveness of leveraging these APM tools in detecting and diagnosing injected performance regressions (excessive memory usage, high CPU utilization and inefficient database queries) in three open source applications. We find that APM tools can detect most of the injected performance regressions, making them good candidates to detect performance regressions in practice. However, there is a gap between mining approaches that are proposed in state-of-the-art performance regression detection research and the ones used by APM tools. In addition, APM tools lack the ability to be extended, which makes it hard to enhance them when exploring novel mining approaches for detecting performance regressions.</t>
  </si>
  <si>
    <t>&lt;Go to ISI&gt;://WOS:000391614700001</t>
  </si>
  <si>
    <t>Chen, Y., Wu, F. G., Yu, K. L., Zhang, L., Chen, Y. H., Yang, Y., Mao, J. J. and Ieee</t>
  </si>
  <si>
    <t>&lt;Go to ISI&gt;://WOS:000356716900257</t>
  </si>
  <si>
    <t>Davies, G. S., Davies, J. P., Group, C., Rebel, B., Sachdev, K., Zirnstein, J. and Iop</t>
  </si>
  <si>
    <t>Software Management for the NOvAExperiment</t>
  </si>
  <si>
    <t>The NOvAsoftware (NOvASoft) is written in C++, and built on the Fermilab Computing Division's art framework that uses ROOT analysis software. NOvASoftmakes use of more than 50 external software packages, is developed by more than 50 developers and is used by more than 100 physicists from over 30 universities and laboratories in 3 continents. The software builds are handled by Fermilab's custom version of Software Release Tools (SRT), a UNIX based software management system for large, collaborative projects that is used by several experiments at Fermilab. The system provides software version control with SVN configured in a client-server mode and is based on the code originally developed by the BaBar collaboration. In this paper, we present efforts towards distributing the NOvA software via the CernVM File System distributed file system. We will also describe our recent work to use a CMake build system and Jenkins, the open source continuous integration system, for NOvASoft.</t>
  </si>
  <si>
    <t>&lt;Go to ISI&gt;://WOS:000372140602001</t>
  </si>
  <si>
    <t>Kupsch, J. A., Miller, B. P., Basupalli, V., Burger, J. and Ieee</t>
  </si>
  <si>
    <t>From Continuous Integration to Continuous Assurance</t>
  </si>
  <si>
    <t>Continuous assurance extends the concept of continuous integration into the software assurance space. The goal is to naturally integrate the security assessment of software into the software development workflow. The Software Assurance Marketplace (SWAMP) [1] was established to support continuous assurance, helping to simplify and automate the process of running code analysis tools, especially static code analysis (SCA) tools. We describe how the SWAMP can be integrated easily into the continuous assurance workflow, providing direct access from integrated development environments (IDEs) such as Eclipse, source code management systems such as git and Subversion, and continuous integration systems such as Jenkins.</t>
  </si>
  <si>
    <t>&lt;Go to ISI&gt;://WOS:000428520300001</t>
  </si>
  <si>
    <t>Evaluating the Lifespan of Code Smells using Software Repository Mining</t>
  </si>
  <si>
    <t>An anti-pattern is a commonly occurring solution to a recurring problem that will typically negatively impact code quality. Code smells are considered to be symptoms of anti-patterns and occur at source code level. The lifespan of code smells in a software system can be determined by mining the software repository on which the system is stored. This provides insight into the behaviour of software developers with regard to resolving code smells and anti-patterns. In a case study, we investigate the lifespan of code smells and the refactoring behaviour of developers in seven open source systems. The results of this study indicate that engineers are aware of code smells, but are not very concerned with their impact, given the low refactoring activity.</t>
  </si>
  <si>
    <t>&lt;Go to ISI&gt;://WOS:000309348900046</t>
  </si>
  <si>
    <t>Ritsch, E., Gaycken, G., Gumpert, C., Krasznahorkay, A., Lampl, W., Moyse, E., Obreshkov, E., Potamianos, K., Stewart, G. A., Undrus, A., Winklmeier, F., Collaboration, Atlas and Iop</t>
  </si>
  <si>
    <t>Modernising ATLAS Software Build Infrastructure</t>
  </si>
  <si>
    <t>In the last year ATLAS has radically updated its software development infrastructure hugely reducing the complexity of building releases and greatly improving build speed, flexibility and code testing. The first step in this transition was the adoption of CMake as the software build system over the older CMT. This required the development of an automated translation from the old system to the new, followed by extensive testing and improvements. This resulted in a far more standard build process that was married to the method of building ATLAS software as a series of 12 separate projects from Subversion. We then proceeded with a migration of the code base from Subversion to Git. As the Subversion repository had been structured to manage each package more or less independently there was no simple mapping that could be used to manage the migration into Git. Instead a specialist set of scripts that captured the software changes across official software releases was developed. With some clean up of the repository and the policy of only migrating packages in production releases, we managed to reduce the repository size from 62 GiB to 220 MiB. After moving to Git we took the opportunity to introduce continuous integration so that now each code change from developers is built and tested before being approved. With both CMake and Git in place we also dramatically simplified the build management of ATLAS software. Many heavyweight homegrown tools were dropped and the build procedure was reduced to a single bootstrap of some external packages, followed by a full build of the rest of the stack. This has reduced the time for a build by a factor of 2. It is now easy to build ATLAS software, freeing developers to test compile intrusive changes or new platform ports with ease. We have also developed a system to build lightweight ATLAS releases, for simulation, analysis or physics derivations which can be built from the same branch.</t>
  </si>
  <si>
    <t>&lt;Go to ISI&gt;://WOS:000467872200043</t>
  </si>
  <si>
    <t>Analysis of Implementations to Secure Git for Use as an Encrypted Distributed Version Control System</t>
  </si>
  <si>
    <t>This paper analyzes two existing methods for securing Git repositories, Git-encrypt and Git-crypt, by comparing their performance relative to the default Git implementation. Securing a Git repository is necessary when the repository contains sensitive or restricted data. This allows the repository to be stored on any third-party cloud provider with assurance that even if the repository data is leaked, it will remain secure. The analysis of current Git encryption methods is done through a series of tests that examines the performance trade-offs made for added security. This performance is analyzed in terms of size, time, and functionality using three different Git repositories of varying size. The three experiments include initializing and populating a repository, compressing a repository through garbage collection, and modifying then committing files to the repository. The results show that Git maintains functionality with each of these two encryption implementations at the cost of time and repository size. The time increase is found to be a factor ranging from 14 to 38 times the original time. The size increase over multiple commits of edited files is found to increase linearly proportional to the working set of files.</t>
  </si>
  <si>
    <t>&lt;Go to ISI&gt;://WOS:000366264105056</t>
  </si>
  <si>
    <t>Continuous Integration (CI) is a widely used practice where code changes are automatically built and tested to check for regression as they appear in the Version Control System (VCS). CI services allow users to customize phases, which define the sequential steps of build jobs that are triggered by changes to the project. While past work has made important observations about the adoption and usage of CI, little is known about patterns of reuse in CI specifications. Should reuse be common in CI specifications, we envision that a tool could guide developers through the generation of CI specifications by offering suggestions based on popular sequences of phases and commands. To assess the feasibility of such a tool, we perform an empirical analysis of the use of different phases and commands in a curated sample of 913 CI specifications for Java-based projects that use Travis CI-one of the most popular public CI service providers. First, we observe that five of nine phases are used in 18%-75% of the projects. Second, for the five most popular phases, we apply association rule mining to discover frequent phase, command, and command category usage patterns. Unfortunately, we observe that the association rules lack sufficient support, confidence, or lift values to be considered statistically significantly interesting. Our findings suggest that the usage of phases and commands in Travis CI specifications are broad and diverse. Hence, we cannot provide suggestions for Java-based projects as we had envisioned.</t>
  </si>
  <si>
    <t>&lt;Go to ISI&gt;://WOS:000469754100050</t>
  </si>
  <si>
    <t>Sreedharan, V. T., Schultheiss, S. J., Jean, G., Kahles, A., Bohnert, R., Drewe, P., Mudrakarta, P., Gornitz, N., Zeller, G. and Ratsch, G.</t>
  </si>
  <si>
    <t>Oqtans: the RNA-seq workbench in the cloud for complete and reproducible quantitative transcriptome analysis</t>
  </si>
  <si>
    <t>We present Oqtans, an open-source workbench for quantitative transcriptome analysis, that is integrated in Galaxy. Its distinguishing features include customizable computational workflows and a modular pipeline architecture that facilitates comparative assessment of tool and data quality. Oqtans integrates an assortment of machine learning- powered tools into Galaxy, which show superior or equal performance to state-of-the-art tools. Implemented tools comprise a complete transcriptome analysis workflow: short-read alignment, transcript identification/quantification and differential expression analysis. Oqtans and Galaxy facilitate persistent storage, data exchange and documentation of intermediate results and analysis workflows. We illustrate how Oqtans aids the interpretation of data from different experiments in easy to understand use cases. Users can easily create their own workflows and extend Oqtans by integrating specific tools. Oqtans is available as (i) a cloud machine image with a demo instance at cloud. oqtans. org, (ii) a public Galaxy instance at galaxy. cbio.mskcc. org, (iii) a git repository containing all installed software (oqtans.org/git); most of which is also available from (iv) the Galaxy Toolshed and (v) a share string to use along with Galaxy CloudMan.</t>
  </si>
  <si>
    <t>&lt;Go to ISI&gt;://WOS:000336095100019</t>
  </si>
  <si>
    <t>Evaluating Clone Detection Tools with BigCloneBench</t>
  </si>
  <si>
    <t>Many clone detection tools have been proposed in the literature. However, our knowledge of their performance in real software systems is limited, particularly their recall. In this paper, we use our big data clone benchmark, BigCloneBench, to evaluate the recall of ten clone detection tools. BigCloneBench is a collection of eight million validated clones within IJaDataset-2.0, a big data software repository containing 25,000 open-source Java systems. BigCloneBench contains both intra-project and inter-project clones of the four primary clone types. We use this benchmark to evaluate the recall of the tools per clone type and across the entire range of clone syntactical similarity. We evaluate the tools for both single-system and cross-project detection scenarios. Using multiple clone-matching metrics, we evaluate the quality of the tools' reporting of the benchmark clones with respect to refactoring and automatic clone analysis use-cases. We compare these real-world results against our Mutation and Injection Framework, a synthetic benchmark, to reveal deeper understanding of the tools. We found that the tools have strong recall for Type-1 and Type-2 clones, as well as Type-3 clones with high syntactical similarity. The tools have weaker detection of clones with lower syntactical similarity.</t>
  </si>
  <si>
    <t>&lt;Go to ISI&gt;://WOS:000380398300014</t>
  </si>
  <si>
    <t>Zhao, Y. J., Wang, H. Y., Ma, L., Liu, Y. X., Li, L. and Grundy, J.</t>
  </si>
  <si>
    <t>&lt;Go to ISI&gt;://WOS:000469754100063</t>
  </si>
  <si>
    <t>Theisen, C., Dunaiski, M., Williams, L., Visser, W. and Ieee</t>
  </si>
  <si>
    <t>Writing Good Software Engineering Research Papers: Revisited</t>
  </si>
  <si>
    <t>With the goal of helping software engineering researchers understand how to improve their papers, Mary Shaw presented "Writing Good Software Engineering Research Papers" in 2003. Shaw analyzed the abstracts of the papers submitted to the 2002 International Conference of Software Engineering (ICSE) to determine trends in research question type, contribution type, and validation approach. We revisit Shaw's work to see how the software engineering research community has evolved since 2002. The goal of this paper is to aid software engineering researchers in understanding trends in research question design, research question type, and validation approach by analyzing the abstracts of the papers submitted to ICSE 2016. We implemented Shaw's recommendation for replicating her study through the use of multiple coders and the calculation of inter-rater reliability and demonstrate that her approach can be repeated. Our results indicate that reviewers have increased expectations that papers have solid evaluations of the research contribution. Additionally, the 2016 results include at least 17% mining software repository (MSR) papers, a category of papers not seen in 2002. The advent of MSR papers has increased the use of generalization/ characterization research questions, the production of empirical report contribution, and validation by evaluation.</t>
  </si>
  <si>
    <t>&lt;Go to ISI&gt;://WOS:000425916900127</t>
  </si>
  <si>
    <t>Process Mining Software Repositories from Student Projects in an Undergraduate Software Engineering Course</t>
  </si>
  <si>
    <t>An undergraduate level Software Engineering courses generally consists of a team-based semester long project and emphasizes on both technical and managerial skills. Software Engineering is a practice-oriented and applied discipline and hence there is an emphasis on hands-on development, process, usage of tools in addition to theory and basic concepts. We present an approach for mining the process data (process mining) from software repositories archiving data generated as a result of constructing software by student teams in an educational setting. We present an application of mining three software repositories: team wiki (used during requirement engineering), version control system (development and maintenance) and issue tracking system (corrective and adaptive maintenance) in the context of an undergraduate Software Engineering course. We propose visualizations, metrics and algorithms to provide an insight into practices and procedures followed during various phases of a software development life-cycle. The proposed visualizations and metrics (learning analytics) provide a multi-faceted view to the instructor serving as a feedback tool on development process and quality by students. We mine the event logs produced by software repositories and derive insights such as degree of individual contributions in a team, quality of commit messages, intensity and consistency of commit activities, bug fixing process trend and quality, component and developer entropy, process compliance and verification. We present our empirical analysis on a software repository dataset consisting of 19 teams of 5 members each and discuss challenges, limitations and recommendations.</t>
  </si>
  <si>
    <t>&lt;Go to ISI&gt;://WOS:000380902900042</t>
  </si>
  <si>
    <t>Matyukhina, A., Stakhanova, N., Dalla Preda, M., Perley, C. and Acm</t>
  </si>
  <si>
    <t>Adversarial Authorship Attribution in Open-Source Projects</t>
  </si>
  <si>
    <t>Open-source software is open to anyone by design, whether it is a community of developers, hackers or malicious users. Authors of open-source software typically hide their identity through nicknames and avatars. However, they have no protection against authorship attribution techniques that are able to create software author profiles just by analyzing software characteristics. In this paper we present an author imitation attack that allows to deceive current authorship attribution systems and mimic a coding style of a target developer. Withing this context we explore the potential of the existing attribution techniques to be deceived. Our results show that we are able to imitate the coding style of the developers based on the data collected from the popular source code repository, GitHub. To subvert author imitation attack, we propose a novel author obfuscation approach that allows us to hide the coding style of the author. Unlike existing obfuscation tools, this new obfuscation technique uses transformations that preserve code readability. We assess the effectiveness of our attacks on several datasets produced by actual developers from GitHub, and participants of the GoogleCodeJam competition. Throughout our experiments we show that the author hiding can be achieved by making sensible transformations which significantly reduce the likelihood of identifying the author's style to 0% by current authorship attribution systems.</t>
  </si>
  <si>
    <t>&lt;Go to ISI&gt;://WOS:000470891000030</t>
  </si>
  <si>
    <t>Vodithala, S., Pabboju, S. and Ieee</t>
  </si>
  <si>
    <t>Software engineering is a major research area which can integrate other technical application areas into it. The important issue in software engineering is software reuse. It is always better to reuse rather than doing it from scratch. In order to attain the software reusability, an efficient design of software repository is needed. The searching algorithms and retrieval mechanisms will work effectively for a well defined software repository. In this paper, the data mining technique specifically clustering is applied for designing of software component repository. The components considered in our proposed algorithm are functions and the main focus is given to the specifications or behavior of the components. Here the specifications of software components are represented by using preconditions and postconditions. These preconditions and postconditions are converted to first order predicate logic and then the clustering is applied.</t>
  </si>
  <si>
    <t>&lt;Go to ISI&gt;://WOS:000380459100043</t>
  </si>
  <si>
    <t>Playford, C. J., Gayle, V., Connelly, R. and Gray, A. J. G.</t>
  </si>
  <si>
    <t>Administrative social science data: The challenge of reproducible research</t>
  </si>
  <si>
    <t>Big Data &amp; Society</t>
  </si>
  <si>
    <t>Powerful new social science data resources are emerging. One particularly important source is administrative data, which were originally collected for organisational purposes but often contain information that is suitable for social science research. In this paper we outline the concept of reproducible research in relation to micro-level administrative social science data. Our central claim is that a planned and organised workflow is essential for high quality research using microlevel administrative social science data. We argue that it is essential for researchers to share research code, because code sharing enables the elements of reproducible research. First, it enables results to be duplicated and therefore allows the accuracy and validity of analyses to be evaluated. Second, it facilitates further tests of the robustness of the original piece of research. Drawing on insights from computer science and other disciplines that have been engaged in e-Research we discuss and advocate the use of Git repositories to provide a useable and effective solution to research code sharing and rendering social science research using micro-level administrative data reproducible.</t>
  </si>
  <si>
    <t>&lt;Go to ISI&gt;://WOS:000418167400001</t>
  </si>
  <si>
    <t>The open source programming languages, often with a bio-suffix, i.e. BioPerl, BioJava, and BioRuby, have been widely used in bioinformatics and computational biology research. The computational tools written in these languages provide multiple functionalities as the languages make them flexible to create customized analysis and examination of biological data. In this paper, we investigate one of the software quality parameters, maintainability, in BioPerl, BioJava, and BioRuby projects using comment density metric in their source code repositories. Furthermore, we evaluate the "popularity" of these three languages in bioinformatics communities using three other software metrics such as number of committers, commit frequency, and lines of code. To perform this study, source code repositories of these three open source projects have been analyzed from the first release, which covers all the programming activities of the projects from the starting date until July 2011. Our results show BioPerl to be the most popular language among the three languages in open source communities. In addition, investigation on comment density of these three open source projects has shown that BioPerl is the most promising one in terms of future maintainability and quality of the project. The results of this research can be useful for developers in choosing an appropriate language for the development of bioinformatics applications.</t>
  </si>
  <si>
    <t>&lt;Go to ISI&gt;://WOS:000306288400054</t>
  </si>
  <si>
    <t>ConceptCloud: A Tagcloud Browser for Software Archives</t>
  </si>
  <si>
    <t>ConceptCloud is an interactive browser for SVN and Git repositories. Its main novelty is the combination of an intuitive tag cloud interface with an underlying concept lattice that provides a formal structure for navigation. This combination allows users to explore repositories serendipitously, without predefined search goals and along different navigation paths. ConceptCloud can derive different lattice types for a repository and supports concurrent navigation in multiple linked tag clouds that can each be individually customized, which allows multi-faceted repository explorations.</t>
  </si>
  <si>
    <t>&lt;Go to ISI&gt;://WOS:000452049800074</t>
  </si>
  <si>
    <t>Hou, X., Lu, Y., Gan, Y., Chen, M. W., Wang, T. and Yin, G.</t>
  </si>
  <si>
    <t>A validation of SonarQube issues related to real bugs based on open source software</t>
  </si>
  <si>
    <t>High reliability is an essential factor of modern software. At the same time, as software complexity is increasing day by day, bug counts and rate inevitably rises, leading to undermine software reliability. To avoid this problem, programmers always use issue-finding tools (bug detection) to discover the defects from source code in development of software. Recently, software inspection has been shown to be an effective way to speed up the process of source code verification and to move a portion of discovered defects from test to coding phase. As we know, modern software is often developed over many years. During this time, the commit metadata is becoming an important source of social characteristics. In this paper, our aim is to devise an empirical method to assess the percentage and the types of the issues found by issue finding tools are actual defects of the software.</t>
  </si>
  <si>
    <t>&lt;Go to ISI&gt;://WOS:000390915500101</t>
  </si>
  <si>
    <t>BugMarks: A tool for Mapping Bugs to Source Code Components</t>
  </si>
  <si>
    <t>Bugs reports and version archives are two useful sources of information for quality analysts, with the goal of mapping the bugs fixes to source code files. Manually performing this task is as arduous as it is time consuming. We propose a tool which programmatically performs this job in two phases-First, it filters relevant log entries by traversing CVS/SVN log files and then it parses the textual information into tokens to finally store required attributes in a database for future analyses. To users, it offers the flexibility and the liberty with which information can be utilized further, in any way, specific to their studies.</t>
  </si>
  <si>
    <t>&lt;Go to ISI&gt;://WOS:000380445600086</t>
  </si>
  <si>
    <t>Jiang, Q. T., Peng, X., Wang, H., Xing, Z. C. and Zhao, W. Y.</t>
  </si>
  <si>
    <t>Sripada, S., Reddy, Y. R., Sureka, A. and Ieee</t>
  </si>
  <si>
    <t>Peer code review and inspection is a quality improvement software engineering activity consisting of systematic examination of source code. While peer code review is commonly used in industrial and open-source software projects, it is seldom taught or practiced in undergraduate level Software Engineering courses. We conduct a study on the use of peer code review in a sophomore level introductory Software Engineering course consisting of more than 200 students and present our experiences, findings and challenges. We use Bitbucket's (a free code distributed version control system hosting site for Git and Mercurial) in-built code-review system and web-based hosting service. We extract the peer code review comments using Bitbucket API for detecting coding standard or compliance violation and identification of defects (number and type) by reviewers. We also conduct a survey on the benefit of peer code review activity on peer cohesion and communication. Our experiments and survey reveal that employing peer code review in an undergraduate class has several learning benefits such as improvement in coding skills, program comprehension abilities, knowledge of coding standard, and compliance and peer communication.</t>
  </si>
  <si>
    <t>&lt;Go to ISI&gt;://WOS:000380568600003</t>
  </si>
  <si>
    <t>Acm Sigplan Notices</t>
  </si>
  <si>
    <t>SamikshaUmbra: Contribution and Performance Assessment of Software Maintenance Professionals by Mining Software Repositories</t>
  </si>
  <si>
    <t>Contribution and performance assessment is an established practice in organization with its sphere of influence spanning process, policy, people (client) and personnel (employee). Multiple roles in organization (for e.g. employees, project manager, hr manager etc.) view contribution and performance assessment with different perspectives and objectives. However, despite its ability to ensure growth and affluence of organization existing contribution and performance assessment practices are marred with flaws and imperfections. The objective of this work is to serve wide-ranged requirements of software maintenance professionals (in context of contribution and performance assessment) in organization by application of variegated approaches (tools, techniques, models etc.) on software repositories (Issue Tracking System, Version Control System, Source Code Repositories etc.). We study pain-points of practitioners (in context of contribution and performance assessment) and present solution approach by mining software repositories. We implement the approach on real-world data and gather insights from practitioners to validate and improve our research. In this paper, 'SamikshaUmbra' (research umbrella that circumscribe related research threads) we present approach to meet stated research objectives and viable research directions.</t>
  </si>
  <si>
    <t>&lt;Go to ISI&gt;://WOS:000358735300032</t>
  </si>
  <si>
    <t>Finding Cross-browser JavaScript Codes using Sequential Pattern Mining</t>
  </si>
  <si>
    <t>Cross-browser support has become general requirements for Web sites. JavaScript, which is the most widely used client-side script, has several runtime engines. Because of differences between these engines eachWeb browser, developers must write alternative code to achieve the same behavior in each browser. We earlier proposed a method for finding simple alternative codes as function pairs from a code repository by using an itemset-based mining technique. In this paper, we propose a method for finding more complex alternative codes consisting of multiple statements, including assignment statements, by applying a sequential pattern mining technique. We assess the effectiveness of our method through the results of an experiment using JavaScript source files obtained from the Web.</t>
  </si>
  <si>
    <t>&lt;Go to ISI&gt;://WOS:000349030900034</t>
  </si>
  <si>
    <t>Near Real-time Data Analysis of Core-Collapse Supernova Simulations With Bellerophon</t>
  </si>
  <si>
    <t>We present an overview of a software system, Bellerophon, built to support a production-level HPC application called CHIMERA, which simulates core-collapse supernova events at the petascale. Developed over the last four years, Bellerophon enables CHIMERA's geographically dispersed team of collaborators to perform data analysis in near real-time. Its n-tier architecture provides an encapsulated, end-to-end software solution that enables the CHIMERA team to quickly and easily access highly customizable animated and static views of results from anywhere in the world via a web-deliverable, cross-platform desktop application. In addition, Bellerophon addresses software engineering tasks for the CHIMERA team by providing an automated mechanism for performing regression testing on a variety of supercomputing platforms. Elements of the team's workflow management needs are met with software tools that dynamically generate code repository statistics, access important online resources, and monitor the current status of several supercomputing resources.</t>
  </si>
  <si>
    <t>&lt;Go to ISI&gt;://WOS:000341492700136</t>
  </si>
  <si>
    <t>Lightweight Collection and Storage of Software Repository Data with DataRover</t>
  </si>
  <si>
    <t>The ease of setting up collaboration infrastructures for software engineering projects creates a challenge for researchers that aim to analyze the resulting data. As teams can choose from various available software-as-a-service solutions and can configure them with a few clicks, researchers have to create and maintain multiple implementations for collecting and aggregating the collaboration data in order to perform their analyses across different setups. The DataRover system presented in this paper simplifies this task by only requiring custom source code for API authentication and querying. Data transformation and linkage is performed based on mappings, which users can define based on sample responses through a graphical front end. This allows storing the same input data in formats and databases most suitable for the intended analysis without requiring additional coding. Furthermore, API responses are continuously monitored to detect changes and allow users to update their mappings and data collectors accordingly. A screencast of the described use cases is available at https://youtu.be/mt4ztff4SfU.</t>
  </si>
  <si>
    <t>&lt;Go to ISI&gt;://WOS:000390237000084</t>
  </si>
  <si>
    <t>Guemes-Pena, D., Lopez-Nozal, C., Marticorena-Sanchez, R. and Maudes-Raedo, J.</t>
  </si>
  <si>
    <t>Emerging topics in mining software repositories Machine learning in software repositories and datasets</t>
  </si>
  <si>
    <t>A software process is a set of related activities that culminates in the production of a software package: specification, design, implementation, testing, evolution into new versions, and maintenance. There are also other supporting activities such as configuration and change management, quality assurance, project management, evaluation of user experience, etc. Software repositories are infrastructures to support all these activities. They can be composed with several systems that include code change management, bug tracking, code review, build system, release binaries, wikis, forums, etc. This position paper on mining software repositories presents a review and a discussion of research in this field over the past decade. We also identify applied machine learning strategies, current working topics, and future challenges for the improvement of company decision-making systems. Machine learning is defined as the process of discovering patterns in data. It can be applied to software repositories, since every change is recorded as data. Companies can then use these patterns as the basis for their decision-making systems and for knowledge discovery.</t>
  </si>
  <si>
    <t>&lt;Go to ISI&gt;://WOS:000441615000007</t>
  </si>
  <si>
    <t>Han, J., Jung, W. and Ieee</t>
  </si>
  <si>
    <t>Extracting the structural information of potential communication is very useful to understand and optimize the development organization. However, it is hard to measure potential need of communication between developers if temporal locality is ignored. This paper suggests a way to extract the development organization from software repositories in perspective of temporal locality.</t>
  </si>
  <si>
    <t>&lt;Go to ISI&gt;://WOS:000332001300135</t>
  </si>
  <si>
    <t>Mattmann, C. A., Oh, J. H., Palsulich, T., McGibbney, L. J., Gil, Y., Ratnakar, V. and Ieee</t>
  </si>
  <si>
    <t>DRAT: An Unobtrusive, Scalable Approach to Large Scale Software License Analysis</t>
  </si>
  <si>
    <t>The Apache Release Audit Tool (RAT) performs software open source license auditing and checking, however RAT fails to successfully audit today's large code bases. Being a natural language processing (NLP) tool and a crawler, RAT marches through a code base, but uses rudimentary black lists and white lists to navigate source code repositories, and often does a poor job of identifying source code versus binary files. In addition RAT produces no incremental output and thus on code bases that themselves are "Big Data", RAT could run for e.g., a month and still not provide any status report. We introduce Distributed "RAT" or the Distributed Release Audit Tool (DRAT). DRAT overcomes RAT's limitations by leveraging: (1) Apache Tika to automatically detect and classify files in source code repositories and determine what is a binary file; what is source code; what are notes that need skipping, etc. (2) Apache Solr to interactively perform analytics on a code repository and to extract metadata using Apache Tika; and finally (3) Apache OODT to run RAT on per-MIME type (e.g., C/C++, Java, Javascript, etc.) and per configurable K-file sized chunks in a MapReduce workflow. Each Mapper task is an instance of RAT running on a K-file sized per Multipurpose Internet Mail Extensions (MIME) type chunk (split using Tika) and each mapper produces and incremental and intermediate log file; and where the Reducer aggregates the individual log files.</t>
  </si>
  <si>
    <t>&lt;Go to ISI&gt;://WOS:000380563500019</t>
  </si>
  <si>
    <t>Summarizing Evolutionary Trajectory by Grouping and Aggregating Relevant Code Changes</t>
  </si>
  <si>
    <t>&lt;Go to ISI&gt;://WOS:000380389500037</t>
  </si>
  <si>
    <t>Kuutila, M., Mantyla, M. V., Claes, M., Elovainio, M., Adams, B. and Acm</t>
  </si>
  <si>
    <t>Using Experience Sampling to link Software Repositories with Emotions and Work Well-Being</t>
  </si>
  <si>
    <t>Background: The experience sampling method studies everyday experiences of humans in natural environments. In psychology it has been used to study the relationships between work wellbeing and productivity. To our best knowledge, daily experience sampling has not been previously used in software engineering. Aims: Our aim is to identify links between software developers self-reported affective states and work well-being and measures obtained from software repositories. Method: We perform an experience sampling study in a software company for a period of eight months, we use logistic regression to link the well-being measures with development activities, i.e. number of commits and chat messages. Results: We find several significant relationships between questionnaire variables and software repository variables. To our surprise relationship between hurry and number of commits is negative, meaning more perceived hurry is linked with a smaller number of commits. We also find a negative relationship between social interaction and hindered work well-being. Conclusions: The negative link between commits and hurry is counter-intuitive and goes against previous lab-experiments in software engineering that show increased efficiency under time pressure. Overall, our is an initial step in using experience sampling in software engineering and validating theories on work well-being from other fields in the domain of software engineering.</t>
  </si>
  <si>
    <t>&lt;Go to ISI&gt;://WOS:000469776800029</t>
  </si>
  <si>
    <t>Jiang, J., Lo, D., He, J. H., Xia, X., Kochhar, P. S. and Zhang, L.</t>
  </si>
  <si>
    <t>Why and how developers fork what from whom in GitHub</t>
  </si>
  <si>
    <t>Forking is the creation of a new software repository by copying another repository. Though forking is controversial in traditional open source software (OSS) community, it is encouraged and is a built-in feature in GitHub. Developers freely fork repositories, use codes as their own and make changes. A deep understanding of repository forking can provide important insights for OSS community and GitHub. In this paper, we explore why and how developers fork what from whom in GitHub. We collect a dataset containing 236,344 developers and 1,841,324 forks. We make surveys, and analyze programming languages and owners of forked repositories. Our main observations are: (1) Developers fork repositories to submit pull requests, fix bugs, add new features and keep copies etc. Developers find repositories to fork from various sources: search engines, external sites (e.g., Twitter, Reddit), social relationships, etc. More than 42 % of developers that we have surveyed agree that an automated recommendation tool is useful to help them pick repositories to fork, while more than 44.4 % of developers do not value a recommendation tool. Developers care about repository owners when they fork repositories. (2) A repository written in a developer's preferred programming language is more likely to be forked. (3) Developers mostly fork repositories from creators. In comparison with unattractive repository owners, attractive repository owners have higher percentage of organizations, more followers and earlier registration in GitHub. Our results show that forking is mainly used for making contributions of original repositories, and it is beneficial for OSS community. Moreover, our results show the value of recommendation and provide important insights for GitHub to recommend repositories.</t>
  </si>
  <si>
    <t>&lt;Go to ISI&gt;://WOS:000392378400015</t>
  </si>
  <si>
    <t>Meng, S. C., Wang, X. Y., Zhang, L. and Mei, H.</t>
  </si>
  <si>
    <t>A History-Based Matching Approach to Identification of Framework Evolution</t>
  </si>
  <si>
    <t>In practice, it is common that a framework and its client programs evolve simultaneously. Thus, developers of client programs may need to migrate their programs to the new release of the framework when the framework evolves. As framework developers can hardly always guarantee backward compatibility during the evolution of a framework, migration of its client program is often time-consuming and error-prone. To facilitate this migration, researchers have proposed two categories of approaches to identification of framework evolution: operation-based approaches and matching-based approaches. To overcome the main limitations of the two categories of approaches, we propose a novel approach named HiMa, which is based on matching each pair of consecutive revisions recorded in the evolution history of the framework and aggregating revision-level rules to obtain framework-evolution rules. We implemented our HiMa approach as an Eclipse plug-in targeting at frameworks written in Java using SVN as the version-control system. We further performed an experimental study on HiMa together with a state-of-art approach named AURA using six tasks based on three subject Java frameworks. Our experimental results demonstrate that HiMa achieves higher precision and higher recall than AURA in most circumstances and is never inferior to AURA in terms of precision and recall in any circumstances, although HiMa is computationally more costly than AURA.</t>
  </si>
  <si>
    <t>&lt;Go to ISI&gt;://WOS:000312908700033</t>
  </si>
  <si>
    <t>Pacheco, Y., De Bleser, J., Molderez, T., Di Nucci, D., De Meuter, W. and De Roover, C.</t>
  </si>
  <si>
    <t>To use a framework, developers often need to hook into and customise some of its functionality. For example, a common way of customising a framework is to subclass a framework type and to override some of its methods. Recently, Asaduzzaman et al. defined these customisations as extension points and proposed a new approach to mine large amounts of Java code examples and recommend the most frequently used example, so called extension patterns. Indeed, recommending extension patterns that frequently occur at such extension points can help developers to adopt a new framework correctly and to fully exploit it. In this paper, we present a differentiated replication study of the work by Asaduzzaman et al. on Java frameworks. Our aim is to replicate the work in order to analyse extension points and extension patterns in the context of Scala frameworks. To this aim, we propose SCALA-XP-MINER, a tool for mining extension patterns in Scala software systems to empirically investigate our hypotheses. Our results show that the approach proposed by the reference work is also able to mine extension patterns for Scala frameworks and that our tool is able to achieve similar Precision, Recall and F-measure compared to FEMIR. Despite this, the distribution of the extension points by category is different and most of the patterns are rather simple. Thus, the challenge of recommending more complex patterns to Scala developers is still an open problem.</t>
  </si>
  <si>
    <t>&lt;Go to ISI&gt;://WOS:000469754100049</t>
  </si>
  <si>
    <t>Straube, T.</t>
  </si>
  <si>
    <t>Stacked spaces: Mapping digital infrastructures</t>
  </si>
  <si>
    <t>This article turns towards the spatial life of 'digital infrastructures', i.e. code, protocols, standards, and data formats that are hidden from view in everyday applications of computational technologies. It does so by drawing on the version control system Git as a case study, and telling the story of its initial development in order to reconstruct the circumstances and technical considerations surrounding its conception. This account engages with computational infrastructures on their own terms by adopting the figure of the 'stack' to frame a technically informed analysis, and exploring its implications for a different kind of geographic inquiry. Drawing on topology as employed by Law and Mol, attention is given to the multiplicity of spatialities and temporalities enrolled in digital infrastructures in general, and Git specifically. Along the lines of the case study and by reading it against other literatures, this notion of topology is expanded to include the material performation of fundamentally arbitrary, more-than-human topologies, as well as their nested articulation, translation and negotiation within digital infrastructures.</t>
  </si>
  <si>
    <t>&lt;Go to ISI&gt;://WOS:000418130700001</t>
  </si>
  <si>
    <t>Zhao, J. T. and Liu, Y.</t>
  </si>
  <si>
    <t>Detecting and Ranking API Usage Pattern in Large Source Code Repository: A LFM Based Approach</t>
  </si>
  <si>
    <t>Code examples are key resources for helping programmers to learn correct Application Programming Interface (API) usages efficiently. However, most framework and library APIs fail in providing sufficient and adequate code examples in corresponding official documentations. Thus, it takes great programmers' efforts to browse and extract API usage examples from websites. To reduce such effort, this paper proposes a graph-based pattern-oriented mining approach, LFM-OUPD (Local fitness measure for detecting overlapping usage patterns) for API usage facility, that recommends proper API code examples from data analytics. API method queries are accepted from programmers and corresponding code files are collected from related API dataset. The detailed structural links among API method elements in conceptual source codes are captured and generate a code graph structure. Lancichinetti et al. proposed an overlapping community detecting algorithm (Local fitness measure, LFM), based on the local optimization of a fitness function. In LFM-OUPD, a mining algorithm based on LFM is presented to explore the division of method sequences in the directed source code element graph and detect candidates of different API usage patterns. Then a ranking approach is applied to obtain appropriate API usage pattern and code example candidates. A case study on Google Guava is conducted to evaluate the effectiveness of this approach.</t>
  </si>
  <si>
    <t>&lt;Go to ISI&gt;://WOS:000455398500004</t>
  </si>
  <si>
    <t>Tabata, K., Tanno, H., Oinuma, M. and Ieee</t>
  </si>
  <si>
    <t>Helping Testers by Fault-Prone Functionality Prediction</t>
  </si>
  <si>
    <t>In this paper, we propose a technique to predict fault-prone software functionality, instead of fault-prone module. The granularity of prediction is not a line number nor a function name in a source code, but a software functionality from point of view of testers who are dedicated to software testing. Our approach makes it possible for testers to find faults efficiently and effectively on test case creation and test case execution. We applied the proposed technique to an open source project on github. The result graphically suggests that we can predict fault-prone software functionality using source code repository mining.</t>
  </si>
  <si>
    <t>&lt;Go to ISI&gt;://WOS:000380572800007</t>
  </si>
  <si>
    <t>Relating Requirements to Implementation via Topic Analysis: Do Topics Extracted from Requirements Make Sense to Managers and Developers?</t>
  </si>
  <si>
    <t>Large organizations like Microsoft tend to rely on formal requirements documentation in order to specify and design the software products that they develop. These documents are meant to be tightly coupled with the actual implementation of the features they describe. In this paper we evaluate the value of high-level topic-based requirements traceability in the version control system, using Latent Dirichlet Allocation (LDA). We evaluate LDA topics on practitioners and check if the topics and trends extracted matches the perception that Program Managers and Developers have about the effort put into addressing certain topics. We found that effort extracted from version control that was relevant to a topic often matched the perception of the managers and developers of what occurred at the time. Furthermore we found evidence that many of the identified topics made sense to practitioners and matched their perception of what occurred. But for some topics, we found that practitioners had difficulty interpreting and labelling them. In summary, we investigate the high-level traceability of requirements topics to version control commits via topic analysis and validate with the actual stakeholders the relevance of these topics extracted from requirements.</t>
  </si>
  <si>
    <t>&lt;Go to ISI&gt;://WOS:000313625800026</t>
  </si>
  <si>
    <t>Falessi, D., Smith, W., Serebrenik, A. and Ieee</t>
  </si>
  <si>
    <t>STRESS: A Semi-Automated, Fully Replicabile Approach for Project Selection</t>
  </si>
  <si>
    <t>The mining of software repositories has provided significant advances in a multitude of software engineering fields, including defect prediction. Several studies show that the performance of a software engineering technology (e.g., prediction model) differs across different project repositories. Thus, it is important that the project selection is replicable. The aim of this paper is to present STRESS, a semi-automated and fully replicable approach that allows researchers to select projects by configuring the desired level of diversity, fit, and quality. STRESS records the rationale behind the researcher decisions and allows different users to re-run or modify such decisions. STRESS is open-source and it can be used used locally or even online (www.falessi.com/STRESS/). We perform a systematic mapping study that considers studies that analyzed projects managed with JIRA and Git to asses the project selection replicability of past studies. We validate the feasible application of STRESS in realistic research scenarios by applying STRESS to select projects among the 211 Apache Software Foundation projects. Our systematic mapping study results show that none of the 68 analyzed studies is completely replicable. Regarding STRESS, it successfully supported the project selection among all 211 ASF projects. It also supported the measurement of 100 projects characteristics, including the 32 criteria of the studies analyzed in our mapping study. The mapping study and STRESS are, to our best knowledge, the first attempt to investigate and support the replicability of project selection. We plan to extend them to other technologies such as GitHub.</t>
  </si>
  <si>
    <t>&lt;Go to ISI&gt;://WOS:000425929000016</t>
  </si>
  <si>
    <t>Robillard, M. P., Nassif, M., McIntosh, S. and Ieee</t>
  </si>
  <si>
    <t>Threats of Aggregating Software Repository Data</t>
  </si>
  <si>
    <t>Software repository mining techniques can provide insights about software systems and their development processes through the use of metrics that aim to capture a construct of interest. However, linking development history metrics with high-level constructs is fraught with threats to validity. We conducted a case study in which we performed a critical review of the underlying artifacts used to compute a metric of knowledge at risk in software projects, proposed in prior work. The case study revealed eight major threats to validity that have the potential to generalize to other software process metrics derived from repository data. In addition to a detailed description of each threat, we contribute a questionnaire to facilitate their assessment in past and future studies.</t>
  </si>
  <si>
    <t>&lt;Go to ISI&gt;://WOS:000451376200045</t>
  </si>
  <si>
    <t>Replication Package for "Threats of Aggregating Software Repository Data"</t>
  </si>
  <si>
    <t>This artifact is a data set generated as part of a study on the threats of aggregating software repository data, which includes information derived from the GitHub repositories of eight open-source projects.</t>
  </si>
  <si>
    <t>&lt;Go to ISI&gt;://WOS:000451376200074</t>
  </si>
  <si>
    <t>Mining Software Revision History using Advanced Social Network Analysis</t>
  </si>
  <si>
    <t>In this paper, we propose a novel method to investigate relationship between the files that are committed together by applying advanced social network analysis to a "network" of source files that are committed together. The source files constitute the nodes of the network and an edge is created between files which are committed together in the same revision. We present our findings with recommendations on how mining revision histories from a social network analysis perspective can be used to build inferences on change propagation, evaluate impact analysis, and extract cross-programming-language relationships. We performed empirical analysis on revision histories of a well-known open-source web application testing system, 'Selenium' and results are reported.</t>
  </si>
  <si>
    <t>&lt;Go to ISI&gt;://WOS:000332765100098</t>
  </si>
  <si>
    <t>Moustafa, S., ElNainay, M. Y., El Makky, N. and Abougabal, M. S.</t>
  </si>
  <si>
    <t>Mining software repositories is a growing research field where rich data available in the different development software repositories, are analyzed and cross-linked to uncover useful information. Bug prediction is one of the potential benefits that can be gained through mining software repositories. Predicting potential defects early as they are introduced to the version control system would definitely help in saving time and effort during testing or maintenance phases. In this paper, defect prediction models that uses ensemble classification techniques have been proposed. The proposed models have been applied using different sets of software metrics as attributes of the classification techniques and tested on datasets of different sizes. The results show that change metrics outperform static code metrics and the combined model of change and static code metrics. Ensembles tend to be more accurate than their base classifiers. Defect prediction models using change metrics and ensemble classifiers have revealed the best performance, especially when the datasets used have imbalanced class distribution. (C) 2018 Faculty of Engineering, Alexandria University. Production and hosting by Elsevier B.V. This is an open access article under the CC BY-NC-ND license (http://creativecommons.org/licenses/by-nc-nd/4.0/).</t>
  </si>
  <si>
    <t>&lt;Go to ISI&gt;://WOS:000454444200057</t>
  </si>
  <si>
    <t>Pina, L., Andronidis, A., Cadar, C. and Assoc Comp, Machinery</t>
  </si>
  <si>
    <t>FreeDA: Deploying Incompatible Stock Dynamic Analyses in Production via Multi-Version Execution</t>
  </si>
  <si>
    <t>Dynamic analyses such as those implemented by compiler sanitizers and Valgrind are effective at finding and diagnosing challenging bugs and security vulnerabilities. However, most analyses cannot be combined on the same program execution, and they incur a high overhead, which typically prevents them from being used in production. This paper addresses the ambitious goal of running concurrently multiple incompatible stock dynamic analysis tools in production, without requiring any modifications to the tools themselves or adding significant runtime overhead to the deployed system. This is accomplished using multi-version execution, in which the dynamic analyses are run concurrently with the native version, all on the same program execution. We implement our approach in a system called FreeDA and show that it is applicable to several common scenarios, involving network servers and interactive applications. In particular, we show how incompatible stock dynamic analyses implemented by Clang's sanitizers and Valgrind can be used to check high-performance servers such as Memcached, Nginx and Redis, and interactive applications such as Git, HTop and OpenSSH.</t>
  </si>
  <si>
    <t>&lt;Go to ISI&gt;://WOS:000455156500003</t>
  </si>
  <si>
    <t>Software Evolution Prediction using Fuzzy Analysis</t>
  </si>
  <si>
    <t>Software evolution prediction has been one of the objectives in the past studies on open source software. A perusal of the existing research in this area shows ARIMA modeling as the most frequently used prediction procedure. This paper analyses the ability of a method of prediction based on fuzzy time series to predict the next state of data. The data set is related to commit history of three open source software projects as recorded in the revision control tool Git. The prediction method outperforms the ARIMA (0,1,0) - the simplest benchmark model.</t>
  </si>
  <si>
    <t>&lt;Go to ISI&gt;://WOS:000380436200056</t>
  </si>
  <si>
    <t>Song, J. and Kim, C.</t>
  </si>
  <si>
    <t>What Is Needed for the Sustainable Success of OSS Projects: Efficiency Analysis of Commit Production Process via Git</t>
  </si>
  <si>
    <t>Sustainability</t>
  </si>
  <si>
    <t>The purpose of this study is to investigate the relative efficiency of open source software projects, and to analyze what is needed for their sustainable success. The success of open source software is known to be attributable to a massive number of contributors engaging in the development process. However, an efficient open source software project is not guaranteed simply by active participation by many; a coordination mechanism is needed to seamlessly manage the multi-party collaboration. On this basis, this study aimed to examine the internal regulatory processes based on Git and GitHub, which serve as such a mechanism, and redefine the efficiency of open source software projects to fully reflect them. For this purpose, a two-stage data envelopment analysis was used to measure the project efficiency reflecting the internal processes. Moreover, this study considered the Kruskal-Wallis test and Tobit regression analysis to examine the effects of the participation by many on an open source software project based on the newly defined efficiency. Results show that a simple increase in contributors can be poisonous in terms of the efficiency of open source software projects.</t>
  </si>
  <si>
    <t>&lt;Go to ISI&gt;://WOS:000446770200044</t>
  </si>
  <si>
    <t>Phannachitta, P., Ihara, A., Jirapiwong, P., Ohira, M. and Matsumoto, K.</t>
  </si>
  <si>
    <t>An Algorithm for Gradual Patch Acceptance Detection in Open Source Software Repository Mining</t>
  </si>
  <si>
    <t>Ieice Transactions on Fundamentals of Electronics Communications and Computer Sciences</t>
  </si>
  <si>
    <t>Nowadays, software development societies have given more precedence to Open Source Software (OSS). There is much research aimed at understanding the OSS society to sustain the OSS product. To lead an OSS project to a successful conclusion, researchers study how developers change source codes called patches in project repositories. In existing studies, we found an argument in the conventional patch acceptance detection procedure. It was so simplified that it omitted important cases from the analysis, and would lead researchers to wrong conclusions. In this research, we propose an algorithm to overcome the problem. To prove out our algorithm, we constructed a framework and conducted two case studies. As a result, we came to a new and interesting understanding of patch activities.</t>
  </si>
  <si>
    <t>&lt;Go to ISI&gt;://WOS:000309043100005</t>
  </si>
  <si>
    <t>Ieee Latin America Transactions</t>
  </si>
  <si>
    <t>Mining API Expertise Profiles with Partial Program Analysis</t>
  </si>
  <si>
    <t>A developer's API usage expertise can be estimated by analyzing source code that they have checked-in to a software repository. In prior work we proposed a system for creating a social network of developers centered around the APIs they use in order to recommend people and projects they might be interested in. The implementation of such a system requires analyzing code from repositories of large numbers of projects that use different build systems. Hence, one challenge is to determine the APIs referenced in code in these repositories without relying on the ability to resolve every project's external dependencies. In this paper, we consider a technique called Partial Program Analysis for resolving type bindings in Java source code in the absence of third-party library binaries. Another important design decision concerns the approach of associating such API references with the developers who authored them such as walking entire change history or use blame information. We evaluate these different design options on 4 open-source Java projects and found that both Partial Program Analysis and blame-based approach provide precision greater than 80%. However, use of blame as opposed to complete program history leads to significant recall loss, in most cases greater than 40%.</t>
  </si>
  <si>
    <t>&lt;Go to ISI&gt;://WOS:000390296600012</t>
  </si>
  <si>
    <t>Menichinelli, M.</t>
  </si>
  <si>
    <t>A data-driven approach for understanding Open Design. Mapping social interactions in collaborative processes on GitHub</t>
  </si>
  <si>
    <t>Design Journal</t>
  </si>
  <si>
    <t>The development and adoption of digital technologies in the past decades has modified existing working conditions and introduced new ones in many fields and disciplines. This process has also influenced the field of Design especially with the Open Design and the Maker movements. The article proposes a software library for analysing networks of social interactions over time on Git projects hosted on GitHub. Such software may be useful for understanding social interactions over time on GitHub, enabling thus an overview of participation in collaborative processes and therefore advance our understanding of how platforms connects and influence makers and designers in their collaborative work on Open Design. The article show its application to three cases of (a) discussing the nature and concepts of Open Design, (b) teaching Open Design to interaction design students, (c) the development of a platform for Maker laboratories and Open Design projects.</t>
  </si>
  <si>
    <t>&lt;Go to ISI&gt;://WOS:000419738000298</t>
  </si>
  <si>
    <t>Bao, L. F., Lo, D., Xia, X., Wang, X. Y., Tian, C. and Acm</t>
  </si>
  <si>
    <t>How Android App Developers Manage Power Consumption? An Empirical Study by Mining Power Management Commits</t>
  </si>
  <si>
    <t>As Android platform becomes more and more popular, a large amount of Android applications have been developed. When developers design and implement Android applications, power consumption management is an important factor to consider since it affects the usability of the applications. Thus, it is important to help developers adopt proper strategies to manage power consumption. Interestingly, today, there is a large number of Android application repositories made publicly available in sites such as GitHub. These repositories can be mined to help crystalize common power management activities that developers do. These in turn can be used to help other developers to perform similar tasks to improve their own Android applications. In this paper, we present an empirical study of power management commits in Android applications. Our study extends that of Moura et al. who perform an empirical study on energy aware commits; however they do not focus on Android applications and only a few of the commits that they study come from Android applications. Android applications are often different from other applications (e.g., those running on a server) due to the issue of limited battery life and the use of specialized APIs. As subjects of our empirical study, we obtain a list of open source Android applications from F-Droid and crawl their commits from Github. We get 468 power management commits after we filter the commits using a set of keywords and by performing manual analysis. These 468 power management commits are from 154 different Android applications and belong to 15 different application categories. Furthermore, we use open card sort to categorize these power management commits and we obtain 6 groups which correspond to different power management activities. Our study also reveals that for different kinds ofAndroid application (e.g., Games, Connectivity, Navigation, Internet, Phone 6 SMS, Time, etc.), the dominant power management activities differ. For example, the percentage of power management commits belonging to Power Adaptation activity is larger for Navigation applications than those belonging to other categories.</t>
  </si>
  <si>
    <t>&lt;Go to ISI&gt;://WOS:000391614700004</t>
  </si>
  <si>
    <t>Xu, W. F., Xu, D. X., Alatawi, A., El Ariss, O. and Liu, Y. K.</t>
  </si>
  <si>
    <t>Unigram is a fundamental element of n-gram in natural language processing. However, unigrams collected from a natural language corpus are unsuitable for solving problems in the domain of computer programming languages. In this paper, we analyze the properties of unigrams collected from an ultra-large source code repository. Specifically, we have collected 1.01 billion unigrams from 0.7 million open source projects hosted at GitHub. com. By analyzing these unigrams, we have discovered statistical properties regarding (1) how developers name variables, methods, and classes, and (2) how developers choose abbreviations. We describe a probabilistic model which relies on these properties for solving a well-known problem in source code analysis: how to expand a given abbreviation to its original indented word. Our empirical study shows that using the unigrams extracted from source code repository outperforms the using of the natural language corpus by 21% when solving the domain specific problems.</t>
  </si>
  <si>
    <t>&lt;Go to ISI&gt;://WOS:000437528200004</t>
  </si>
  <si>
    <t>Wise, C., Car, N. J., Fraser, R. and Squire, G.</t>
  </si>
  <si>
    <t>Standard Provenance Reporting and Scientific Software Management in Virtual Laboratories</t>
  </si>
  <si>
    <t>The Virtual Hazards Impact &amp; Risk Laboratory (VHIRL) is a scientific workflow portal that provides researchers with access to a cloud computing environment for natural hazards eResearch tools. It allows researchers to construct experiments with data from a variety of sources and execute cloud computing processes for rapid and remote simulation and analysis. The service currently includes tools for the simulation of three major hazards affecting the Asia-Pacific region: earthquakes, tsunamis and tropical cyclones. For scientific results, the establishment of provenance is key to reproducibility and trust. Thus the need for any virtual laboratory to provide provenance information for the tasks it manages is obvious, but the appropriate way to report and manage provenance information is not always so straightforward. Many virtual laboratories and workflow systems provide bespoke provenance management with a focus on internal system use. This has clear benefits for reproducibility within the system, but it limits the interoperability of systems. For VHIRL, a provenance solution was required that was as interoperable with other, external, provenance systems as possible. A related common issue facing workflow tools and virtual laboratories is the need to manage software code. With this comes well-known issues associated with code sharing: licensing, source code management, version management and dependency resolution. There are a wide selection of commonly used tools to help solve these problems, for example Git and Subversion. A key goal of VHIRL was to externalise as much information management as was reasonable. VHIRL is a virtual laboratory: it is not designed to be a data store, software repository, or records management system. A solution was required that could hand off the management of provenance records and code to external services, with links between them, other data services and VHIRL jobs where appropriate. Scientific software can be quite complicated and systems for managing dependencies and source vary from system to system. In order to provide the least friction for authors of software, we designed a system called the Scientific Software Solution Centre (SSSC) to manage solutions to scientific problems and deliver the solution templates, code and dependencies that enable them for use in VHIRL and other Virtual Laboratories and applications. We discuss our integration of the PROMS provenance toolkit into VHIRL in order to generate standardised provenance reports according to the W3C's PROV ontology. We describe the collection of provenance information through the VHIRL service and the submission of that information to an external provenance system. We also present the SSSC design as an example of how to meet the disparate requirements of managing scientific codes and solutions while dealing with publishing, discovery, licensing and versioning. We show how the SSSC assists in provenance report generation.</t>
  </si>
  <si>
    <t>&lt;Go to ISI&gt;://WOS:000410535400089</t>
  </si>
  <si>
    <t>Dufault-Thompson, K., Steffensen, J. L. and Zhang, Y.</t>
  </si>
  <si>
    <t>Using PSAMM for the Curation and Analysis of Genome-Scale Metabolic Models</t>
  </si>
  <si>
    <t>PSAMM is an open source software package that supports the iterative curation and analysis of genome-scale models (GEMs). It aims to integrate the annotation and consistency checking of metabolic models with the simulation of metabolic fluxes. The model representation in PSAMM is compatible with version tracking systems like Git, which allows for full documentation of model file changes and enables collaborative curations of large, complex models. This chapter provides a protocol for using PSAMM functions and a detailed description of the various aspects in setting up and using PSAMM for the simulation and analysis of metabolic models. The overall PSAMM workflow outlined in this chapter includes the import and export of model files, the documentation of model modifications using the Git version control system, the application of consistency checking functions for model curations, and the numerical simulation of metabolic models.</t>
  </si>
  <si>
    <t>&lt;Go to ISI&gt;://WOS:000433074100007</t>
  </si>
  <si>
    <t>Vurture, G. W., Sedlazeck, F. J., Nattestad, M., Underwood, C. J., Fang, H., Gurtowski, J. and Schatz, M. C.</t>
  </si>
  <si>
    <t>GenomeScope: fast reference-free genome profiling from short reads</t>
  </si>
  <si>
    <t>GenomeScope is an open-source web tool to rapidly estimate the overall characteristics of a genome, including genome size, heterozygosity rate and repeat content from unprocessed short reads. These features are essential for studying genome evolution, and help to choose parameters for downstream analysis. We demonstrate its accuracy on 324 simulated and 16 real datasets with a wide range in genome sizes, heterozygosity levels and error rates. Availability and Implementation: http://genomescope. org, https://github. com/schatzlab/genome scope. git. Contact: mschatz@ jhu. edu Supplementary information: Supplementary data are available at Bioinformatics online.</t>
  </si>
  <si>
    <t>&lt;Go to ISI&gt;://WOS:000405289100067</t>
  </si>
  <si>
    <t>Kuutila, M., Mantyla, M. V., Claes, M., Elovainio, M. and Ieee</t>
  </si>
  <si>
    <t>Daily Questionnaire to Assess Self-Reported Well-Being During a Software Development Project</t>
  </si>
  <si>
    <t>According to authors best knowledge, this workshop paper makes two novel extensions to software engineering research. First, we create and execute a daily questionnaire monitoring the work wellbeing of software developers through a period of eight months. Second, we utilize statistical methods developed for discovering psychological dynamics to analyze this data. Our questionnaire includes elements from job satisfaction surveys and one software development specific element. The data were collected every day for a period of 8 months in a single software development project producing 526 answers from eight developers. The preliminary analysis shows the strongest correlations between hurry and interruptions. Additionally, we constructed temporal and contemporaneous network models used for discovering psychological dynamics from the questionnaire responses. In the future, we will try to establish links between the survey responses and the measures collected by conducting software repository mining and sentiment analysis.</t>
  </si>
  <si>
    <t>&lt;Go to ISI&gt;://WOS:000458539600007</t>
  </si>
  <si>
    <t>Lopez, C., Alonso, J. M., Marticorena, R. and Maudes, J. M.</t>
  </si>
  <si>
    <t>Using GitHub in the design of e-activities for software refactoring</t>
  </si>
  <si>
    <t>Education in the Knowledge Society</t>
  </si>
  <si>
    <t>The aim of this work is to design, plan, apply and assessment educational activities to help in the teaching-learning process of the concept of refactoring. The teaching methodology used is based on two pillars. The first is a progressive learning of the concept of refactoring by e-activities defined at different levels of knowledge of Bloom's taxonomy (knowledge, comprehension, application, analysis, synthesis, evaluation). The second is the use of resources in e-activities that are related to those the student may find during their professional career oriented towards software development: integrated development environments and software project repositories. The result of this work is the definition of a set of Java code refactoring e-activities. The version control functionality of software project repository, i.e.; GitHub, is used in different ways depending on the type of e-activity. Under these assumptions five types of e-activities are designed: Reading and comprehensions, objective tests, problem-based learning, case studies and webinars. The e-activities designed are applied in the context of the course Software Engineering of the Bachelor's Degree in Computer Science at the University of Burgos. The paper concludes analyzing some consequences of the experience from the perspective of using these new e-activities in the teaching-learning process as from the perspective of workload involved for both the teacher and the student.</t>
  </si>
  <si>
    <t>&lt;Go to ISI&gt;://WOS:000434593000006</t>
  </si>
  <si>
    <t>Creating and Analyzing Source Code Repository Models A Model-based Approach to Mining Software Repositories</t>
  </si>
  <si>
    <t>With mining software repositories (MSR), we analyze the rich data created during the whole evolution of one or more software projects. One major obstacle in MSR is the heterogeneity and complexity of source code as a data source. With model-based technology in general and reverse engineering in particular, we can use abstraction to overcome this obstacle. But, this raises a new question: can we apply existing reverse engineering frameworks that were designed to create models from a single revision of a software system to analyze all revisions of such a system at once? This paper presents a framework that uses a combination of EMF, the reverse engineering framework Modisco, a NoSQL-based model persistence framework, and OCL-like expressions to create and analyze fully resolved AST-level model representations of whole source code repositories. We evaluated the feasibility of this approach with a series of experiments on the Eclipse code-base.</t>
  </si>
  <si>
    <t>&lt;Go to ISI&gt;://WOS:000413238000030</t>
  </si>
  <si>
    <t>Kuppusamy, T. K., Diaz, V., Cappos, J. and Assoc, Usenix</t>
  </si>
  <si>
    <t>Mercury: Bandwidth-Effective Prevention of Rollback Attacks Against Community Repositories</t>
  </si>
  <si>
    <t>A popular community repository such as Docker Hub, PyPI, or RubyGems distributes tens of thousands of software projects to millions of users. The large number of projects and users make these repositories attractive targets for exploitation. After a repository compromise, a malicious party can launch a number of attacks on unsuspecting users, including rollback attacks that revert projects to obsolete and vulnerable versions. Unfortunately, due to the rapid rate at which packages are updated, existing techniques that protect against rollback attacks would cause each user to download 2-3 times the size of an average package in metadata each month, making them impractical to deploy. In this work, we develop a system called Mercury that uses a novel technique to compactly disseminate version information while still protecting against rollback attacks. Due to a different technique for dealing with key revocation, users are protected from rollback attacks, even if the software repository is compromised. This technique is bandwidth-efficient, especially when delta compression is used to transmit only the differences between previous and current lists of version information. An analysis we performed for the Python community shows that once Mercury is deployed on PyPI, each user will only download metadata each month that is about 3.5% the size of an average package. Our work has been incorporated into the latest versions of TUF, which is being integrated by Haskell, OCaml, RubyGems, Python, and CoreOS, and is being used in production by LEAP, Flynn, and Docker.</t>
  </si>
  <si>
    <t>&lt;Go to ISI&gt;://WOS:000428763500051</t>
  </si>
  <si>
    <t>Mining Threat Intelligence about Open-Source Projects and Libraries from Code Repository Issues and Bug Reports</t>
  </si>
  <si>
    <t>Open-Source Projects and Libraries are being used in software development while also bearing multiple security vulnerabilities. This use of third party ecosystem creates a new kind of attack surface for a product in development. An intelligent. attacker can attack a product by exploiting one of the vulnerabilities present in linked projects and libraries. In this paper, we mine threat intelligence about open source projects and libraries from bugs and issues reported on public code repositories. We also track library and project dependencies for installed software on a client machine. We represent and store this threat intelligence, along with the software dependencies in a security knowledge graph. Security analysts and developers can then query and receive alerts from the knowledge graph if any threat intelligence is found about linked libraries and projects, utilized in their products.</t>
  </si>
  <si>
    <t>&lt;Go to ISI&gt;://WOS:000458546800002</t>
  </si>
  <si>
    <t>Stolee, K. T., Elbaum, S. and Dwyer, M. B.</t>
  </si>
  <si>
    <t>Code search with input/output queries: Generalizing, ranking, and assessment</t>
  </si>
  <si>
    <t>In this work we generalize, improve, and extensively assess our semantic source code search engine through which developers use an input/output query model to specify what behavior they want instead of how it may be implemented. Under this approach a code repository contains programs encoded as constraints and an SMT solver finds encoded programs that match an input/output query. The search engine returns a list of source code snippets that match the specification. The initial instantiation of this approach showed potential but was limited. It only encoded single-path programs, reported just complete matches, did not rank the results, and was only partly assessed. In this work, we explore the use of symbolic execution to address some of these technical shortcomings. We implemented a tool, Satsy, that uses symbolic execution to encode multi-path programs as constraints and a novel ranking algorithm based on the strength of the match between an input/output query and the program paths traversed by symbolic execution. An assessment about the relevance of Satsy's results versus other search engines, Merobase and Google, on eight novice-level programming tasks gathered from StackOverflow, using the opinions of 30 study participants, reveals that Satsy often out-performs the competition in terms of precision, and that matches are found in seconds. (C) 2015 Elsevier Inc. All rights reserved.</t>
  </si>
  <si>
    <t>&lt;Go to ISI&gt;://WOS:000375164500004</t>
  </si>
  <si>
    <t>Paruma-Pabon, O. H., Gonzalez, F. A., Aponte, J., Camargo, J. E., Restrepo-Calle, F. and Ieee</t>
  </si>
  <si>
    <t>Finding Relationships between Socio-technical Aspects and Personality Traits by Mining Developer E-mails</t>
  </si>
  <si>
    <t>Personality traits influence most, if not all, of the human activities, from those as natural as the way people walk, talk, dress and write to those most complex as the way they interact with others. Most importantly, personality influence the way people make decisions including, in the case of developers, the criteria they consider when selecting a software project they want to participate. Most of the works that study the influence of social, technical and human factors in software development projects have been focused on the impact of communications in software quality. For instance, on identifying predictors to detect files that may contain bugs before releasing an enhanced version of a software product. Only a few of these works focus on the analysis of personality traits of developers with commit permissions (committers) in Free/Libre and Open-Source Software projects and their relationship with the software artifacts they interact with. This paper presents an approach, based on the automatic recognition of personality traits from e-mails sent by committers in FLOSS projects, to uncover relationships between the social and technical aspects that occur during the software development process. Our experimental results suggest the existence of some relationships among personality traits projected by the committers through their e-mails and the social (communication) and technical activities they undertake. This work is a preliminary study aimed at supporting the setting up of efficient work teams in software development projects based on an appropriate mix of stakeholders taking into account their personality traits.</t>
  </si>
  <si>
    <t>&lt;Go to ISI&gt;://WOS:000393483100002</t>
  </si>
  <si>
    <t>Rodrigues, B. R. D. and Parreiras, F. S.</t>
  </si>
  <si>
    <t>Application of Software Analytics Techniques in Software Repositories</t>
  </si>
  <si>
    <t>Abakos</t>
  </si>
  <si>
    <t>Software analytics enables data analysis in the various software repositories in order to provide well-founded decisions for software engineers. With the intention of promoting the use of software analytics this paper answers the question: Can software analytics find out which system source files have been altered and what are the reasons for its alterations? Through techniques of topics model and the association rule, a study was carried out over source code repository of the open source software, the Jenkins, and we developed a prototype system from these techniques. With the help of a focus group formed by professionals in software development it was possible to evaluate the prototype developed. We verified that the method presented in this study allows to identify which files of the system are being altered and why, facilitating the mapping of the files of the software by subject, the planning of refactoring, builds and software stability and evolution.</t>
  </si>
  <si>
    <t>&lt;Go to ISI&gt;://WOS:000433010800004</t>
  </si>
  <si>
    <t>Rosen, C., Grawi, B. and Shihab, E.</t>
  </si>
  <si>
    <t>Commit Guru: Analytics and Risk Prediction of Software Commits</t>
  </si>
  <si>
    <t>Software quality is one of the most important research sub-areas of software engineering. Hence, a plethora of research has focused on the prediction of software quality. Much of the software analytics and prediction work has proposed metrics, models and novel approaches that can predict quality with high levels of accuracy. However, adoption of such techniques remain low; one of the reasons for this low adoption of the current analytics and prediction technique is the lack of actionable and publicly available tools. We present Commit Guru, a language agnostic analytics and prediction tool that identifies and predicts risky software commits. Commit Guru is publicly available and is able to mine any GIT SCM repository. Analytics are generated at both, the project and commit levels. In addition, Commit Guru automatically identifies risky (i.e., bug-inducing) commits and builds a prediction model that assess the likelihood of a recent commit introducing a bug in the future. Finally, to facilitate future research in the area, users of Commit Guru can download the data for any project that is processed by Commit Guru with a single click. Several large open source projects have been successfully processed using Commit Guru. Commit Guru is available online at commit.guru. Our source code is also released freely under the MIT license.</t>
  </si>
  <si>
    <t>&lt;Go to ISI&gt;://WOS:000382568700097</t>
  </si>
  <si>
    <t>Semantics-Assisted Code Review An Efficient Toolchain and a User Study</t>
  </si>
  <si>
    <t>Code changes are often reviewed before they are deployed. Popular source control systems aid code review by presenting textual differences between old and new versions of the code, leaving developers with the difficult task of determining whether the differences actually produced the desired behavior. Fortunately, we can mine such information from code repositories. We propose aiding code review with inter-version semantic differential analysis. During review of a new commit, a developer is presented with summaries of both code differences and behavioral differences, which are expressed as diffs of likely invariants extracted by running the system's test cases. As a result, developers can more easily determine that the code changes produced the desired effect. We created an invariant-mining tool chain, Getty, to support our concept of semantically-assisted code review. To validate our approach, 1) we applied Getty to the commits of 6 popular open source projects, 2) we assessed the performance and cost of running Getty in different configurations, and 3) we performed a comparative user study with 18 developers. Our results demonstrate that semantically-assisted code review is feasible, effective, and that real programmers can leverage it to improve the quality of their reviews.</t>
  </si>
  <si>
    <t>&lt;Go to ISI&gt;://WOS:000417469700057</t>
  </si>
  <si>
    <t>Prakash, B. V. A., Ashoka, D. V. and Aradya, V. N. M.</t>
  </si>
  <si>
    <t>Application of Data Mining Techniques for Defect Detection and Classification</t>
  </si>
  <si>
    <t>In order to overcome the software development challenges like delivering a project on time`, developing quality software products and reducing development cost, software industries commonly uses defect detection software tools to manage quality in software products. Defects are detected and classified based on their severity, this can be automated in order to reduce the development time and cost. Nowadays to extract useful knowledge from large software repositories engineers and researchers are using data mining techniques. In this paper, software defect detection and classification method is proposed and data mining techniques are integrated to identify, classify the defects from large software repository. Based on defects severity proposed method discussed in this paper focuses on three layers: core, abstraction and application layer. The designed method is evaluated using the parameters precision and recall.</t>
  </si>
  <si>
    <t>&lt;Go to ISI&gt;://WOS:000347779500042</t>
  </si>
  <si>
    <t>Stanciulescu, S., Rabiser, D. and Seidl, C.</t>
  </si>
  <si>
    <t>A Technology-Neutral Role-Based Collaboration Model for Software Ecosystems</t>
  </si>
  <si>
    <t>In large-scale software ecosystems, many developers contribute extensions to a common software platform. Due to the independent development efforts and the lack of a central steering mechanism, similar functionality may be developed multiple times by different developers. We tackle this problem by contributing a role-based collaboration model for software ecosystems to make such implicit similarities explicit and to raise awareness among developers during their ongoing efforts. We extract this model based on realization artifacts in a specific programming language located in a particular source code repository and present it in a technology-neutral way. We capture five essential collaborations as independent role models that may be composed to present developer collaborations of a software ecosystem in their entirety, which fosters overview of the software ecosystem, analyses of duplicated development efforts and information of ongoing development efforts. Finally, using the collaborations defined in the formalism we model real artifacts from Marlin, a firmware for 3D printers, and we show that for the selected scenarios, the five collaborations were sufficient to raise awareness and make implicit information explicit.</t>
  </si>
  <si>
    <t>&lt;Go to ISI&gt;://WOS:000389942800041</t>
  </si>
  <si>
    <t>Prakash, B. V. A., Ashoka, D. V. and Aradhya, V. N. M.</t>
  </si>
  <si>
    <t>Mens, T.</t>
  </si>
  <si>
    <t>Evolving Software Ecosystems A Historical and Ecological Perspective</t>
  </si>
  <si>
    <t>Software ecosystems are collections of interacting and communicating software projects developed by the same developer community. Dealing with the complex interaction and dynamics of these ecosystems is an important problem that raises additional challenges compared to the maintenance of individual software systems. In particular, the social aspect becomes crucial, requiring to understand evolving ecosystems as dynamic socio-technical networks. Based on software repository mining research advances, in this lecture I explore the state of the art in the empirical analysis of software ecosystems, with a focus on the evolutionary aspect. I present some of the challenges that need to be overcome during the extraction and cleaning of data obtained from different data sources (such as version control repositories, bug trackers, and mailing lists). I draw an analogy between software ecosystems and natural ecosystems, and illustrate through previously reported empirical case studies how ecological diversity metrics and econometric inequality metrics can be used to increase understanding of evolving software ecosystems from dual viewpoints. It should be noted that this article has been conceived as a work of reference. It does not provide any novel research results by itself, but rather introduces the important concepts and challenges in the field. It also provides many pointers for further reading for those researchers that wish to start working in this important research domain.</t>
  </si>
  <si>
    <t>&lt;Go to ISI&gt;://WOS:000439639800007</t>
  </si>
  <si>
    <t>Fu, Y., Yan, M., Zhang, X. H., Xu, L., Yang, D. and Kymer, J. D.</t>
  </si>
  <si>
    <t>Context: Topic models such as probabilistic Latent Semantic Analysis (pLSA) and Latent Dirichlet Allocation (LDA) have demonstrated success in mining software repository tasks. Understanding software change messages described by the unstructured nature-language text is one of the fundamental challenges in mining these messages in repositories. Objective: We seek to present a novel automatic change message classification method characterized by semi-supervised topic semantic analysis. Method: In this work, we present a semi-supervised LDA based approach, to automatically classify change messages. We use domain knowledge of software changes to make labeled samples which are added to build the semi-supervised LDA model. Next, we verify the cross-project analysis application of our method on three open-source projects. Our method has two advantages over existing software change classification methods: First of all, it mitigates the issue of how to set the appropriate number of latent topics. We do not have to choose the number of latent topics in our method, because it corresponds to the number of class labels. Second, this approach utilizes the information provided by the label samples in the training set. Results: Our method automatically classified about 85% of the change messages in our experiment and our validation survey showed that 70.56% of the time our automatic classification results were in agreement with developer opinions. Conclusion: Our approach automatically classifies most of the change messages which record the cause of the software change and the method is applicable to cross-project analysis of software change messages. (C) 2014 Elsevier B.V. All rights reserved.</t>
  </si>
  <si>
    <t>&lt;Go to ISI&gt;://WOS:000345947500021</t>
  </si>
  <si>
    <t>Venkataramani, R., Asadullah, A., Bhat, V., Muddu, B. and Ieee</t>
  </si>
  <si>
    <t>Latent Co-Development Analysis based Semantic Search for Large Code Repositories</t>
  </si>
  <si>
    <t>Distributed and collaborative software development has increased the popularity of source code repositories like GitHub. With the number of projects in such code repositories exceeding millions, it is important to identify the domains to which the projects belong. A domain is a concept or a hierarchy of concepts used to categorize a project. We have proposed a model to cluster projects in a code repository by mining the latent co-development network. These identified clusters are mapped to domains with the help of a taxonomy which we constructed using the metadata from an online Question and Answer (Q&amp;A) website. To demonstrate the validity of the model, we built a prototype for semantic search on source code repositories. In this paper, we outline the proposed model and present the early results.</t>
  </si>
  <si>
    <t>&lt;Go to ISI&gt;://WOS:000332836100040</t>
  </si>
  <si>
    <t>de Almeida, Dbfc and Guerra, E. M.</t>
  </si>
  <si>
    <t>Evolution of XSD Documents and Their Variability During Project Life Cycle: A Preliminary Study</t>
  </si>
  <si>
    <t>During a software system life cycle, project modifications occur for different reasons. Regarding web services, communication contracts modifications are equally common, which induces the need for adaptation in every system node. To help reduce the contracts changing impact over software source code, it is necessary to understand how these contract changes occur. This paper presents a preliminary study on the evaluation of the change history of different open-source projects that defines XSD documents, specifying metrics for such files, extracting them by software repository mining and analyzing their evolution during the project life cycle. Based on the results, and considering that Web Service Definition Language (WSDL) contracts use XSD, a deeper study focused on web services projects only is further proposed to assess what exactly is changed at each contract revision, possibly revealing changing tendencies to support easy-to-adapt web service development.</t>
  </si>
  <si>
    <t>&lt;Go to ISI&gt;://WOS:000381935500028</t>
  </si>
  <si>
    <t>Application of Data Mining Techniques for Software Reuse Process</t>
  </si>
  <si>
    <t>Nowadays' most of the software products are developed by using existing versions or features in order to reduce the delivery time of software product, to improve the productivity and quality and to reduce the development effort. Software reuse has been a solution factor to acquire the existing knowledge from software repository. To extract existing knowledge from software repository data mining can be used. Data mining is the process of extracting useful patterns and analyzing enormous data sets from large data. This paper gives the description of software reuse process, knowledge discovery process and software metrics for object oriented programming language are identified. Software metrics are used as quantitative measure to determine, assess, evaluating the software components. Mapping is done, for different data mining techniques which can be used for software reusability process using different software metrics. We have prepared 167 instances data sets from open source projects. Data mining techniques is used for evaluating the software components. There is gap between the need of useful data from software repository to software project management practices. To bridge this gap we are applying data mining techniques efficiently and effectively to extract useful knowledge from software repository using different software metrics. Finally, this knowledge can be used by project managers for better management of the software projects. (c) 2011 Published by Elsevier Ltd. Selection and/or peer-review under responsibility of C3IT</t>
  </si>
  <si>
    <t>&lt;Go to ISI&gt;://WOS:000319812800059</t>
  </si>
  <si>
    <t>Lelis, C. A. S., Tavares, J. F., Araujo, M. A. P. and David, J. M. N.</t>
  </si>
  <si>
    <t>GiveMe Trace: A Software Evolution Traceability Support Tool</t>
  </si>
  <si>
    <t>Traceability is a key factor in the analysis of the changes that software undergoes throughout its evolution. The main purpose of analysis is to minimize the side effects of these changes and, when it is made to the source at a lower level of abstraction (methods) and in an integrated manner, it can provide more accurate data in order to support decision making. This article presents the GiveMe Trace tool, integrated with a multiple view interactive environment that, among other features, can generate information about the traceability between source code and artifacts its different versions. This information is based on software versions analysis from software repository. As a result, occurrences of changes in classes or methods are shown. A proof of concept was carried out through which repositories versions of two distinct real projects were analyzed. At the end, it was possible to obtain evidences on the feasibility of the use of GiveMe Trace to support traceability between the source code and versions.</t>
  </si>
  <si>
    <t>&lt;Go to ISI&gt;://WOS:000386259900055</t>
  </si>
  <si>
    <t>Saxena, R., Pedanekar, N. and Assoc Comp, Machinery</t>
  </si>
  <si>
    <t>I Know What You Coded Last Summer: Mining Candidate Expertise from GitHub Repositories</t>
  </si>
  <si>
    <t>&lt;Go to ISI&gt;://WOS:000455085000074</t>
  </si>
  <si>
    <t>Teamwork is one of the ways to develop the transversal competencies expected in industry, especially in the field of Information Technology. However, the success of teamwork during programming courses depends on the choice of tools that facilitates collaborative work, organization and conflict management. Objectively evaluating both the individual and the collaborative work must be a great part of this choice. Among these tools, we propose to retain the version control system Git. Indeed, Git facilitates teamwork evaluation by giving access to information recorded in its history. It then becomes necessary to define the criteria to be applied to make an analysis and a judgment. We propose in this article an inventory of the potential evaluation criteria and identify the most relevant ones in terms of evaluation of the regularity and quantitative contribution considering the biases that they induce. Moreover, one of the difficulties that teachers may encounter when producing an assessment is not only to evaluate contributions, but also to be able to monitor them regularly, especially when teams are numerous. We then recommend a support tool based on the criteria we identified, offering a general overview and facilitating access to details. Its evaluation as part of a course allowed us to analyze different team profiles as well as the limits to the use of such a tool to make a judgment.</t>
  </si>
  <si>
    <t>&lt;Go to ISI&gt;://WOS:000456331300055</t>
  </si>
  <si>
    <t>Kollanyi, B.</t>
  </si>
  <si>
    <t>Where Do Bots Come From? An Analysis of Bot Codes Shared on GitHub</t>
  </si>
  <si>
    <t>International Journal of Communication</t>
  </si>
  <si>
    <t>An increasing amount of open source code is available on the Internet for quickly setting up and deploying bots on Twitter. This development of open-source Twitter bots signals the emergence of new political economies that redistribute agencies around technological actors, empowering both the writers of the bots and users who deploy a bot based on the shared code. However, we have no systematic knowledge about how these bots are produced or what role sharing and collaboration play in this process. This article examines the practice of writing and sharing bot codes on GitHub, currently the largest online code repository, by analyzing data about more than 4,000 public Twitter bot code repositories from 2008 to 2016. The data reveal an exponential growth in the number of Twitter bots and a strong dominance of U.S.-based bot developers. Based on data gathered from GitHub about the social aspect of programming on the platform, the article also discusses how developers collaborate and interact with one another on GitHub around bot codes.</t>
  </si>
  <si>
    <t>&lt;Go to ISI&gt;://WOS:000391117400001</t>
  </si>
  <si>
    <t>Declarative Visitors to Ease Fine-grained Source Code Mining with Full History on Billions of AST Nodes</t>
  </si>
  <si>
    <t>Software repositories contain a vast wealth of information about software development. Mining these repositories has proven useful for detecting patterns in software development, testing hypotheses for new software engineering approaches, etc. Specifically, mining source code has yielded significant insights into software development artifacts and processes. Unfortunately, mining source code at a large-scale remains a difficult task. Previous approaches had to either limit the scope of the projects studied, limit the scope of the mining task to be more coarse-grained, or sacrifice studying the history of the code due to both human and computational scalability issues. In this paper we address the substantial challenges of mining source code: a) at a very large scale; b) at a fine-grained level of detail; and c) with full history information. To address these challenges, we present domain-specific language features for source code mining. Our language features are inspired by object-oriented visitors and provide a default depth-first traversal strategy along with two expressions for defining custom traversals. We provide an implementation of these features in the Boa infrastructure for software repository mining and describe a code generation strategy into Java code. To show the usability of our domain-specific language features, we reproduced over 40 source code mining tasks from two large-scale previous studies in just 2 person-weeks. The resulting code for these tasks show between 2.0x-4.8x reduction in code size. Finally we perform a small controlled experiment to gain insights into how easily mining tasks written using our language features can be understood, with no prior training. We show a substantial number of tasks (77%) were understood by study participants, in about 3 minutes per task.</t>
  </si>
  <si>
    <t>&lt;Go to ISI&gt;://WOS:000338625500004</t>
  </si>
  <si>
    <t>number</t>
  </si>
  <si>
    <t>Methods / techniques</t>
  </si>
  <si>
    <t>Type information extract</t>
  </si>
  <si>
    <t>RQ7</t>
  </si>
  <si>
    <t>Type information result</t>
  </si>
  <si>
    <t>Information extract</t>
  </si>
  <si>
    <t>information result</t>
  </si>
  <si>
    <t>AQ7</t>
  </si>
  <si>
    <t>Implication</t>
  </si>
  <si>
    <t>Commits</t>
  </si>
  <si>
    <t>Commiters</t>
  </si>
  <si>
    <t>Versions</t>
  </si>
  <si>
    <t>Pulls</t>
  </si>
  <si>
    <t>Pull request</t>
  </si>
  <si>
    <t>Commit message</t>
  </si>
  <si>
    <t>Branch</t>
  </si>
  <si>
    <t>Issue trackers</t>
  </si>
  <si>
    <t>Forks</t>
  </si>
  <si>
    <t>Aserts</t>
  </si>
  <si>
    <t xml:space="preserve">Comments </t>
  </si>
  <si>
    <t>Branches</t>
  </si>
  <si>
    <t>Mergin Changes</t>
  </si>
  <si>
    <t>Quality of Software/data/code/process</t>
  </si>
  <si>
    <t>Changes Source Code</t>
  </si>
  <si>
    <t>Type of changes</t>
  </si>
  <si>
    <t>Historic of changes</t>
  </si>
  <si>
    <t>Classification of changes</t>
  </si>
  <si>
    <t>Frequency of changes</t>
  </si>
  <si>
    <t>Co-change code</t>
  </si>
  <si>
    <t>Effort to detect defects</t>
  </si>
  <si>
    <t>Type of defects</t>
  </si>
  <si>
    <t>Number of defects</t>
  </si>
  <si>
    <t>Evolution of bugs</t>
  </si>
  <si>
    <t>Performance Bugs</t>
  </si>
  <si>
    <t>Developer Contribution Analysis</t>
  </si>
  <si>
    <t>Developer code committers/Effort/</t>
  </si>
  <si>
    <t>Developer collaboration/communication/undestanting</t>
  </si>
  <si>
    <t>Code Smells/ Types</t>
  </si>
  <si>
    <t>Software Variability/Code Reuse/SPL/</t>
  </si>
  <si>
    <t>Development processes</t>
  </si>
  <si>
    <t>Evolution of source code/MSR/patterns</t>
  </si>
  <si>
    <t>Refactoring</t>
  </si>
  <si>
    <t>Code Clone</t>
  </si>
  <si>
    <t>Power consumption</t>
  </si>
  <si>
    <t>Software licenses</t>
  </si>
  <si>
    <t>Maintainability</t>
  </si>
  <si>
    <t>Identificator of source code</t>
  </si>
  <si>
    <t>Legibility of source code</t>
  </si>
  <si>
    <t>Usage patterns</t>
  </si>
  <si>
    <t>Usage of framework</t>
  </si>
  <si>
    <t>Analysis Bug Reports</t>
  </si>
  <si>
    <t>Issue Tracking Systems (ITS)</t>
  </si>
  <si>
    <t>Open Source Software</t>
  </si>
  <si>
    <t>Social Network Analysis (SNA).</t>
  </si>
  <si>
    <t>Algorithm</t>
  </si>
  <si>
    <t>Artificial Intelligence</t>
  </si>
  <si>
    <t>Case study</t>
  </si>
  <si>
    <t>Comparision</t>
  </si>
  <si>
    <t>Controlled experiment</t>
  </si>
  <si>
    <t>Data mining</t>
  </si>
  <si>
    <t>Data Science</t>
  </si>
  <si>
    <t>Empirical</t>
  </si>
  <si>
    <t>Exploratory Study</t>
  </si>
  <si>
    <t>Questionnaire</t>
  </si>
  <si>
    <t>Sampling</t>
  </si>
  <si>
    <t>Survey</t>
  </si>
  <si>
    <t xml:space="preserve">Architecture </t>
  </si>
  <si>
    <t>Association</t>
  </si>
  <si>
    <t>Characterization</t>
  </si>
  <si>
    <t>Cluster</t>
  </si>
  <si>
    <t xml:space="preserve">Comparison </t>
  </si>
  <si>
    <t>Comprehension</t>
  </si>
  <si>
    <t>Controlling</t>
  </si>
  <si>
    <t>Detection</t>
  </si>
  <si>
    <t>Evaluation</t>
  </si>
  <si>
    <t>Evolution code</t>
  </si>
  <si>
    <t>Forms</t>
  </si>
  <si>
    <t>Improviment</t>
  </si>
  <si>
    <t>Localization</t>
  </si>
  <si>
    <t>Method</t>
  </si>
  <si>
    <t>Metric</t>
  </si>
  <si>
    <t>Models</t>
  </si>
  <si>
    <t>Open source software</t>
  </si>
  <si>
    <t>Patterns</t>
  </si>
  <si>
    <t>Prediction</t>
  </si>
  <si>
    <t>Process Improvement</t>
  </si>
  <si>
    <t>Proposals</t>
  </si>
  <si>
    <t xml:space="preserve">Social coding </t>
  </si>
  <si>
    <t>Social networking</t>
  </si>
  <si>
    <t xml:space="preserve">Software defect prediction </t>
  </si>
  <si>
    <t>Software engineering research</t>
  </si>
  <si>
    <t>Software quality</t>
  </si>
  <si>
    <t>Taxonomy</t>
  </si>
  <si>
    <t>Boa</t>
  </si>
  <si>
    <t>Numero</t>
  </si>
  <si>
    <t>Evolution Software</t>
  </si>
  <si>
    <t>Code</t>
  </si>
  <si>
    <t>Framework</t>
  </si>
  <si>
    <t>Travis</t>
  </si>
  <si>
    <t>Submitted</t>
  </si>
  <si>
    <t>Continuous Integration</t>
  </si>
  <si>
    <t xml:space="preserve">Canada </t>
  </si>
  <si>
    <t xml:space="preserve">Russia </t>
  </si>
  <si>
    <t xml:space="preserve">United States </t>
  </si>
  <si>
    <t>CI-SKIPPER</t>
  </si>
  <si>
    <t>Model</t>
  </si>
  <si>
    <t>Rule-based technique</t>
  </si>
  <si>
    <t>CCFinder</t>
  </si>
  <si>
    <t>Change impact analysis</t>
  </si>
  <si>
    <t>Software maintance</t>
  </si>
  <si>
    <t>Tool</t>
  </si>
  <si>
    <t>IntelliJ Idea</t>
  </si>
  <si>
    <t>Django</t>
  </si>
  <si>
    <t>Type information Input</t>
  </si>
  <si>
    <t>Type information input</t>
  </si>
  <si>
    <t>Both</t>
  </si>
  <si>
    <t>Events Logs</t>
  </si>
  <si>
    <t>Code reuse</t>
  </si>
  <si>
    <t>Bayesian classifier</t>
  </si>
  <si>
    <t xml:space="preserve">Change impact  </t>
  </si>
  <si>
    <t>version history</t>
  </si>
  <si>
    <t>Change-impact predictors</t>
  </si>
  <si>
    <t>Change impact predictors</t>
  </si>
  <si>
    <t>CodeSurfer</t>
  </si>
  <si>
    <t>Machine Learning: Decision tree model / Natural Language Processing</t>
  </si>
  <si>
    <t>Commits/Commiters</t>
  </si>
  <si>
    <t>Role discovery</t>
  </si>
  <si>
    <t>Classification of commiters</t>
  </si>
  <si>
    <t>Version Control Practices, Software Development, Software Repository Mining</t>
  </si>
  <si>
    <t>Good practices</t>
  </si>
  <si>
    <t>Dataset code</t>
  </si>
  <si>
    <t>Statistical analyses</t>
  </si>
  <si>
    <t>GHTorrent</t>
  </si>
  <si>
    <t>no access</t>
  </si>
  <si>
    <t>Code/Commits/Bugs</t>
  </si>
  <si>
    <t>Bugs logs</t>
  </si>
  <si>
    <t xml:space="preserve">Traceability </t>
  </si>
  <si>
    <t>Information retrieval (IR) techniques</t>
  </si>
  <si>
    <t>Trustrace</t>
  </si>
  <si>
    <t>Traceability links</t>
  </si>
  <si>
    <t>Commits/Bugs/Developers</t>
  </si>
  <si>
    <t>Developer social network</t>
  </si>
  <si>
    <t>CHINA</t>
  </si>
  <si>
    <t>Probabilistic language model</t>
  </si>
  <si>
    <t>Rhino</t>
  </si>
  <si>
    <t>UNITED KINGDOM</t>
  </si>
  <si>
    <t>Natural Language Processing / Text mining
techniques</t>
  </si>
  <si>
    <t>Quality / Metrics</t>
  </si>
  <si>
    <t>OSSMETER</t>
  </si>
  <si>
    <t>Portugal 2, United Kingdom 2, France, Spain, Italy, Belgium, Netherlands</t>
  </si>
  <si>
    <t>data mining,
learning (artificial intelligence),
pattern classification,
program debugging,
text analysis</t>
  </si>
  <si>
    <t>Vulnerability Detection</t>
  </si>
  <si>
    <t>Prediction techniques based on text mining.</t>
  </si>
  <si>
    <t>Vulnerable code snippets</t>
  </si>
  <si>
    <t>United States, Saudi Arabia</t>
  </si>
  <si>
    <t>Reverse Engineering</t>
  </si>
  <si>
    <t>CoDiVision</t>
  </si>
  <si>
    <t>Developer code</t>
  </si>
  <si>
    <t>Commits/Bugs</t>
  </si>
  <si>
    <t>Commits/Bugs/Crash reports</t>
  </si>
  <si>
    <t>Models regression and Machine learning algorithms</t>
  </si>
  <si>
    <t>Canada 2 / Francia</t>
  </si>
  <si>
    <t>3C Model</t>
  </si>
  <si>
    <t>Issues/Graphs/News feed</t>
  </si>
  <si>
    <t>Modern collaborative software</t>
  </si>
  <si>
    <t>Split commits</t>
  </si>
  <si>
    <t>Automatic detection technique</t>
  </si>
  <si>
    <t>Japan</t>
  </si>
  <si>
    <t>Experimental process</t>
  </si>
  <si>
    <t>India</t>
  </si>
  <si>
    <t>Handling coding practices.</t>
  </si>
  <si>
    <t>Canada 3/ Bangladesh</t>
  </si>
  <si>
    <t>Senti4SD</t>
  </si>
  <si>
    <t>Morocco/Canada</t>
  </si>
  <si>
    <t xml:space="preserve">Code review process </t>
  </si>
  <si>
    <t>Code review</t>
  </si>
  <si>
    <t>Developers sentiments</t>
  </si>
  <si>
    <t>Comments Developers</t>
  </si>
  <si>
    <t>Git graft</t>
  </si>
  <si>
    <t>Authorship patterns</t>
  </si>
  <si>
    <t>Commit history</t>
  </si>
  <si>
    <t>Code authorship</t>
  </si>
  <si>
    <t>Brazil 2/ Canada</t>
  </si>
  <si>
    <t>Forks / Watches / Follows</t>
  </si>
  <si>
    <t>Software Social Networks</t>
  </si>
  <si>
    <t>Sourcerer</t>
  </si>
  <si>
    <t>Code search applications</t>
  </si>
  <si>
    <t>United States</t>
  </si>
  <si>
    <t>Not applicable</t>
  </si>
  <si>
    <t>Micro-Productivity Profiles Method</t>
  </si>
  <si>
    <t>Hungary</t>
  </si>
  <si>
    <t>Austrialia / Germany</t>
  </si>
  <si>
    <t>F-Droid</t>
  </si>
  <si>
    <t>Usability</t>
  </si>
  <si>
    <t>Branch cohesion / distracted commits</t>
  </si>
  <si>
    <t>Research strategy</t>
  </si>
  <si>
    <t>Canada 3 / USA 2</t>
  </si>
  <si>
    <t>Automated program repair</t>
  </si>
  <si>
    <t>JGit API</t>
  </si>
  <si>
    <t>USA 2 / Canada 3</t>
  </si>
  <si>
    <t>Issues</t>
  </si>
  <si>
    <t>Spain</t>
  </si>
  <si>
    <t>Neural network</t>
  </si>
  <si>
    <t>Technical debt</t>
  </si>
  <si>
    <t>Commits/Comments</t>
  </si>
  <si>
    <t>Self-Admitted Technical debt</t>
  </si>
  <si>
    <t>Big Data Analytics</t>
  </si>
  <si>
    <t>New Zealand</t>
  </si>
  <si>
    <t>Software Quality Evolution</t>
  </si>
  <si>
    <t>Empirical evaluation</t>
  </si>
  <si>
    <t>GitAnalyzer</t>
  </si>
  <si>
    <t>SQUAAD</t>
  </si>
  <si>
    <t>Search-based genetic algorithm</t>
  </si>
  <si>
    <t>Empirical study</t>
  </si>
  <si>
    <t>Analysis Bugs</t>
  </si>
  <si>
    <t>SimScan</t>
  </si>
  <si>
    <t>Empirical analyses</t>
  </si>
  <si>
    <t>France</t>
  </si>
  <si>
    <t>Quantitative study</t>
  </si>
  <si>
    <t>Education</t>
  </si>
  <si>
    <t>Stars</t>
  </si>
  <si>
    <t>Multiple linear regressions</t>
  </si>
  <si>
    <t>Historical data</t>
  </si>
  <si>
    <t>Historical data / Issues tracks</t>
  </si>
  <si>
    <t xml:space="preserve">Developer classification </t>
  </si>
  <si>
    <t>Software Quality Assessment (SQA) profiles</t>
  </si>
  <si>
    <t>Defects</t>
  </si>
  <si>
    <t>SensA</t>
  </si>
  <si>
    <t>Commits/mails</t>
  </si>
  <si>
    <t>GitHubAnalyser</t>
  </si>
  <si>
    <t>Word cloud</t>
  </si>
  <si>
    <t>Peru</t>
  </si>
  <si>
    <t>Classification of commits</t>
  </si>
  <si>
    <t>GitcProc</t>
  </si>
  <si>
    <t>Gitbash</t>
  </si>
  <si>
    <t>Commit message/ contributors</t>
  </si>
  <si>
    <t>Commit quality</t>
  </si>
  <si>
    <t>Code/Commits</t>
  </si>
  <si>
    <t>Version history</t>
  </si>
  <si>
    <t>Code/Comments</t>
  </si>
  <si>
    <t>Scopes source code comments</t>
  </si>
  <si>
    <t>Machine Learning/Random Forest Classifier</t>
  </si>
  <si>
    <t>United States/India/Turkey/Netherlands</t>
  </si>
  <si>
    <t>Developers patterns</t>
  </si>
  <si>
    <t>Canada/Finland</t>
  </si>
  <si>
    <t>Machine Learning: logistic regression, decision tree and
random forests models</t>
  </si>
  <si>
    <t>Paid commits</t>
  </si>
  <si>
    <t>Software analysis tool</t>
  </si>
  <si>
    <t>GITANA</t>
  </si>
  <si>
    <t>Commits/ Branches</t>
  </si>
  <si>
    <t>Developer Contribution Analysis/ bus factor</t>
  </si>
  <si>
    <t>GiLA</t>
  </si>
  <si>
    <t>Rational Team Concert RTC</t>
  </si>
  <si>
    <t xml:space="preserve">Portugal  </t>
  </si>
  <si>
    <t>Brasil</t>
  </si>
  <si>
    <t>Canada/Netherlands</t>
  </si>
  <si>
    <t>Multidimensional projection (MP) techniques</t>
  </si>
  <si>
    <t>Brazil/Netherlands</t>
  </si>
  <si>
    <t>Commits/Bug-fixing</t>
  </si>
  <si>
    <t>Social norms</t>
  </si>
  <si>
    <t>Australia / New Zealand</t>
  </si>
  <si>
    <t>Commits logs</t>
  </si>
  <si>
    <t>Code /Commits/ Weeks</t>
  </si>
  <si>
    <t>Exploratory study / Gumtree algorithm</t>
  </si>
  <si>
    <t>Chile/Italy</t>
  </si>
  <si>
    <t>Issues/Comments</t>
  </si>
  <si>
    <t>United Kingdom / Italy</t>
  </si>
  <si>
    <t>Tangle-commit</t>
  </si>
  <si>
    <t>France / Netherlands</t>
  </si>
  <si>
    <t>Merges</t>
  </si>
  <si>
    <t>Code/Commits/Issues</t>
  </si>
  <si>
    <t>Greece/Netherlands</t>
  </si>
  <si>
    <t>Developers sentiments classification</t>
  </si>
  <si>
    <t>Tool with Artificial Intelligence</t>
  </si>
  <si>
    <t>Indonesia</t>
  </si>
  <si>
    <t>Visualization Branchs</t>
  </si>
  <si>
    <t>United States / Germany</t>
  </si>
  <si>
    <t>Visualization Project</t>
  </si>
  <si>
    <t>Abstract syntax trees</t>
  </si>
  <si>
    <t>Tool / Domain-specific language</t>
  </si>
  <si>
    <t>Chile</t>
  </si>
  <si>
    <t>Hoeffding Tree classification method</t>
  </si>
  <si>
    <t>Jazz</t>
  </si>
  <si>
    <t>Slovenia</t>
  </si>
  <si>
    <t>Metrics/ Code smells</t>
  </si>
  <si>
    <t>VCS-Analyzer</t>
  </si>
  <si>
    <t>Doppel-Code</t>
  </si>
  <si>
    <t>Turnover patterns</t>
  </si>
  <si>
    <t>Qualitative analysis</t>
  </si>
  <si>
    <t>Quantitative analysis</t>
  </si>
  <si>
    <t>France/ Canada</t>
  </si>
  <si>
    <t>Change messages</t>
  </si>
  <si>
    <t>Latent Dirichlet Allocation (LDA)</t>
  </si>
  <si>
    <t>Classification of change message</t>
  </si>
  <si>
    <t>Patterns of social forking</t>
  </si>
  <si>
    <t xml:space="preserve">Australia  </t>
  </si>
  <si>
    <t>Google BigQuery</t>
  </si>
  <si>
    <t>Commits /Files</t>
  </si>
  <si>
    <t>Commits/Commiters/Forks</t>
  </si>
  <si>
    <t>Open source software communities</t>
  </si>
  <si>
    <t>Switzerland/Belgium</t>
  </si>
  <si>
    <t>Code development history</t>
  </si>
  <si>
    <t>TravisTorrent</t>
  </si>
  <si>
    <t>Code / Contributions / Info</t>
  </si>
  <si>
    <t>Tool / Regression test selection (RTS)</t>
  </si>
  <si>
    <t>Testing patterns</t>
  </si>
  <si>
    <t>Heuristical techniques</t>
  </si>
  <si>
    <t>United States / Canada</t>
  </si>
  <si>
    <t>United States / Japan</t>
  </si>
  <si>
    <t>Alitheia Core</t>
  </si>
  <si>
    <t>South Africa</t>
  </si>
  <si>
    <t>Commits/Issues/Code review</t>
  </si>
  <si>
    <t>Patterns / Antipatterns</t>
  </si>
  <si>
    <t>Classification of bugs</t>
  </si>
  <si>
    <t>Visualization  structure organization</t>
  </si>
  <si>
    <t>Korea</t>
  </si>
  <si>
    <t>South Korea</t>
  </si>
  <si>
    <t>Patterns EMF</t>
  </si>
  <si>
    <t>Theoretical/Empirical Analysis</t>
  </si>
  <si>
    <t>Developer Contribution Patterns</t>
  </si>
  <si>
    <t>UML models</t>
  </si>
  <si>
    <t>Tangled changes</t>
  </si>
  <si>
    <t>United States/Germany</t>
  </si>
  <si>
    <t>VigHub</t>
  </si>
  <si>
    <t>Traceability</t>
  </si>
  <si>
    <t>Canada/United States</t>
  </si>
  <si>
    <t>Untracked Changes</t>
  </si>
  <si>
    <t>Brazil / Italy</t>
  </si>
  <si>
    <t>Dynamic Topic Models</t>
  </si>
  <si>
    <t>Automatic commit generation</t>
  </si>
  <si>
    <t>Automatic models</t>
  </si>
  <si>
    <t>Hierarchical agglomerative clustering</t>
  </si>
  <si>
    <t>Program topoi</t>
  </si>
  <si>
    <t>Software Heritage</t>
  </si>
  <si>
    <t>Norway/France</t>
  </si>
  <si>
    <t>Japan/Canada</t>
  </si>
  <si>
    <t>Code forges</t>
  </si>
  <si>
    <t xml:space="preserve"> B-bit minwise hashing technique</t>
  </si>
  <si>
    <t>B-bit minwise hashing technique</t>
  </si>
  <si>
    <t>Anti-patterns</t>
  </si>
  <si>
    <t>Commits/Issues</t>
  </si>
  <si>
    <t>Poland</t>
  </si>
  <si>
    <t>Developer Biography</t>
  </si>
  <si>
    <t>Tool Testing</t>
  </si>
  <si>
    <t>Testing</t>
  </si>
  <si>
    <t>Italy/Bolivia</t>
  </si>
  <si>
    <t>Bug-fix commits</t>
  </si>
  <si>
    <t>SupBCFinder</t>
  </si>
  <si>
    <t>Commits/Pulls/Issue</t>
  </si>
  <si>
    <t>Predict integrators</t>
  </si>
  <si>
    <t>Tool / Random Forest Classifier / Naive Bayes Classifier</t>
  </si>
  <si>
    <t>Historical commit patterns</t>
  </si>
  <si>
    <t>Model SETGA
(Summarizing Evolutionary Trajectory by Grouping and Aggregation)</t>
  </si>
  <si>
    <t>China/Singapore</t>
  </si>
  <si>
    <t>Code Change</t>
  </si>
  <si>
    <t>Code Search</t>
  </si>
  <si>
    <t>Modern software engineering</t>
  </si>
  <si>
    <t>Semantic Model</t>
  </si>
  <si>
    <t>Classification commit message/Automatic generate commit message</t>
  </si>
  <si>
    <t>Natural language processing (NLP)</t>
  </si>
  <si>
    <t>Code/Commits/Commiters</t>
  </si>
  <si>
    <t>Developer communities</t>
  </si>
  <si>
    <t xml:space="preserve">Network analysis/machine learning </t>
  </si>
  <si>
    <t>Forks/Contributors/age/size/owner/language programming/watchers</t>
  </si>
  <si>
    <t>GitHub Api</t>
  </si>
  <si>
    <t>Commits/ Branches/Merges</t>
  </si>
  <si>
    <t xml:space="preserve">Tool/Automated analysis </t>
  </si>
  <si>
    <t>COPE</t>
  </si>
  <si>
    <t>Fistbump</t>
  </si>
  <si>
    <t xml:space="preserve">Collaborative Code review </t>
  </si>
  <si>
    <t xml:space="preserve">Tool /Longest Common Subsequence (LCS) </t>
  </si>
  <si>
    <t>Japan /Belgium</t>
  </si>
  <si>
    <t>SeCold</t>
  </si>
  <si>
    <t>Issue Predictions</t>
  </si>
  <si>
    <t>Predictive models</t>
  </si>
  <si>
    <t>Estonia</t>
  </si>
  <si>
    <t>Software defects</t>
  </si>
  <si>
    <t>Turkey/United Kingdom/Canada</t>
  </si>
  <si>
    <t>Commit tangled changes</t>
  </si>
  <si>
    <t>Code review metrics</t>
  </si>
  <si>
    <t>Modern software development</t>
  </si>
  <si>
    <t>GHTorrent/Gerrit</t>
  </si>
  <si>
    <t xml:space="preserve">Branchs impact  </t>
  </si>
  <si>
    <t xml:space="preserve">Branch impact  </t>
  </si>
  <si>
    <t>Netherlands/Switzerland</t>
  </si>
  <si>
    <t>Classifying future commits</t>
  </si>
  <si>
    <t>Machine Learning: SVM/SGDClassifer</t>
  </si>
  <si>
    <t>Commits messages/Pull requests</t>
  </si>
  <si>
    <t>Feature facets</t>
  </si>
  <si>
    <t>Concolic analysis</t>
  </si>
  <si>
    <t>United States/Canada</t>
  </si>
  <si>
    <t xml:space="preserve">Model: Least Squares Support Vector Machine (LSSVM) </t>
  </si>
  <si>
    <t>Metrics/ fault prediction</t>
  </si>
  <si>
    <t>Historical code repository</t>
  </si>
  <si>
    <t>GrimoireLab</t>
  </si>
  <si>
    <t>Commits/chats/questionnaire</t>
  </si>
  <si>
    <t>Experience sampling study /Logistic regression</t>
  </si>
  <si>
    <t>Finland/Canada</t>
  </si>
  <si>
    <t>Nearest-neighbor algorithm</t>
  </si>
  <si>
    <t>VCSMiner</t>
  </si>
  <si>
    <t>Change contracts</t>
  </si>
  <si>
    <t>Dynamic inference framework</t>
  </si>
  <si>
    <t>Singapore</t>
  </si>
  <si>
    <t>Tool/history driven repair technique</t>
  </si>
  <si>
    <t>Model/semantics-based methodology</t>
  </si>
  <si>
    <t>Branch analyzer tool</t>
  </si>
  <si>
    <t>Visualization Metrics</t>
  </si>
  <si>
    <t>Data set</t>
  </si>
  <si>
    <t>Performance tests</t>
  </si>
  <si>
    <t>Crawler Github</t>
  </si>
  <si>
    <t>Switzerland/ Canada</t>
  </si>
  <si>
    <t>Tool/ Traceability</t>
  </si>
  <si>
    <t>Merge performance</t>
  </si>
  <si>
    <t>Germany/United States</t>
  </si>
  <si>
    <t>Commits/Source Code Changes</t>
  </si>
  <si>
    <t>C4.5/Random Forest/ Gradient Boosting Machine</t>
  </si>
  <si>
    <t>Israel</t>
  </si>
  <si>
    <t>Deep model structure(Convolutional Neural Network)</t>
  </si>
  <si>
    <t>Norway/United States</t>
  </si>
  <si>
    <t>Survival Analysis/Social Network Analysis (SNA)</t>
  </si>
  <si>
    <t>Belgium/France/United Kingdom</t>
  </si>
  <si>
    <t>CANADA/FRANCIA</t>
  </si>
  <si>
    <t>Semantic slicing algorithm</t>
  </si>
  <si>
    <t>ChangeDistiller</t>
  </si>
  <si>
    <t>Change histories</t>
  </si>
  <si>
    <t>Code/Contributors/Messages</t>
  </si>
  <si>
    <t>Metrics/Annotation source code</t>
  </si>
  <si>
    <t>Exploratory data analysis</t>
  </si>
  <si>
    <t>Bugs logs/Commits logs</t>
  </si>
  <si>
    <t>Software evolution</t>
  </si>
  <si>
    <t>Algorithm/RevFinder and a Naive Bayes-based approach</t>
  </si>
  <si>
    <t>Czech Republic</t>
  </si>
  <si>
    <t>Social Impact</t>
  </si>
  <si>
    <t>Metrics/ Technical debt</t>
  </si>
  <si>
    <t>Factors impact build</t>
  </si>
  <si>
    <t>Fork/Commits/Comments</t>
  </si>
  <si>
    <t>Metrics/ Software Process</t>
  </si>
  <si>
    <t>Classification models</t>
  </si>
  <si>
    <t>Software change prediction</t>
  </si>
  <si>
    <t>Software architecture conformance</t>
  </si>
  <si>
    <t>Brazil/France</t>
  </si>
  <si>
    <t>not access</t>
  </si>
  <si>
    <t>Tool/Prediction Partial Matching (PPM) algorithm/ Heuristics</t>
  </si>
  <si>
    <t>Change analysis</t>
  </si>
  <si>
    <t>Contributers/Commits/Stars/Forks/Branches/Watches</t>
  </si>
  <si>
    <t>Machine learning techniques</t>
  </si>
  <si>
    <t>Canada/Pakistan</t>
  </si>
  <si>
    <t>Mails</t>
  </si>
  <si>
    <t>Classification of mailing list</t>
  </si>
  <si>
    <t>Source Code Plagiarism Detection</t>
  </si>
  <si>
    <t>Contributors/Issues/Commits</t>
  </si>
  <si>
    <t xml:space="preserve">Getty </t>
  </si>
  <si>
    <t xml:space="preserve">Finland </t>
  </si>
  <si>
    <t>Machine Learning techniques/ Naive Bayes Classifier</t>
  </si>
  <si>
    <t>Jordan</t>
  </si>
  <si>
    <t>Automatic branch recovery</t>
  </si>
  <si>
    <t>Belgium/Canda/Italy</t>
  </si>
  <si>
    <t>Code change patterns</t>
  </si>
  <si>
    <t>Technique adaptive prefix filtering</t>
  </si>
  <si>
    <t>Gerrit</t>
  </si>
  <si>
    <t>Social Software Engineering</t>
  </si>
  <si>
    <t>Sentiments analysis tools evaluation</t>
  </si>
  <si>
    <t>Commits/Pulls</t>
  </si>
  <si>
    <t>Netherlands/Italy</t>
  </si>
  <si>
    <t>Quality of code</t>
  </si>
  <si>
    <t>Code review classification</t>
  </si>
  <si>
    <t xml:space="preserve">Interface redundancy </t>
  </si>
  <si>
    <t>Experimental study</t>
  </si>
  <si>
    <t>Brazil/United States</t>
  </si>
  <si>
    <t>Models prediction: Statistical learner/ Random forest</t>
  </si>
  <si>
    <t>India/United States</t>
  </si>
  <si>
    <t>Bugs detection</t>
  </si>
  <si>
    <t>Hong Kong</t>
  </si>
  <si>
    <t>Spain/Canada</t>
  </si>
  <si>
    <t>Applied research</t>
  </si>
  <si>
    <t>Change evolution analysis</t>
  </si>
  <si>
    <t>Commit prediction</t>
  </si>
  <si>
    <t>United Arab Emirates</t>
  </si>
  <si>
    <t>Affective software engineering</t>
  </si>
  <si>
    <t>Models/Multiple Linear Regression (MLR)/Support Vector Regression (SVR)/ k-Nearest Neighbor/(k-NN) methods</t>
  </si>
  <si>
    <t>Tangled commit</t>
  </si>
  <si>
    <t>Maiils/Code/Commits</t>
  </si>
  <si>
    <t>Developer Recommendation</t>
  </si>
  <si>
    <t>not applicable</t>
  </si>
  <si>
    <t>China/Canada</t>
  </si>
  <si>
    <t>Watches / Commits / Pull requests</t>
  </si>
  <si>
    <t>Code Smells/ Anti-patterns</t>
  </si>
  <si>
    <t>New Zealand /Norway/United Kingdom</t>
  </si>
  <si>
    <t>United States/Italy/Switzerland</t>
  </si>
  <si>
    <t>Classification and regression tree</t>
  </si>
  <si>
    <t>Access</t>
  </si>
  <si>
    <t>United Kingdom</t>
  </si>
  <si>
    <t>Comments</t>
  </si>
  <si>
    <t>Weeks</t>
  </si>
  <si>
    <t>Messages</t>
  </si>
  <si>
    <t>Commit History</t>
  </si>
  <si>
    <t>Commits Logs</t>
  </si>
  <si>
    <t>Contributors</t>
  </si>
  <si>
    <t>Bug-fixing</t>
  </si>
  <si>
    <t>Developers</t>
  </si>
  <si>
    <t>Chats</t>
  </si>
  <si>
    <t>Source Code Changes</t>
  </si>
  <si>
    <t>Watches</t>
  </si>
  <si>
    <t>Follows</t>
  </si>
  <si>
    <t>Graphs/News Feed</t>
  </si>
  <si>
    <t>Pulls/ Pulls request</t>
  </si>
  <si>
    <t>Commits Messages</t>
  </si>
  <si>
    <t>Versions/ Version History</t>
  </si>
  <si>
    <t>Domain-specific language</t>
  </si>
  <si>
    <t>Canada / Bangladesh</t>
  </si>
  <si>
    <t>Brazil / Canada</t>
  </si>
  <si>
    <t>Papers</t>
  </si>
  <si>
    <t>Bangladesh</t>
  </si>
  <si>
    <t>Belgium</t>
  </si>
  <si>
    <t>Bolivia</t>
  </si>
  <si>
    <t>Morocco</t>
  </si>
  <si>
    <t>Norway</t>
  </si>
  <si>
    <t>Pakistan</t>
  </si>
  <si>
    <t>Russia</t>
  </si>
  <si>
    <t>Saudi Arabia</t>
  </si>
  <si>
    <t>10.1109/ICPC.2017.6</t>
  </si>
  <si>
    <t>selected (2st iteration)</t>
  </si>
  <si>
    <t xml:space="preserve">Solution Problem </t>
  </si>
  <si>
    <t>Methods/Techniques</t>
  </si>
  <si>
    <t>10.1109/TSE.2012.71</t>
  </si>
  <si>
    <t>10.1109/TLA.2016.7587653</t>
  </si>
  <si>
    <t>10.1016/j.infsof.2017.04.005</t>
  </si>
  <si>
    <t>10.1016/j.infsof.2015.07.007</t>
  </si>
  <si>
    <t>10.1109/SE4HPCS.2015.11</t>
  </si>
  <si>
    <t>10.1109/EDOCW.2016.7584383</t>
  </si>
  <si>
    <t>10.1145/3034950.3034980</t>
  </si>
  <si>
    <t>Code / Contributions/ Info</t>
  </si>
  <si>
    <t>Commits/chats</t>
  </si>
  <si>
    <t>Developer collaboration</t>
  </si>
  <si>
    <t>10.1109/SAPIENCE.2016.7684163</t>
  </si>
  <si>
    <t>Proceedings of 2016 International Conference on Data Mining and Advanced Computing, SAPIENCE 2016</t>
  </si>
  <si>
    <t>10.1109/CIC.2017.00020</t>
  </si>
  <si>
    <t>Proceedings - 2017 IEEE 3rd International Conference on Collaboration and Internet Computing, CIC 2017</t>
  </si>
  <si>
    <t>ACM International Conference Proceeding Series</t>
  </si>
  <si>
    <t>10.1145/3275245.3275250</t>
  </si>
  <si>
    <t>10.1007/s11219-017-9361-y</t>
  </si>
  <si>
    <t>Proceedings - 8th International Workshop on Cooperative and Human Aspects of Software Engineering, CHASE 2015</t>
  </si>
  <si>
    <t>10.1109/CHASE.2015.29</t>
  </si>
  <si>
    <t>Proceedings - International Computer Software and Applications Conference</t>
  </si>
  <si>
    <t>10.1109/COMPSAC.2017.155</t>
  </si>
  <si>
    <t>10.1007/978-981-10-5547-8_65</t>
  </si>
  <si>
    <t>Proceedings - 13th Working Conference on Mining Software Repositories, MSR 2016</t>
  </si>
  <si>
    <t>10.1145/2901739.2903500</t>
  </si>
  <si>
    <t>10.1016/j.infsof.2019.06.005</t>
  </si>
  <si>
    <t>10.1016/j.scico.2019.03.001</t>
  </si>
  <si>
    <t>Proceedings - 3rd International Workshop on CrowdSourcing in Software Engineering, CSI-SE 2016</t>
  </si>
  <si>
    <t>10.1145/2897659.2897663</t>
  </si>
  <si>
    <t>13th International Conference, BPM 2015</t>
  </si>
  <si>
    <t>10.1007/978-3-319-23063-4</t>
  </si>
  <si>
    <t>2015 IEEE 31st International Conference on Software Maintenance and Evolution, ICSME 2015 - Proceedings</t>
  </si>
  <si>
    <t>10.1109/ICSM.2015.7332490</t>
  </si>
  <si>
    <t>10.1007/s10664-018-9650-5</t>
  </si>
  <si>
    <t>10.1145/2901739.2901748</t>
  </si>
  <si>
    <t>10.1007/978-3-642-28872-2_22</t>
  </si>
  <si>
    <t>Proceedings of the 15th international conference on Fundamental Approaches to Software Engineering ACM</t>
  </si>
  <si>
    <t>Proceedings of the ACM SIGSOFT Symposium on the Foundations of Software Engineering</t>
  </si>
  <si>
    <t>10.1145/2635868.2635898</t>
  </si>
  <si>
    <t>Proceedings - 2017 IEEE/WIC/ACM International Conference on Web Intelligence, WI 2017</t>
  </si>
  <si>
    <t>10.1145/3106426.3106480</t>
  </si>
  <si>
    <t>2015 10th Iberian Conference on Information Systems and Technologies, CISTI 2015</t>
  </si>
  <si>
    <t>10.1109/CISTI.2015.7170552</t>
  </si>
  <si>
    <t>10.1145/2901739.2901742</t>
  </si>
  <si>
    <t>2015 3rd International Conference on Information and Communication Technology, ICoICT 2015</t>
  </si>
  <si>
    <t>10.1109/ICoICT.2015.7231398</t>
  </si>
  <si>
    <t>Proceedings - International Conference on Software Engineering</t>
  </si>
  <si>
    <t>10.1109/ICSE.2013.6606729</t>
  </si>
  <si>
    <t>International Symposium on Empirical Software Engineering and Measurement</t>
  </si>
  <si>
    <t>10.1145/3239235.3239237</t>
  </si>
  <si>
    <t>10.1109/QRS.2017.36</t>
  </si>
  <si>
    <t>2017 IEEE International Conference on Software Quality, Reliability and Security (QRS)</t>
  </si>
  <si>
    <t>IEEE International Conference on Program Comprehension</t>
  </si>
  <si>
    <t>10.1109/ICPC.2015.11</t>
  </si>
  <si>
    <t>10.1016/j.jss.2018.02.065</t>
  </si>
  <si>
    <t>10.1016/j.scico.2010.11.010</t>
  </si>
  <si>
    <t>Proceedings - 30th International Conference on Software Maintenance and Evolution, ICSME 2014</t>
  </si>
  <si>
    <t>10.1109/ICSME.2014.48</t>
  </si>
  <si>
    <t>Proceedings - International Conference on Quality Software</t>
  </si>
  <si>
    <t>10.1109/QSIC.2014.31</t>
  </si>
  <si>
    <t>10.1016/j.jss.2018.09.016</t>
  </si>
  <si>
    <t>10.1145/2972958.2972966</t>
  </si>
  <si>
    <t>2015 IEEE 22nd International Conference on Software Analysis, Evolution, and Reengineering (SANER)</t>
  </si>
  <si>
    <t>https://doi.org/10.1109/SANER.2015.7081840</t>
  </si>
  <si>
    <t>IEEE International Working Conference on Mining Software Repositories</t>
  </si>
  <si>
    <t>10.1109/MSR.2012.6224278</t>
  </si>
  <si>
    <t>10.1016/j.jss.2015.02.018</t>
  </si>
  <si>
    <t>no</t>
  </si>
  <si>
    <t>10.1109/ESEM.2017.55</t>
  </si>
  <si>
    <t>10.1007/s10664-012-9214-z</t>
  </si>
  <si>
    <t>Iberian Conference on Information Systems and Technologies, CISTI</t>
  </si>
  <si>
    <t>10.23919/CISTI.2017.7975911</t>
  </si>
  <si>
    <t>Tool/Prediction Partial Matching (PPM) algorithm</t>
  </si>
  <si>
    <t>10.1007/978-3-319-92375-8</t>
  </si>
  <si>
    <t>Open Source Systems: Enterprise Software and Solutions</t>
  </si>
  <si>
    <t>Proceedings - Asia-Pacific Software Engineering Conference, APSEC</t>
  </si>
  <si>
    <t>10.1109/APSEC.2012.113</t>
  </si>
  <si>
    <t>https://doi.org/10.1016/j.jss.2019.03.010</t>
  </si>
  <si>
    <t>10.1016/j.compeleceng.2018.02.043</t>
  </si>
  <si>
    <t>10.1109/ICSM.2015.7332479</t>
  </si>
  <si>
    <t>ICSE '18: Proceedings of the 40th International Conference on Software Engineering</t>
  </si>
  <si>
    <t>https://doi.org/10.1145/3180155.3180193</t>
  </si>
  <si>
    <t>MSR '18: Proceedings of the 15th International Conference on Mining Software Repositories</t>
  </si>
  <si>
    <t>https://doi.org/10.1145/3196398.3196447</t>
  </si>
  <si>
    <t>10.1016/j.scico.2017.12.002</t>
  </si>
  <si>
    <t>2015 IEEE 22nd International Conference on Software Analysis, Evolution, and Reengineering, SANER 2015 - Proceedings</t>
  </si>
  <si>
    <t>10.1109/SANER.2015.7081864</t>
  </si>
  <si>
    <t>10.1145/2554850.2555030</t>
  </si>
  <si>
    <t>SAC '14: Proceedings of the 29th Annual ACM Symposium on Applied Computing</t>
  </si>
  <si>
    <t>Proceedings - 2017 IEEE International Conference on Software Maintenance and Evolution, ICSME 2017</t>
  </si>
  <si>
    <t>10.1109/ICSME.2017.8</t>
  </si>
  <si>
    <t>10.2312/vmv.20161343</t>
  </si>
  <si>
    <t>VMV 2016 - Vision, Modeling and Visualization</t>
  </si>
  <si>
    <t>10.1145/2627508.2627512</t>
  </si>
  <si>
    <t>EAST 2014: Proceedings of the 2014 3rd International Workshop on Evidential Assessment of Software Technologies</t>
  </si>
  <si>
    <t>10.1109/ICSE.2015.209</t>
  </si>
  <si>
    <t> 2015 IEEE/ACM 37th IEEE International Conference on Software Engineering</t>
  </si>
  <si>
    <t>KDD '12: Proceedings of the 18th ACM SIGKDD international conference on Knowledge discovery and data mining</t>
  </si>
  <si>
    <t>https://doi.org/10.1145/2339530.2339690</t>
  </si>
  <si>
    <t>10.1109/CBI.2017.62</t>
  </si>
  <si>
    <t>10.1145/3196398.3196404</t>
  </si>
  <si>
    <t>10.1145/3194932.3194936</t>
  </si>
  <si>
    <t>SEmotion '18: Proceedings of the 3rd International Workshop on Emotion Awareness in Software Engineering</t>
  </si>
  <si>
    <t>https://doi.org/10.1016/j.ins.2012.09.031</t>
  </si>
  <si>
    <t>10.1186/s13173-018-0079-x</t>
  </si>
  <si>
    <t>10.1109/SANER.2015.7081844</t>
  </si>
  <si>
    <t>10.1109/SANER.2018.8330205</t>
  </si>
  <si>
    <t>2018 IEEE 25th International Conference on Software Analysis, Evolution and Reengineering (SANER)</t>
  </si>
  <si>
    <t>10.1145/3194932.3194935</t>
  </si>
  <si>
    <t>10.1145/2591062.2591064</t>
  </si>
  <si>
    <t>ICSE Companion 2014: Companion Proceedings of the 36th International Conference on Software Engineering</t>
  </si>
  <si>
    <t>10.1007/978-3-642-30287-9_20</t>
  </si>
  <si>
    <t xml:space="preserve">Serial </t>
  </si>
  <si>
    <t>10.1145/2931021.2931023</t>
  </si>
  <si>
    <t>SOAP 2016: Proceedings of the 5th ACM SIGPLAN International Workshop on State Of the Art in Program Analysis</t>
  </si>
  <si>
    <t>10.1145/2803171</t>
  </si>
  <si>
    <t>ACM Transactions on Software Engineering and Methodology (TOSEM)</t>
  </si>
  <si>
    <t>https://doi.org/10.1109/ICODSE.2016.7936139</t>
  </si>
  <si>
    <t>2016 International Conference on Data and Software Engineering (ICoDSE)</t>
  </si>
  <si>
    <t>2013 First IEEE Working Conference on Software Visualization (VISSOFT)</t>
  </si>
  <si>
    <t>10.1109/VISSOFT.2013.6650522</t>
  </si>
  <si>
    <t>10.1109/MTD.2015.7332618</t>
  </si>
  <si>
    <t>2015 IEEE 7th International Workshop on Managing Technical Debt (MTD)</t>
  </si>
  <si>
    <t>10.5220/0005368603030310</t>
  </si>
  <si>
    <t>ICEIS 2015: Proceedings of the 17th International Conference on Enterprise Information Systems - Volume 2</t>
  </si>
  <si>
    <t>10.1109/VISSOFT.2018.00009</t>
  </si>
  <si>
    <t>2018 IEEE Working Conference on Software Visualization (VISSOFT)</t>
  </si>
  <si>
    <t>https://doi.org/10.1016/j.infsof.2018.01.005</t>
  </si>
  <si>
    <t>10.1016/j.infsof.2013.09.001</t>
  </si>
  <si>
    <t>10.1109/SOFTWAREMINING.2017.8100853</t>
  </si>
  <si>
    <t>Conference Proceedings SOFTWAREMINING 2017</t>
  </si>
  <si>
    <t>10.1109/EIT.2018.8500143</t>
  </si>
  <si>
    <t>2018 IEEE International Conference on Electro/Information Technology (EIT)</t>
  </si>
  <si>
    <t>https://doi.org/10.1109/SEAA.2018.00045</t>
  </si>
  <si>
    <t>2018 44th Euromicro Conference on Software Engineering and Advanced Applications</t>
  </si>
  <si>
    <t>International Conference on Agile Software Development</t>
  </si>
  <si>
    <t>https://doi.org/10.1007/978-3-319-14358-3_13</t>
  </si>
  <si>
    <t>10.1109/COMPSAC.2012.58</t>
  </si>
  <si>
    <t>2012 IEEE 36th Annual Computer Software and Applications Conference</t>
  </si>
  <si>
    <t>ESEC/FSE 2015: Proceedings of the 2015 10th Joint Meeting on Foundations of Software Engineering</t>
  </si>
  <si>
    <t>https://doi.org/10.1145/2786805.2786870</t>
  </si>
  <si>
    <t>10.1016/j.infsof.2014.05.017</t>
  </si>
  <si>
    <t>10.1016/j.jss.2013.11.1077</t>
  </si>
  <si>
    <t>10.1145/3196398.3196460</t>
  </si>
  <si>
    <t>10.1007/s10664-019-09695-9</t>
  </si>
  <si>
    <t> 2016 International Conference on Data Mining and Advanced Computing (SAPIENCE)</t>
  </si>
  <si>
    <t>10.1109/MSR.2017.8</t>
  </si>
  <si>
    <t>2017 IEEE/ACM 14th International Conference on Mining Software Repositories (MSR)</t>
  </si>
  <si>
    <t>10.1109/IWSC.2017.7880509</t>
  </si>
  <si>
    <t>2017 IEEE 11th International Workshop on Software Clones (IWSC)</t>
  </si>
  <si>
    <t>10.1007/s10664-013-9242-3</t>
  </si>
  <si>
    <t>10.1016/j.infsof.2016.12.001</t>
  </si>
  <si>
    <t>10.1145/2597073.2597081</t>
  </si>
  <si>
    <t>MSR 2014: Proceedings of the 11th Working Conference on Mining Software Repositories</t>
  </si>
  <si>
    <t>International Conference on Computational Science and Its Applications</t>
  </si>
  <si>
    <t>https://doi.org/10.1007/978-3-319-21413-9_4</t>
  </si>
  <si>
    <t>10.1007/s00779-013-0742-3</t>
  </si>
  <si>
    <t>10.1007/978-3-319-92997-2_14</t>
  </si>
  <si>
    <t>European Conference on Modelling Foundations and Applications</t>
  </si>
  <si>
    <t>10.1109/CHASE.2015.9</t>
  </si>
  <si>
    <t>2015 IEEE/ACM 8th International Workshop on Cooperative and Human Aspects of Software Engineering</t>
  </si>
  <si>
    <t>10.1016/j.infsof.2012.09.001</t>
  </si>
  <si>
    <t>MODELS '16: Proceedings of the ACM/IEEE 19th International Conference on Model Driven Engineering Languages and Systems</t>
  </si>
  <si>
    <t>https://doi.org/10.1145/2976767.2976778</t>
  </si>
  <si>
    <t>The impact of tangled code changes on defect prediction models</t>
  </si>
  <si>
    <t>10.1007/s10664-015-9376-6</t>
  </si>
  <si>
    <t>10.1007/978-3-319-98998-3_27</t>
  </si>
  <si>
    <t>Colombian Conference on Computing</t>
  </si>
  <si>
    <t>10.1109/ICSM.2012.6405278</t>
  </si>
  <si>
    <t>2012 28th IEEE International Conference on Software Maintenance (ICSM)</t>
  </si>
  <si>
    <t>10.1145/3180155.3180212</t>
  </si>
  <si>
    <t>10.1109/SANER.2015.7081810</t>
  </si>
  <si>
    <t>2015 IEEE 22nd International Conference on Software Analysis, Evolution and Reengineering (SANER)</t>
  </si>
  <si>
    <t>10.1109/ESEM.2017.56</t>
  </si>
  <si>
    <t>2017 ACM/IEEE International Symposium on Empirical Software Engineering and Measurement (ESEM)</t>
  </si>
  <si>
    <t>10.1109/AITest.2019.000-4</t>
  </si>
  <si>
    <t>2019 IEEE International Conference On Artificial Intelligence Testing (AITest)</t>
  </si>
  <si>
    <t>10.1109/QSIC.2014.30</t>
  </si>
  <si>
    <t>2014 14th International Conference on Quality Software</t>
  </si>
  <si>
    <t>10.1109/MSR.2017.19</t>
  </si>
  <si>
    <t>10.1109/WCRE.2013.6671310</t>
  </si>
  <si>
    <t>2013 20th Working Conference on Reverse Engineering (WCRE)</t>
  </si>
  <si>
    <t>https://doi.org/10.1016/j.infsof.2015.12.005</t>
  </si>
  <si>
    <t>10.1016/j.infsof.2018.03.010</t>
  </si>
  <si>
    <t>10.1109/IWESEP.2016.17</t>
  </si>
  <si>
    <t>2016 7th International Workshop on Empirical Software Engineering in Practice (IWESEP)</t>
  </si>
  <si>
    <t>10.1145/3297280.3297453</t>
  </si>
  <si>
    <t>SAC '19: Proceedings of the 34th ACM/SIGAPP Symposium on Applied Computing</t>
  </si>
  <si>
    <t>https://doi.org/10.1016/j.jss.2019.06.095</t>
  </si>
  <si>
    <t>2018 IEEE 42nd Annual Computer Software and Applications Conference (COMPSAC)</t>
  </si>
  <si>
    <t>10.1109/COMPSAC.2018.00031</t>
  </si>
  <si>
    <t>10.1007/s10664-016-9436-6</t>
  </si>
  <si>
    <t>10.1016/j.infsof.2017.06.005</t>
  </si>
  <si>
    <t>https://doi.org/10.1016/j.jss.2019.04.055</t>
  </si>
  <si>
    <t>10.1109/SANER.2015.7081846</t>
  </si>
  <si>
    <t>10.1002/smr.1840</t>
  </si>
  <si>
    <t>10.1109/SCAM.2018.00018</t>
  </si>
  <si>
    <t>2018 IEEE 18th International Working Conference on Source Code Analysis and Manipulation (SCAM)</t>
  </si>
  <si>
    <t>2017 IEEE/ACM 25th International Conference on Program Comprehension (ICPC)</t>
  </si>
  <si>
    <t>10.1109/ICPC.2017.12</t>
  </si>
  <si>
    <t>10.1109/ICSE.2015.73</t>
  </si>
  <si>
    <t>2015 IEEE/ACM 37th IEEE International Conference on Software Engineering</t>
  </si>
  <si>
    <t>10.1109/ICAECC.2018.8479462</t>
  </si>
  <si>
    <t>2018 Second International Conference on Advances in Electronics, Computers and Communications (ICAECC)</t>
  </si>
  <si>
    <t>10.1109/ISSRE.2016.38</t>
  </si>
  <si>
    <t>2016 IEEE 27th International Symposium on Software Reliability Engineering (ISSRE)</t>
  </si>
  <si>
    <t>https://doi.org/10.1002/smr.530</t>
  </si>
  <si>
    <t>10.1016/j.jss.2012.08.041</t>
  </si>
  <si>
    <t>10.1109/ICECCS.2016.032</t>
  </si>
  <si>
    <t>2016 21st International Conference on Engineering of Complex Computer Systems (ICECCS)</t>
  </si>
  <si>
    <t>https://doi.org/10.1016/j.jss.2013.08.030</t>
  </si>
  <si>
    <t>10.1145/2901739.2901751</t>
  </si>
  <si>
    <t>MSR '16: Proceedings of the 13th International Conference on Mining Software Repositories</t>
  </si>
  <si>
    <t>10.1145/2500727.2500748</t>
  </si>
  <si>
    <t>APSys '13: Proceedings of the 4th Asia-Pacific Workshop on Systems</t>
  </si>
  <si>
    <t>10.1002/smr.1842</t>
  </si>
  <si>
    <t>10.1145/2597008.2597798</t>
  </si>
  <si>
    <t>ICPC 2014: Proceedings of the 22nd International Conference on Program Comprehension</t>
  </si>
  <si>
    <t>2016 23rd Asia-Pacific Software Engineering Conference (APSEC)</t>
  </si>
  <si>
    <t>10.1109/APSEC.2016.028</t>
  </si>
  <si>
    <t>10.1109/ICSM.2015.7332457</t>
  </si>
  <si>
    <t>10.1145/3238147.3238169</t>
  </si>
  <si>
    <t>ASE 2018: Proceedings of the 33rd ACM/IEEE International Conference on Automated Software Engineering</t>
  </si>
  <si>
    <t>ASE 2016: Proceedings of the 31st IEEE/ACM International Conference on Automated Software Engineering</t>
  </si>
  <si>
    <t>10.1145/2970276.2970286</t>
  </si>
  <si>
    <t>10.1186/s40537-019-0201-8</t>
  </si>
  <si>
    <t>10.1016/j.jss.2019.01.057</t>
  </si>
  <si>
    <t>10.1145/2695664.2695929</t>
  </si>
  <si>
    <t>SAC '15: Proceedings of the 30th Annual ACM Symposium on Applied Computing</t>
  </si>
  <si>
    <t>10.1016/j.jss.2017.04.016</t>
  </si>
  <si>
    <t>10.1109/APSEC.2013.106</t>
  </si>
  <si>
    <t xml:space="preserve">APSEC '13: Proceedings of the 2013 20th Asia-Pacific Software Engineering Conference (APSEC) </t>
  </si>
  <si>
    <t>10.1145/3239235.3239245</t>
  </si>
  <si>
    <t>ESEM '18: Proceedings of the 12th ACM/IEEE International Symposium on Empirical Software Engineering and Measurement</t>
  </si>
  <si>
    <t>ISEC '15: Proceedings of the 8th India Software Engineering Conference</t>
  </si>
  <si>
    <t>10.1145/2723742.2723743</t>
  </si>
  <si>
    <t>10.1109/WCRE.2012.42</t>
  </si>
  <si>
    <t>WCRE '12: Proceedings of the 2012 19th Working Conference on Reverse Engineering</t>
  </si>
  <si>
    <t>10.1145/2970276.2975934</t>
  </si>
  <si>
    <t>10.1145/3178315.3178327</t>
  </si>
  <si>
    <t>ACM SIGSOFT Software Engineering Notes</t>
  </si>
  <si>
    <t>10.1109/ICISA.2013.6579457</t>
  </si>
  <si>
    <t>2013 International Conference on Information Science and Applications (ICISA)</t>
  </si>
  <si>
    <t>10.1109/ICISA.2013.6579464</t>
  </si>
  <si>
    <t>10.1145/3030207.3030213</t>
  </si>
  <si>
    <t>ICPE '17: Proceedings of the 8th ACM/SPEC on International Conference on Performance Engineering</t>
  </si>
  <si>
    <t>2017 32nd IEEE/ACM International Conference on Automated Software Engineering (ASE)</t>
  </si>
  <si>
    <t>10.1109/ASE.2017.8115665</t>
  </si>
  <si>
    <t>10.1145/3127005.3127016</t>
  </si>
  <si>
    <t>PROMISE: Proceedings of the 13th International Conference on Predictive Models and Data Analytics in Software Engineering</t>
  </si>
  <si>
    <t>10.1007/978-3-030-16142-2_17</t>
  </si>
  <si>
    <t>Pacific-Asia Conference on Knowledge Discovery and Data Mining</t>
  </si>
  <si>
    <t>10.1109/ICSE.2012.6227183</t>
  </si>
  <si>
    <t>012 34th International Conference on Software Engineering (ICSE)</t>
  </si>
  <si>
    <t>10.1016/j.comnet.2016.08.024</t>
  </si>
  <si>
    <t>10.1109/WAINA.2016.107</t>
  </si>
  <si>
    <t>2016 30th International Conference on Advanced Information Networking and Applications Workshops (WAINA)</t>
  </si>
  <si>
    <t>10.1109/TSE.2017.2664824</t>
  </si>
  <si>
    <t>10.1016/j.im.2016.09.005</t>
  </si>
  <si>
    <t>10.1016/j.jss.2017.11.024</t>
  </si>
  <si>
    <t>10.1109/ICSM.2012.6405306</t>
  </si>
  <si>
    <t>10.1109/SEAA.2018.00068</t>
  </si>
  <si>
    <t>2018 44th Euromicro Conference on Software Engineering and Advanced Applications (SEAA)</t>
  </si>
  <si>
    <t>10.1109/COMPSAC.2016.27</t>
  </si>
  <si>
    <t>2016 IEEE 40th Annual Computer Software and Applications Conference (COMPSAC)</t>
  </si>
  <si>
    <t>10.1109/SMC.2017.8122569</t>
  </si>
  <si>
    <t>2017 IEEE International Conference on Systems, Man, and Cybernetics (SMC)</t>
  </si>
  <si>
    <t>10.1109/FCST.2015.45</t>
  </si>
  <si>
    <t>2015 Ninth International Conference on Frontier of Computer Science and Technology</t>
  </si>
  <si>
    <t>10.1109/MSR.2017.46</t>
  </si>
  <si>
    <t>10.2478/fcds-201</t>
  </si>
  <si>
    <t>10.1007/s10664-014-9348-2</t>
  </si>
  <si>
    <t>10.1109/COMPSAC.2012.11</t>
  </si>
  <si>
    <t>10.1109/MAMI.2017.8307864</t>
  </si>
  <si>
    <t>2017 2nd International Conference on Man and Machine Interfacing (MAMI)</t>
  </si>
  <si>
    <t>10.1145/3034950.3034957</t>
  </si>
  <si>
    <t>ICMSS '17: Proceedings of the 2017 International Conference on Management Engineering, Software Engineering and Service Sciences</t>
  </si>
  <si>
    <t>10.1080/0144929X.2011.624634</t>
  </si>
  <si>
    <t>10.1109/FIE.2018.8659205</t>
  </si>
  <si>
    <t>2018 IEEE Frontiers in Education Conference (FIE)</t>
  </si>
  <si>
    <t>https://doi.org/10.1007/978-3-642-28872-2_21</t>
  </si>
  <si>
    <t>FASE'12: Proceedings of the 15th international conference on Fundamental Approaches to Software Engineering</t>
  </si>
  <si>
    <t>10.1109/TSE.2017.2693980</t>
  </si>
  <si>
    <t>10.1109/ASE.2017.8115666</t>
  </si>
  <si>
    <t>10.1080/14606925.2017.1352869</t>
  </si>
  <si>
    <t>10.1016/j.infsof.2019.01.008</t>
  </si>
  <si>
    <t>10.1109/ICSME.2016.39</t>
  </si>
  <si>
    <t>2016 IEEE International Conference on Software Maintenance and Evolution (ICSME)</t>
  </si>
  <si>
    <t>10.1145/2961111.2962607</t>
  </si>
  <si>
    <t>ESEM '16: Proceedings of the 10th ACM/IEEE International Symposium on Empirical Software Engineering and Measurement</t>
  </si>
  <si>
    <t>10.1109/SBES.2014.25</t>
  </si>
  <si>
    <t>ARES '14: Proceedings of the 2014 Ninth International Conference on Availability, Reliability and Security</t>
  </si>
  <si>
    <t>10.1145/2597073.2597086</t>
  </si>
  <si>
    <t>MSR 2014: Proceedings of the 11th Working Conference on Mining Software RepositoriesMay 2014 Pages 262–271</t>
  </si>
  <si>
    <t>ICSE 2014: Proceedings of the 36th International Conference on Software EngineeringMay 2014 Pages 803–813</t>
  </si>
  <si>
    <t>10.1145/2568225.2568317</t>
  </si>
  <si>
    <t>10.1016/j.jss.2017.11.039</t>
  </si>
  <si>
    <t>10.1109/BCD2018.2018.00028</t>
  </si>
  <si>
    <t>2018 IEEE International Conference on Big Data, Cloud Computing, Data Science &amp; Engineering (BCD)</t>
  </si>
  <si>
    <t>10.1145/3196398.3196453</t>
  </si>
  <si>
    <t>10.1145/3196398.3196403</t>
  </si>
  <si>
    <t>10.1145/2501543.2501547</t>
  </si>
  <si>
    <t>IWPSE 2013: Proceedings of the 2013 International Workshop on Principles of Software Evolution</t>
  </si>
  <si>
    <t>10.1016/j.jss.2017.10.032</t>
  </si>
  <si>
    <t>Journal of Systems and Software ACM</t>
  </si>
  <si>
    <t>10.1109/SANER.2015.7081847</t>
  </si>
  <si>
    <t>10.1145/2597073.2597113</t>
  </si>
  <si>
    <t>10.1109/TSE.2017.2752171</t>
  </si>
  <si>
    <t>10.1109/TSE.2017.2770122</t>
  </si>
  <si>
    <t>10.1109/QRS.2016.22</t>
  </si>
  <si>
    <t>10.1145/2897586.2897611</t>
  </si>
  <si>
    <t>CHASE '16: Proceedings of the 9th International Workshop on Cooperative and Human Aspects of Software Engineering</t>
  </si>
  <si>
    <t>10.1145/3274404</t>
  </si>
  <si>
    <t>10.1109/SCAM.2016.31</t>
  </si>
  <si>
    <t>2016 IEEE 16th International Working Conference on Source Code Analysis and Manipulation (SCAM)</t>
  </si>
  <si>
    <t>10.1016/j.infsof.2019.04.013</t>
  </si>
  <si>
    <t>ISEC '17: Proceedings of the 10th Innovations in Software Engineering Conference</t>
  </si>
  <si>
    <t>10.1145/3021460.3021471</t>
  </si>
  <si>
    <t>10.1109/AICAI.2019.8701295</t>
  </si>
  <si>
    <t>2019 Amity International Conference on Artificial Intelligence (AICAI)</t>
  </si>
  <si>
    <t>10.1109/MSR.2017.48</t>
  </si>
  <si>
    <t>10.1145/2786805.2803183</t>
  </si>
  <si>
    <t>10.1109/WAINA.2014.110</t>
  </si>
  <si>
    <t>WAINA '14: Proceedings of the 2014 28th International Conference on Advanced Information Networking and Applications Workshops</t>
  </si>
  <si>
    <t>10.1007/s11704-016-6301-0</t>
  </si>
  <si>
    <t>10.1155/2016/1479692</t>
  </si>
  <si>
    <t>10.1016/j.softx.2019.03.007</t>
  </si>
  <si>
    <t>10.1109/MAINT.2018.8323089</t>
  </si>
  <si>
    <t>2018 IEEE Workshop on Mining and Analyzing Interaction Histories (MAINT)</t>
  </si>
  <si>
    <t>10.1016/j.infsof.2013.12.003</t>
  </si>
  <si>
    <t>10.1145/2989238.2989244</t>
  </si>
  <si>
    <t>SWAN 2016: Proceedings of the 2nd International Workshop on Software Analytics</t>
  </si>
  <si>
    <t>https://doi.org/10.1007/978-3-319-26561-2_15</t>
  </si>
  <si>
    <t>10.1109/APSEC.2017.79</t>
  </si>
  <si>
    <t>2017 24th Asia-Pacific Software Engineering Conference (APSEC)</t>
  </si>
  <si>
    <t xml:space="preserve">Computational Science and Its Applications – ICCSA 2017 </t>
  </si>
  <si>
    <t>https://doi.org/10.1007/978-3-319-62404-4_39</t>
  </si>
  <si>
    <t>10.1016/j.infsof.2018.01.015</t>
  </si>
  <si>
    <t>10.1109/COMPSAC.2018.00018</t>
  </si>
  <si>
    <t>10.1109/MSR.2017.27</t>
  </si>
  <si>
    <t>10.1016/j.scico.2013.11.033</t>
  </si>
  <si>
    <t>10.1016/j.jss.2017.09.021</t>
  </si>
  <si>
    <t>https://doi.org/10.1007/978-3-319-46681-1_5</t>
  </si>
  <si>
    <t xml:space="preserve">Neural Information Processing </t>
  </si>
  <si>
    <t>EASE'18: Proceedings of the 22nd International Conference on Evaluation and Assessment in Software Engineering 2018</t>
  </si>
  <si>
    <t>10.1145/3210459.3210466</t>
  </si>
  <si>
    <t>10.1145/3127005.3127014</t>
  </si>
  <si>
    <t>10.1109/TSE.2017.2653105</t>
  </si>
  <si>
    <t>10.1109/IWSC.2019.8665851</t>
  </si>
  <si>
    <t>2019 IEEE 13th International Workshop on Software Clones (IWSC)</t>
  </si>
  <si>
    <t>10.1145/2993717.2993729</t>
  </si>
  <si>
    <t>Internetware '16: Proceedings of the 8th Asia-Pacific Symposium on Internetware</t>
  </si>
  <si>
    <t>https://doi.org/10.1109/APSEC.2013.133</t>
  </si>
  <si>
    <t>2013 20th Asia-Pacific Software Engineering Conference (APSEC)</t>
  </si>
  <si>
    <t>10.1145/3194932.3194941</t>
  </si>
  <si>
    <t>10.1145/2556420.2556483</t>
  </si>
  <si>
    <t>CSCW Companion '14: Proceedings of the companion publication of the 17th ACM conference on Computer supported cooperative work &amp; social computing</t>
  </si>
  <si>
    <t>10.1109/MS.2017.4541052</t>
  </si>
  <si>
    <t>10.18293/SEKE2017-062</t>
  </si>
  <si>
    <t>10.1109/COMPSAC.2017.79</t>
  </si>
  <si>
    <t>10.1109/MSR.2017.13</t>
  </si>
  <si>
    <t>10.1109/MSR.2013.6624029</t>
  </si>
  <si>
    <t>A1</t>
  </si>
  <si>
    <t xml:space="preserve">International Conference on Software Engineering and Knowledge Engineering </t>
  </si>
  <si>
    <t xml:space="preserve">A </t>
  </si>
  <si>
    <t>Proyect Features Info</t>
  </si>
  <si>
    <t>Age</t>
  </si>
  <si>
    <t>Size</t>
  </si>
  <si>
    <t>Owner</t>
  </si>
  <si>
    <t>Language Progamming</t>
  </si>
  <si>
    <t xml:space="preserve">Contributions </t>
  </si>
  <si>
    <t>Bugs</t>
  </si>
  <si>
    <t>Bugs Logs (Bug info)</t>
  </si>
  <si>
    <t>Fork</t>
  </si>
  <si>
    <t>Source Code</t>
  </si>
  <si>
    <t>Code Review</t>
  </si>
  <si>
    <t>Informal Information</t>
  </si>
  <si>
    <t>Commit data</t>
  </si>
  <si>
    <t>Logs</t>
  </si>
  <si>
    <t>Issue</t>
  </si>
  <si>
    <t>Issues Tracks</t>
  </si>
  <si>
    <t>Level of interest</t>
  </si>
  <si>
    <t>Repository info</t>
  </si>
  <si>
    <t>Repository Info</t>
  </si>
  <si>
    <t>Historical Code Repository</t>
  </si>
  <si>
    <t>Historical Data</t>
  </si>
  <si>
    <t>Data Set Repository</t>
  </si>
  <si>
    <t>Automatic processing</t>
  </si>
  <si>
    <t>Automatic generate commit message</t>
  </si>
  <si>
    <t>Branching Analysis</t>
  </si>
  <si>
    <t>Branch cohesion</t>
  </si>
  <si>
    <t>Changes Analysis</t>
  </si>
  <si>
    <t>Commits/Committers classification</t>
  </si>
  <si>
    <t>Classification commit message</t>
  </si>
  <si>
    <t>Cloning Detection</t>
  </si>
  <si>
    <t>Commit Analysis</t>
  </si>
  <si>
    <t>distracted commits</t>
  </si>
  <si>
    <t>Deffect/Issues Analysis</t>
  </si>
  <si>
    <t>Effort detect defects</t>
  </si>
  <si>
    <t>tool history driven repair technique</t>
  </si>
  <si>
    <t>Bad Smells Antipatterns</t>
  </si>
  <si>
    <t>Code Smells Types</t>
  </si>
  <si>
    <t>Developer behavior</t>
  </si>
  <si>
    <t>Developer code committers</t>
  </si>
  <si>
    <t>Developer code effort</t>
  </si>
  <si>
    <t>Design Modelling</t>
  </si>
  <si>
    <t>Maintenability Information</t>
  </si>
  <si>
    <t>Metrics/Quality</t>
  </si>
  <si>
    <t>Metrics Software Process</t>
  </si>
  <si>
    <t>Metrics fault prediction</t>
  </si>
  <si>
    <t>Source Code Improvements</t>
  </si>
  <si>
    <t>Annotation source code</t>
  </si>
  <si>
    <t>Testing Data</t>
  </si>
  <si>
    <t>Ad Hoc Algorithms</t>
  </si>
  <si>
    <t xml:space="preserve">RevFinder </t>
  </si>
  <si>
    <t>Prediction Partial Matching (PPM) algorithm</t>
  </si>
  <si>
    <t xml:space="preserve"> Gumtree algorithm</t>
  </si>
  <si>
    <t>Decision Tree</t>
  </si>
  <si>
    <t>C4.5</t>
  </si>
  <si>
    <t xml:space="preserve">Logistic Regression </t>
  </si>
  <si>
    <t xml:space="preserve"> k-Nearest Neighbor (k-NN)</t>
  </si>
  <si>
    <t>Support Vector Machine (SVM)</t>
  </si>
  <si>
    <t xml:space="preserve"> Least Squares Support Vector Machine (LSSVM) </t>
  </si>
  <si>
    <t>Automatic</t>
  </si>
  <si>
    <t xml:space="preserve">Automated analysis </t>
  </si>
  <si>
    <t>Artificial Intelligence / Machine Learning</t>
  </si>
  <si>
    <t>Convolutional Neural Network</t>
  </si>
  <si>
    <t>Naive Bayes-based approach</t>
  </si>
  <si>
    <t>semantics-based methodology</t>
  </si>
  <si>
    <t>Random Forest Classifier</t>
  </si>
  <si>
    <t>SGDClassifer</t>
  </si>
  <si>
    <t xml:space="preserve"> Hoeffding</t>
  </si>
  <si>
    <t>Machine Learning techniques</t>
  </si>
  <si>
    <t>Naive Bayes Classifier</t>
  </si>
  <si>
    <t>Gradient Boosting Machine</t>
  </si>
  <si>
    <t>Deep model structure</t>
  </si>
  <si>
    <t>Qualitative analyses</t>
  </si>
  <si>
    <t>Network analysis</t>
  </si>
  <si>
    <t>Survival Analysis</t>
  </si>
  <si>
    <t>Social Network Analysis (SNA)</t>
  </si>
  <si>
    <t>Model SETGA (Summarizing Evolutionary Trajectory by Grouping and Aggregation)</t>
  </si>
  <si>
    <t>Empirical/ Experimental</t>
  </si>
  <si>
    <t xml:space="preserve">Models regression </t>
  </si>
  <si>
    <t>Regression tree</t>
  </si>
  <si>
    <t>Multiple Linear Regression (MLR)</t>
  </si>
  <si>
    <t>Support Vector Regression (SVR)</t>
  </si>
  <si>
    <t>Statistical learner</t>
  </si>
  <si>
    <t>Random Forest</t>
  </si>
  <si>
    <t>Traceability analisis</t>
  </si>
  <si>
    <t>Testing-based techniques</t>
  </si>
  <si>
    <t>Canada / USA</t>
  </si>
  <si>
    <t>x</t>
  </si>
  <si>
    <t>Antipatterns</t>
  </si>
  <si>
    <t>Information</t>
  </si>
  <si>
    <t>RQ/AQ</t>
  </si>
  <si>
    <t>Belgium / Canada / Italy</t>
  </si>
  <si>
    <t>Australia/ Germany</t>
  </si>
  <si>
    <t>Australia/ New Zealand</t>
  </si>
  <si>
    <t>Canada / France</t>
  </si>
  <si>
    <t>Canada/France</t>
  </si>
  <si>
    <t>Papers Country</t>
  </si>
  <si>
    <t>Papers Country Unique</t>
  </si>
  <si>
    <t xml:space="preserve">Countrys </t>
  </si>
  <si>
    <t>Tool Visualization</t>
  </si>
  <si>
    <t>Tool Inspection</t>
  </si>
  <si>
    <t>Sentiments analysis tools</t>
  </si>
  <si>
    <t>Source code analysis tools</t>
  </si>
  <si>
    <t>Data analysis tool</t>
  </si>
  <si>
    <t>AQ1. Does the study follow a systematic method to obtain baseline information for code repository analysis?</t>
  </si>
  <si>
    <t>AQ2. Does the study present a result of code repository information analysis?</t>
  </si>
  <si>
    <t>AQ3. Does the study present a method, tool, or any other mechanism for code repository analysis?</t>
  </si>
  <si>
    <t>AQ4. Does the research show a solution to problems of software quality, development and evolution?</t>
  </si>
  <si>
    <t>AQ5. Does the research provide a method or technique that could be applied in other industrial environments?</t>
  </si>
  <si>
    <t>AQ6. Is the study cited by other authors?</t>
  </si>
  <si>
    <t>AQ7. Is the study published in a relevant journal or journal?</t>
  </si>
  <si>
    <t>Concern/Topic</t>
  </si>
  <si>
    <t>25, 9, 61, 65, 35, 45, 67, 73, 86, 24, 38, 80, 226, 28, 55, 7, 39, 70, 19, 236, 16, 23, 176, 230, 42, 52, 57, 31, 47, 69, 36, 40, 60, 64, 66, 68, 71, 72, 83, 84, 12, 18, 26, 37, 44, 54, 75, 76, 85, 22, 27, 29, 30, 32, 41, 48, 49, 51, 56, 63, 78, 167, 224, 8, 10, 11, 13, 14, 15, 17, 20, 21, 33, 34, 43, 46, 50, 53, 58, 59, 62, 74, 77, 79, 81, 82, 203, 228, 229, 235</t>
  </si>
  <si>
    <t>61, 232, 179, 191, 213, 190, 194, 218, 193, 195, 214, 220, 222, 182, 219, 221, 180, 181, 192, 215, 216, 217, 234</t>
  </si>
  <si>
    <t>196, 173, 201, 197, 200, 84, 178, 198, 202, 85, 195, 199, 167, 166, 225, 174, 175, 234, 229</t>
  </si>
  <si>
    <t>89, 159, 65, 87, 90, 157, 200, 64, 66, 198, 91, 199, 63, 158, 185, 88</t>
  </si>
  <si>
    <t>2, 186, 187, 165, 148, 188, 3, 1, 147, 149, 177, 185, 189</t>
  </si>
  <si>
    <t>80, 154, 150, 4, 6, 152, 5, 155, 151, 153, 81, 82, 233</t>
  </si>
  <si>
    <t>207, 173, 146, 206, 208, 209, 172, 225, 174, 175, 205, 210, 223</t>
  </si>
  <si>
    <t xml:space="preserve">86, 156, 204, 168, 170, 169, 171, 203, </t>
  </si>
  <si>
    <t>188, 177, 211, 212, 189, 223</t>
  </si>
  <si>
    <t>61, 86, 101, 100, 62, 189</t>
  </si>
  <si>
    <t>145, 6, 184, 144, 183</t>
  </si>
  <si>
    <t>201, 202</t>
  </si>
  <si>
    <t>Methods-Techniques</t>
  </si>
  <si>
    <t>Number of studies</t>
  </si>
  <si>
    <t>Percentage</t>
  </si>
  <si>
    <t>2, 186, 25, 165, 65, 138, 35, 139, 45, 196, 24, 120, 226, 28, 97, 113, 19, 23, 16, 154, 148, 179, 102, 101, 121, 213, 52, 57, 42, 31, 197, 194, 36, 60, 114, 107, 163, 66, 68, 64, 202, 147, 83, 143, 184, 193, 18, 26, 44, 91, 5, 222, 111, 220, 177, 161, 206, 209, 211, 100, 22, 27, 48, 225, 32, 56, 30, 63, 74, 46, 227, 43, 59, 229, 233, 8, 62, 34, 77, 128, 17, 151, 185, 212, 118, 169, 192, 215, 216, 189, 223, 235, 88</t>
  </si>
  <si>
    <t>159, 67, 55, 176, 90, 230, 96, 109, 71, 116, 131, 54, 75, 76, 85, 208, 51, 78, 99, 168, 219, 14, 105, 153, 171, 174, 181, 81, 82</t>
  </si>
  <si>
    <t>130, 87, 127, 207, 80, 106, 70, 122, 150, 3, 157, 69, 4, 126, 178, 1, 214, 49, 166, 182, 108, 50, 53, 33, 158, 142, 175, 205, 203</t>
  </si>
  <si>
    <t>9, 89, 86, 38, 232, 39, 236, 201, 136, 6, 112, 37, 12, 199, 204, 98, 167, 94, 21, 58, 228, 210, 217, 234</t>
  </si>
  <si>
    <t>61, 187, 103, 173, 104, 188, 140, 162, 47, 149, 115, 129, 146, 72, 195, 41, 63, 166, 29, 92, 183, 20, 137</t>
  </si>
  <si>
    <t>145, 7, 95, 157, 200, 152, 231, 132, 164, 221, 15, 110, 53, 141, 217</t>
  </si>
  <si>
    <t>127, 191, 218, 144, 160, 224, 13, 158, 125</t>
  </si>
  <si>
    <t>134, 157, 190, 198, 214, 10, 53, 203</t>
  </si>
  <si>
    <t>73, 133, 84, 155, 11, 180</t>
  </si>
  <si>
    <t>156, 123, 124, 93, 119, 172</t>
  </si>
  <si>
    <t>40, 135, 117, 79</t>
  </si>
  <si>
    <t>Tools maintance</t>
  </si>
  <si>
    <t>186, 61, 130, 89, 65, 196, 127, 38, 120, 232, 55, 39, 191, 101, 121, 230, 52, 190, 69, 36, 60, 163, 200, 40, 71, 66, 116, 64, 147, 1, 26, 5, 222, 220, 177, 161, 211, 208, 37, 231, 160, 204, 48, 56, 30, 99, 92, 221, 43, 11, 233, 8, 77, 13, 21, 17, 151, 175, 169, 181, 192, 215, 216, 189, 234</t>
  </si>
  <si>
    <t>187, 138, 67, 45, 70, 179, 102, 104, 3, 42, 31, 194, 162, 136, 114, 107, 184, 4, 124, 195, 32, 155, 51, 63, 59, 108, 229, 33, 118, 171, 174, 180, 223, 235, 217</t>
  </si>
  <si>
    <t>80, 145, 23, 90, 131, 115, 84, 198, 91, 199, 78, 170, 166, 29, 168, 164, 74, 58, 128, 105, 228, 153, 185, 79</t>
  </si>
  <si>
    <t>207, 97, 113, 134, 16, 150, 197, 84, 198, 44, 12, 27, 119, 41, 167, 224, 15, 10, 34, 205, 203</t>
  </si>
  <si>
    <t>2, 25, 9, 165, 67, 73, 19, 102, 95, 133, 202, 72, 18, 54, 49, 63, 164, 110, 212, 125, 141</t>
  </si>
  <si>
    <t>87, 176, 157, 96, 6, 146, 126, 178, 111, 209, 98, 182, 46, 50, 20, 142, 210</t>
  </si>
  <si>
    <t>159, 35, 236, 188, 149, 112, 85, 144, 22, 94, 227, 81, 82</t>
  </si>
  <si>
    <t>226, 28, 106, 7, 57, 68, 83, 143, 76, 168, 62</t>
  </si>
  <si>
    <t>86, 103, 148, 213, 218, 193, 129, 206, 100, 88</t>
  </si>
  <si>
    <t>24, 122, 47, 123, 214, 219, 137, 53, 14</t>
  </si>
  <si>
    <t>173, 109, 126, 172, 183, 158, 117</t>
  </si>
  <si>
    <t>139, 201, 225, 166, 132</t>
  </si>
  <si>
    <t>24, 140, 152, 75, 156</t>
  </si>
  <si>
    <t>154, 93, 135</t>
  </si>
  <si>
    <t>Study</t>
  </si>
  <si>
    <t># Citations</t>
  </si>
  <si>
    <t>130, 165, 159, 138, 67, 139, 73, 103, 127, 80, 120, 226, 97, 106, 70, 113, 122, 134, 154, 173, 176, 148, 95, 104, 150, 101, 121, 157, 230, 96, 69, 133, 136, 140, 162, 107, 114, 163, 68, 71, 72, 83, 84, 109, 112, 115, 116, 126, 129, 131, 143, 146, 147, 149, 152, 178, 75, 76, 85, 93, 98, 111, 123, 124, 156, 160, 161, 177, 78, 92, 94, 99, 100, 119, 132, 135, 155, 164, 166, 167, 168, 170, 172, 225, 62, 74, 77, 79, 81, 82, 105, 108, 110, 117, 118, 125, 128, 137, 141, 142, 151, 153, 158, 169, 171, 174, 175, 185, 189, 203, 223, 227, 229, 233, 235</t>
  </si>
  <si>
    <t>165, 154, 102, 162, 163, 83, 160, 161, 155, 164, 153, 233</t>
  </si>
  <si>
    <t>62, 67, 68, 69, 70, 71, 72, 73, 74, 75, 76, 77, 78, 79, 80, 81, 82, 83, 84, 85, 92, 93, 94, 95, 96, 97, 98, 99, 100, 101, 103, 104, 105, 106, 107, 108, 109, 110, 111, 112, 113, 114, 115, 116, 117, 118, 119, 120, 121, 122, 123, 124, 125, 126, 127, 128, 129, 130, 131, 132, 133, 134, 135, 136, 137, 138, 139, 140, 141, 142, 143, 146, 147, 148, 149, 150, 151, 152, 153, 154, 155, 156, 157, 158, 159, 160, 161, 162, 163, 164, 165, 166, 167, 168, 169, 170, 171, 172, 173, 174, 175, 176, 177, 178, 185, 189, 203, 223, 225, 226, 227, 229, 230, 233, 235</t>
  </si>
  <si>
    <t>7, 8, 9, 10, 11, 12, 13, 14, 15, 16, 17, 18, 19, 20, 21, 22, 23, 24, 25, 26, 27, 28, 29, 30, 31, 32, 33, 34, 35, 36, 37, 38, 39, 40, 41, 42, 43, 44, 45, 46, 47, 48, 49, 50, 51, 52, 53, 54, 55, 56, 57, 58, 59, 60, 61, 62, 63, 64, 65, 66, 67, 68, 69, 70, 71, 72, 73, 74, 75, 76, 77, 78, 79, 80, 81, 82, 83, 84, 85, 86, 167, 176, 203, 224, 226, 228, 229, 230, 235, 236</t>
  </si>
  <si>
    <t>61, 179, 180, 181, 182, 190, 191, 192, 193, 194, 195, 213, 214, 215, 216, 217, 218, 219, 220, 221, 222, 232, 234</t>
  </si>
  <si>
    <t>84, 85, 166, 167, 173, 174, 175, 178, 195, 196, 197, 198, 199, 200, 201, 202, 225, 229, 234</t>
  </si>
  <si>
    <t>63, 64, 65, 66, 87, 88, 89, 90, 91, 157, 158, 159, 185, 198, 199, 200</t>
  </si>
  <si>
    <t>1, 2, 3, 147, 148, 149, 165, 177, 185, 186, 187, 188, 189</t>
  </si>
  <si>
    <t>4, 5, 6, 80, 81, 82, 150, 151, 152, 153, 154, 155, 233</t>
  </si>
  <si>
    <t>146, 172, 173, 174, 175, 205, 206, 207, 208, 209, 210, 223, 225</t>
  </si>
  <si>
    <t>83, 102, 153, 154, 155, 160, 161, 162, 163, 164, 165, 233</t>
  </si>
  <si>
    <t>86, 156, 168, 169, 170, 171, 203, 204</t>
  </si>
  <si>
    <t>177, 188, 189, 211, 212, 223</t>
  </si>
  <si>
    <t>61,  62,  86,  100,  101,  189</t>
  </si>
  <si>
    <t>6,  144,  145,  183,  184</t>
  </si>
  <si>
    <t>Order</t>
  </si>
  <si>
    <t>2, 5, 8, 16, 17, 18, 19, 22, 23, 24, 25, 26, 27, 28, 30, 31, 32, 34, 35, 36, 42, 43, 44, 45, 46, 48, 52, 56, 57, 59, 60, 62, 63, 64, 65, 66, 68, 74, 77, 83, 88, 91, 97, 100, 101, 102, 107, 111, 113, 114, 118, 120, 121, 128, 138, 139, 143, 147, 148, 151, 154, 161, 163, 165, 169, 177, 179, 184, 185, 186, 189, 192, 193, 194, 196, 197, 202, 206, 209, 211, 212, 213, 215, 216, 220, 222, 223, 225, 226, 227, 229, 233, 235</t>
  </si>
  <si>
    <t>14, 51, 54, 55, 67, 71, 75, 76, 78, 81, 82, 85, 90, 96, 99, 105, 109, 116, 131, 153, 159, 168, 171, 174, 176, 181, 208, 219, 230</t>
  </si>
  <si>
    <t>1, 3, 4, 33, 49, 50, 53, 69, 70, 80, 87, 106, 108, 122, 126, 127, 130, 142, 150, 157, 158, 166, 175, 178, 182, 203, 205, 207, 214</t>
  </si>
  <si>
    <t>6, 9, 12, 21, 37, 38, 39, 58, 86, 89, 94, 98, 112, 136, 167, 199, 201, 204, 210, 217, 228, 232, 234, 236</t>
  </si>
  <si>
    <t>20, 29, 41, 47, 61, 63, 72, 92, 103, 104, 115, 129, 137, 140, 146, 149, 162, 166, 173, 183, 187, 188, 195</t>
  </si>
  <si>
    <t>7, 15, 53, 95, 110, 132, 141, 145, 152, 157, 164, 200, 217, 221, 231</t>
  </si>
  <si>
    <t>13, 125, 127, 144, 158, 160, 191, 218, 224</t>
  </si>
  <si>
    <t>10, 53, 134, 157, 190, 198, 203, 214</t>
  </si>
  <si>
    <t>11, 73, 84, 133, 155, 180</t>
  </si>
  <si>
    <t>93, 119, 123, 124, 156, 172</t>
  </si>
  <si>
    <t>40, 79, 117, 135</t>
  </si>
  <si>
    <t># studies</t>
  </si>
  <si>
    <t>3, 205</t>
  </si>
  <si>
    <t>49, 50, 157, 175</t>
  </si>
  <si>
    <t>126, 130, 178</t>
  </si>
  <si>
    <t>Deep model structur(convolutional Neural Network)</t>
  </si>
  <si>
    <t>214, 203</t>
  </si>
  <si>
    <t>33, 207</t>
  </si>
  <si>
    <t>4, 70</t>
  </si>
  <si>
    <t>122, 166</t>
  </si>
  <si>
    <t>87, 106</t>
  </si>
  <si>
    <t>Deep model structure(convolutional Neural Network)</t>
  </si>
  <si>
    <t>%</t>
  </si>
  <si>
    <t>1, 5, 8, 11, 13, 17, 21, 26, 30, 36, 37, 38, 39, 40, 43, 48, 52, 55, 56, 60, 61, 64, 65, 66, 69, 71, 77, 89, 92, 99, 101, 116, 120, 121, 127, 130, 147, 151, 160, 161, 163, 169, 175, 177, 181, 186, 189, 190, 191, 192, 196, 200, 204, 208, 211, 215, 216, 220, 221, 222, 230, 231, 232, 233, 234</t>
  </si>
  <si>
    <t>3, 4, 31, 32, 33, 42, 45, 51, 59, 63, 67, 70, 102, 104, 107, 108, 114, 118, 124, 136, 138, 155, 162, 171, 174, 179, 180, 184, 187, 194, 195, 217, 223, 229, 235</t>
  </si>
  <si>
    <t>23, 29, 58, 74, 78, 79, 80, 84, 90, 91, 105, 115, 128, 131, 145, 153, 164, 166, 168, 170, 185, 198, 199, 228</t>
  </si>
  <si>
    <t>10, 12, 15, 16, 27, 34, 41, 44, 84, 97, 113, 119, 134, 150, 167, 197, 198, 203, 205, 207, 224</t>
  </si>
  <si>
    <t>2, 9, 18, 19, 25, 49, 54, 63, 67, 72, 73, 95, 102, 110, 125, 133, 141, 164, 165, 202, 212</t>
  </si>
  <si>
    <t>6, 91056910569106</t>
  </si>
  <si>
    <t>6, 20, 46, 50, 87, 96, 98, 111, 126, 142, 146, 157, 176, 178, 182, 209, 210</t>
  </si>
  <si>
    <t>22, 35, 81, 82, 85, 94, 112, 144, 149, 159, 188, 227, 236</t>
  </si>
  <si>
    <t>7, 28, 57, 62, 68, 76, 83, 106, 143, 168, 226</t>
  </si>
  <si>
    <t>86, 88, 100, 103, 129, 148, 193, 206, 213, 218</t>
  </si>
  <si>
    <t>14, 24, 47, 53, 122, 123, 137, 214, 219</t>
  </si>
  <si>
    <t>109, 117, 126, 158, 172, 173, 183</t>
  </si>
  <si>
    <t>132, 139, 166, 201, 225</t>
  </si>
  <si>
    <t>24, 75, 140, 152, 156</t>
  </si>
  <si>
    <t>93, 135, 154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</si>
</sst>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
  </numFmts>
  <fonts count="25"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b/>
      <sz val="11"/>
      <name val="Calibri"/>
      <family val="2"/>
      <scheme val="minor"/>
    </font>
    <font>
      <sz val="11"/>
      <name val="Calibri"/>
      <family val="2"/>
      <scheme val="minor"/>
    </font>
    <font>
      <u/>
      <sz val="11"/>
      <color theme="10"/>
      <name val="Calibri"/>
      <family val="2"/>
      <scheme val="minor"/>
    </font>
    <font>
      <b/>
      <sz val="11"/>
      <color theme="0"/>
      <name val="Calibri"/>
      <family val="2"/>
      <scheme val="minor"/>
    </font>
    <font>
      <sz val="11"/>
      <color theme="1"/>
      <name val="Times New Roman"/>
      <family val="1"/>
    </font>
    <font>
      <sz val="10"/>
      <color theme="1"/>
      <name val="Times New Roman"/>
      <family val="1"/>
    </font>
    <font>
      <sz val="10"/>
      <color theme="1"/>
      <name val="Arial"/>
      <family val="2"/>
    </font>
    <font>
      <sz val="8"/>
      <color theme="1"/>
      <name val="Times New Roman"/>
      <family val="1"/>
    </font>
    <font>
      <sz val="8"/>
      <color theme="1"/>
      <name val="Calibri"/>
      <family val="2"/>
      <scheme val="minor"/>
    </font>
    <font>
      <sz val="10"/>
      <color theme="1"/>
      <name val="Calibri"/>
      <family val="2"/>
      <scheme val="minor"/>
    </font>
    <font>
      <u/>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
      <b/>
      <sz val="16"/>
      <color theme="0"/>
      <name val="Calibri"/>
      <family val="2"/>
      <scheme val="minor"/>
    </font>
    <font>
      <sz val="12"/>
      <color theme="1"/>
      <name val="Calibri"/>
      <family val="2"/>
      <scheme val="minor"/>
    </font>
    <font>
      <sz val="8"/>
      <name val="Calibri"/>
      <family val="2"/>
      <scheme val="minor"/>
    </font>
    <font>
      <b/>
      <sz val="10"/>
      <color theme="1"/>
      <name val="Times New Roman"/>
      <family val="1"/>
    </font>
    <font>
      <b/>
      <sz val="11"/>
      <color rgb="FF201F1E"/>
      <name val="Times New Roman"/>
      <family val="1"/>
    </font>
    <font>
      <b/>
      <sz val="11"/>
      <color theme="1"/>
      <name val="Times New Roman"/>
      <family val="1"/>
    </font>
    <font>
      <sz val="12"/>
      <color theme="1"/>
      <name val="Times New Roman"/>
      <family val="1"/>
    </font>
  </fonts>
  <fills count="32">
    <fill>
      <patternFill patternType="none"/>
    </fill>
    <fill>
      <patternFill patternType="gray125"/>
    </fill>
    <fill>
      <patternFill patternType="solid">
        <fgColor rgb="FFFFFF00"/>
        <bgColor indexed="64"/>
      </patternFill>
    </fill>
    <fill>
      <patternFill patternType="solid">
        <fgColor theme="9"/>
        <bgColor theme="9"/>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4"/>
        <bgColor theme="4"/>
      </patternFill>
    </fill>
    <fill>
      <patternFill patternType="solid">
        <fgColor rgb="FF7030A0"/>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FF00"/>
        <bgColor theme="4"/>
      </patternFill>
    </fill>
    <fill>
      <patternFill patternType="solid">
        <fgColor rgb="FFFFFF00"/>
        <bgColor theme="4" tint="0.79998168889431442"/>
      </patternFill>
    </fill>
    <fill>
      <patternFill patternType="solid">
        <fgColor theme="4" tint="0.39997558519241921"/>
        <bgColor theme="4"/>
      </patternFill>
    </fill>
    <fill>
      <patternFill patternType="solid">
        <fgColor theme="4" tint="0.39997558519241921"/>
        <bgColor theme="4" tint="0.79998168889431442"/>
      </patternFill>
    </fill>
    <fill>
      <patternFill patternType="solid">
        <fgColor theme="5" tint="0.39997558519241921"/>
        <bgColor theme="4"/>
      </patternFill>
    </fill>
    <fill>
      <patternFill patternType="solid">
        <fgColor theme="5" tint="0.39997558519241921"/>
        <bgColor theme="4" tint="0.79998168889431442"/>
      </patternFill>
    </fill>
    <fill>
      <patternFill patternType="solid">
        <fgColor theme="9" tint="0.39997558519241921"/>
        <bgColor theme="4" tint="0.79998168889431442"/>
      </patternFill>
    </fill>
    <fill>
      <patternFill patternType="solid">
        <fgColor theme="4" tint="0.59999389629810485"/>
        <bgColor theme="4" tint="0.79998168889431442"/>
      </patternFill>
    </fill>
    <fill>
      <patternFill patternType="solid">
        <fgColor theme="6" tint="-0.499984740745262"/>
        <bgColor theme="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7" tint="0.39997558519241921"/>
        <bgColor indexed="64"/>
      </patternFill>
    </fill>
  </fills>
  <borders count="22">
    <border>
      <left/>
      <right/>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top style="thin">
        <color theme="4" tint="0.39997558519241921"/>
      </top>
      <bottom/>
      <diagonal/>
    </border>
    <border>
      <left/>
      <right style="medium">
        <color indexed="64"/>
      </right>
      <top/>
      <bottom/>
      <diagonal/>
    </border>
    <border>
      <left/>
      <right/>
      <top style="thin">
        <color theme="4" tint="0.39997558519241921"/>
      </top>
      <bottom style="thin">
        <color theme="4" tint="0.39997558519241921"/>
      </bottom>
      <diagonal/>
    </border>
    <border>
      <left style="thin">
        <color theme="4" tint="0.39997558519241921"/>
      </left>
      <right/>
      <top/>
      <bottom/>
      <diagonal/>
    </border>
    <border>
      <left style="thin">
        <color theme="4" tint="0.39997558519241921"/>
      </left>
      <right style="thin">
        <color theme="4" tint="0.39997558519241921"/>
      </right>
      <top/>
      <bottom/>
      <diagonal/>
    </border>
    <border>
      <left/>
      <right/>
      <top style="thin">
        <color theme="4" tint="0.39997558519241921"/>
      </top>
      <bottom/>
      <diagonal/>
    </border>
    <border>
      <left/>
      <right/>
      <top/>
      <bottom style="thin">
        <color theme="4" tint="0.39997558519241921"/>
      </bottom>
      <diagonal/>
    </border>
    <border>
      <left style="thin">
        <color theme="4"/>
      </left>
      <right style="thin">
        <color theme="4"/>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top style="thin">
        <color indexed="64"/>
      </top>
      <bottom style="thin">
        <color theme="4" tint="0.39997558519241921"/>
      </bottom>
      <diagonal/>
    </border>
    <border>
      <left/>
      <right/>
      <top style="thin">
        <color indexed="64"/>
      </top>
      <bottom style="thin">
        <color theme="4" tint="0.39997558519241921"/>
      </bottom>
      <diagonal/>
    </border>
    <border>
      <left/>
      <right style="thin">
        <color theme="4" tint="0.39997558519241921"/>
      </right>
      <top style="thin">
        <color indexed="64"/>
      </top>
      <bottom style="thin">
        <color theme="4" tint="0.39997558519241921"/>
      </bottom>
      <diagonal/>
    </border>
    <border>
      <left style="thin">
        <color indexed="64"/>
      </left>
      <right style="thin">
        <color indexed="64"/>
      </right>
      <top/>
      <bottom style="thin">
        <color indexed="64"/>
      </bottom>
      <diagonal/>
    </border>
    <border>
      <left/>
      <right style="thin">
        <color indexed="64"/>
      </right>
      <top style="thin">
        <color indexed="64"/>
      </top>
      <bottom style="thin">
        <color theme="4" tint="0.39997558519241921"/>
      </bottom>
      <diagonal/>
    </border>
    <border>
      <left style="thin">
        <color indexed="64"/>
      </left>
      <right style="thin">
        <color indexed="64"/>
      </right>
      <top/>
      <bottom/>
      <diagonal/>
    </border>
  </borders>
  <cellStyleXfs count="3">
    <xf numFmtId="0" fontId="0" fillId="0" borderId="0"/>
    <xf numFmtId="9" fontId="2" fillId="0" borderId="0" applyFont="0" applyFill="0" applyBorder="0" applyAlignment="0" applyProtection="0"/>
    <xf numFmtId="0" fontId="6" fillId="0" borderId="0" applyNumberFormat="0" applyFill="0" applyBorder="0" applyAlignment="0" applyProtection="0"/>
  </cellStyleXfs>
  <cellXfs count="180">
    <xf numFmtId="0" fontId="0" fillId="0" borderId="0" xfId="0"/>
    <xf numFmtId="0" fontId="1" fillId="0" borderId="0" xfId="0" applyFont="1"/>
    <xf numFmtId="9" fontId="0" fillId="0" borderId="0" xfId="1" applyFont="1"/>
    <xf numFmtId="0" fontId="0" fillId="0" borderId="0" xfId="0" applyAlignment="1">
      <alignment horizontal="center" vertical="center"/>
    </xf>
    <xf numFmtId="0" fontId="1" fillId="0" borderId="0" xfId="0" applyFont="1" applyAlignment="1">
      <alignment wrapText="1"/>
    </xf>
    <xf numFmtId="0" fontId="0" fillId="0" borderId="0" xfId="0" applyAlignment="1">
      <alignment wrapText="1"/>
    </xf>
    <xf numFmtId="2" fontId="0" fillId="0" borderId="0" xfId="0" applyNumberFormat="1"/>
    <xf numFmtId="164" fontId="0" fillId="0" borderId="0" xfId="0" applyNumberFormat="1"/>
    <xf numFmtId="0" fontId="0" fillId="4" borderId="0" xfId="0" applyFill="1"/>
    <xf numFmtId="0" fontId="0" fillId="0" borderId="0" xfId="0" applyFill="1"/>
    <xf numFmtId="0" fontId="0" fillId="0" borderId="0" xfId="0" applyFont="1"/>
    <xf numFmtId="0" fontId="0" fillId="0" borderId="0" xfId="0"/>
    <xf numFmtId="0" fontId="1" fillId="0" borderId="0" xfId="0" applyFont="1"/>
    <xf numFmtId="0" fontId="0" fillId="2" borderId="0" xfId="0" applyFill="1"/>
    <xf numFmtId="0" fontId="6" fillId="0" borderId="0" xfId="2"/>
    <xf numFmtId="0" fontId="0" fillId="5" borderId="2" xfId="0" applyFont="1" applyFill="1" applyBorder="1"/>
    <xf numFmtId="0" fontId="0" fillId="5" borderId="3" xfId="0" applyFont="1" applyFill="1" applyBorder="1"/>
    <xf numFmtId="0" fontId="0" fillId="0" borderId="3" xfId="0" applyFont="1" applyBorder="1"/>
    <xf numFmtId="0" fontId="0" fillId="0" borderId="0" xfId="0" applyProtection="1">
      <protection locked="0"/>
    </xf>
    <xf numFmtId="0" fontId="1" fillId="5" borderId="4" xfId="0" applyFont="1" applyFill="1" applyBorder="1"/>
    <xf numFmtId="0" fontId="1" fillId="0" borderId="4" xfId="0" applyFont="1" applyBorder="1"/>
    <xf numFmtId="0" fontId="9" fillId="0" borderId="0" xfId="0" applyFont="1" applyAlignment="1">
      <alignment vertical="center"/>
    </xf>
    <xf numFmtId="0" fontId="10" fillId="0" borderId="5" xfId="0" applyFont="1" applyBorder="1" applyAlignment="1">
      <alignment vertical="center" wrapText="1"/>
    </xf>
    <xf numFmtId="0" fontId="10" fillId="0" borderId="0" xfId="0" applyFont="1" applyBorder="1" applyAlignment="1">
      <alignment vertical="center" wrapText="1"/>
    </xf>
    <xf numFmtId="0" fontId="9" fillId="0" borderId="5" xfId="0" applyFont="1" applyBorder="1" applyAlignment="1">
      <alignment vertical="center" wrapText="1"/>
    </xf>
    <xf numFmtId="0" fontId="1" fillId="5" borderId="5" xfId="0" applyFont="1" applyFill="1" applyBorder="1"/>
    <xf numFmtId="0" fontId="0" fillId="0" borderId="0" xfId="0"/>
    <xf numFmtId="0" fontId="8" fillId="0" borderId="5" xfId="0" applyFont="1" applyBorder="1"/>
    <xf numFmtId="0" fontId="7" fillId="3" borderId="0" xfId="0" applyFont="1" applyFill="1"/>
    <xf numFmtId="0" fontId="0" fillId="0" borderId="5" xfId="0" applyBorder="1"/>
    <xf numFmtId="0" fontId="9" fillId="0" borderId="0" xfId="0" applyFont="1" applyBorder="1" applyAlignment="1">
      <alignment vertical="center" wrapText="1"/>
    </xf>
    <xf numFmtId="0" fontId="0" fillId="0" borderId="0" xfId="0" applyBorder="1"/>
    <xf numFmtId="0" fontId="1" fillId="5" borderId="4" xfId="0" applyFont="1" applyFill="1" applyBorder="1" applyAlignment="1">
      <alignment wrapText="1"/>
    </xf>
    <xf numFmtId="0" fontId="0" fillId="0" borderId="4" xfId="0" applyBorder="1"/>
    <xf numFmtId="0" fontId="1" fillId="0" borderId="0" xfId="0" applyFont="1" applyBorder="1"/>
    <xf numFmtId="0" fontId="1" fillId="5" borderId="0" xfId="0" applyFont="1" applyFill="1" applyBorder="1"/>
    <xf numFmtId="0" fontId="1" fillId="0" borderId="5" xfId="0" applyFont="1" applyBorder="1"/>
    <xf numFmtId="0" fontId="0" fillId="2" borderId="0" xfId="0" applyFill="1" applyProtection="1">
      <protection locked="0"/>
    </xf>
    <xf numFmtId="0" fontId="1" fillId="5" borderId="0" xfId="0" applyFont="1" applyFill="1" applyBorder="1" applyAlignment="1">
      <alignment wrapText="1"/>
    </xf>
    <xf numFmtId="0" fontId="3" fillId="0" borderId="0" xfId="0" applyFont="1"/>
    <xf numFmtId="0" fontId="1" fillId="0" borderId="0" xfId="0" applyFont="1" applyFill="1" applyBorder="1"/>
    <xf numFmtId="0" fontId="9" fillId="0" borderId="0" xfId="0" applyFont="1" applyFill="1" applyBorder="1" applyAlignment="1">
      <alignment vertical="center" wrapText="1"/>
    </xf>
    <xf numFmtId="0" fontId="9" fillId="0" borderId="4" xfId="0" applyFont="1" applyBorder="1" applyAlignment="1">
      <alignment vertical="center" wrapText="1"/>
    </xf>
    <xf numFmtId="0" fontId="1" fillId="0" borderId="4" xfId="0" applyFont="1" applyFill="1" applyBorder="1"/>
    <xf numFmtId="0" fontId="0" fillId="6" borderId="0" xfId="0" applyFill="1"/>
    <xf numFmtId="0" fontId="0" fillId="6" borderId="0" xfId="0" applyFill="1" applyProtection="1">
      <protection locked="0"/>
    </xf>
    <xf numFmtId="0" fontId="0" fillId="8" borderId="0" xfId="0" applyFill="1"/>
    <xf numFmtId="0" fontId="0" fillId="9" borderId="0" xfId="0" applyFill="1"/>
    <xf numFmtId="0" fontId="1" fillId="0" borderId="0" xfId="0" applyFont="1" applyBorder="1" applyAlignment="1">
      <alignment wrapText="1"/>
    </xf>
    <xf numFmtId="0" fontId="3" fillId="9" borderId="0" xfId="0" applyFont="1" applyFill="1"/>
    <xf numFmtId="0" fontId="9" fillId="0" borderId="0" xfId="0" applyFont="1" applyBorder="1"/>
    <xf numFmtId="0" fontId="0" fillId="5" borderId="6" xfId="0" applyFont="1" applyFill="1" applyBorder="1"/>
    <xf numFmtId="0" fontId="0" fillId="0" borderId="6" xfId="0" applyFont="1" applyBorder="1"/>
    <xf numFmtId="0" fontId="0" fillId="2" borderId="6" xfId="0" applyFont="1" applyFill="1" applyBorder="1"/>
    <xf numFmtId="0" fontId="10" fillId="0" borderId="2" xfId="0" applyFont="1" applyBorder="1" applyAlignment="1">
      <alignment vertical="center" wrapText="1"/>
    </xf>
    <xf numFmtId="0" fontId="7" fillId="7" borderId="6" xfId="0" applyFont="1" applyFill="1" applyBorder="1"/>
    <xf numFmtId="0" fontId="0" fillId="10" borderId="0" xfId="0" applyFill="1"/>
    <xf numFmtId="0" fontId="0" fillId="11" borderId="0" xfId="0" applyFill="1"/>
    <xf numFmtId="0" fontId="0" fillId="6" borderId="6" xfId="0" applyFont="1" applyFill="1" applyBorder="1"/>
    <xf numFmtId="0" fontId="1" fillId="0" borderId="1" xfId="0" applyFont="1" applyBorder="1"/>
    <xf numFmtId="0" fontId="7" fillId="7" borderId="2" xfId="0" applyFont="1" applyFill="1" applyBorder="1"/>
    <xf numFmtId="0" fontId="7" fillId="7" borderId="7" xfId="0" applyFont="1" applyFill="1" applyBorder="1"/>
    <xf numFmtId="0" fontId="7" fillId="7" borderId="8" xfId="0" applyFont="1" applyFill="1" applyBorder="1"/>
    <xf numFmtId="0" fontId="0" fillId="0" borderId="8" xfId="0" applyFont="1" applyBorder="1"/>
    <xf numFmtId="0" fontId="11" fillId="5" borderId="2" xfId="0" applyFont="1" applyFill="1" applyBorder="1" applyAlignment="1">
      <alignment textRotation="90"/>
    </xf>
    <xf numFmtId="0" fontId="12" fillId="0" borderId="0" xfId="0" applyFont="1"/>
    <xf numFmtId="0" fontId="13" fillId="0" borderId="0" xfId="0" applyFont="1"/>
    <xf numFmtId="0" fontId="7" fillId="7" borderId="6" xfId="0" applyFont="1" applyFill="1" applyBorder="1" applyAlignment="1">
      <alignment textRotation="90"/>
    </xf>
    <xf numFmtId="0" fontId="5" fillId="5" borderId="6" xfId="0" applyFont="1" applyFill="1" applyBorder="1"/>
    <xf numFmtId="0" fontId="4" fillId="5" borderId="10" xfId="0" applyFont="1" applyFill="1" applyBorder="1"/>
    <xf numFmtId="0" fontId="4" fillId="5" borderId="6" xfId="0" applyFont="1" applyFill="1" applyBorder="1"/>
    <xf numFmtId="0" fontId="4" fillId="5" borderId="6" xfId="0" applyFont="1" applyFill="1" applyBorder="1" applyAlignment="1">
      <alignment wrapText="1"/>
    </xf>
    <xf numFmtId="0" fontId="4" fillId="5" borderId="9" xfId="0" applyFont="1" applyFill="1" applyBorder="1"/>
    <xf numFmtId="0" fontId="7" fillId="7" borderId="10" xfId="0" applyFont="1" applyFill="1" applyBorder="1" applyAlignment="1">
      <alignment textRotation="90"/>
    </xf>
    <xf numFmtId="0" fontId="5" fillId="0" borderId="11" xfId="0" applyFont="1" applyBorder="1"/>
    <xf numFmtId="0" fontId="0" fillId="12" borderId="0" xfId="0" applyFill="1"/>
    <xf numFmtId="0" fontId="0" fillId="12" borderId="0" xfId="0" applyFill="1" applyProtection="1">
      <protection locked="0"/>
    </xf>
    <xf numFmtId="0" fontId="7" fillId="7" borderId="6" xfId="0" applyFont="1" applyFill="1" applyBorder="1" applyAlignment="1">
      <alignment horizontal="left" textRotation="90"/>
    </xf>
    <xf numFmtId="0" fontId="4" fillId="5" borderId="6" xfId="0" applyFont="1" applyFill="1" applyBorder="1" applyAlignment="1">
      <alignment horizontal="left"/>
    </xf>
    <xf numFmtId="0" fontId="0" fillId="0" borderId="0" xfId="0" applyAlignment="1">
      <alignment horizontal="left"/>
    </xf>
    <xf numFmtId="0" fontId="0" fillId="0" borderId="12" xfId="0" applyBorder="1"/>
    <xf numFmtId="0" fontId="15" fillId="13" borderId="12" xfId="0" applyFont="1" applyFill="1" applyBorder="1" applyAlignment="1">
      <alignment horizontal="left" vertical="top" wrapText="1"/>
    </xf>
    <xf numFmtId="0" fontId="13" fillId="0" borderId="12" xfId="0" applyFont="1" applyBorder="1" applyAlignment="1">
      <alignment horizontal="center" vertical="center" wrapText="1"/>
    </xf>
    <xf numFmtId="0" fontId="13" fillId="0" borderId="12" xfId="0" applyFont="1" applyBorder="1" applyAlignment="1">
      <alignment horizontal="center" vertical="center"/>
    </xf>
    <xf numFmtId="0" fontId="15" fillId="13" borderId="12" xfId="0" applyFont="1" applyFill="1" applyBorder="1" applyAlignment="1">
      <alignment horizontal="left" vertical="top"/>
    </xf>
    <xf numFmtId="0" fontId="16" fillId="14" borderId="12" xfId="0" applyFont="1" applyFill="1" applyBorder="1" applyAlignment="1">
      <alignment vertical="center" wrapText="1"/>
    </xf>
    <xf numFmtId="0" fontId="13" fillId="0" borderId="12" xfId="0" applyFont="1" applyBorder="1" applyAlignment="1">
      <alignment wrapText="1"/>
    </xf>
    <xf numFmtId="0" fontId="13" fillId="0" borderId="0" xfId="0" applyFont="1" applyAlignment="1">
      <alignment wrapText="1"/>
    </xf>
    <xf numFmtId="0" fontId="7" fillId="15" borderId="6" xfId="0" applyFont="1" applyFill="1" applyBorder="1" applyAlignment="1">
      <alignment textRotation="90"/>
    </xf>
    <xf numFmtId="0" fontId="4" fillId="16" borderId="10" xfId="0" applyFont="1" applyFill="1" applyBorder="1"/>
    <xf numFmtId="0" fontId="4" fillId="16" borderId="6" xfId="0" applyFont="1" applyFill="1" applyBorder="1"/>
    <xf numFmtId="0" fontId="18" fillId="13" borderId="14" xfId="0" applyFont="1" applyFill="1" applyBorder="1"/>
    <xf numFmtId="0" fontId="18" fillId="13" borderId="13" xfId="0" applyFont="1" applyFill="1" applyBorder="1"/>
    <xf numFmtId="0" fontId="0" fillId="5" borderId="14" xfId="0" applyFont="1" applyFill="1" applyBorder="1"/>
    <xf numFmtId="0" fontId="0" fillId="5" borderId="13" xfId="0" applyFont="1" applyFill="1" applyBorder="1"/>
    <xf numFmtId="0" fontId="0" fillId="0" borderId="14" xfId="0" applyFont="1" applyBorder="1"/>
    <xf numFmtId="0" fontId="0" fillId="0" borderId="13" xfId="0" applyFont="1" applyBorder="1"/>
    <xf numFmtId="0" fontId="14" fillId="5" borderId="14" xfId="0" applyFont="1" applyFill="1" applyBorder="1"/>
    <xf numFmtId="0" fontId="0" fillId="0" borderId="15" xfId="0" applyFont="1" applyBorder="1"/>
    <xf numFmtId="0" fontId="0" fillId="0" borderId="16" xfId="0" applyFont="1" applyBorder="1"/>
    <xf numFmtId="0" fontId="0" fillId="0" borderId="17" xfId="0" applyFont="1" applyBorder="1"/>
    <xf numFmtId="0" fontId="0" fillId="0" borderId="18" xfId="0" applyFont="1" applyBorder="1"/>
    <xf numFmtId="0" fontId="7" fillId="17" borderId="6" xfId="0" applyFont="1" applyFill="1" applyBorder="1" applyAlignment="1">
      <alignment textRotation="90"/>
    </xf>
    <xf numFmtId="0" fontId="4" fillId="18" borderId="10" xfId="0" applyFont="1" applyFill="1" applyBorder="1"/>
    <xf numFmtId="0" fontId="4" fillId="18" borderId="6" xfId="0" applyFont="1" applyFill="1" applyBorder="1"/>
    <xf numFmtId="0" fontId="0" fillId="14" borderId="0" xfId="0" applyFill="1"/>
    <xf numFmtId="0" fontId="7" fillId="19" borderId="6" xfId="0" applyFont="1" applyFill="1" applyBorder="1" applyAlignment="1">
      <alignment textRotation="90"/>
    </xf>
    <xf numFmtId="0" fontId="4" fillId="20" borderId="10" xfId="0" applyFont="1" applyFill="1" applyBorder="1"/>
    <xf numFmtId="0" fontId="4" fillId="20" borderId="6" xfId="0" applyFont="1" applyFill="1" applyBorder="1"/>
    <xf numFmtId="0" fontId="4" fillId="20" borderId="6" xfId="0" applyFont="1" applyFill="1" applyBorder="1" applyAlignment="1">
      <alignment wrapText="1"/>
    </xf>
    <xf numFmtId="0" fontId="4" fillId="21" borderId="6" xfId="0" applyFont="1" applyFill="1" applyBorder="1"/>
    <xf numFmtId="0" fontId="4" fillId="21" borderId="6" xfId="0" applyFont="1" applyFill="1" applyBorder="1" applyAlignment="1">
      <alignment horizontal="left"/>
    </xf>
    <xf numFmtId="0" fontId="4" fillId="21" borderId="10" xfId="0" applyFont="1" applyFill="1" applyBorder="1"/>
    <xf numFmtId="0" fontId="12" fillId="4" borderId="0" xfId="0" applyFont="1" applyFill="1"/>
    <xf numFmtId="0" fontId="13" fillId="0" borderId="12" xfId="0" applyFont="1" applyBorder="1"/>
    <xf numFmtId="0" fontId="19" fillId="0" borderId="12" xfId="0" applyFont="1" applyBorder="1" applyAlignment="1">
      <alignment textRotation="45"/>
    </xf>
    <xf numFmtId="0" fontId="19" fillId="0" borderId="0" xfId="0" applyFont="1" applyAlignment="1">
      <alignment textRotation="45"/>
    </xf>
    <xf numFmtId="0" fontId="0" fillId="0" borderId="0" xfId="0" applyNumberFormat="1" applyAlignment="1">
      <alignment wrapText="1"/>
    </xf>
    <xf numFmtId="0" fontId="19" fillId="0" borderId="19" xfId="0" applyFont="1" applyBorder="1" applyAlignment="1">
      <alignment textRotation="45"/>
    </xf>
    <xf numFmtId="0" fontId="0" fillId="5" borderId="2" xfId="0" applyFill="1" applyBorder="1"/>
    <xf numFmtId="0" fontId="0" fillId="0" borderId="2" xfId="0" applyBorder="1"/>
    <xf numFmtId="0" fontId="0" fillId="5" borderId="0" xfId="0" applyFill="1" applyBorder="1"/>
    <xf numFmtId="0" fontId="0" fillId="13" borderId="12" xfId="0" applyFill="1" applyBorder="1"/>
    <xf numFmtId="0" fontId="0" fillId="13" borderId="12" xfId="0" applyNumberFormat="1" applyFill="1" applyBorder="1" applyAlignment="1">
      <alignment wrapText="1"/>
    </xf>
    <xf numFmtId="0" fontId="0" fillId="13" borderId="12" xfId="0" applyFill="1" applyBorder="1" applyAlignment="1">
      <alignment wrapText="1"/>
    </xf>
    <xf numFmtId="0" fontId="0" fillId="22" borderId="12" xfId="0" applyFill="1" applyBorder="1"/>
    <xf numFmtId="0" fontId="0" fillId="5" borderId="2" xfId="0" applyFill="1" applyBorder="1" applyAlignment="1">
      <alignment wrapText="1"/>
    </xf>
    <xf numFmtId="0" fontId="16" fillId="13" borderId="12" xfId="0" applyFont="1" applyFill="1" applyBorder="1" applyAlignment="1">
      <alignment horizontal="left" vertical="top" wrapText="1"/>
    </xf>
    <xf numFmtId="0" fontId="16" fillId="13" borderId="12" xfId="0" applyFont="1" applyFill="1" applyBorder="1" applyAlignment="1">
      <alignment horizontal="left" vertical="top"/>
    </xf>
    <xf numFmtId="0" fontId="17" fillId="0" borderId="0" xfId="0" applyFont="1"/>
    <xf numFmtId="0" fontId="4" fillId="5" borderId="6" xfId="0" applyFont="1" applyFill="1" applyBorder="1" applyAlignment="1"/>
    <xf numFmtId="0" fontId="4" fillId="5" borderId="10" xfId="0" applyFont="1" applyFill="1" applyBorder="1" applyAlignment="1"/>
    <xf numFmtId="0" fontId="4" fillId="5" borderId="9" xfId="0" applyFont="1" applyFill="1" applyBorder="1" applyAlignment="1"/>
    <xf numFmtId="0" fontId="7" fillId="7" borderId="17" xfId="0" applyFont="1" applyFill="1" applyBorder="1" applyAlignment="1">
      <alignment textRotation="90"/>
    </xf>
    <xf numFmtId="0" fontId="7" fillId="7" borderId="20" xfId="0" applyFont="1" applyFill="1" applyBorder="1" applyAlignment="1">
      <alignment textRotation="90"/>
    </xf>
    <xf numFmtId="0" fontId="7" fillId="19" borderId="17" xfId="0" applyFont="1" applyFill="1" applyBorder="1" applyAlignment="1">
      <alignment textRotation="90"/>
    </xf>
    <xf numFmtId="0" fontId="7" fillId="23" borderId="17" xfId="0" applyFont="1" applyFill="1" applyBorder="1" applyAlignment="1">
      <alignment textRotation="90"/>
    </xf>
    <xf numFmtId="0" fontId="0" fillId="24" borderId="12" xfId="0" applyFill="1" applyBorder="1"/>
    <xf numFmtId="0" fontId="0" fillId="25" borderId="12" xfId="0" applyFill="1" applyBorder="1"/>
    <xf numFmtId="0" fontId="0" fillId="26" borderId="12" xfId="0" applyFill="1" applyBorder="1"/>
    <xf numFmtId="0" fontId="0" fillId="27" borderId="12" xfId="0" applyFill="1" applyBorder="1"/>
    <xf numFmtId="0" fontId="0" fillId="28" borderId="12" xfId="0" applyFill="1" applyBorder="1"/>
    <xf numFmtId="0" fontId="0" fillId="9" borderId="12" xfId="0" applyFill="1" applyBorder="1"/>
    <xf numFmtId="0" fontId="0" fillId="29" borderId="12" xfId="0" applyFill="1" applyBorder="1"/>
    <xf numFmtId="0" fontId="0" fillId="30" borderId="12" xfId="0" applyFill="1" applyBorder="1"/>
    <xf numFmtId="0" fontId="0" fillId="31" borderId="12" xfId="0" applyFill="1" applyBorder="1"/>
    <xf numFmtId="0" fontId="0" fillId="0" borderId="21" xfId="0" applyFill="1" applyBorder="1"/>
    <xf numFmtId="1" fontId="0" fillId="0" borderId="0" xfId="0" applyNumberFormat="1"/>
    <xf numFmtId="0" fontId="7" fillId="13" borderId="12" xfId="0" applyFont="1" applyFill="1" applyBorder="1"/>
    <xf numFmtId="0" fontId="0" fillId="5" borderId="12" xfId="0" applyFont="1" applyFill="1" applyBorder="1"/>
    <xf numFmtId="0" fontId="0" fillId="0" borderId="12" xfId="0" applyFont="1" applyBorder="1"/>
    <xf numFmtId="0" fontId="14" fillId="5" borderId="12" xfId="0" applyFont="1" applyFill="1" applyBorder="1"/>
    <xf numFmtId="0" fontId="0" fillId="5" borderId="12" xfId="0" applyFill="1" applyBorder="1"/>
    <xf numFmtId="0" fontId="0" fillId="5" borderId="12" xfId="0" applyFill="1" applyBorder="1" applyAlignment="1">
      <alignment wrapText="1"/>
    </xf>
    <xf numFmtId="0" fontId="0" fillId="0" borderId="12" xfId="0" applyBorder="1" applyAlignment="1">
      <alignment horizontal="center" vertical="center"/>
    </xf>
    <xf numFmtId="1" fontId="0" fillId="0" borderId="12" xfId="0" applyNumberFormat="1" applyBorder="1"/>
    <xf numFmtId="0" fontId="8" fillId="0" borderId="0" xfId="0" applyFont="1"/>
    <xf numFmtId="0" fontId="21" fillId="0" borderId="12" xfId="0" applyFont="1" applyBorder="1" applyAlignment="1">
      <alignment horizontal="right"/>
    </xf>
    <xf numFmtId="0" fontId="9" fillId="0" borderId="12" xfId="0" applyFont="1" applyBorder="1" applyAlignment="1">
      <alignment horizontal="right"/>
    </xf>
    <xf numFmtId="0" fontId="22" fillId="0" borderId="12" xfId="0" applyFont="1" applyBorder="1" applyAlignment="1">
      <alignment vertical="center" wrapText="1"/>
    </xf>
    <xf numFmtId="0" fontId="8" fillId="0" borderId="12" xfId="0" applyFont="1" applyBorder="1" applyAlignment="1">
      <alignment vertical="center" wrapText="1"/>
    </xf>
    <xf numFmtId="0" fontId="11" fillId="0" borderId="12" xfId="0" applyFont="1" applyBorder="1" applyAlignment="1">
      <alignment vertical="center" wrapText="1"/>
    </xf>
    <xf numFmtId="0" fontId="9" fillId="0" borderId="12" xfId="0" applyFont="1" applyBorder="1" applyAlignment="1">
      <alignment vertical="center" wrapText="1"/>
    </xf>
    <xf numFmtId="0" fontId="23" fillId="0" borderId="12" xfId="0" applyFont="1" applyBorder="1"/>
    <xf numFmtId="0" fontId="9" fillId="0" borderId="12" xfId="0" applyFont="1" applyBorder="1"/>
    <xf numFmtId="0" fontId="8" fillId="0" borderId="12" xfId="0" applyFont="1" applyBorder="1"/>
    <xf numFmtId="0" fontId="8" fillId="0" borderId="19" xfId="0" applyFont="1" applyBorder="1"/>
    <xf numFmtId="0" fontId="24" fillId="0" borderId="0" xfId="0" applyFont="1"/>
    <xf numFmtId="0" fontId="24" fillId="0" borderId="12" xfId="0" applyFont="1" applyBorder="1" applyAlignment="1">
      <alignment wrapText="1"/>
    </xf>
    <xf numFmtId="1" fontId="24" fillId="0" borderId="12" xfId="0" applyNumberFormat="1" applyFont="1" applyBorder="1"/>
    <xf numFmtId="0" fontId="0" fillId="0" borderId="0" xfId="0" applyAlignment="1">
      <alignment vertical="center"/>
    </xf>
    <xf numFmtId="0" fontId="0" fillId="0" borderId="12" xfId="0" applyBorder="1" applyAlignment="1">
      <alignment wrapText="1"/>
    </xf>
    <xf numFmtId="0" fontId="22" fillId="0" borderId="15" xfId="0" applyFont="1" applyBorder="1" applyAlignment="1">
      <alignment vertical="center" wrapText="1"/>
    </xf>
    <xf numFmtId="0" fontId="8" fillId="0" borderId="15" xfId="0" applyFont="1" applyBorder="1" applyAlignment="1">
      <alignment vertical="center" wrapText="1"/>
    </xf>
    <xf numFmtId="1" fontId="8" fillId="0" borderId="15" xfId="0" applyNumberFormat="1" applyFont="1" applyBorder="1" applyAlignment="1">
      <alignment vertical="center" wrapText="1"/>
    </xf>
    <xf numFmtId="0" fontId="8" fillId="0" borderId="15" xfId="0" applyFont="1" applyBorder="1"/>
    <xf numFmtId="1" fontId="8" fillId="0" borderId="15" xfId="0" applyNumberFormat="1" applyFont="1" applyBorder="1"/>
    <xf numFmtId="1" fontId="11" fillId="0" borderId="15" xfId="0" applyNumberFormat="1" applyFont="1" applyBorder="1" applyAlignment="1">
      <alignment vertical="center" wrapText="1"/>
    </xf>
    <xf numFmtId="0" fontId="22" fillId="0" borderId="12" xfId="0" applyFont="1" applyFill="1" applyBorder="1" applyAlignment="1">
      <alignment vertical="center" wrapText="1"/>
    </xf>
    <xf numFmtId="0" fontId="24" fillId="0" borderId="12" xfId="0" applyFont="1" applyBorder="1" applyAlignment="1">
      <alignment horizontal="right" wrapText="1"/>
    </xf>
  </cellXfs>
  <cellStyles count="3">
    <cellStyle name="Hipervínculo" xfId="2" builtinId="8"/>
    <cellStyle name="Normal" xfId="0" builtinId="0"/>
    <cellStyle name="Porcentaje" xfId="1" builtinId="5"/>
  </cellStyles>
  <dxfs count="1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dxf>
    <dxf>
      <font>
        <b/>
        <i val="0"/>
        <strike val="0"/>
        <condense val="0"/>
        <extend val="0"/>
        <outline val="0"/>
        <shadow val="0"/>
        <u val="none"/>
        <vertAlign val="baseline"/>
        <sz val="11"/>
        <color theme="1"/>
        <name val="Calibri"/>
        <scheme val="minor"/>
      </font>
    </dxf>
    <dxf>
      <numFmt numFmtId="1" formatCode="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border diagonalUp="0" diagonalDown="0">
        <left style="thin">
          <color theme="4" tint="0.39997558519241921"/>
        </left>
        <right style="thin">
          <color theme="4" tint="0.39997558519241921"/>
        </right>
        <top style="thin">
          <color theme="4" tint="0.39997558519241921"/>
        </top>
        <bottom style="thin">
          <color theme="4" tint="0.39997558519241921"/>
        </bottom>
        <vertical/>
        <horizontal/>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rgb="FFFFFF00"/>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5" tint="0.39997558519241921"/>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39997558519241921"/>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rgb="FFFFFF00"/>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bottom"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bottom"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bottom"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alignment horizontal="left" vertical="bottom"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border outline="0">
        <top style="thin">
          <color theme="4" tint="0.39997558519241921"/>
        </top>
        <bottom style="thin">
          <color theme="4" tint="0.39997558519241921"/>
        </bottom>
      </border>
    </dxf>
    <dxf>
      <font>
        <b/>
        <i val="0"/>
        <strike val="0"/>
        <condense val="0"/>
        <extend val="0"/>
        <outline val="0"/>
        <shadow val="0"/>
        <u val="none"/>
        <vertAlign val="baseline"/>
        <sz val="11"/>
        <color auto="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9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style="thin">
          <color theme="4" tint="0.39997558519241921"/>
        </right>
        <top style="thin">
          <color theme="4" tint="0.39997558519241921"/>
        </top>
        <bottom/>
        <vertical/>
        <horizontal/>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border outline="0">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border outline="0">
        <left style="thin">
          <color theme="4" tint="0.39997558519241921"/>
        </left>
      </border>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Country!$A$45:$A$85</c:f>
              <c:strCache>
                <c:ptCount val="41"/>
                <c:pt idx="0">
                  <c:v>United States</c:v>
                </c:pt>
                <c:pt idx="1">
                  <c:v>Brazil</c:v>
                </c:pt>
                <c:pt idx="2">
                  <c:v>Canada</c:v>
                </c:pt>
                <c:pt idx="3">
                  <c:v>China</c:v>
                </c:pt>
                <c:pt idx="4">
                  <c:v>Japan</c:v>
                </c:pt>
                <c:pt idx="5">
                  <c:v>India</c:v>
                </c:pt>
                <c:pt idx="6">
                  <c:v>Germany</c:v>
                </c:pt>
                <c:pt idx="7">
                  <c:v>Italy</c:v>
                </c:pt>
                <c:pt idx="8">
                  <c:v>France</c:v>
                </c:pt>
                <c:pt idx="9">
                  <c:v>Netherlands</c:v>
                </c:pt>
                <c:pt idx="10">
                  <c:v>New Zealand</c:v>
                </c:pt>
                <c:pt idx="11">
                  <c:v>Spain</c:v>
                </c:pt>
                <c:pt idx="12">
                  <c:v>Switzerland</c:v>
                </c:pt>
                <c:pt idx="13">
                  <c:v>Austria</c:v>
                </c:pt>
                <c:pt idx="14">
                  <c:v>Greece</c:v>
                </c:pt>
                <c:pt idx="15">
                  <c:v>Australia</c:v>
                </c:pt>
                <c:pt idx="16">
                  <c:v>Finland</c:v>
                </c:pt>
                <c:pt idx="17">
                  <c:v>Poland</c:v>
                </c:pt>
                <c:pt idx="18">
                  <c:v>South Korea</c:v>
                </c:pt>
                <c:pt idx="19">
                  <c:v>Sweden</c:v>
                </c:pt>
                <c:pt idx="20">
                  <c:v>Belgium</c:v>
                </c:pt>
                <c:pt idx="21">
                  <c:v>Chile</c:v>
                </c:pt>
                <c:pt idx="22">
                  <c:v>Colombia</c:v>
                </c:pt>
                <c:pt idx="23">
                  <c:v>Hungary</c:v>
                </c:pt>
                <c:pt idx="24">
                  <c:v>Norway</c:v>
                </c:pt>
                <c:pt idx="25">
                  <c:v>United Arab Emirates</c:v>
                </c:pt>
                <c:pt idx="26">
                  <c:v>United Kingdom</c:v>
                </c:pt>
                <c:pt idx="27">
                  <c:v>Czech Republic</c:v>
                </c:pt>
                <c:pt idx="28">
                  <c:v>Estonia</c:v>
                </c:pt>
                <c:pt idx="29">
                  <c:v>Hong Kong</c:v>
                </c:pt>
                <c:pt idx="30">
                  <c:v>Indonesia</c:v>
                </c:pt>
                <c:pt idx="31">
                  <c:v>Israel</c:v>
                </c:pt>
                <c:pt idx="32">
                  <c:v>Jordan</c:v>
                </c:pt>
                <c:pt idx="33">
                  <c:v>Korea</c:v>
                </c:pt>
                <c:pt idx="34">
                  <c:v>Morocco</c:v>
                </c:pt>
                <c:pt idx="35">
                  <c:v>Peru</c:v>
                </c:pt>
                <c:pt idx="36">
                  <c:v>Russia</c:v>
                </c:pt>
                <c:pt idx="37">
                  <c:v>Singapore</c:v>
                </c:pt>
                <c:pt idx="38">
                  <c:v>Slovenia</c:v>
                </c:pt>
                <c:pt idx="39">
                  <c:v>South Africa</c:v>
                </c:pt>
                <c:pt idx="40">
                  <c:v>Turkey</c:v>
                </c:pt>
              </c:strCache>
            </c:strRef>
          </c:cat>
          <c:val>
            <c:numRef>
              <c:f>Country!$B$2:$B$42</c:f>
              <c:numCache>
                <c:formatCode>General</c:formatCode>
                <c:ptCount val="41"/>
                <c:pt idx="0">
                  <c:v>40</c:v>
                </c:pt>
                <c:pt idx="1">
                  <c:v>23</c:v>
                </c:pt>
                <c:pt idx="2">
                  <c:v>23</c:v>
                </c:pt>
                <c:pt idx="3">
                  <c:v>21</c:v>
                </c:pt>
                <c:pt idx="4">
                  <c:v>18</c:v>
                </c:pt>
                <c:pt idx="5">
                  <c:v>17</c:v>
                </c:pt>
                <c:pt idx="6">
                  <c:v>9</c:v>
                </c:pt>
                <c:pt idx="7">
                  <c:v>9</c:v>
                </c:pt>
                <c:pt idx="8">
                  <c:v>5</c:v>
                </c:pt>
                <c:pt idx="9">
                  <c:v>5</c:v>
                </c:pt>
                <c:pt idx="10">
                  <c:v>5</c:v>
                </c:pt>
                <c:pt idx="11">
                  <c:v>5</c:v>
                </c:pt>
                <c:pt idx="12">
                  <c:v>5</c:v>
                </c:pt>
                <c:pt idx="13">
                  <c:v>4</c:v>
                </c:pt>
                <c:pt idx="14">
                  <c:v>4</c:v>
                </c:pt>
                <c:pt idx="15">
                  <c:v>3</c:v>
                </c:pt>
                <c:pt idx="16">
                  <c:v>3</c:v>
                </c:pt>
                <c:pt idx="17">
                  <c:v>3</c:v>
                </c:pt>
                <c:pt idx="18">
                  <c:v>3</c:v>
                </c:pt>
                <c:pt idx="19">
                  <c:v>3</c:v>
                </c:pt>
                <c:pt idx="20">
                  <c:v>2</c:v>
                </c:pt>
                <c:pt idx="21">
                  <c:v>2</c:v>
                </c:pt>
                <c:pt idx="22">
                  <c:v>2</c:v>
                </c:pt>
                <c:pt idx="23">
                  <c:v>2</c:v>
                </c:pt>
                <c:pt idx="24">
                  <c:v>2</c:v>
                </c:pt>
                <c:pt idx="25">
                  <c:v>2</c:v>
                </c:pt>
                <c:pt idx="26">
                  <c:v>2</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numCache>
            </c:numRef>
          </c:val>
          <c:extLst>
            <c:ext xmlns:c16="http://schemas.microsoft.com/office/drawing/2014/chart" uri="{C3380CC4-5D6E-409C-BE32-E72D297353CC}">
              <c16:uniqueId val="{00000000-E0B9-485A-96FC-38BB257D6DA4}"/>
            </c:ext>
          </c:extLst>
        </c:ser>
        <c:dLbls>
          <c:showLegendKey val="0"/>
          <c:showVal val="0"/>
          <c:showCatName val="0"/>
          <c:showSerName val="0"/>
          <c:showPercent val="0"/>
          <c:showBubbleSize val="0"/>
        </c:dLbls>
        <c:gapWidth val="219"/>
        <c:overlap val="-27"/>
        <c:axId val="-1597332064"/>
        <c:axId val="-1597322272"/>
      </c:barChart>
      <c:catAx>
        <c:axId val="-1597332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s-EC"/>
          </a:p>
        </c:txPr>
        <c:crossAx val="-1597322272"/>
        <c:crosses val="autoZero"/>
        <c:auto val="1"/>
        <c:lblAlgn val="ctr"/>
        <c:lblOffset val="100"/>
        <c:noMultiLvlLbl val="0"/>
      </c:catAx>
      <c:valAx>
        <c:axId val="-159732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s-EC"/>
          </a:p>
        </c:txPr>
        <c:crossAx val="-1597332064"/>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tx1"/>
          </a:solidFill>
        </a:defRPr>
      </a:pPr>
      <a:endParaRPr lang="es-EC"/>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1"/>
          <c:order val="1"/>
          <c:tx>
            <c:strRef>
              <c:f>Country!$C$1</c:f>
              <c:strCache>
                <c:ptCount val="1"/>
                <c:pt idx="0">
                  <c:v>Percentage</c:v>
                </c:pt>
              </c:strCache>
            </c:strRef>
          </c:tx>
          <c:spPr>
            <a:gradFill rotWithShape="1">
              <a:gsLst>
                <a:gs pos="0">
                  <a:schemeClr val="accent1">
                    <a:tint val="77000"/>
                    <a:lumMod val="110000"/>
                    <a:satMod val="105000"/>
                    <a:tint val="67000"/>
                  </a:schemeClr>
                </a:gs>
                <a:gs pos="50000">
                  <a:schemeClr val="accent1">
                    <a:tint val="77000"/>
                    <a:lumMod val="105000"/>
                    <a:satMod val="103000"/>
                    <a:tint val="73000"/>
                  </a:schemeClr>
                </a:gs>
                <a:gs pos="100000">
                  <a:schemeClr val="accent1">
                    <a:tint val="77000"/>
                    <a:lumMod val="105000"/>
                    <a:satMod val="109000"/>
                    <a:tint val="81000"/>
                  </a:schemeClr>
                </a:gs>
              </a:gsLst>
              <a:lin ang="5400000" scaled="0"/>
            </a:gradFill>
            <a:ln w="9525" cap="flat" cmpd="sng" algn="ctr">
              <a:solidFill>
                <a:schemeClr val="accent1">
                  <a:tint val="77000"/>
                  <a:shade val="95000"/>
                </a:schemeClr>
              </a:solidFill>
              <a:round/>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Country!$A$2:$A$16</c:f>
              <c:strCache>
                <c:ptCount val="15"/>
                <c:pt idx="0">
                  <c:v>United States</c:v>
                </c:pt>
                <c:pt idx="1">
                  <c:v>Brazil</c:v>
                </c:pt>
                <c:pt idx="2">
                  <c:v>Canada</c:v>
                </c:pt>
                <c:pt idx="3">
                  <c:v>China</c:v>
                </c:pt>
                <c:pt idx="4">
                  <c:v>Japan</c:v>
                </c:pt>
                <c:pt idx="5">
                  <c:v>India</c:v>
                </c:pt>
                <c:pt idx="6">
                  <c:v>Germany</c:v>
                </c:pt>
                <c:pt idx="7">
                  <c:v>Italy</c:v>
                </c:pt>
                <c:pt idx="8">
                  <c:v>France</c:v>
                </c:pt>
                <c:pt idx="9">
                  <c:v>Netherlands</c:v>
                </c:pt>
                <c:pt idx="10">
                  <c:v>New Zealand</c:v>
                </c:pt>
                <c:pt idx="11">
                  <c:v>Spain</c:v>
                </c:pt>
                <c:pt idx="12">
                  <c:v>Switzerland</c:v>
                </c:pt>
                <c:pt idx="13">
                  <c:v>Austria</c:v>
                </c:pt>
                <c:pt idx="14">
                  <c:v>Greece</c:v>
                </c:pt>
              </c:strCache>
            </c:strRef>
          </c:cat>
          <c:val>
            <c:numRef>
              <c:f>Country!$C$2:$C$16</c:f>
              <c:numCache>
                <c:formatCode>0</c:formatCode>
                <c:ptCount val="15"/>
                <c:pt idx="0">
                  <c:v>16.949152542372882</c:v>
                </c:pt>
                <c:pt idx="1">
                  <c:v>9.7457627118644066</c:v>
                </c:pt>
                <c:pt idx="2">
                  <c:v>9.7457627118644066</c:v>
                </c:pt>
                <c:pt idx="3">
                  <c:v>8.898305084745763</c:v>
                </c:pt>
                <c:pt idx="4">
                  <c:v>7.6271186440677967</c:v>
                </c:pt>
                <c:pt idx="5">
                  <c:v>7.2033898305084749</c:v>
                </c:pt>
                <c:pt idx="6">
                  <c:v>3.8135593220338984</c:v>
                </c:pt>
                <c:pt idx="7">
                  <c:v>3.8135593220338984</c:v>
                </c:pt>
                <c:pt idx="8">
                  <c:v>2.1186440677966103</c:v>
                </c:pt>
                <c:pt idx="9">
                  <c:v>2.1186440677966103</c:v>
                </c:pt>
                <c:pt idx="10">
                  <c:v>2.1186440677966103</c:v>
                </c:pt>
                <c:pt idx="11">
                  <c:v>2.1186440677966103</c:v>
                </c:pt>
                <c:pt idx="12">
                  <c:v>2.1186440677966103</c:v>
                </c:pt>
                <c:pt idx="13">
                  <c:v>1.6949152542372881</c:v>
                </c:pt>
                <c:pt idx="14">
                  <c:v>1.6949152542372881</c:v>
                </c:pt>
              </c:numCache>
            </c:numRef>
          </c:val>
          <c:extLst>
            <c:ext xmlns:c16="http://schemas.microsoft.com/office/drawing/2014/chart" uri="{C3380CC4-5D6E-409C-BE32-E72D297353CC}">
              <c16:uniqueId val="{00000001-69E1-4CFA-BDD5-253951D4DD15}"/>
            </c:ext>
          </c:extLst>
        </c:ser>
        <c:dLbls>
          <c:dLblPos val="inEnd"/>
          <c:showLegendKey val="0"/>
          <c:showVal val="1"/>
          <c:showCatName val="0"/>
          <c:showSerName val="0"/>
          <c:showPercent val="0"/>
          <c:showBubbleSize val="0"/>
        </c:dLbls>
        <c:gapWidth val="100"/>
        <c:overlap val="-24"/>
        <c:axId val="1423389919"/>
        <c:axId val="1233930175"/>
        <c:extLst>
          <c:ext xmlns:c15="http://schemas.microsoft.com/office/drawing/2012/chart" uri="{02D57815-91ED-43cb-92C2-25804820EDAC}">
            <c15:filteredBarSeries>
              <c15:ser>
                <c:idx val="0"/>
                <c:order val="0"/>
                <c:tx>
                  <c:strRef>
                    <c:extLst>
                      <c:ext uri="{02D57815-91ED-43cb-92C2-25804820EDAC}">
                        <c15:formulaRef>
                          <c15:sqref>Country!$B$1</c15:sqref>
                        </c15:formulaRef>
                      </c:ext>
                    </c:extLst>
                    <c:strCache>
                      <c:ptCount val="1"/>
                      <c:pt idx="0">
                        <c:v>Papers</c:v>
                      </c:pt>
                    </c:strCache>
                  </c:strRef>
                </c:tx>
                <c:spPr>
                  <a:gradFill rotWithShape="1">
                    <a:gsLst>
                      <a:gs pos="0">
                        <a:schemeClr val="accent1">
                          <a:shade val="76000"/>
                          <a:lumMod val="110000"/>
                          <a:satMod val="105000"/>
                          <a:tint val="67000"/>
                        </a:schemeClr>
                      </a:gs>
                      <a:gs pos="50000">
                        <a:schemeClr val="accent1">
                          <a:shade val="76000"/>
                          <a:lumMod val="105000"/>
                          <a:satMod val="103000"/>
                          <a:tint val="73000"/>
                        </a:schemeClr>
                      </a:gs>
                      <a:gs pos="100000">
                        <a:schemeClr val="accent1">
                          <a:shade val="76000"/>
                          <a:lumMod val="105000"/>
                          <a:satMod val="109000"/>
                          <a:tint val="81000"/>
                        </a:schemeClr>
                      </a:gs>
                    </a:gsLst>
                    <a:lin ang="5400000" scaled="0"/>
                  </a:gradFill>
                  <a:ln w="9525" cap="flat" cmpd="sng" algn="ctr">
                    <a:solidFill>
                      <a:schemeClr val="accent1">
                        <a:shade val="76000"/>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tx1">
                                <a:lumMod val="35000"/>
                                <a:lumOff val="65000"/>
                              </a:schemeClr>
                            </a:solidFill>
                          </a:ln>
                          <a:effectLst/>
                        </c:spPr>
                      </c15:leaderLines>
                    </c:ext>
                  </c:extLst>
                </c:dLbls>
                <c:cat>
                  <c:strRef>
                    <c:extLst>
                      <c:ext uri="{02D57815-91ED-43cb-92C2-25804820EDAC}">
                        <c15:formulaRef>
                          <c15:sqref>Country!$A$2:$A$16</c15:sqref>
                        </c15:formulaRef>
                      </c:ext>
                    </c:extLst>
                    <c:strCache>
                      <c:ptCount val="15"/>
                      <c:pt idx="0">
                        <c:v>United States</c:v>
                      </c:pt>
                      <c:pt idx="1">
                        <c:v>Brazil</c:v>
                      </c:pt>
                      <c:pt idx="2">
                        <c:v>Canada</c:v>
                      </c:pt>
                      <c:pt idx="3">
                        <c:v>China</c:v>
                      </c:pt>
                      <c:pt idx="4">
                        <c:v>Japan</c:v>
                      </c:pt>
                      <c:pt idx="5">
                        <c:v>India</c:v>
                      </c:pt>
                      <c:pt idx="6">
                        <c:v>Germany</c:v>
                      </c:pt>
                      <c:pt idx="7">
                        <c:v>Italy</c:v>
                      </c:pt>
                      <c:pt idx="8">
                        <c:v>France</c:v>
                      </c:pt>
                      <c:pt idx="9">
                        <c:v>Netherlands</c:v>
                      </c:pt>
                      <c:pt idx="10">
                        <c:v>New Zealand</c:v>
                      </c:pt>
                      <c:pt idx="11">
                        <c:v>Spain</c:v>
                      </c:pt>
                      <c:pt idx="12">
                        <c:v>Switzerland</c:v>
                      </c:pt>
                      <c:pt idx="13">
                        <c:v>Austria</c:v>
                      </c:pt>
                      <c:pt idx="14">
                        <c:v>Greece</c:v>
                      </c:pt>
                    </c:strCache>
                  </c:strRef>
                </c:cat>
                <c:val>
                  <c:numRef>
                    <c:extLst>
                      <c:ext uri="{02D57815-91ED-43cb-92C2-25804820EDAC}">
                        <c15:formulaRef>
                          <c15:sqref>Country!$B$2:$B$16</c15:sqref>
                        </c15:formulaRef>
                      </c:ext>
                    </c:extLst>
                    <c:numCache>
                      <c:formatCode>General</c:formatCode>
                      <c:ptCount val="15"/>
                      <c:pt idx="0">
                        <c:v>40</c:v>
                      </c:pt>
                      <c:pt idx="1">
                        <c:v>23</c:v>
                      </c:pt>
                      <c:pt idx="2">
                        <c:v>23</c:v>
                      </c:pt>
                      <c:pt idx="3">
                        <c:v>21</c:v>
                      </c:pt>
                      <c:pt idx="4">
                        <c:v>18</c:v>
                      </c:pt>
                      <c:pt idx="5">
                        <c:v>17</c:v>
                      </c:pt>
                      <c:pt idx="6">
                        <c:v>9</c:v>
                      </c:pt>
                      <c:pt idx="7">
                        <c:v>9</c:v>
                      </c:pt>
                      <c:pt idx="8">
                        <c:v>5</c:v>
                      </c:pt>
                      <c:pt idx="9">
                        <c:v>5</c:v>
                      </c:pt>
                      <c:pt idx="10">
                        <c:v>5</c:v>
                      </c:pt>
                      <c:pt idx="11">
                        <c:v>5</c:v>
                      </c:pt>
                      <c:pt idx="12">
                        <c:v>5</c:v>
                      </c:pt>
                      <c:pt idx="13">
                        <c:v>4</c:v>
                      </c:pt>
                      <c:pt idx="14">
                        <c:v>4</c:v>
                      </c:pt>
                    </c:numCache>
                  </c:numRef>
                </c:val>
                <c:extLst>
                  <c:ext xmlns:c16="http://schemas.microsoft.com/office/drawing/2014/chart" uri="{C3380CC4-5D6E-409C-BE32-E72D297353CC}">
                    <c16:uniqueId val="{00000000-69E1-4CFA-BDD5-253951D4DD15}"/>
                  </c:ext>
                </c:extLst>
              </c15:ser>
            </c15:filteredBarSeries>
          </c:ext>
        </c:extLst>
      </c:barChart>
      <c:catAx>
        <c:axId val="142338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s-EC"/>
          </a:p>
        </c:txPr>
        <c:crossAx val="1233930175"/>
        <c:crosses val="autoZero"/>
        <c:auto val="1"/>
        <c:lblAlgn val="ctr"/>
        <c:lblOffset val="100"/>
        <c:noMultiLvlLbl val="0"/>
      </c:catAx>
      <c:valAx>
        <c:axId val="1233930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s-EC"/>
          </a:p>
        </c:txPr>
        <c:crossAx val="1423389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50000"/>
                  <a:lumOff val="50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1200" b="1">
                <a:latin typeface="Times New Roman" panose="02020603050405020304" pitchFamily="18" charset="0"/>
                <a:cs typeface="Times New Roman" panose="02020603050405020304" pitchFamily="18" charset="0"/>
              </a:rPr>
              <a:t>Distribution of primary studies by year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3.8453157541503115E-2"/>
          <c:y val="7.5265601600856935E-2"/>
          <c:w val="0.94389978289190213"/>
          <c:h val="0.82168117099824078"/>
        </c:manualLayout>
      </c:layout>
      <c:barChart>
        <c:barDir val="col"/>
        <c:grouping val="clustered"/>
        <c:varyColors val="0"/>
        <c:ser>
          <c:idx val="0"/>
          <c:order val="0"/>
          <c:tx>
            <c:strRef>
              <c:f>Year!$B$1</c:f>
              <c:strCache>
                <c:ptCount val="1"/>
                <c:pt idx="0">
                  <c:v>selected (1st iteration)</c:v>
                </c:pt>
              </c:strCache>
            </c:strRef>
          </c:tx>
          <c:spPr>
            <a:solidFill>
              <a:schemeClr val="accent1"/>
            </a:solidFill>
            <a:ln>
              <a:noFill/>
            </a:ln>
            <a:effectLst/>
          </c:spPr>
          <c:invertIfNegative val="0"/>
          <c:dLbls>
            <c:delete val="1"/>
          </c:dLbls>
          <c:cat>
            <c:numRef>
              <c:f>Year!$A$2:$A$9</c:f>
              <c:numCache>
                <c:formatCode>General</c:formatCode>
                <c:ptCount val="8"/>
                <c:pt idx="0">
                  <c:v>2012</c:v>
                </c:pt>
                <c:pt idx="1">
                  <c:v>2013</c:v>
                </c:pt>
                <c:pt idx="2">
                  <c:v>2014</c:v>
                </c:pt>
                <c:pt idx="3">
                  <c:v>2015</c:v>
                </c:pt>
                <c:pt idx="4">
                  <c:v>2016</c:v>
                </c:pt>
                <c:pt idx="5">
                  <c:v>2017</c:v>
                </c:pt>
                <c:pt idx="6">
                  <c:v>2018</c:v>
                </c:pt>
                <c:pt idx="7">
                  <c:v>2019</c:v>
                </c:pt>
              </c:numCache>
            </c:numRef>
          </c:cat>
          <c:val>
            <c:numRef>
              <c:f>Year!$B$2:$B$9</c:f>
              <c:numCache>
                <c:formatCode>General</c:formatCode>
                <c:ptCount val="8"/>
                <c:pt idx="0">
                  <c:v>71</c:v>
                </c:pt>
                <c:pt idx="1">
                  <c:v>73</c:v>
                </c:pt>
                <c:pt idx="2">
                  <c:v>90</c:v>
                </c:pt>
                <c:pt idx="3">
                  <c:v>112</c:v>
                </c:pt>
                <c:pt idx="4">
                  <c:v>95</c:v>
                </c:pt>
                <c:pt idx="5">
                  <c:v>116</c:v>
                </c:pt>
                <c:pt idx="6">
                  <c:v>131</c:v>
                </c:pt>
                <c:pt idx="7">
                  <c:v>42</c:v>
                </c:pt>
              </c:numCache>
            </c:numRef>
          </c:val>
          <c:extLst>
            <c:ext xmlns:c16="http://schemas.microsoft.com/office/drawing/2014/chart" uri="{C3380CC4-5D6E-409C-BE32-E72D297353CC}">
              <c16:uniqueId val="{00000000-C682-46A3-ADC0-B0F461AD0716}"/>
            </c:ext>
          </c:extLst>
        </c:ser>
        <c:ser>
          <c:idx val="1"/>
          <c:order val="1"/>
          <c:tx>
            <c:strRef>
              <c:f>Year!$C$1</c:f>
              <c:strCache>
                <c:ptCount val="1"/>
                <c:pt idx="0">
                  <c:v>selected (2st iteration)</c:v>
                </c:pt>
              </c:strCache>
            </c:strRef>
          </c:tx>
          <c:spPr>
            <a:solidFill>
              <a:schemeClr val="accent2"/>
            </a:solidFill>
            <a:ln>
              <a:noFill/>
            </a:ln>
            <a:effectLst/>
          </c:spPr>
          <c:invertIfNegative val="0"/>
          <c:dLbls>
            <c:delete val="1"/>
          </c:dLbls>
          <c:cat>
            <c:numRef>
              <c:f>Year!$A$2:$A$9</c:f>
              <c:numCache>
                <c:formatCode>General</c:formatCode>
                <c:ptCount val="8"/>
                <c:pt idx="0">
                  <c:v>2012</c:v>
                </c:pt>
                <c:pt idx="1">
                  <c:v>2013</c:v>
                </c:pt>
                <c:pt idx="2">
                  <c:v>2014</c:v>
                </c:pt>
                <c:pt idx="3">
                  <c:v>2015</c:v>
                </c:pt>
                <c:pt idx="4">
                  <c:v>2016</c:v>
                </c:pt>
                <c:pt idx="5">
                  <c:v>2017</c:v>
                </c:pt>
                <c:pt idx="6">
                  <c:v>2018</c:v>
                </c:pt>
                <c:pt idx="7">
                  <c:v>2019</c:v>
                </c:pt>
              </c:numCache>
            </c:numRef>
          </c:cat>
          <c:val>
            <c:numRef>
              <c:f>Year!$C$2:$C$9</c:f>
              <c:numCache>
                <c:formatCode>General</c:formatCode>
                <c:ptCount val="8"/>
                <c:pt idx="0">
                  <c:v>14</c:v>
                </c:pt>
                <c:pt idx="1">
                  <c:v>17</c:v>
                </c:pt>
                <c:pt idx="2">
                  <c:v>25</c:v>
                </c:pt>
                <c:pt idx="3">
                  <c:v>32</c:v>
                </c:pt>
                <c:pt idx="4">
                  <c:v>31</c:v>
                </c:pt>
                <c:pt idx="5">
                  <c:v>45</c:v>
                </c:pt>
                <c:pt idx="6">
                  <c:v>50</c:v>
                </c:pt>
                <c:pt idx="7">
                  <c:v>21</c:v>
                </c:pt>
              </c:numCache>
            </c:numRef>
          </c:val>
          <c:extLst>
            <c:ext xmlns:c16="http://schemas.microsoft.com/office/drawing/2014/chart" uri="{C3380CC4-5D6E-409C-BE32-E72D297353CC}">
              <c16:uniqueId val="{00000001-C682-46A3-ADC0-B0F461AD0716}"/>
            </c:ext>
          </c:extLst>
        </c:ser>
        <c:dLbls>
          <c:dLblPos val="outEnd"/>
          <c:showLegendKey val="0"/>
          <c:showVal val="1"/>
          <c:showCatName val="0"/>
          <c:showSerName val="0"/>
          <c:showPercent val="0"/>
          <c:showBubbleSize val="0"/>
        </c:dLbls>
        <c:gapWidth val="219"/>
        <c:overlap val="-27"/>
        <c:axId val="-1597329888"/>
        <c:axId val="-1597322816"/>
      </c:barChart>
      <c:catAx>
        <c:axId val="-15973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crossAx val="-1597322816"/>
        <c:crosses val="autoZero"/>
        <c:auto val="1"/>
        <c:lblAlgn val="ctr"/>
        <c:lblOffset val="100"/>
        <c:noMultiLvlLbl val="0"/>
      </c:catAx>
      <c:valAx>
        <c:axId val="-1597322816"/>
        <c:scaling>
          <c:orientation val="minMax"/>
          <c:max val="14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C"/>
          </a:p>
        </c:txPr>
        <c:crossAx val="-159732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pieChart>
        <c:varyColors val="1"/>
        <c:ser>
          <c:idx val="0"/>
          <c:order val="0"/>
          <c:tx>
            <c:strRef>
              <c:f>Authors!$H$3</c:f>
              <c:strCache>
                <c:ptCount val="1"/>
                <c:pt idx="0">
                  <c:v>#Authors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CD6-4B4A-A382-C907CD47C4FB}"/>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CD6-4B4A-A382-C907CD47C4FB}"/>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CD6-4B4A-A382-C907CD47C4FB}"/>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F320-4A70-AB22-877B29B5AB25}"/>
              </c:ext>
            </c:extLst>
          </c:dPt>
          <c:dLbls>
            <c:spPr>
              <a:noFill/>
              <a:ln>
                <a:noFill/>
              </a:ln>
              <a:effectLst/>
            </c:spPr>
            <c:txPr>
              <a:bodyPr rot="0" spcFirstLastPara="1" vertOverflow="ellipsis" vert="horz" wrap="square" anchor="ctr" anchorCtr="1"/>
              <a:lstStyle/>
              <a:p>
                <a:pPr>
                  <a:defRPr sz="10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Authors!$G$4:$G$7</c:f>
              <c:strCache>
                <c:ptCount val="4"/>
                <c:pt idx="0">
                  <c:v>Academia</c:v>
                </c:pt>
                <c:pt idx="1">
                  <c:v>Industry</c:v>
                </c:pt>
                <c:pt idx="2">
                  <c:v>Both</c:v>
                </c:pt>
                <c:pt idx="3">
                  <c:v>Freelance</c:v>
                </c:pt>
              </c:strCache>
            </c:strRef>
          </c:cat>
          <c:val>
            <c:numRef>
              <c:f>Authors!$H$4:$H$7</c:f>
              <c:numCache>
                <c:formatCode>General</c:formatCode>
                <c:ptCount val="4"/>
                <c:pt idx="0">
                  <c:v>221</c:v>
                </c:pt>
                <c:pt idx="1">
                  <c:v>5</c:v>
                </c:pt>
                <c:pt idx="2">
                  <c:v>8</c:v>
                </c:pt>
                <c:pt idx="3">
                  <c:v>1</c:v>
                </c:pt>
              </c:numCache>
            </c:numRef>
          </c:val>
          <c:extLst>
            <c:ext xmlns:c16="http://schemas.microsoft.com/office/drawing/2014/chart" uri="{C3380CC4-5D6E-409C-BE32-E72D297353CC}">
              <c16:uniqueId val="{00000000-4C2F-4915-92F2-647C62F80DA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sz="1000">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31525821772278467"/>
          <c:y val="3.8063917481479456E-2"/>
          <c:w val="0.41551531058617674"/>
          <c:h val="0.76794900017624856"/>
        </c:manualLayout>
      </c:layout>
      <c:barChart>
        <c:barDir val="col"/>
        <c:grouping val="clustered"/>
        <c:varyColors val="0"/>
        <c:ser>
          <c:idx val="0"/>
          <c:order val="0"/>
          <c:tx>
            <c:strRef>
              <c:f>Authors!$J$4</c:f>
              <c:strCache>
                <c:ptCount val="1"/>
                <c:pt idx="0">
                  <c:v>United States</c:v>
                </c:pt>
              </c:strCache>
            </c:strRef>
          </c:tx>
          <c:spPr>
            <a:solidFill>
              <a:schemeClr val="accent1">
                <a:alpha val="70000"/>
              </a:schemeClr>
            </a:solidFill>
            <a:ln>
              <a:noFill/>
            </a:ln>
            <a:effectLst/>
          </c:spPr>
          <c:invertIfNegative val="0"/>
          <c:dPt>
            <c:idx val="1"/>
            <c:invertIfNegative val="0"/>
            <c:bubble3D val="0"/>
            <c:extLst>
              <c:ext xmlns:c16="http://schemas.microsoft.com/office/drawing/2014/chart" uri="{C3380CC4-5D6E-409C-BE32-E72D297353CC}">
                <c16:uniqueId val="{00000003-EDE5-42A6-85E6-27ECE7028D7A}"/>
              </c:ext>
            </c:extLst>
          </c:dPt>
          <c:dPt>
            <c:idx val="2"/>
            <c:invertIfNegative val="0"/>
            <c:bubble3D val="0"/>
            <c:extLst>
              <c:ext xmlns:c16="http://schemas.microsoft.com/office/drawing/2014/chart" uri="{C3380CC4-5D6E-409C-BE32-E72D297353CC}">
                <c16:uniqueId val="{00000005-EDE5-42A6-85E6-27ECE7028D7A}"/>
              </c:ext>
            </c:extLst>
          </c:dPt>
          <c:dPt>
            <c:idx val="3"/>
            <c:invertIfNegative val="0"/>
            <c:bubble3D val="0"/>
            <c:extLst>
              <c:ext xmlns:c16="http://schemas.microsoft.com/office/drawing/2014/chart" uri="{C3380CC4-5D6E-409C-BE32-E72D297353CC}">
                <c16:uniqueId val="{00000007-EDE5-42A6-85E6-27ECE7028D7A}"/>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Authors!$K$4</c:f>
              <c:numCache>
                <c:formatCode>General</c:formatCode>
                <c:ptCount val="1"/>
                <c:pt idx="0">
                  <c:v>40</c:v>
                </c:pt>
              </c:numCache>
            </c:numRef>
          </c:val>
          <c:extLst>
            <c:ext xmlns:c16="http://schemas.microsoft.com/office/drawing/2014/chart" uri="{C3380CC4-5D6E-409C-BE32-E72D297353CC}">
              <c16:uniqueId val="{00000000-C9C8-4B77-822A-DAC6878AF95D}"/>
            </c:ext>
          </c:extLst>
        </c:ser>
        <c:ser>
          <c:idx val="1"/>
          <c:order val="1"/>
          <c:tx>
            <c:strRef>
              <c:f>Authors!$J$5</c:f>
              <c:strCache>
                <c:ptCount val="1"/>
                <c:pt idx="0">
                  <c:v>Canada</c:v>
                </c:pt>
              </c:strCache>
            </c:strRef>
          </c:tx>
          <c:spPr>
            <a:solidFill>
              <a:schemeClr val="accent2">
                <a:alpha val="70000"/>
              </a:schemeClr>
            </a:solidFill>
            <a:ln>
              <a:noFill/>
            </a:ln>
            <a:effectLst/>
          </c:spPr>
          <c:invertIfNegative val="0"/>
          <c:dPt>
            <c:idx val="0"/>
            <c:invertIfNegative val="0"/>
            <c:bubble3D val="0"/>
            <c:extLst>
              <c:ext xmlns:c16="http://schemas.microsoft.com/office/drawing/2014/chart" uri="{C3380CC4-5D6E-409C-BE32-E72D297353CC}">
                <c16:uniqueId val="{00000003-0BFC-465A-A2E3-6549270E2198}"/>
              </c:ext>
            </c:extLst>
          </c:dPt>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Authors!$K$5</c:f>
              <c:numCache>
                <c:formatCode>General</c:formatCode>
                <c:ptCount val="1"/>
                <c:pt idx="0">
                  <c:v>23</c:v>
                </c:pt>
              </c:numCache>
            </c:numRef>
          </c:val>
          <c:extLst>
            <c:ext xmlns:c16="http://schemas.microsoft.com/office/drawing/2014/chart" uri="{C3380CC4-5D6E-409C-BE32-E72D297353CC}">
              <c16:uniqueId val="{00000008-DBAC-485E-8A0B-15FFF8D46247}"/>
            </c:ext>
          </c:extLst>
        </c:ser>
        <c:ser>
          <c:idx val="2"/>
          <c:order val="2"/>
          <c:tx>
            <c:strRef>
              <c:f>Authors!$J$6</c:f>
              <c:strCache>
                <c:ptCount val="1"/>
                <c:pt idx="0">
                  <c:v>Brazil</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Authors!$K$6</c:f>
              <c:numCache>
                <c:formatCode>General</c:formatCode>
                <c:ptCount val="1"/>
                <c:pt idx="0">
                  <c:v>23</c:v>
                </c:pt>
              </c:numCache>
            </c:numRef>
          </c:val>
          <c:extLst>
            <c:ext xmlns:c16="http://schemas.microsoft.com/office/drawing/2014/chart" uri="{C3380CC4-5D6E-409C-BE32-E72D297353CC}">
              <c16:uniqueId val="{00000009-DBAC-485E-8A0B-15FFF8D46247}"/>
            </c:ext>
          </c:extLst>
        </c:ser>
        <c:ser>
          <c:idx val="3"/>
          <c:order val="3"/>
          <c:tx>
            <c:strRef>
              <c:f>Authors!$J$7</c:f>
              <c:strCache>
                <c:ptCount val="1"/>
                <c:pt idx="0">
                  <c:v>China</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Authors!$K$7</c:f>
              <c:numCache>
                <c:formatCode>General</c:formatCode>
                <c:ptCount val="1"/>
                <c:pt idx="0">
                  <c:v>21</c:v>
                </c:pt>
              </c:numCache>
            </c:numRef>
          </c:val>
          <c:extLst>
            <c:ext xmlns:c16="http://schemas.microsoft.com/office/drawing/2014/chart" uri="{C3380CC4-5D6E-409C-BE32-E72D297353CC}">
              <c16:uniqueId val="{0000000A-DBAC-485E-8A0B-15FFF8D46247}"/>
            </c:ext>
          </c:extLst>
        </c:ser>
        <c:ser>
          <c:idx val="4"/>
          <c:order val="4"/>
          <c:tx>
            <c:strRef>
              <c:f>Authors!$J$8</c:f>
              <c:strCache>
                <c:ptCount val="1"/>
                <c:pt idx="0">
                  <c:v>Japan</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Authors!$K$8</c:f>
              <c:numCache>
                <c:formatCode>General</c:formatCode>
                <c:ptCount val="1"/>
                <c:pt idx="0">
                  <c:v>18</c:v>
                </c:pt>
              </c:numCache>
            </c:numRef>
          </c:val>
          <c:extLst>
            <c:ext xmlns:c16="http://schemas.microsoft.com/office/drawing/2014/chart" uri="{C3380CC4-5D6E-409C-BE32-E72D297353CC}">
              <c16:uniqueId val="{0000000B-DBAC-485E-8A0B-15FFF8D46247}"/>
            </c:ext>
          </c:extLst>
        </c:ser>
        <c:ser>
          <c:idx val="5"/>
          <c:order val="5"/>
          <c:tx>
            <c:strRef>
              <c:f>Authors!$J$9</c:f>
              <c:strCache>
                <c:ptCount val="1"/>
                <c:pt idx="0">
                  <c:v>India</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Authors!$K$9</c:f>
              <c:numCache>
                <c:formatCode>General</c:formatCode>
                <c:ptCount val="1"/>
                <c:pt idx="0">
                  <c:v>17</c:v>
                </c:pt>
              </c:numCache>
            </c:numRef>
          </c:val>
          <c:extLst>
            <c:ext xmlns:c16="http://schemas.microsoft.com/office/drawing/2014/chart" uri="{C3380CC4-5D6E-409C-BE32-E72D297353CC}">
              <c16:uniqueId val="{0000000C-DBAC-485E-8A0B-15FFF8D46247}"/>
            </c:ext>
          </c:extLst>
        </c:ser>
        <c:ser>
          <c:idx val="6"/>
          <c:order val="6"/>
          <c:tx>
            <c:strRef>
              <c:f>Authors!$J$10</c:f>
              <c:strCache>
                <c:ptCount val="1"/>
                <c:pt idx="0">
                  <c:v>Italy</c:v>
                </c:pt>
              </c:strCache>
            </c:strRef>
          </c:tx>
          <c:spPr>
            <a:solidFill>
              <a:schemeClr val="accent1">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Authors!$K$10</c:f>
              <c:numCache>
                <c:formatCode>General</c:formatCode>
                <c:ptCount val="1"/>
                <c:pt idx="0">
                  <c:v>9</c:v>
                </c:pt>
              </c:numCache>
            </c:numRef>
          </c:val>
          <c:extLst>
            <c:ext xmlns:c16="http://schemas.microsoft.com/office/drawing/2014/chart" uri="{C3380CC4-5D6E-409C-BE32-E72D297353CC}">
              <c16:uniqueId val="{0000000D-DBAC-485E-8A0B-15FFF8D46247}"/>
            </c:ext>
          </c:extLst>
        </c:ser>
        <c:ser>
          <c:idx val="7"/>
          <c:order val="7"/>
          <c:tx>
            <c:strRef>
              <c:f>Authors!$J$11</c:f>
              <c:strCache>
                <c:ptCount val="1"/>
                <c:pt idx="0">
                  <c:v>Germany</c:v>
                </c:pt>
              </c:strCache>
            </c:strRef>
          </c:tx>
          <c:spPr>
            <a:solidFill>
              <a:schemeClr val="accent2">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Authors!$K$11</c:f>
              <c:numCache>
                <c:formatCode>General</c:formatCode>
                <c:ptCount val="1"/>
                <c:pt idx="0">
                  <c:v>9</c:v>
                </c:pt>
              </c:numCache>
            </c:numRef>
          </c:val>
          <c:extLst>
            <c:ext xmlns:c16="http://schemas.microsoft.com/office/drawing/2014/chart" uri="{C3380CC4-5D6E-409C-BE32-E72D297353CC}">
              <c16:uniqueId val="{0000000E-DBAC-485E-8A0B-15FFF8D46247}"/>
            </c:ext>
          </c:extLst>
        </c:ser>
        <c:ser>
          <c:idx val="8"/>
          <c:order val="8"/>
          <c:tx>
            <c:strRef>
              <c:f>Authors!$J$12</c:f>
              <c:strCache>
                <c:ptCount val="1"/>
                <c:pt idx="0">
                  <c:v>France</c:v>
                </c:pt>
              </c:strCache>
            </c:strRef>
          </c:tx>
          <c:spPr>
            <a:solidFill>
              <a:schemeClr val="accent3">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Authors!$K$12</c:f>
              <c:numCache>
                <c:formatCode>General</c:formatCode>
                <c:ptCount val="1"/>
                <c:pt idx="0">
                  <c:v>5</c:v>
                </c:pt>
              </c:numCache>
            </c:numRef>
          </c:val>
          <c:extLst>
            <c:ext xmlns:c16="http://schemas.microsoft.com/office/drawing/2014/chart" uri="{C3380CC4-5D6E-409C-BE32-E72D297353CC}">
              <c16:uniqueId val="{0000000F-DBAC-485E-8A0B-15FFF8D46247}"/>
            </c:ext>
          </c:extLst>
        </c:ser>
        <c:ser>
          <c:idx val="9"/>
          <c:order val="9"/>
          <c:tx>
            <c:strRef>
              <c:f>Authors!$J$13</c:f>
              <c:strCache>
                <c:ptCount val="1"/>
                <c:pt idx="0">
                  <c:v>Spain</c:v>
                </c:pt>
              </c:strCache>
            </c:strRef>
          </c:tx>
          <c:spPr>
            <a:solidFill>
              <a:schemeClr val="accent4">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Authors!$K$13</c:f>
              <c:numCache>
                <c:formatCode>General</c:formatCode>
                <c:ptCount val="1"/>
                <c:pt idx="0">
                  <c:v>5</c:v>
                </c:pt>
              </c:numCache>
            </c:numRef>
          </c:val>
          <c:extLst>
            <c:ext xmlns:c16="http://schemas.microsoft.com/office/drawing/2014/chart" uri="{C3380CC4-5D6E-409C-BE32-E72D297353CC}">
              <c16:uniqueId val="{00000010-DBAC-485E-8A0B-15FFF8D46247}"/>
            </c:ext>
          </c:extLst>
        </c:ser>
        <c:ser>
          <c:idx val="10"/>
          <c:order val="10"/>
          <c:tx>
            <c:strRef>
              <c:f>Authors!$J$14</c:f>
              <c:strCache>
                <c:ptCount val="1"/>
                <c:pt idx="0">
                  <c:v>New Zealand</c:v>
                </c:pt>
              </c:strCache>
            </c:strRef>
          </c:tx>
          <c:spPr>
            <a:solidFill>
              <a:schemeClr val="accent5">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Authors!$K$14</c:f>
              <c:numCache>
                <c:formatCode>General</c:formatCode>
                <c:ptCount val="1"/>
                <c:pt idx="0">
                  <c:v>5</c:v>
                </c:pt>
              </c:numCache>
            </c:numRef>
          </c:val>
          <c:extLst>
            <c:ext xmlns:c16="http://schemas.microsoft.com/office/drawing/2014/chart" uri="{C3380CC4-5D6E-409C-BE32-E72D297353CC}">
              <c16:uniqueId val="{00000011-DBAC-485E-8A0B-15FFF8D46247}"/>
            </c:ext>
          </c:extLst>
        </c:ser>
        <c:ser>
          <c:idx val="11"/>
          <c:order val="11"/>
          <c:tx>
            <c:strRef>
              <c:f>Authors!$J$15</c:f>
              <c:strCache>
                <c:ptCount val="1"/>
                <c:pt idx="0">
                  <c:v>Switzerland</c:v>
                </c:pt>
              </c:strCache>
            </c:strRef>
          </c:tx>
          <c:spPr>
            <a:solidFill>
              <a:schemeClr val="accent6">
                <a:lumMod val="6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Authors!$K$15</c:f>
              <c:numCache>
                <c:formatCode>General</c:formatCode>
                <c:ptCount val="1"/>
                <c:pt idx="0">
                  <c:v>5</c:v>
                </c:pt>
              </c:numCache>
            </c:numRef>
          </c:val>
          <c:extLst>
            <c:ext xmlns:c16="http://schemas.microsoft.com/office/drawing/2014/chart" uri="{C3380CC4-5D6E-409C-BE32-E72D297353CC}">
              <c16:uniqueId val="{00000012-DBAC-485E-8A0B-15FFF8D46247}"/>
            </c:ext>
          </c:extLst>
        </c:ser>
        <c:ser>
          <c:idx val="12"/>
          <c:order val="12"/>
          <c:tx>
            <c:strRef>
              <c:f>Authors!$J$16</c:f>
              <c:strCache>
                <c:ptCount val="1"/>
                <c:pt idx="0">
                  <c:v>Sweden</c:v>
                </c:pt>
              </c:strCache>
            </c:strRef>
          </c:tx>
          <c:spPr>
            <a:solidFill>
              <a:schemeClr val="accent1">
                <a:lumMod val="80000"/>
                <a:lumOff val="2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Authors!$K$16</c:f>
              <c:numCache>
                <c:formatCode>General</c:formatCode>
                <c:ptCount val="1"/>
                <c:pt idx="0">
                  <c:v>3</c:v>
                </c:pt>
              </c:numCache>
            </c:numRef>
          </c:val>
          <c:extLst>
            <c:ext xmlns:c16="http://schemas.microsoft.com/office/drawing/2014/chart" uri="{C3380CC4-5D6E-409C-BE32-E72D297353CC}">
              <c16:uniqueId val="{00000013-DBAC-485E-8A0B-15FFF8D46247}"/>
            </c:ext>
          </c:extLst>
        </c:ser>
        <c:ser>
          <c:idx val="13"/>
          <c:order val="13"/>
          <c:tx>
            <c:strRef>
              <c:f>Authors!$J$17</c:f>
              <c:strCache>
                <c:ptCount val="1"/>
                <c:pt idx="0">
                  <c:v>Belgium</c:v>
                </c:pt>
              </c:strCache>
            </c:strRef>
          </c:tx>
          <c:spPr>
            <a:solidFill>
              <a:schemeClr val="accent2">
                <a:lumMod val="80000"/>
                <a:lumOff val="2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Authors!$K$17</c:f>
              <c:numCache>
                <c:formatCode>General</c:formatCode>
                <c:ptCount val="1"/>
                <c:pt idx="0">
                  <c:v>2</c:v>
                </c:pt>
              </c:numCache>
            </c:numRef>
          </c:val>
          <c:extLst>
            <c:ext xmlns:c16="http://schemas.microsoft.com/office/drawing/2014/chart" uri="{C3380CC4-5D6E-409C-BE32-E72D297353CC}">
              <c16:uniqueId val="{00000014-DBAC-485E-8A0B-15FFF8D46247}"/>
            </c:ext>
          </c:extLst>
        </c:ser>
        <c:ser>
          <c:idx val="14"/>
          <c:order val="14"/>
          <c:tx>
            <c:strRef>
              <c:f>Authors!$J$18</c:f>
              <c:strCache>
                <c:ptCount val="1"/>
                <c:pt idx="0">
                  <c:v>United Kingdom</c:v>
                </c:pt>
              </c:strCache>
            </c:strRef>
          </c:tx>
          <c:spPr>
            <a:solidFill>
              <a:schemeClr val="accent3">
                <a:lumMod val="80000"/>
                <a:lumOff val="2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Authors!$K$18</c:f>
              <c:numCache>
                <c:formatCode>General</c:formatCode>
                <c:ptCount val="1"/>
                <c:pt idx="0">
                  <c:v>2</c:v>
                </c:pt>
              </c:numCache>
            </c:numRef>
          </c:val>
          <c:extLst>
            <c:ext xmlns:c16="http://schemas.microsoft.com/office/drawing/2014/chart" uri="{C3380CC4-5D6E-409C-BE32-E72D297353CC}">
              <c16:uniqueId val="{00000015-DBAC-485E-8A0B-15FFF8D46247}"/>
            </c:ext>
          </c:extLst>
        </c:ser>
        <c:ser>
          <c:idx val="15"/>
          <c:order val="15"/>
          <c:tx>
            <c:strRef>
              <c:f>Authors!$J$19</c:f>
              <c:strCache>
                <c:ptCount val="1"/>
                <c:pt idx="0">
                  <c:v>Norway</c:v>
                </c:pt>
              </c:strCache>
            </c:strRef>
          </c:tx>
          <c:spPr>
            <a:solidFill>
              <a:schemeClr val="accent4">
                <a:lumMod val="80000"/>
                <a:lumOff val="2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Authors!$K$19</c:f>
              <c:numCache>
                <c:formatCode>General</c:formatCode>
                <c:ptCount val="1"/>
                <c:pt idx="0">
                  <c:v>2</c:v>
                </c:pt>
              </c:numCache>
            </c:numRef>
          </c:val>
          <c:extLst>
            <c:ext xmlns:c16="http://schemas.microsoft.com/office/drawing/2014/chart" uri="{C3380CC4-5D6E-409C-BE32-E72D297353CC}">
              <c16:uniqueId val="{00000016-DBAC-485E-8A0B-15FFF8D46247}"/>
            </c:ext>
          </c:extLst>
        </c:ser>
        <c:ser>
          <c:idx val="16"/>
          <c:order val="16"/>
          <c:tx>
            <c:strRef>
              <c:f>Authors!$J$20</c:f>
              <c:strCache>
                <c:ptCount val="1"/>
                <c:pt idx="0">
                  <c:v>Estonia</c:v>
                </c:pt>
              </c:strCache>
            </c:strRef>
          </c:tx>
          <c:spPr>
            <a:solidFill>
              <a:schemeClr val="accent5">
                <a:lumMod val="80000"/>
                <a:lumOff val="20000"/>
                <a:alpha val="70000"/>
              </a:scheme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s-EC"/>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Authors!$K$3</c:f>
              <c:strCache>
                <c:ptCount val="1"/>
                <c:pt idx="0">
                  <c:v>#Authors from Industry</c:v>
                </c:pt>
              </c:strCache>
            </c:strRef>
          </c:cat>
          <c:val>
            <c:numRef>
              <c:f>Authors!$K$20</c:f>
              <c:numCache>
                <c:formatCode>General</c:formatCode>
                <c:ptCount val="1"/>
                <c:pt idx="0">
                  <c:v>1</c:v>
                </c:pt>
              </c:numCache>
            </c:numRef>
          </c:val>
          <c:extLst>
            <c:ext xmlns:c16="http://schemas.microsoft.com/office/drawing/2014/chart" uri="{C3380CC4-5D6E-409C-BE32-E72D297353CC}">
              <c16:uniqueId val="{00000017-DBAC-485E-8A0B-15FFF8D46247}"/>
            </c:ext>
          </c:extLst>
        </c:ser>
        <c:dLbls>
          <c:dLblPos val="inEnd"/>
          <c:showLegendKey val="0"/>
          <c:showVal val="1"/>
          <c:showCatName val="0"/>
          <c:showSerName val="0"/>
          <c:showPercent val="0"/>
          <c:showBubbleSize val="0"/>
        </c:dLbls>
        <c:gapWidth val="80"/>
        <c:overlap val="25"/>
        <c:axId val="1409682751"/>
        <c:axId val="1540067775"/>
      </c:barChart>
      <c:catAx>
        <c:axId val="1409682751"/>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cap="none" spc="20" normalizeH="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crossAx val="1540067775"/>
        <c:crosses val="autoZero"/>
        <c:auto val="1"/>
        <c:lblAlgn val="ctr"/>
        <c:lblOffset val="100"/>
        <c:noMultiLvlLbl val="0"/>
      </c:catAx>
      <c:valAx>
        <c:axId val="154006777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crossAx val="1409682751"/>
        <c:crosses val="autoZero"/>
        <c:crossBetween val="between"/>
      </c:valAx>
      <c:spPr>
        <a:noFill/>
        <a:ln>
          <a:noFill/>
        </a:ln>
        <a:effectLst/>
      </c:spPr>
    </c:plotArea>
    <c:legend>
      <c:legendPos val="b"/>
      <c:layout>
        <c:manualLayout>
          <c:xMode val="edge"/>
          <c:yMode val="edge"/>
          <c:x val="0.79163005768766936"/>
          <c:y val="5.479069024738692E-2"/>
          <c:w val="0.18289612565738231"/>
          <c:h val="0.761830761730196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000">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r>
              <a:rPr lang="en-US" sz="1200" b="1"/>
              <a:t>RQ1. Type information Input</a:t>
            </a:r>
          </a:p>
        </c:rich>
      </c:tx>
      <c:layout>
        <c:manualLayout>
          <c:xMode val="edge"/>
          <c:yMode val="edge"/>
          <c:x val="0.36249226190476186"/>
          <c:y val="1.430180180180180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21864260826438969"/>
          <c:y val="6.9839549339549334E-2"/>
          <c:w val="0.7202774803119758"/>
          <c:h val="0.83035295260295261"/>
        </c:manualLayout>
      </c:layout>
      <c:barChart>
        <c:barDir val="bar"/>
        <c:grouping val="clustered"/>
        <c:varyColors val="0"/>
        <c:ser>
          <c:idx val="0"/>
          <c:order val="0"/>
          <c:spPr>
            <a:solidFill>
              <a:schemeClr val="accent1"/>
            </a:solidFill>
            <a:ln>
              <a:noFill/>
            </a:ln>
            <a:effectLst/>
          </c:spPr>
          <c:invertIfNegative val="0"/>
          <c:cat>
            <c:strRef>
              <c:f>Input!$B$5:$B$18</c:f>
              <c:strCache>
                <c:ptCount val="14"/>
                <c:pt idx="0">
                  <c:v>Graphs/News Feed</c:v>
                </c:pt>
                <c:pt idx="1">
                  <c:v>Logs</c:v>
                </c:pt>
                <c:pt idx="2">
                  <c:v>Proyect Features Info</c:v>
                </c:pt>
                <c:pt idx="3">
                  <c:v>Level of interest</c:v>
                </c:pt>
                <c:pt idx="4">
                  <c:v>Informal Information</c:v>
                </c:pt>
                <c:pt idx="5">
                  <c:v>Commiters</c:v>
                </c:pt>
                <c:pt idx="6">
                  <c:v>Pulls/ Pulls request</c:v>
                </c:pt>
                <c:pt idx="7">
                  <c:v>Defects</c:v>
                </c:pt>
                <c:pt idx="8">
                  <c:v>Branches</c:v>
                </c:pt>
                <c:pt idx="9">
                  <c:v>Comments</c:v>
                </c:pt>
                <c:pt idx="10">
                  <c:v>Issue</c:v>
                </c:pt>
                <c:pt idx="11">
                  <c:v>Repository info</c:v>
                </c:pt>
                <c:pt idx="12">
                  <c:v>Source Code</c:v>
                </c:pt>
                <c:pt idx="13">
                  <c:v>Commit data</c:v>
                </c:pt>
              </c:strCache>
            </c:strRef>
          </c:cat>
          <c:val>
            <c:numRef>
              <c:f>Input!$I$5:$I$18</c:f>
              <c:numCache>
                <c:formatCode>General</c:formatCode>
                <c:ptCount val="14"/>
                <c:pt idx="0">
                  <c:v>2</c:v>
                </c:pt>
                <c:pt idx="1">
                  <c:v>5</c:v>
                </c:pt>
                <c:pt idx="2">
                  <c:v>6</c:v>
                </c:pt>
                <c:pt idx="3">
                  <c:v>6</c:v>
                </c:pt>
                <c:pt idx="4">
                  <c:v>8</c:v>
                </c:pt>
                <c:pt idx="5">
                  <c:v>12</c:v>
                </c:pt>
                <c:pt idx="6">
                  <c:v>13</c:v>
                </c:pt>
                <c:pt idx="7">
                  <c:v>13</c:v>
                </c:pt>
                <c:pt idx="8">
                  <c:v>13</c:v>
                </c:pt>
                <c:pt idx="9">
                  <c:v>16</c:v>
                </c:pt>
                <c:pt idx="10">
                  <c:v>19</c:v>
                </c:pt>
                <c:pt idx="11">
                  <c:v>23</c:v>
                </c:pt>
                <c:pt idx="12">
                  <c:v>90</c:v>
                </c:pt>
                <c:pt idx="13">
                  <c:v>115</c:v>
                </c:pt>
              </c:numCache>
            </c:numRef>
          </c:val>
          <c:extLst>
            <c:ext xmlns:c16="http://schemas.microsoft.com/office/drawing/2014/chart" uri="{C3380CC4-5D6E-409C-BE32-E72D297353CC}">
              <c16:uniqueId val="{00000000-9813-4FF4-A396-912A0283D319}"/>
            </c:ext>
          </c:extLst>
        </c:ser>
        <c:dLbls>
          <c:showLegendKey val="0"/>
          <c:showVal val="0"/>
          <c:showCatName val="0"/>
          <c:showSerName val="0"/>
          <c:showPercent val="0"/>
          <c:showBubbleSize val="0"/>
        </c:dLbls>
        <c:gapWidth val="182"/>
        <c:axId val="-1597337504"/>
        <c:axId val="-1597330432"/>
      </c:barChart>
      <c:catAx>
        <c:axId val="-1597337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30432"/>
        <c:crosses val="autoZero"/>
        <c:auto val="1"/>
        <c:lblAlgn val="ctr"/>
        <c:lblOffset val="100"/>
        <c:noMultiLvlLbl val="0"/>
      </c:catAx>
      <c:valAx>
        <c:axId val="-1597330432"/>
        <c:scaling>
          <c:orientation val="minMax"/>
          <c:max val="12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37504"/>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chemeClr val="tx1">
              <a:lumMod val="95000"/>
              <a:lumOff val="5000"/>
            </a:schemeClr>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r>
              <a:rPr lang="en-US" sz="1200" b="1"/>
              <a:t>RQ2. Methods / techniques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30844812540025418"/>
          <c:y val="8.7940841865756542E-2"/>
          <c:w val="0.66524768474737117"/>
          <c:h val="0.86416006019725355"/>
        </c:manualLayout>
      </c:layout>
      <c:barChart>
        <c:barDir val="bar"/>
        <c:grouping val="clustered"/>
        <c:varyColors val="0"/>
        <c:ser>
          <c:idx val="0"/>
          <c:order val="0"/>
          <c:tx>
            <c:v>Methods / Techniques</c:v>
          </c:tx>
          <c:spPr>
            <a:solidFill>
              <a:schemeClr val="accent1"/>
            </a:solidFill>
            <a:ln>
              <a:noFill/>
            </a:ln>
            <a:effectLst/>
          </c:spPr>
          <c:invertIfNegative val="0"/>
          <c:cat>
            <c:strRef>
              <c:f>'Methods-Techniques'!$B$2:$B$12</c:f>
              <c:strCache>
                <c:ptCount val="11"/>
                <c:pt idx="0">
                  <c:v>Testing-based techniques</c:v>
                </c:pt>
                <c:pt idx="1">
                  <c:v>Heuristical techniques</c:v>
                </c:pt>
                <c:pt idx="2">
                  <c:v>Reverse Engineering</c:v>
                </c:pt>
                <c:pt idx="3">
                  <c:v>Prediction</c:v>
                </c:pt>
                <c:pt idx="4">
                  <c:v>Qualitative analyses</c:v>
                </c:pt>
                <c:pt idx="5">
                  <c:v>Data mining</c:v>
                </c:pt>
                <c:pt idx="6">
                  <c:v>Ad Hoc Algorithms</c:v>
                </c:pt>
                <c:pt idx="7">
                  <c:v>Statistical analyses</c:v>
                </c:pt>
                <c:pt idx="8">
                  <c:v>Artificial Intelligence / Machine Learning</c:v>
                </c:pt>
                <c:pt idx="9">
                  <c:v>Automatic</c:v>
                </c:pt>
                <c:pt idx="10">
                  <c:v>Empirical/ Experimental</c:v>
                </c:pt>
              </c:strCache>
            </c:strRef>
          </c:cat>
          <c:val>
            <c:numRef>
              <c:f>'Methods-Techniques'!$U$2:$U$12</c:f>
              <c:numCache>
                <c:formatCode>General</c:formatCode>
                <c:ptCount val="11"/>
                <c:pt idx="0">
                  <c:v>4</c:v>
                </c:pt>
                <c:pt idx="1">
                  <c:v>6</c:v>
                </c:pt>
                <c:pt idx="2">
                  <c:v>6</c:v>
                </c:pt>
                <c:pt idx="3">
                  <c:v>8</c:v>
                </c:pt>
                <c:pt idx="4">
                  <c:v>9</c:v>
                </c:pt>
                <c:pt idx="5">
                  <c:v>15</c:v>
                </c:pt>
                <c:pt idx="6">
                  <c:v>23</c:v>
                </c:pt>
                <c:pt idx="7">
                  <c:v>24</c:v>
                </c:pt>
                <c:pt idx="8">
                  <c:v>29</c:v>
                </c:pt>
                <c:pt idx="9">
                  <c:v>29</c:v>
                </c:pt>
                <c:pt idx="10">
                  <c:v>93</c:v>
                </c:pt>
              </c:numCache>
            </c:numRef>
          </c:val>
          <c:extLst>
            <c:ext xmlns:c16="http://schemas.microsoft.com/office/drawing/2014/chart" uri="{C3380CC4-5D6E-409C-BE32-E72D297353CC}">
              <c16:uniqueId val="{00000000-2058-4564-90B7-32034EF0A9D0}"/>
            </c:ext>
          </c:extLst>
        </c:ser>
        <c:dLbls>
          <c:showLegendKey val="0"/>
          <c:showVal val="0"/>
          <c:showCatName val="0"/>
          <c:showSerName val="0"/>
          <c:showPercent val="0"/>
          <c:showBubbleSize val="0"/>
        </c:dLbls>
        <c:gapWidth val="182"/>
        <c:axId val="-1597326624"/>
        <c:axId val="-1597332608"/>
      </c:barChart>
      <c:catAx>
        <c:axId val="-159732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32608"/>
        <c:crosses val="autoZero"/>
        <c:auto val="1"/>
        <c:lblAlgn val="ctr"/>
        <c:lblOffset val="100"/>
        <c:noMultiLvlLbl val="0"/>
      </c:catAx>
      <c:valAx>
        <c:axId val="-1597332608"/>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2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chemeClr val="tx1">
              <a:lumMod val="95000"/>
              <a:lumOff val="5000"/>
            </a:schemeClr>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r>
              <a:rPr lang="en-US" sz="1200" b="1"/>
              <a:t>Artificial Intelligence / Machine Learning</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30844812540025418"/>
          <c:y val="8.7940841865756542E-2"/>
          <c:w val="0.66524768474737117"/>
          <c:h val="0.86416006019725355"/>
        </c:manualLayout>
      </c:layout>
      <c:barChart>
        <c:barDir val="bar"/>
        <c:grouping val="clustered"/>
        <c:varyColors val="0"/>
        <c:ser>
          <c:idx val="0"/>
          <c:order val="0"/>
          <c:tx>
            <c:strRef>
              <c:f>SubCategorieIA!$E$2</c:f>
              <c:strCache>
                <c:ptCount val="1"/>
                <c:pt idx="0">
                  <c:v># studies</c:v>
                </c:pt>
              </c:strCache>
            </c:strRef>
          </c:tx>
          <c:spPr>
            <a:solidFill>
              <a:schemeClr val="accent1"/>
            </a:solidFill>
            <a:ln>
              <a:noFill/>
            </a:ln>
            <a:effectLst/>
          </c:spPr>
          <c:invertIfNegative val="0"/>
          <c:cat>
            <c:strRef>
              <c:f>SubCategorieIA!$C$3:$C$20</c:f>
              <c:strCache>
                <c:ptCount val="18"/>
                <c:pt idx="0">
                  <c:v>Random Forest Classifier</c:v>
                </c:pt>
                <c:pt idx="1">
                  <c:v>Natural language processing (NLP)</c:v>
                </c:pt>
                <c:pt idx="2">
                  <c:v>Bayesian classifier</c:v>
                </c:pt>
                <c:pt idx="3">
                  <c:v>Search-based genetic algorithm</c:v>
                </c:pt>
                <c:pt idx="4">
                  <c:v>Latent Dirichlet Allocation (LDA)</c:v>
                </c:pt>
                <c:pt idx="5">
                  <c:v>Naive Bayes-based approach</c:v>
                </c:pt>
                <c:pt idx="6">
                  <c:v>Artificial Intelligence</c:v>
                </c:pt>
                <c:pt idx="7">
                  <c:v>Statistical learner</c:v>
                </c:pt>
                <c:pt idx="8">
                  <c:v>Sentiments analysis tools</c:v>
                </c:pt>
                <c:pt idx="9">
                  <c:v>Deep model structur(convolutional Neural Network)</c:v>
                </c:pt>
                <c:pt idx="10">
                  <c:v>Rule-based technique</c:v>
                </c:pt>
                <c:pt idx="11">
                  <c:v>semantics-based methodology</c:v>
                </c:pt>
                <c:pt idx="12">
                  <c:v>SGDClassifer</c:v>
                </c:pt>
                <c:pt idx="13">
                  <c:v>Machine Learning techniques</c:v>
                </c:pt>
                <c:pt idx="14">
                  <c:v>Hoeffding Tree classification method</c:v>
                </c:pt>
                <c:pt idx="15">
                  <c:v>Dynamic Topic Models</c:v>
                </c:pt>
                <c:pt idx="16">
                  <c:v>Naive Bayes Classifier</c:v>
                </c:pt>
                <c:pt idx="17">
                  <c:v>Gradient Boosting Machine</c:v>
                </c:pt>
              </c:strCache>
            </c:strRef>
          </c:cat>
          <c:val>
            <c:numRef>
              <c:f>SubCategorieIA!$E$3:$E$20</c:f>
              <c:numCache>
                <c:formatCode>General</c:formatCode>
                <c:ptCount val="18"/>
                <c:pt idx="0">
                  <c:v>4</c:v>
                </c:pt>
                <c:pt idx="1">
                  <c:v>3</c:v>
                </c:pt>
                <c:pt idx="2">
                  <c:v>2</c:v>
                </c:pt>
                <c:pt idx="3">
                  <c:v>2</c:v>
                </c:pt>
                <c:pt idx="4">
                  <c:v>2</c:v>
                </c:pt>
                <c:pt idx="5">
                  <c:v>2</c:v>
                </c:pt>
                <c:pt idx="6">
                  <c:v>2</c:v>
                </c:pt>
                <c:pt idx="7">
                  <c:v>2</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00-C428-4076-B8E1-8714DDFB1A2A}"/>
            </c:ext>
          </c:extLst>
        </c:ser>
        <c:dLbls>
          <c:showLegendKey val="0"/>
          <c:showVal val="0"/>
          <c:showCatName val="0"/>
          <c:showSerName val="0"/>
          <c:showPercent val="0"/>
          <c:showBubbleSize val="0"/>
        </c:dLbls>
        <c:gapWidth val="182"/>
        <c:axId val="-1597326624"/>
        <c:axId val="-1597332608"/>
      </c:barChart>
      <c:catAx>
        <c:axId val="-1597326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32608"/>
        <c:crosses val="autoZero"/>
        <c:auto val="1"/>
        <c:lblAlgn val="ctr"/>
        <c:lblOffset val="100"/>
        <c:noMultiLvlLbl val="0"/>
      </c:catAx>
      <c:valAx>
        <c:axId val="-1597332608"/>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26624"/>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chemeClr val="tx1">
              <a:lumMod val="95000"/>
              <a:lumOff val="5000"/>
            </a:schemeClr>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r>
              <a:rPr lang="en-US" sz="1200" b="1"/>
              <a:t>RQ3. </a:t>
            </a:r>
            <a:r>
              <a:rPr lang="es-EC" sz="1200" b="1"/>
              <a:t>Information extracted/derived</a:t>
            </a:r>
          </a:p>
        </c:rich>
      </c:tx>
      <c:overlay val="0"/>
      <c:spPr>
        <a:noFill/>
        <a:ln>
          <a:noFill/>
        </a:ln>
        <a:effectLst/>
      </c:spPr>
      <c:txPr>
        <a:bodyPr rot="0" spcFirstLastPara="1" vertOverflow="ellipsis" vert="horz" wrap="square" anchor="ctr" anchorCtr="1"/>
        <a:lstStyle/>
        <a:p>
          <a:pPr algn="ctr" rtl="0">
            <a:defRPr sz="12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bar"/>
        <c:grouping val="clustered"/>
        <c:varyColors val="0"/>
        <c:ser>
          <c:idx val="0"/>
          <c:order val="0"/>
          <c:spPr>
            <a:solidFill>
              <a:schemeClr val="accent1"/>
            </a:solidFill>
            <a:ln>
              <a:noFill/>
            </a:ln>
            <a:effectLst/>
          </c:spPr>
          <c:invertIfNegative val="0"/>
          <c:cat>
            <c:strRef>
              <c:f>Output!$B$3:$B$16</c:f>
              <c:strCache>
                <c:ptCount val="14"/>
                <c:pt idx="0">
                  <c:v>Testing Data</c:v>
                </c:pt>
                <c:pt idx="1">
                  <c:v>Branching Analysis</c:v>
                </c:pt>
                <c:pt idx="2">
                  <c:v>Code Review</c:v>
                </c:pt>
                <c:pt idx="3">
                  <c:v>Automatic processing</c:v>
                </c:pt>
                <c:pt idx="4">
                  <c:v>Commit Analysis</c:v>
                </c:pt>
                <c:pt idx="5">
                  <c:v>Design Modelling</c:v>
                </c:pt>
                <c:pt idx="6">
                  <c:v>Maintenability Information</c:v>
                </c:pt>
                <c:pt idx="7">
                  <c:v>Cloning Detection</c:v>
                </c:pt>
                <c:pt idx="8">
                  <c:v>Commits/Committers classification</c:v>
                </c:pt>
                <c:pt idx="9">
                  <c:v>Source Code Improvements</c:v>
                </c:pt>
                <c:pt idx="10">
                  <c:v>Deffect/Issues Analysis</c:v>
                </c:pt>
                <c:pt idx="11">
                  <c:v>Metrics/Quality</c:v>
                </c:pt>
                <c:pt idx="12">
                  <c:v>Changes Analysis</c:v>
                </c:pt>
                <c:pt idx="13">
                  <c:v>Developer behavior</c:v>
                </c:pt>
              </c:strCache>
            </c:strRef>
          </c:cat>
          <c:val>
            <c:numRef>
              <c:f>Output!$V$3:$V$16</c:f>
              <c:numCache>
                <c:formatCode>General</c:formatCode>
                <c:ptCount val="14"/>
                <c:pt idx="0">
                  <c:v>3</c:v>
                </c:pt>
                <c:pt idx="1">
                  <c:v>5</c:v>
                </c:pt>
                <c:pt idx="2">
                  <c:v>5</c:v>
                </c:pt>
                <c:pt idx="3">
                  <c:v>7</c:v>
                </c:pt>
                <c:pt idx="4">
                  <c:v>9</c:v>
                </c:pt>
                <c:pt idx="5">
                  <c:v>10</c:v>
                </c:pt>
                <c:pt idx="6">
                  <c:v>11</c:v>
                </c:pt>
                <c:pt idx="7">
                  <c:v>13</c:v>
                </c:pt>
                <c:pt idx="8">
                  <c:v>17</c:v>
                </c:pt>
                <c:pt idx="9">
                  <c:v>21</c:v>
                </c:pt>
                <c:pt idx="10">
                  <c:v>21</c:v>
                </c:pt>
                <c:pt idx="11">
                  <c:v>24</c:v>
                </c:pt>
                <c:pt idx="12">
                  <c:v>35</c:v>
                </c:pt>
                <c:pt idx="13">
                  <c:v>65</c:v>
                </c:pt>
              </c:numCache>
            </c:numRef>
          </c:val>
          <c:extLst>
            <c:ext xmlns:c16="http://schemas.microsoft.com/office/drawing/2014/chart" uri="{C3380CC4-5D6E-409C-BE32-E72D297353CC}">
              <c16:uniqueId val="{00000000-3E9F-44D4-AE0A-8ECF6E2B70B6}"/>
            </c:ext>
          </c:extLst>
        </c:ser>
        <c:dLbls>
          <c:showLegendKey val="0"/>
          <c:showVal val="0"/>
          <c:showCatName val="0"/>
          <c:showSerName val="0"/>
          <c:showPercent val="0"/>
          <c:showBubbleSize val="0"/>
        </c:dLbls>
        <c:gapWidth val="182"/>
        <c:axId val="-1597336960"/>
        <c:axId val="-1597325536"/>
      </c:barChart>
      <c:catAx>
        <c:axId val="-1597336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25536"/>
        <c:crosses val="autoZero"/>
        <c:auto val="1"/>
        <c:lblAlgn val="ctr"/>
        <c:lblOffset val="100"/>
        <c:noMultiLvlLbl val="0"/>
      </c:catAx>
      <c:valAx>
        <c:axId val="-15973255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s-EC"/>
          </a:p>
        </c:txPr>
        <c:crossAx val="-159733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lumMod val="95000"/>
              <a:lumOff val="5000"/>
            </a:schemeClr>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1000"/>
              <a:t>RQ7. Type of publication</a:t>
            </a:r>
          </a:p>
        </c:rich>
      </c:tx>
      <c:layout>
        <c:manualLayout>
          <c:xMode val="edge"/>
          <c:yMode val="edge"/>
          <c:x val="0.39098556430446196"/>
          <c:y val="4.9834191503106355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6.2558055555555561E-2"/>
          <c:y val="0.15335753968253968"/>
          <c:w val="0.52914972222222223"/>
          <c:h val="0.75592817460317463"/>
        </c:manualLayout>
      </c:layout>
      <c:pieChart>
        <c:varyColors val="1"/>
        <c:ser>
          <c:idx val="0"/>
          <c:order val="0"/>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9D7-43A0-994A-7AACD2524575}"/>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9D7-43A0-994A-7AACD2524575}"/>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9D7-43A0-994A-7AACD2524575}"/>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9D7-43A0-994A-7AACD2524575}"/>
              </c:ext>
            </c:extLst>
          </c:dPt>
          <c:dPt>
            <c:idx val="4"/>
            <c:bubble3D val="0"/>
            <c:spPr>
              <a:solidFill>
                <a:schemeClr val="dk1">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731-457E-83B7-C89039468AE2}"/>
              </c:ext>
            </c:extLst>
          </c:dPt>
          <c:dPt>
            <c:idx val="5"/>
            <c:bubble3D val="0"/>
            <c:spPr>
              <a:solidFill>
                <a:schemeClr val="dk1">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731-457E-83B7-C89039468AE2}"/>
              </c:ext>
            </c:extLst>
          </c:dPt>
          <c:dLbls>
            <c:dLbl>
              <c:idx val="0"/>
              <c:layout>
                <c:manualLayout>
                  <c:x val="-2.3946381702287259E-2"/>
                  <c:y val="-3.84798545811410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9D7-43A0-994A-7AACD2524575}"/>
                </c:ext>
              </c:extLst>
            </c:dLbl>
            <c:dLbl>
              <c:idx val="1"/>
              <c:layout>
                <c:manualLayout>
                  <c:x val="5.8203617942385835E-2"/>
                  <c:y val="1.8845594790070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9D7-43A0-994A-7AACD2524575}"/>
                </c:ext>
              </c:extLst>
            </c:dLbl>
            <c:dLbl>
              <c:idx val="2"/>
              <c:layout>
                <c:manualLayout>
                  <c:x val="3.3565932954552319E-2"/>
                  <c:y val="1.595763701253361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9D7-43A0-994A-7AACD2524575}"/>
                </c:ext>
              </c:extLst>
            </c:dLbl>
            <c:dLbl>
              <c:idx val="4"/>
              <c:layout>
                <c:manualLayout>
                  <c:x val="-5.1387326584178064E-4"/>
                  <c:y val="1.573966860166180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8731-457E-83B7-C89039468AE2}"/>
                </c:ext>
              </c:extLst>
            </c:dLbl>
            <c:dLbl>
              <c:idx val="5"/>
              <c:layout>
                <c:manualLayout>
                  <c:x val="-6.3060554930633672E-2"/>
                  <c:y val="9.0002517755317034E-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8731-457E-83B7-C89039468AE2}"/>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8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s-EC"/>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Type!$B$2:$B$7</c:f>
              <c:strCache>
                <c:ptCount val="6"/>
                <c:pt idx="0">
                  <c:v>Book</c:v>
                </c:pt>
                <c:pt idx="1">
                  <c:v>Book Section</c:v>
                </c:pt>
                <c:pt idx="2">
                  <c:v>Conference Paper</c:v>
                </c:pt>
                <c:pt idx="3">
                  <c:v>Conference Proceedings</c:v>
                </c:pt>
                <c:pt idx="4">
                  <c:v>Journal Article</c:v>
                </c:pt>
                <c:pt idx="5">
                  <c:v>Serie</c:v>
                </c:pt>
              </c:strCache>
            </c:strRef>
          </c:cat>
          <c:val>
            <c:numRef>
              <c:f>Type!$C$2:$C$7</c:f>
              <c:numCache>
                <c:formatCode>General</c:formatCode>
                <c:ptCount val="6"/>
                <c:pt idx="0">
                  <c:v>1</c:v>
                </c:pt>
                <c:pt idx="1">
                  <c:v>6</c:v>
                </c:pt>
                <c:pt idx="2">
                  <c:v>24</c:v>
                </c:pt>
                <c:pt idx="3">
                  <c:v>141</c:v>
                </c:pt>
                <c:pt idx="4">
                  <c:v>54</c:v>
                </c:pt>
                <c:pt idx="5">
                  <c:v>9</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8-19D7-43A0-994A-7AACD252457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3461443517790239"/>
          <c:y val="0.31665290958300119"/>
          <c:w val="0.24572745160630183"/>
          <c:h val="0.3811145679683315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08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RQ6. Academia vs. Industry</a:t>
            </a:r>
          </a:p>
        </c:rich>
      </c:tx>
      <c:layout>
        <c:manualLayout>
          <c:xMode val="edge"/>
          <c:yMode val="edge"/>
          <c:x val="0.41491135050851841"/>
          <c:y val="3.1857044369956435E-2"/>
        </c:manualLayout>
      </c:layout>
      <c:overlay val="0"/>
      <c:spPr>
        <a:noFill/>
        <a:ln>
          <a:noFill/>
        </a:ln>
        <a:effectLst/>
      </c:spPr>
      <c:txPr>
        <a:bodyPr rot="0" spcFirstLastPara="1" vertOverflow="ellipsis" vert="horz" wrap="square" anchor="ctr" anchorCtr="1"/>
        <a:lstStyle/>
        <a:p>
          <a:pPr>
            <a:defRPr sz="108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5.1138055555555548E-2"/>
          <c:y val="0.13066264589266768"/>
          <c:w val="0.52914972222222223"/>
          <c:h val="0.75592817460317463"/>
        </c:manualLayout>
      </c:layout>
      <c:pieChart>
        <c:varyColors val="1"/>
        <c:ser>
          <c:idx val="2"/>
          <c:order val="0"/>
          <c:tx>
            <c:strRef>
              <c:f>Type!$B$30</c:f>
              <c:strCache>
                <c:ptCount val="1"/>
                <c:pt idx="0">
                  <c:v>Industry/Academia</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C-E721-4426-BE02-1A3189DE64E5}"/>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E721-4426-BE02-1A3189DE64E5}"/>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E-E721-4426-BE02-1A3189DE64E5}"/>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E721-4426-BE02-1A3189DE64E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he Serif Hand Extrablack" panose="020B0604020202020204" pitchFamily="66" charset="0"/>
                    <a:ea typeface="+mn-ea"/>
                    <a:cs typeface="Times New Roman" panose="02020603050405020304" pitchFamily="18" charset="0"/>
                  </a:defRPr>
                </a:pPr>
                <a:endParaRPr lang="es-EC"/>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2B-E721-4426-BE02-1A3189DE64E5}"/>
            </c:ext>
          </c:extLst>
        </c:ser>
        <c:ser>
          <c:idx val="3"/>
          <c:order val="1"/>
          <c:tx>
            <c:strRef>
              <c:f>Type!$B$30</c:f>
              <c:strCache>
                <c:ptCount val="1"/>
                <c:pt idx="0">
                  <c:v>Industry/Academia</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1-E721-4426-BE02-1A3189DE64E5}"/>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E721-4426-BE02-1A3189DE64E5}"/>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3-E721-4426-BE02-1A3189DE64E5}"/>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E721-4426-BE02-1A3189DE64E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he Serif Hand Extrablack" panose="020B0604020202020204" pitchFamily="66" charset="0"/>
                    <a:ea typeface="+mn-ea"/>
                    <a:cs typeface="Times New Roman" panose="02020603050405020304" pitchFamily="18" charset="0"/>
                  </a:defRPr>
                </a:pPr>
                <a:endParaRPr lang="es-EC"/>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30-E721-4426-BE02-1A3189DE64E5}"/>
            </c:ext>
          </c:extLst>
        </c:ser>
        <c:ser>
          <c:idx val="1"/>
          <c:order val="2"/>
          <c:tx>
            <c:strRef>
              <c:f>Type!$B$30</c:f>
              <c:strCache>
                <c:ptCount val="1"/>
                <c:pt idx="0">
                  <c:v>Industry/Academia</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E721-4426-BE02-1A3189DE64E5}"/>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E721-4426-BE02-1A3189DE64E5}"/>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E721-4426-BE02-1A3189DE64E5}"/>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E721-4426-BE02-1A3189DE64E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The Serif Hand Extrablack" panose="020B0604020202020204" pitchFamily="66" charset="0"/>
                    <a:ea typeface="+mn-ea"/>
                    <a:cs typeface="Times New Roman" panose="02020603050405020304" pitchFamily="18" charset="0"/>
                  </a:defRPr>
                </a:pPr>
                <a:endParaRPr lang="es-EC"/>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20-E721-4426-BE02-1A3189DE64E5}"/>
            </c:ext>
          </c:extLst>
        </c:ser>
        <c:ser>
          <c:idx val="0"/>
          <c:order val="3"/>
          <c:tx>
            <c:strRef>
              <c:f>Type!$B$30</c:f>
              <c:strCache>
                <c:ptCount val="1"/>
                <c:pt idx="0">
                  <c:v>Industry/Academia</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E721-4426-BE02-1A3189DE64E5}"/>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E721-4426-BE02-1A3189DE64E5}"/>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E721-4426-BE02-1A3189DE64E5}"/>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E721-4426-BE02-1A3189DE64E5}"/>
              </c:ext>
            </c:extLst>
          </c:dPt>
          <c:dLbls>
            <c:dLbl>
              <c:idx val="0"/>
              <c:layout>
                <c:manualLayout>
                  <c:x val="3.3104488203300642E-2"/>
                  <c:y val="-1.774407156983864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3-E721-4426-BE02-1A3189DE64E5}"/>
                </c:ext>
              </c:extLst>
            </c:dLbl>
            <c:dLbl>
              <c:idx val="1"/>
              <c:layout>
                <c:manualLayout>
                  <c:x val="-7.0209370328569831E-2"/>
                  <c:y val="-0.5248256727501949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5-E721-4426-BE02-1A3189DE64E5}"/>
                </c:ext>
              </c:extLst>
            </c:dLbl>
            <c:dLbl>
              <c:idx val="2"/>
              <c:layout>
                <c:manualLayout>
                  <c:x val="-2.2863319306047486E-2"/>
                  <c:y val="-8.261037274935142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7-E721-4426-BE02-1A3189DE64E5}"/>
                </c:ext>
              </c:extLst>
            </c:dLbl>
            <c:dLbl>
              <c:idx val="3"/>
              <c:layout>
                <c:manualLayout>
                  <c:x val="1.1742080054366355E-2"/>
                  <c:y val="-2.661895832853783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9-E721-4426-BE02-1A3189DE64E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s-EC"/>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2A-E721-4426-BE02-1A3189DE64E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85057734107872041"/>
          <c:y val="0.42801352910255175"/>
          <c:w val="0.13152731988210414"/>
          <c:h val="0.30413688197431615"/>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showDLblsOverMax val="0"/>
    <c:extLst/>
  </c:chart>
  <c:spPr>
    <a:solidFill>
      <a:schemeClr val="bg1"/>
    </a:solidFill>
    <a:ln w="9525" cap="flat" cmpd="sng" algn="ctr">
      <a:solidFill>
        <a:schemeClr val="dk1">
          <a:lumMod val="25000"/>
          <a:lumOff val="75000"/>
        </a:schemeClr>
      </a:solidFill>
      <a:round/>
    </a:ln>
    <a:effectLst/>
  </c:spPr>
  <c:txPr>
    <a:bodyPr/>
    <a:lstStyle/>
    <a:p>
      <a:pPr>
        <a:defRPr sz="900">
          <a:latin typeface="The Serif Hand Extrablack" panose="020B0604020202020204" pitchFamily="66" charset="0"/>
          <a:cs typeface="Times New Roman" panose="02020603050405020304" pitchFamily="18" charset="0"/>
        </a:defRPr>
      </a:pPr>
      <a:endParaRPr lang="es-EC"/>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1000"/>
              <a:t>RQ5. Nature of research</a:t>
            </a:r>
          </a:p>
        </c:rich>
      </c:tx>
      <c:layout>
        <c:manualLayout>
          <c:xMode val="edge"/>
          <c:yMode val="edge"/>
          <c:x val="0.37554675308821739"/>
          <c:y val="1.698538131968416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6.2558055555555561E-2"/>
          <c:y val="0.15335753968253968"/>
          <c:w val="0.52914972222222223"/>
          <c:h val="0.75592817460317463"/>
        </c:manualLayout>
      </c:layout>
      <c:pieChart>
        <c:varyColors val="1"/>
        <c:ser>
          <c:idx val="0"/>
          <c:order val="0"/>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1A8-4F9F-A462-C69039143272}"/>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1A8-4F9F-A462-C69039143272}"/>
              </c:ext>
            </c:extLst>
          </c:dPt>
          <c:dPt>
            <c:idx val="2"/>
            <c:bubble3D val="0"/>
            <c:spPr>
              <a:solidFill>
                <a:schemeClr val="dk1">
                  <a:tint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1A8-4F9F-A462-C69039143272}"/>
              </c:ext>
            </c:extLst>
          </c:dPt>
          <c:dPt>
            <c:idx val="3"/>
            <c:bubble3D val="0"/>
            <c:spPr>
              <a:solidFill>
                <a:schemeClr val="dk1">
                  <a:tint val="9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1A8-4F9F-A462-C69039143272}"/>
              </c:ext>
            </c:extLst>
          </c:dPt>
          <c:dPt>
            <c:idx val="4"/>
            <c:bubble3D val="0"/>
            <c:spPr>
              <a:solidFill>
                <a:schemeClr val="dk1">
                  <a:tint val="3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302D-4274-A6BB-2F79530F9054}"/>
              </c:ext>
            </c:extLst>
          </c:dPt>
          <c:dPt>
            <c:idx val="5"/>
            <c:bubble3D val="0"/>
            <c:spPr>
              <a:solidFill>
                <a:schemeClr val="dk1">
                  <a:tint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302D-4274-A6BB-2F79530F9054}"/>
              </c:ext>
            </c:extLst>
          </c:dPt>
          <c:dPt>
            <c:idx val="6"/>
            <c:bubble3D val="0"/>
            <c:spPr>
              <a:solidFill>
                <a:schemeClr val="dk1">
                  <a:tint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302D-4274-A6BB-2F79530F9054}"/>
              </c:ext>
            </c:extLst>
          </c:dPt>
          <c:dLbls>
            <c:dLbl>
              <c:idx val="0"/>
              <c:layout>
                <c:manualLayout>
                  <c:x val="-7.4988915949493168E-2"/>
                  <c:y val="-1.420457666761672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1A8-4F9F-A462-C69039143272}"/>
                </c:ext>
              </c:extLst>
            </c:dLbl>
            <c:dLbl>
              <c:idx val="1"/>
              <c:layout>
                <c:manualLayout>
                  <c:x val="-5.0435858178058394E-2"/>
                  <c:y val="-2.792869509716300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1A8-4F9F-A462-C69039143272}"/>
                </c:ext>
              </c:extLst>
            </c:dLbl>
            <c:dLbl>
              <c:idx val="2"/>
              <c:layout>
                <c:manualLayout>
                  <c:x val="1.3023717391528158E-2"/>
                  <c:y val="-3.78318291741836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1A8-4F9F-A462-C69039143272}"/>
                </c:ext>
              </c:extLst>
            </c:dLbl>
            <c:dLbl>
              <c:idx val="3"/>
              <c:layout>
                <c:manualLayout>
                  <c:x val="7.4998198325398613E-2"/>
                  <c:y val="-9.374927968205043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1A8-4F9F-A462-C69039143272}"/>
                </c:ext>
              </c:extLst>
            </c:dLbl>
            <c:dLbl>
              <c:idx val="4"/>
              <c:layout>
                <c:manualLayout>
                  <c:x val="9.9513658164233215E-2"/>
                  <c:y val="5.26644540663591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302D-4274-A6BB-2F79530F9054}"/>
                </c:ext>
              </c:extLst>
            </c:dLbl>
            <c:dLbl>
              <c:idx val="6"/>
              <c:layout>
                <c:manualLayout>
                  <c:x val="-0.11169078839484728"/>
                  <c:y val="8.063489355211665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302D-4274-A6BB-2F79530F9054}"/>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8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s-EC"/>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Type!$B$17:$B$23</c:f>
              <c:strCache>
                <c:ptCount val="7"/>
                <c:pt idx="0">
                  <c:v>Applied research</c:v>
                </c:pt>
                <c:pt idx="1">
                  <c:v>Evaluation research</c:v>
                </c:pt>
                <c:pt idx="2">
                  <c:v>Opinion papers</c:v>
                </c:pt>
                <c:pt idx="3">
                  <c:v>Personal experience papers</c:v>
                </c:pt>
                <c:pt idx="4">
                  <c:v>Philosophical papers</c:v>
                </c:pt>
                <c:pt idx="5">
                  <c:v>Proposal of solution</c:v>
                </c:pt>
                <c:pt idx="6">
                  <c:v>Validation research</c:v>
                </c:pt>
              </c:strCache>
            </c:strRef>
          </c:cat>
          <c:val>
            <c:numRef>
              <c:f>Type!$C$17:$C$23</c:f>
              <c:numCache>
                <c:formatCode>General</c:formatCode>
                <c:ptCount val="7"/>
                <c:pt idx="0">
                  <c:v>10</c:v>
                </c:pt>
                <c:pt idx="1">
                  <c:v>4</c:v>
                </c:pt>
                <c:pt idx="2">
                  <c:v>2</c:v>
                </c:pt>
                <c:pt idx="3">
                  <c:v>2</c:v>
                </c:pt>
                <c:pt idx="4">
                  <c:v>2</c:v>
                </c:pt>
                <c:pt idx="5">
                  <c:v>213</c:v>
                </c:pt>
                <c:pt idx="6">
                  <c:v>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6-41A8-4F9F-A462-C6903914327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s-EC"/>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RQ5. Nature of research</a:t>
            </a:r>
          </a:p>
        </c:rich>
      </c:tx>
      <c:layout>
        <c:manualLayout>
          <c:xMode val="edge"/>
          <c:yMode val="edge"/>
          <c:x val="0.24619481481481481"/>
          <c:y val="3.340112959297039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34665388888888887"/>
          <c:y val="0.42421942204496527"/>
          <c:w val="0.31355925925925926"/>
          <c:h val="0.54715911698118569"/>
        </c:manualLayout>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C91-4CD7-90DB-2FB0A0E33DD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C91-4CD7-90DB-2FB0A0E33DD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C91-4CD7-90DB-2FB0A0E33DD4}"/>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C91-4CD7-90DB-2FB0A0E33DD4}"/>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C91-4CD7-90DB-2FB0A0E33DD4}"/>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C91-4CD7-90DB-2FB0A0E33DD4}"/>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C91-4CD7-90DB-2FB0A0E33DD4}"/>
              </c:ext>
            </c:extLst>
          </c:dPt>
          <c:dLbls>
            <c:dLbl>
              <c:idx val="0"/>
              <c:layout>
                <c:manualLayout>
                  <c:x val="-0.24694444444444444"/>
                  <c:y val="-0.1025992013096505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26232555555555553"/>
                      <c:h val="0.18221618152593935"/>
                    </c:manualLayout>
                  </c15:layout>
                </c:ext>
                <c:ext xmlns:c16="http://schemas.microsoft.com/office/drawing/2014/chart" uri="{C3380CC4-5D6E-409C-BE32-E72D297353CC}">
                  <c16:uniqueId val="{00000001-BC91-4CD7-90DB-2FB0A0E33DD4}"/>
                </c:ext>
              </c:extLst>
            </c:dLbl>
            <c:dLbl>
              <c:idx val="1"/>
              <c:layout>
                <c:manualLayout>
                  <c:x val="-8.9370462962962957E-2"/>
                  <c:y val="-7.3871424942948377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19275777777777775"/>
                      <c:h val="0.24465821701653803"/>
                    </c:manualLayout>
                  </c15:layout>
                </c:ext>
                <c:ext xmlns:c16="http://schemas.microsoft.com/office/drawing/2014/chart" uri="{C3380CC4-5D6E-409C-BE32-E72D297353CC}">
                  <c16:uniqueId val="{00000003-BC91-4CD7-90DB-2FB0A0E33DD4}"/>
                </c:ext>
              </c:extLst>
            </c:dLbl>
            <c:dLbl>
              <c:idx val="2"/>
              <c:layout>
                <c:manualLayout>
                  <c:x val="0.11931333333333333"/>
                  <c:y val="-0.1025992013096505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2423112962962963"/>
                      <c:h val="0.18221618152593935"/>
                    </c:manualLayout>
                  </c15:layout>
                </c:ext>
                <c:ext xmlns:c16="http://schemas.microsoft.com/office/drawing/2014/chart" uri="{C3380CC4-5D6E-409C-BE32-E72D297353CC}">
                  <c16:uniqueId val="{00000005-BC91-4CD7-90DB-2FB0A0E33DD4}"/>
                </c:ext>
              </c:extLst>
            </c:dLbl>
            <c:dLbl>
              <c:idx val="3"/>
              <c:layout>
                <c:manualLayout>
                  <c:x val="0.10953981481481465"/>
                  <c:y val="8.207936104772042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27413777777777776"/>
                      <c:h val="0.23645028091176598"/>
                    </c:manualLayout>
                  </c15:layout>
                </c:ext>
                <c:ext xmlns:c16="http://schemas.microsoft.com/office/drawing/2014/chart" uri="{C3380CC4-5D6E-409C-BE32-E72D297353CC}">
                  <c16:uniqueId val="{00000007-BC91-4CD7-90DB-2FB0A0E33DD4}"/>
                </c:ext>
              </c:extLst>
            </c:dLbl>
            <c:dLbl>
              <c:idx val="4"/>
              <c:layout>
                <c:manualLayout>
                  <c:x val="8.2314814814814813E-2"/>
                  <c:y val="0.2093023706716870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18977092592592593"/>
                      <c:h val="0.18221618152593935"/>
                    </c:manualLayout>
                  </c15:layout>
                </c:ext>
                <c:ext xmlns:c16="http://schemas.microsoft.com/office/drawing/2014/chart" uri="{C3380CC4-5D6E-409C-BE32-E72D297353CC}">
                  <c16:uniqueId val="{00000009-BC91-4CD7-90DB-2FB0A0E33DD4}"/>
                </c:ext>
              </c:extLst>
            </c:dLbl>
            <c:dLbl>
              <c:idx val="5"/>
              <c:layout>
                <c:manualLayout>
                  <c:x val="-0.13993518518518519"/>
                  <c:y val="-0.16210673806924783"/>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22852944444444445"/>
                      <c:h val="0.24055424896415201"/>
                    </c:manualLayout>
                  </c15:layout>
                </c:ext>
                <c:ext xmlns:c16="http://schemas.microsoft.com/office/drawing/2014/chart" uri="{C3380CC4-5D6E-409C-BE32-E72D297353CC}">
                  <c16:uniqueId val="{0000000B-BC91-4CD7-90DB-2FB0A0E33DD4}"/>
                </c:ext>
              </c:extLst>
            </c:dLbl>
            <c:dLbl>
              <c:idx val="6"/>
              <c:layout>
                <c:manualLayout>
                  <c:x val="-0.27163888888888887"/>
                  <c:y val="8.207936104772038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272615"/>
                      <c:h val="0.18221618152593935"/>
                    </c:manualLayout>
                  </c15:layout>
                </c:ext>
                <c:ext xmlns:c16="http://schemas.microsoft.com/office/drawing/2014/chart" uri="{C3380CC4-5D6E-409C-BE32-E72D297353CC}">
                  <c16:uniqueId val="{0000000D-BC91-4CD7-90DB-2FB0A0E33DD4}"/>
                </c:ext>
              </c:extLst>
            </c:dLbl>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Type!$B$17:$B$23</c:f>
              <c:strCache>
                <c:ptCount val="7"/>
                <c:pt idx="0">
                  <c:v>Applied research</c:v>
                </c:pt>
                <c:pt idx="1">
                  <c:v>Evaluation research</c:v>
                </c:pt>
                <c:pt idx="2">
                  <c:v>Opinion papers</c:v>
                </c:pt>
                <c:pt idx="3">
                  <c:v>Personal experience papers</c:v>
                </c:pt>
                <c:pt idx="4">
                  <c:v>Philosophical papers</c:v>
                </c:pt>
                <c:pt idx="5">
                  <c:v>Proposal of solution</c:v>
                </c:pt>
                <c:pt idx="6">
                  <c:v>Validation research</c:v>
                </c:pt>
              </c:strCache>
            </c:strRef>
          </c:cat>
          <c:val>
            <c:numRef>
              <c:f>Type!$C$17:$C$23</c:f>
              <c:numCache>
                <c:formatCode>General</c:formatCode>
                <c:ptCount val="7"/>
                <c:pt idx="0">
                  <c:v>10</c:v>
                </c:pt>
                <c:pt idx="1">
                  <c:v>4</c:v>
                </c:pt>
                <c:pt idx="2">
                  <c:v>2</c:v>
                </c:pt>
                <c:pt idx="3">
                  <c:v>2</c:v>
                </c:pt>
                <c:pt idx="4">
                  <c:v>2</c:v>
                </c:pt>
                <c:pt idx="5">
                  <c:v>213</c:v>
                </c:pt>
                <c:pt idx="6">
                  <c:v>2</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E-BC91-4CD7-90DB-2FB0A0E33DD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RQ6. Academia vs. Industry</a:t>
            </a:r>
          </a:p>
        </c:rich>
      </c:tx>
      <c:layout>
        <c:manualLayout>
          <c:xMode val="edge"/>
          <c:yMode val="edge"/>
          <c:x val="0.21500388888888888"/>
          <c:y val="3.1857038371887532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3427675925925926"/>
          <c:y val="0.3289457050755325"/>
          <c:w val="0.31449944444444439"/>
          <c:h val="0.56503203118111955"/>
        </c:manualLayout>
      </c:layout>
      <c:pieChart>
        <c:varyColors val="1"/>
        <c:ser>
          <c:idx val="2"/>
          <c:order val="0"/>
          <c:tx>
            <c:strRef>
              <c:f>Type!$B$30</c:f>
              <c:strCache>
                <c:ptCount val="1"/>
                <c:pt idx="0">
                  <c:v>Industry/Academia</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609E-4626-9277-4BFB1F3B563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09E-4626-9277-4BFB1F3B563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09E-4626-9277-4BFB1F3B563A}"/>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09E-4626-9277-4BFB1F3B563A}"/>
              </c:ext>
            </c:extLst>
          </c:dPt>
          <c:dLbls>
            <c:dLbl>
              <c:idx val="0"/>
              <c:layout>
                <c:manualLayout>
                  <c:x val="0.19755555555555557"/>
                  <c:y val="9.41979724700701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09E-4626-9277-4BFB1F3B563A}"/>
                </c:ext>
              </c:extLst>
            </c:dLbl>
            <c:dLbl>
              <c:idx val="1"/>
              <c:layout>
                <c:manualLayout>
                  <c:x val="0.22107407407407406"/>
                  <c:y val="-0.2825939174102103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09E-4626-9277-4BFB1F3B563A}"/>
                </c:ext>
              </c:extLst>
            </c:dLbl>
            <c:dLbl>
              <c:idx val="2"/>
              <c:layout>
                <c:manualLayout>
                  <c:x val="-9.8777777777777784E-2"/>
                  <c:y val="4.914676824525394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09E-4626-9277-4BFB1F3B563A}"/>
                </c:ext>
              </c:extLst>
            </c:dLbl>
            <c:dLbl>
              <c:idx val="3"/>
              <c:layout>
                <c:manualLayout>
                  <c:x val="6.8203703703703752E-2"/>
                  <c:y val="-3.276451216350269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09E-4626-9277-4BFB1F3B563A}"/>
                </c:ext>
              </c:extLst>
            </c:dLbl>
            <c:txPr>
              <a:bodyPr rot="0" spcFirstLastPara="1" vertOverflow="ellipsis" vert="horz" wrap="square" lIns="38100" tIns="19050" rIns="38100" bIns="19050" anchor="ctr" anchorCtr="1">
                <a:spAutoFit/>
              </a:bodyPr>
              <a:lstStyle/>
              <a:p>
                <a:pPr>
                  <a:defRPr sz="1200" b="1" i="0" u="none" strike="noStrike" kern="1200" spc="0" baseline="0">
                    <a:solidFill>
                      <a:schemeClr val="accent4"/>
                    </a:solidFill>
                    <a:latin typeface="Times New Roman" panose="02020603050405020304" pitchFamily="18" charset="0"/>
                    <a:ea typeface="+mn-ea"/>
                    <a:cs typeface="Times New Roman" panose="02020603050405020304" pitchFamily="18" charset="0"/>
                  </a:defRPr>
                </a:pPr>
                <a:endParaRPr lang="es-EC"/>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08-609E-4626-9277-4BFB1F3B563A}"/>
            </c:ext>
          </c:extLst>
        </c:ser>
        <c:ser>
          <c:idx val="3"/>
          <c:order val="1"/>
          <c:tx>
            <c:strRef>
              <c:f>Type!$B$30</c:f>
              <c:strCache>
                <c:ptCount val="1"/>
                <c:pt idx="0">
                  <c:v>Industry/Academia</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609E-4626-9277-4BFB1F3B563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609E-4626-9277-4BFB1F3B563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E-609E-4626-9277-4BFB1F3B563A}"/>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0-609E-4626-9277-4BFB1F3B563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0A-609E-4626-9277-4BFB1F3B563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0C-609E-4626-9277-4BFB1F3B563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0E-609E-4626-9277-4BFB1F3B563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0-609E-4626-9277-4BFB1F3B563A}"/>
                </c:ext>
              </c:extLst>
            </c:dLbl>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11-609E-4626-9277-4BFB1F3B563A}"/>
            </c:ext>
          </c:extLst>
        </c:ser>
        <c:ser>
          <c:idx val="1"/>
          <c:order val="2"/>
          <c:tx>
            <c:strRef>
              <c:f>Type!$B$30</c:f>
              <c:strCache>
                <c:ptCount val="1"/>
                <c:pt idx="0">
                  <c:v>Industry/Academia</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609E-4626-9277-4BFB1F3B563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609E-4626-9277-4BFB1F3B563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609E-4626-9277-4BFB1F3B563A}"/>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9-609E-4626-9277-4BFB1F3B563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3-609E-4626-9277-4BFB1F3B563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5-609E-4626-9277-4BFB1F3B563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7-609E-4626-9277-4BFB1F3B563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9-609E-4626-9277-4BFB1F3B563A}"/>
                </c:ext>
              </c:extLst>
            </c:dLbl>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1A-609E-4626-9277-4BFB1F3B563A}"/>
            </c:ext>
          </c:extLst>
        </c:ser>
        <c:ser>
          <c:idx val="0"/>
          <c:order val="3"/>
          <c:tx>
            <c:strRef>
              <c:f>Type!$B$30</c:f>
              <c:strCache>
                <c:ptCount val="1"/>
                <c:pt idx="0">
                  <c:v>Industry/Academia</c:v>
                </c:pt>
              </c:strCache>
            </c:strRef>
          </c:tx>
          <c:dPt>
            <c:idx val="0"/>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C-609E-4626-9277-4BFB1F3B563A}"/>
              </c:ext>
            </c:extLst>
          </c:dPt>
          <c:dPt>
            <c:idx val="1"/>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E-609E-4626-9277-4BFB1F3B563A}"/>
              </c:ext>
            </c:extLst>
          </c:dPt>
          <c:dPt>
            <c:idx val="2"/>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0-609E-4626-9277-4BFB1F3B563A}"/>
              </c:ext>
            </c:extLst>
          </c:dPt>
          <c:dPt>
            <c:idx val="3"/>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22-609E-4626-9277-4BFB1F3B563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C-609E-4626-9277-4BFB1F3B563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1E-609E-4626-9277-4BFB1F3B563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20-609E-4626-9277-4BFB1F3B563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000"/>
                        </a:schemeClr>
                      </a:solidFill>
                      <a:latin typeface="+mn-lt"/>
                      <a:ea typeface="+mn-ea"/>
                      <a:cs typeface="+mn-cs"/>
                    </a:defRPr>
                  </a:pPr>
                  <a:endParaRPr lang="es-EC"/>
                </a:p>
              </c:txPr>
              <c:dLblPos val="outEnd"/>
              <c:showLegendKey val="0"/>
              <c:showVal val="0"/>
              <c:showCatName val="1"/>
              <c:showSerName val="0"/>
              <c:showPercent val="1"/>
              <c:showBubbleSize val="0"/>
              <c:extLst>
                <c:ext xmlns:c16="http://schemas.microsoft.com/office/drawing/2014/chart" uri="{C3380CC4-5D6E-409C-BE32-E72D297353CC}">
                  <c16:uniqueId val="{00000022-609E-4626-9277-4BFB1F3B563A}"/>
                </c:ext>
              </c:extLst>
            </c:dLbl>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Type!$B$31:$B$34</c:f>
              <c:strCache>
                <c:ptCount val="4"/>
                <c:pt idx="0">
                  <c:v>Industry</c:v>
                </c:pt>
                <c:pt idx="1">
                  <c:v>Academia</c:v>
                </c:pt>
                <c:pt idx="2">
                  <c:v>Freelance</c:v>
                </c:pt>
                <c:pt idx="3">
                  <c:v>Both</c:v>
                </c:pt>
              </c:strCache>
            </c:strRef>
          </c:cat>
          <c:val>
            <c:numRef>
              <c:f>Type!$C$31:$C$34</c:f>
              <c:numCache>
                <c:formatCode>General</c:formatCode>
                <c:ptCount val="4"/>
                <c:pt idx="0">
                  <c:v>5</c:v>
                </c:pt>
                <c:pt idx="1">
                  <c:v>221</c:v>
                </c:pt>
                <c:pt idx="2">
                  <c:v>1</c:v>
                </c:pt>
                <c:pt idx="3">
                  <c:v>8</c:v>
                </c:pt>
              </c:numCache>
            </c:numRef>
          </c:val>
          <c:extLst>
            <c:ext xmlns:c16="http://schemas.microsoft.com/office/drawing/2014/chart" uri="{C3380CC4-5D6E-409C-BE32-E72D297353CC}">
              <c16:uniqueId val="{00000023-609E-4626-9277-4BFB1F3B563A}"/>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RQ7. Type of publication</a:t>
            </a:r>
          </a:p>
        </c:rich>
      </c:tx>
      <c:layout>
        <c:manualLayout>
          <c:xMode val="edge"/>
          <c:yMode val="edge"/>
          <c:x val="0.28044851851851854"/>
          <c:y val="6.2085338078589333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32596555555555556"/>
          <c:y val="0.37387830463424537"/>
          <c:w val="0.33656870370370368"/>
          <c:h val="0.58441216844329724"/>
        </c:manualLayout>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51B-4E2F-AF31-75AEADB252D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51B-4E2F-AF31-75AEADB252D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51B-4E2F-AF31-75AEADB252D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51B-4E2F-AF31-75AEADB252D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A51B-4E2F-AF31-75AEADB252D7}"/>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A51B-4E2F-AF31-75AEADB252D7}"/>
              </c:ext>
            </c:extLst>
          </c:dPt>
          <c:dLbls>
            <c:dLbl>
              <c:idx val="0"/>
              <c:layout>
                <c:manualLayout>
                  <c:x val="-2.8222222222222221E-2"/>
                  <c:y val="-7.350687945289788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51B-4E2F-AF31-75AEADB252D7}"/>
                </c:ext>
              </c:extLst>
            </c:dLbl>
            <c:dLbl>
              <c:idx val="1"/>
              <c:layout>
                <c:manualLayout>
                  <c:x val="0.10112962962962962"/>
                  <c:y val="-4.900458630193195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1B-4E2F-AF31-75AEADB252D7}"/>
                </c:ext>
              </c:extLst>
            </c:dLbl>
            <c:dLbl>
              <c:idx val="2"/>
              <c:layout>
                <c:manualLayout>
                  <c:x val="9.4074074074074074E-2"/>
                  <c:y val="0.1020928881290248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15:layout>
                    <c:manualLayout>
                      <c:w val="0.19854333333333332"/>
                      <c:h val="0.18131696931714811"/>
                    </c:manualLayout>
                  </c15:layout>
                </c:ext>
                <c:ext xmlns:c16="http://schemas.microsoft.com/office/drawing/2014/chart" uri="{C3380CC4-5D6E-409C-BE32-E72D297353CC}">
                  <c16:uniqueId val="{00000005-A51B-4E2F-AF31-75AEADB252D7}"/>
                </c:ext>
              </c:extLst>
            </c:dLbl>
            <c:dLbl>
              <c:idx val="3"/>
              <c:layout>
                <c:manualLayout>
                  <c:x val="0.11053703703703703"/>
                  <c:y val="-0.2654415091354645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51B-4E2F-AF31-75AEADB252D7}"/>
                </c:ext>
              </c:extLst>
            </c:dLbl>
            <c:dLbl>
              <c:idx val="4"/>
              <c:layout>
                <c:manualLayout>
                  <c:x val="-1.6462962962962964E-2"/>
                  <c:y val="-2.04185776258050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51B-4E2F-AF31-75AEADB252D7}"/>
                </c:ext>
              </c:extLst>
            </c:dLbl>
            <c:dLbl>
              <c:idx val="5"/>
              <c:layout>
                <c:manualLayout>
                  <c:x val="-0.13170370370370374"/>
                  <c:y val="-5.308830182709291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A51B-4E2F-AF31-75AEADB252D7}"/>
                </c:ext>
              </c:extLst>
            </c:dLbl>
            <c:txPr>
              <a:bodyPr rot="0" spcFirstLastPara="1" vertOverflow="ellipsis" vert="horz" wrap="square" lIns="38100" tIns="19050" rIns="38100" bIns="19050" anchor="ctr" anchorCtr="1">
                <a:spAutoFit/>
              </a:bodyPr>
              <a:lstStyle/>
              <a:p>
                <a:pPr>
                  <a:defRPr sz="12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Type!$B$2:$B$7</c:f>
              <c:strCache>
                <c:ptCount val="6"/>
                <c:pt idx="0">
                  <c:v>Book</c:v>
                </c:pt>
                <c:pt idx="1">
                  <c:v>Book Section</c:v>
                </c:pt>
                <c:pt idx="2">
                  <c:v>Conference Paper</c:v>
                </c:pt>
                <c:pt idx="3">
                  <c:v>Conference Proceedings</c:v>
                </c:pt>
                <c:pt idx="4">
                  <c:v>Journal Article</c:v>
                </c:pt>
                <c:pt idx="5">
                  <c:v>Serie</c:v>
                </c:pt>
              </c:strCache>
            </c:strRef>
          </c:cat>
          <c:val>
            <c:numRef>
              <c:f>Type!$C$2:$C$7</c:f>
              <c:numCache>
                <c:formatCode>General</c:formatCode>
                <c:ptCount val="6"/>
                <c:pt idx="0">
                  <c:v>1</c:v>
                </c:pt>
                <c:pt idx="1">
                  <c:v>6</c:v>
                </c:pt>
                <c:pt idx="2">
                  <c:v>24</c:v>
                </c:pt>
                <c:pt idx="3">
                  <c:v>141</c:v>
                </c:pt>
                <c:pt idx="4">
                  <c:v>54</c:v>
                </c:pt>
                <c:pt idx="5">
                  <c:v>9</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C-A51B-4E2F-AF31-75AEADB252D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C"/>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AQ1. Systematic method</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col"/>
        <c:grouping val="clustered"/>
        <c:varyColors val="0"/>
        <c:ser>
          <c:idx val="0"/>
          <c:order val="0"/>
          <c:tx>
            <c:strRef>
              <c:f>Quality!$B$1</c:f>
              <c:strCache>
                <c:ptCount val="1"/>
                <c:pt idx="0">
                  <c:v>AQ1. Does the study follow a systematic method to obtain baseline information for code repository analysis?</c:v>
                </c:pt>
              </c:strCache>
            </c:strRef>
          </c:tx>
          <c:spPr>
            <a:solidFill>
              <a:schemeClr val="accent1"/>
            </a:solidFill>
            <a:ln>
              <a:noFill/>
            </a:ln>
            <a:effectLst/>
          </c:spPr>
          <c:invertIfNegative val="0"/>
          <c:val>
            <c:numRef>
              <c:f>Quality!$B$2:$B$6</c:f>
              <c:numCache>
                <c:formatCode>General</c:formatCode>
                <c:ptCount val="5"/>
                <c:pt idx="0">
                  <c:v>0</c:v>
                </c:pt>
                <c:pt idx="1">
                  <c:v>0</c:v>
                </c:pt>
                <c:pt idx="2">
                  <c:v>13</c:v>
                </c:pt>
                <c:pt idx="3">
                  <c:v>38</c:v>
                </c:pt>
                <c:pt idx="4">
                  <c:v>185</c:v>
                </c:pt>
              </c:numCache>
            </c:numRef>
          </c:val>
          <c:extLst>
            <c:ext xmlns:c16="http://schemas.microsoft.com/office/drawing/2014/chart" uri="{C3380CC4-5D6E-409C-BE32-E72D297353CC}">
              <c16:uniqueId val="{00000000-084F-4316-9B37-8FA681C44511}"/>
            </c:ext>
          </c:extLst>
        </c:ser>
        <c:dLbls>
          <c:showLegendKey val="0"/>
          <c:showVal val="0"/>
          <c:showCatName val="0"/>
          <c:showSerName val="0"/>
          <c:showPercent val="0"/>
          <c:showBubbleSize val="0"/>
        </c:dLbls>
        <c:gapWidth val="300"/>
        <c:axId val="-1800282896"/>
        <c:axId val="-1600220272"/>
      </c:barChart>
      <c:catAx>
        <c:axId val="-1800282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600220272"/>
        <c:crosses val="autoZero"/>
        <c:auto val="1"/>
        <c:lblAlgn val="ctr"/>
        <c:lblOffset val="100"/>
        <c:noMultiLvlLbl val="0"/>
      </c:catAx>
      <c:valAx>
        <c:axId val="-1600220272"/>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800282896"/>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AQ2.  Code repository information analysis</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col"/>
        <c:grouping val="clustered"/>
        <c:varyColors val="0"/>
        <c:ser>
          <c:idx val="0"/>
          <c:order val="0"/>
          <c:tx>
            <c:strRef>
              <c:f>Quality!$C$1</c:f>
              <c:strCache>
                <c:ptCount val="1"/>
                <c:pt idx="0">
                  <c:v>AQ2. Does the study present a result of code repository information analysis?</c:v>
                </c:pt>
              </c:strCache>
            </c:strRef>
          </c:tx>
          <c:spPr>
            <a:solidFill>
              <a:schemeClr val="accent1"/>
            </a:solidFill>
            <a:ln>
              <a:noFill/>
            </a:ln>
            <a:effectLst/>
          </c:spPr>
          <c:invertIfNegative val="0"/>
          <c:val>
            <c:numRef>
              <c:f>Quality!$C$2:$C$6</c:f>
              <c:numCache>
                <c:formatCode>General</c:formatCode>
                <c:ptCount val="5"/>
                <c:pt idx="0">
                  <c:v>0</c:v>
                </c:pt>
                <c:pt idx="1">
                  <c:v>0</c:v>
                </c:pt>
                <c:pt idx="2">
                  <c:v>15</c:v>
                </c:pt>
                <c:pt idx="3">
                  <c:v>45</c:v>
                </c:pt>
                <c:pt idx="4">
                  <c:v>176</c:v>
                </c:pt>
              </c:numCache>
            </c:numRef>
          </c:val>
          <c:extLst>
            <c:ext xmlns:c16="http://schemas.microsoft.com/office/drawing/2014/chart" uri="{C3380CC4-5D6E-409C-BE32-E72D297353CC}">
              <c16:uniqueId val="{00000000-800D-4BFE-9522-9D55EE0B1D8B}"/>
            </c:ext>
          </c:extLst>
        </c:ser>
        <c:dLbls>
          <c:showLegendKey val="0"/>
          <c:showVal val="0"/>
          <c:showCatName val="0"/>
          <c:showSerName val="0"/>
          <c:showPercent val="0"/>
          <c:showBubbleSize val="0"/>
        </c:dLbls>
        <c:gapWidth val="300"/>
        <c:axId val="-1534105200"/>
        <c:axId val="-1534103568"/>
      </c:barChart>
      <c:catAx>
        <c:axId val="-1534105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3568"/>
        <c:crosses val="autoZero"/>
        <c:auto val="1"/>
        <c:lblAlgn val="ctr"/>
        <c:lblOffset val="100"/>
        <c:noMultiLvlLbl val="0"/>
      </c:catAx>
      <c:valAx>
        <c:axId val="-1534103568"/>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5200"/>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AQ3. Method, tool  and other </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col"/>
        <c:grouping val="clustered"/>
        <c:varyColors val="0"/>
        <c:ser>
          <c:idx val="0"/>
          <c:order val="0"/>
          <c:tx>
            <c:strRef>
              <c:f>Quality!$D$1</c:f>
              <c:strCache>
                <c:ptCount val="1"/>
                <c:pt idx="0">
                  <c:v>AQ3. Does the study present a method, tool, or any other mechanism for code repository analysis?</c:v>
                </c:pt>
              </c:strCache>
            </c:strRef>
          </c:tx>
          <c:spPr>
            <a:solidFill>
              <a:schemeClr val="accent1"/>
            </a:solidFill>
            <a:ln>
              <a:noFill/>
            </a:ln>
            <a:effectLst/>
          </c:spPr>
          <c:invertIfNegative val="0"/>
          <c:val>
            <c:numRef>
              <c:f>Quality!$D$2:$D$6</c:f>
              <c:numCache>
                <c:formatCode>General</c:formatCode>
                <c:ptCount val="5"/>
                <c:pt idx="0">
                  <c:v>1</c:v>
                </c:pt>
                <c:pt idx="1">
                  <c:v>5</c:v>
                </c:pt>
                <c:pt idx="2">
                  <c:v>27</c:v>
                </c:pt>
                <c:pt idx="3">
                  <c:v>40</c:v>
                </c:pt>
                <c:pt idx="4">
                  <c:v>163</c:v>
                </c:pt>
              </c:numCache>
            </c:numRef>
          </c:val>
          <c:extLst>
            <c:ext xmlns:c16="http://schemas.microsoft.com/office/drawing/2014/chart" uri="{C3380CC4-5D6E-409C-BE32-E72D297353CC}">
              <c16:uniqueId val="{00000000-BFD0-49AA-AD77-3385D0A28314}"/>
            </c:ext>
          </c:extLst>
        </c:ser>
        <c:dLbls>
          <c:showLegendKey val="0"/>
          <c:showVal val="0"/>
          <c:showCatName val="0"/>
          <c:showSerName val="0"/>
          <c:showPercent val="0"/>
          <c:showBubbleSize val="0"/>
        </c:dLbls>
        <c:gapWidth val="300"/>
        <c:axId val="-1534106288"/>
        <c:axId val="-1534097040"/>
      </c:barChart>
      <c:catAx>
        <c:axId val="-15341062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097040"/>
        <c:crosses val="autoZero"/>
        <c:auto val="1"/>
        <c:lblAlgn val="ctr"/>
        <c:lblOffset val="100"/>
        <c:noMultiLvlLbl val="0"/>
      </c:catAx>
      <c:valAx>
        <c:axId val="-1534097040"/>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6288"/>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AQ4.  Solution to problems</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col"/>
        <c:grouping val="clustered"/>
        <c:varyColors val="0"/>
        <c:ser>
          <c:idx val="0"/>
          <c:order val="0"/>
          <c:tx>
            <c:strRef>
              <c:f>Quality!$E$1</c:f>
              <c:strCache>
                <c:ptCount val="1"/>
                <c:pt idx="0">
                  <c:v>AQ4. Does the research show a solution to problems of software quality, development and evolution?</c:v>
                </c:pt>
              </c:strCache>
            </c:strRef>
          </c:tx>
          <c:spPr>
            <a:solidFill>
              <a:schemeClr val="accent1"/>
            </a:solidFill>
            <a:ln>
              <a:noFill/>
            </a:ln>
            <a:effectLst/>
          </c:spPr>
          <c:invertIfNegative val="0"/>
          <c:val>
            <c:numRef>
              <c:f>Quality!$E$2:$E$6</c:f>
              <c:numCache>
                <c:formatCode>General</c:formatCode>
                <c:ptCount val="5"/>
                <c:pt idx="0">
                  <c:v>0</c:v>
                </c:pt>
                <c:pt idx="1">
                  <c:v>1</c:v>
                </c:pt>
                <c:pt idx="2">
                  <c:v>16</c:v>
                </c:pt>
                <c:pt idx="3">
                  <c:v>43</c:v>
                </c:pt>
                <c:pt idx="4">
                  <c:v>176</c:v>
                </c:pt>
              </c:numCache>
            </c:numRef>
          </c:val>
          <c:extLst>
            <c:ext xmlns:c16="http://schemas.microsoft.com/office/drawing/2014/chart" uri="{C3380CC4-5D6E-409C-BE32-E72D297353CC}">
              <c16:uniqueId val="{00000000-C500-42AF-A1B4-37C4D6E521AF}"/>
            </c:ext>
          </c:extLst>
        </c:ser>
        <c:dLbls>
          <c:showLegendKey val="0"/>
          <c:showVal val="0"/>
          <c:showCatName val="0"/>
          <c:showSerName val="0"/>
          <c:showPercent val="0"/>
          <c:showBubbleSize val="0"/>
        </c:dLbls>
        <c:gapWidth val="300"/>
        <c:axId val="-1534102480"/>
        <c:axId val="-1534098672"/>
      </c:barChart>
      <c:catAx>
        <c:axId val="-153410248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098672"/>
        <c:crosses val="autoZero"/>
        <c:auto val="1"/>
        <c:lblAlgn val="ctr"/>
        <c:lblOffset val="100"/>
        <c:noMultiLvlLbl val="0"/>
      </c:catAx>
      <c:valAx>
        <c:axId val="-1534098672"/>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2480"/>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AQ5. Provide a method or technique </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manualLayout>
          <c:layoutTarget val="inner"/>
          <c:xMode val="edge"/>
          <c:yMode val="edge"/>
          <c:x val="0.12284062499999999"/>
          <c:y val="0.15537380952380953"/>
          <c:w val="0.8286524305555556"/>
          <c:h val="0.7089912698412697"/>
        </c:manualLayout>
      </c:layout>
      <c:barChart>
        <c:barDir val="col"/>
        <c:grouping val="clustered"/>
        <c:varyColors val="0"/>
        <c:ser>
          <c:idx val="0"/>
          <c:order val="0"/>
          <c:tx>
            <c:strRef>
              <c:f>Quality!$F$1</c:f>
              <c:strCache>
                <c:ptCount val="1"/>
                <c:pt idx="0">
                  <c:v>AQ5. Does the research provide a method or technique that could be applied in other industrial environments?</c:v>
                </c:pt>
              </c:strCache>
            </c:strRef>
          </c:tx>
          <c:spPr>
            <a:solidFill>
              <a:schemeClr val="accent1"/>
            </a:solidFill>
            <a:ln>
              <a:noFill/>
            </a:ln>
            <a:effectLst/>
          </c:spPr>
          <c:invertIfNegative val="0"/>
          <c:val>
            <c:numRef>
              <c:f>Quality!$F$2:$F$6</c:f>
              <c:numCache>
                <c:formatCode>General</c:formatCode>
                <c:ptCount val="5"/>
                <c:pt idx="0">
                  <c:v>0</c:v>
                </c:pt>
                <c:pt idx="1">
                  <c:v>0</c:v>
                </c:pt>
                <c:pt idx="2">
                  <c:v>15</c:v>
                </c:pt>
                <c:pt idx="3">
                  <c:v>45</c:v>
                </c:pt>
                <c:pt idx="4">
                  <c:v>176</c:v>
                </c:pt>
              </c:numCache>
            </c:numRef>
          </c:val>
          <c:extLst>
            <c:ext xmlns:c16="http://schemas.microsoft.com/office/drawing/2014/chart" uri="{C3380CC4-5D6E-409C-BE32-E72D297353CC}">
              <c16:uniqueId val="{00000000-0890-422D-AB4F-1FF2D8BAB914}"/>
            </c:ext>
          </c:extLst>
        </c:ser>
        <c:dLbls>
          <c:showLegendKey val="0"/>
          <c:showVal val="0"/>
          <c:showCatName val="0"/>
          <c:showSerName val="0"/>
          <c:showPercent val="0"/>
          <c:showBubbleSize val="0"/>
        </c:dLbls>
        <c:gapWidth val="300"/>
        <c:axId val="-1534101936"/>
        <c:axId val="-1534099760"/>
      </c:barChart>
      <c:catAx>
        <c:axId val="-1534101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099760"/>
        <c:crosses val="autoZero"/>
        <c:auto val="1"/>
        <c:lblAlgn val="ctr"/>
        <c:lblOffset val="100"/>
        <c:noMultiLvlLbl val="0"/>
      </c:catAx>
      <c:valAx>
        <c:axId val="-1534099760"/>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1936"/>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AQ6. Citation</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col"/>
        <c:grouping val="clustered"/>
        <c:varyColors val="0"/>
        <c:ser>
          <c:idx val="0"/>
          <c:order val="0"/>
          <c:tx>
            <c:strRef>
              <c:f>Quality!$G$1</c:f>
              <c:strCache>
                <c:ptCount val="1"/>
                <c:pt idx="0">
                  <c:v>AQ6. Is the study cited by other authors?</c:v>
                </c:pt>
              </c:strCache>
            </c:strRef>
          </c:tx>
          <c:spPr>
            <a:solidFill>
              <a:schemeClr val="accent1"/>
            </a:solidFill>
            <a:ln>
              <a:noFill/>
            </a:ln>
            <a:effectLst/>
          </c:spPr>
          <c:invertIfNegative val="0"/>
          <c:val>
            <c:numRef>
              <c:f>Quality!$G$2:$G$6</c:f>
              <c:numCache>
                <c:formatCode>General</c:formatCode>
                <c:ptCount val="5"/>
                <c:pt idx="0">
                  <c:v>1</c:v>
                </c:pt>
                <c:pt idx="1">
                  <c:v>5</c:v>
                </c:pt>
                <c:pt idx="2">
                  <c:v>27</c:v>
                </c:pt>
                <c:pt idx="3">
                  <c:v>40</c:v>
                </c:pt>
                <c:pt idx="4">
                  <c:v>163</c:v>
                </c:pt>
              </c:numCache>
            </c:numRef>
          </c:val>
          <c:extLst>
            <c:ext xmlns:c16="http://schemas.microsoft.com/office/drawing/2014/chart" uri="{C3380CC4-5D6E-409C-BE32-E72D297353CC}">
              <c16:uniqueId val="{00000000-68F2-49A4-9816-423256904357}"/>
            </c:ext>
          </c:extLst>
        </c:ser>
        <c:dLbls>
          <c:showLegendKey val="0"/>
          <c:showVal val="0"/>
          <c:showCatName val="0"/>
          <c:showSerName val="0"/>
          <c:showPercent val="0"/>
          <c:showBubbleSize val="0"/>
        </c:dLbls>
        <c:gapWidth val="300"/>
        <c:axId val="-1534104656"/>
        <c:axId val="-1534104112"/>
      </c:barChart>
      <c:catAx>
        <c:axId val="-1534104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4112"/>
        <c:crosses val="autoZero"/>
        <c:auto val="1"/>
        <c:lblAlgn val="ctr"/>
        <c:lblOffset val="100"/>
        <c:noMultiLvlLbl val="0"/>
      </c:catAx>
      <c:valAx>
        <c:axId val="-1534104112"/>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4656"/>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sz="1000" b="1"/>
              <a:t>AQ7. Journal relevance</a:t>
            </a:r>
          </a:p>
        </c:rich>
      </c:tx>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title>
    <c:autoTitleDeleted val="0"/>
    <c:plotArea>
      <c:layout/>
      <c:barChart>
        <c:barDir val="col"/>
        <c:grouping val="clustered"/>
        <c:varyColors val="0"/>
        <c:ser>
          <c:idx val="0"/>
          <c:order val="0"/>
          <c:tx>
            <c:strRef>
              <c:f>Quality!$G$1</c:f>
              <c:strCache>
                <c:ptCount val="1"/>
                <c:pt idx="0">
                  <c:v>AQ6. Is the study cited by other authors?</c:v>
                </c:pt>
              </c:strCache>
            </c:strRef>
          </c:tx>
          <c:spPr>
            <a:solidFill>
              <a:schemeClr val="accent1"/>
            </a:solidFill>
            <a:ln>
              <a:noFill/>
            </a:ln>
            <a:effectLst/>
          </c:spPr>
          <c:invertIfNegative val="0"/>
          <c:val>
            <c:numRef>
              <c:f>Quality!$G$2:$G$6</c:f>
              <c:numCache>
                <c:formatCode>General</c:formatCode>
                <c:ptCount val="5"/>
                <c:pt idx="0">
                  <c:v>1</c:v>
                </c:pt>
                <c:pt idx="1">
                  <c:v>5</c:v>
                </c:pt>
                <c:pt idx="2">
                  <c:v>27</c:v>
                </c:pt>
                <c:pt idx="3">
                  <c:v>40</c:v>
                </c:pt>
                <c:pt idx="4">
                  <c:v>163</c:v>
                </c:pt>
              </c:numCache>
            </c:numRef>
          </c:val>
          <c:extLst>
            <c:ext xmlns:c16="http://schemas.microsoft.com/office/drawing/2014/chart" uri="{C3380CC4-5D6E-409C-BE32-E72D297353CC}">
              <c16:uniqueId val="{00000000-C286-4B0F-8D96-153936BD6C72}"/>
            </c:ext>
          </c:extLst>
        </c:ser>
        <c:dLbls>
          <c:showLegendKey val="0"/>
          <c:showVal val="0"/>
          <c:showCatName val="0"/>
          <c:showSerName val="0"/>
          <c:showPercent val="0"/>
          <c:showBubbleSize val="0"/>
        </c:dLbls>
        <c:gapWidth val="300"/>
        <c:axId val="-1534104656"/>
        <c:axId val="-1534104112"/>
      </c:barChart>
      <c:catAx>
        <c:axId val="-153410465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4112"/>
        <c:crosses val="autoZero"/>
        <c:auto val="1"/>
        <c:lblAlgn val="ctr"/>
        <c:lblOffset val="100"/>
        <c:noMultiLvlLbl val="0"/>
      </c:catAx>
      <c:valAx>
        <c:axId val="-1534104112"/>
        <c:scaling>
          <c:orientation val="minMax"/>
          <c:max val="200"/>
          <c:min val="1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s-EC"/>
          </a:p>
        </c:txPr>
        <c:crossAx val="-1534104656"/>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a:solidFill>
            <a:sysClr val="windowText" lastClr="000000"/>
          </a:solidFill>
          <a:latin typeface="Times New Roman" panose="02020603050405020304" pitchFamily="18" charset="0"/>
          <a:cs typeface="Times New Roman" panose="02020603050405020304" pitchFamily="18" charset="0"/>
        </a:defRPr>
      </a:pPr>
      <a:endParaRPr lang="es-EC"/>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48000522622144E-2"/>
          <c:y val="7.3361085727178268E-2"/>
          <c:w val="0.92116192167107513"/>
          <c:h val="0.8964217980047291"/>
        </c:manualLayout>
      </c:layout>
      <c:bubbleChart>
        <c:varyColors val="0"/>
        <c:ser>
          <c:idx val="0"/>
          <c:order val="0"/>
          <c:spPr>
            <a:gradFill flip="none" rotWithShape="1">
              <a:gsLst>
                <a:gs pos="0">
                  <a:schemeClr val="accent1">
                    <a:lumMod val="5000"/>
                    <a:lumOff val="95000"/>
                    <a:alpha val="0"/>
                  </a:schemeClr>
                </a:gs>
                <a:gs pos="83000">
                  <a:schemeClr val="accent1">
                    <a:lumMod val="40000"/>
                    <a:lumOff val="60000"/>
                  </a:schemeClr>
                </a:gs>
                <a:gs pos="89000">
                  <a:schemeClr val="accent1">
                    <a:lumMod val="34000"/>
                    <a:lumOff val="66000"/>
                  </a:schemeClr>
                </a:gs>
                <a:gs pos="100000">
                  <a:schemeClr val="accent1">
                    <a:lumMod val="30000"/>
                    <a:lumOff val="70000"/>
                  </a:schemeClr>
                </a:gs>
              </a:gsLst>
              <a:path path="circle">
                <a:fillToRect l="50000" t="50000" r="50000" b="50000"/>
              </a:path>
              <a:tileRect/>
            </a:gradFill>
            <a:ln cap="rnd">
              <a:solidFill>
                <a:schemeClr val="accent1">
                  <a:lumMod val="60000"/>
                  <a:lumOff val="40000"/>
                </a:schemeClr>
              </a:solid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Times New Roman" panose="02020603050405020304" pitchFamily="18" charset="0"/>
                    <a:ea typeface="+mn-ea"/>
                    <a:cs typeface="+mn-cs"/>
                  </a:defRPr>
                </a:pPr>
                <a:endParaRPr lang="es-EC"/>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Bubble!$B$2:$B$331</c:f>
              <c:numCache>
                <c:formatCode>General</c:formatCode>
                <c:ptCount val="330"/>
                <c:pt idx="0">
                  <c:v>1</c:v>
                </c:pt>
                <c:pt idx="1">
                  <c:v>1</c:v>
                </c:pt>
                <c:pt idx="2">
                  <c:v>1</c:v>
                </c:pt>
                <c:pt idx="3">
                  <c:v>1</c:v>
                </c:pt>
                <c:pt idx="4">
                  <c:v>1</c:v>
                </c:pt>
                <c:pt idx="5">
                  <c:v>1</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3</c:v>
                </c:pt>
                <c:pt idx="23">
                  <c:v>3</c:v>
                </c:pt>
                <c:pt idx="24">
                  <c:v>3</c:v>
                </c:pt>
                <c:pt idx="25">
                  <c:v>3</c:v>
                </c:pt>
                <c:pt idx="26">
                  <c:v>3</c:v>
                </c:pt>
                <c:pt idx="27">
                  <c:v>3</c:v>
                </c:pt>
                <c:pt idx="28">
                  <c:v>3</c:v>
                </c:pt>
                <c:pt idx="29">
                  <c:v>3</c:v>
                </c:pt>
                <c:pt idx="30">
                  <c:v>3</c:v>
                </c:pt>
                <c:pt idx="31">
                  <c:v>3</c:v>
                </c:pt>
                <c:pt idx="32">
                  <c:v>3</c:v>
                </c:pt>
                <c:pt idx="33">
                  <c:v>4</c:v>
                </c:pt>
                <c:pt idx="34">
                  <c:v>4</c:v>
                </c:pt>
                <c:pt idx="35">
                  <c:v>4</c:v>
                </c:pt>
                <c:pt idx="36">
                  <c:v>4</c:v>
                </c:pt>
                <c:pt idx="37">
                  <c:v>4</c:v>
                </c:pt>
                <c:pt idx="38">
                  <c:v>4</c:v>
                </c:pt>
                <c:pt idx="39">
                  <c:v>4</c:v>
                </c:pt>
                <c:pt idx="40">
                  <c:v>4</c:v>
                </c:pt>
                <c:pt idx="41">
                  <c:v>4</c:v>
                </c:pt>
                <c:pt idx="42">
                  <c:v>4</c:v>
                </c:pt>
                <c:pt idx="43">
                  <c:v>4</c:v>
                </c:pt>
                <c:pt idx="44">
                  <c:v>5</c:v>
                </c:pt>
                <c:pt idx="45">
                  <c:v>5</c:v>
                </c:pt>
                <c:pt idx="46">
                  <c:v>5</c:v>
                </c:pt>
                <c:pt idx="47">
                  <c:v>5</c:v>
                </c:pt>
                <c:pt idx="48">
                  <c:v>5</c:v>
                </c:pt>
                <c:pt idx="49">
                  <c:v>5</c:v>
                </c:pt>
                <c:pt idx="50">
                  <c:v>5</c:v>
                </c:pt>
                <c:pt idx="51">
                  <c:v>5</c:v>
                </c:pt>
                <c:pt idx="52">
                  <c:v>5</c:v>
                </c:pt>
                <c:pt idx="53">
                  <c:v>5</c:v>
                </c:pt>
                <c:pt idx="54">
                  <c:v>5</c:v>
                </c:pt>
                <c:pt idx="55">
                  <c:v>6</c:v>
                </c:pt>
                <c:pt idx="56">
                  <c:v>6</c:v>
                </c:pt>
                <c:pt idx="57">
                  <c:v>6</c:v>
                </c:pt>
                <c:pt idx="58">
                  <c:v>6</c:v>
                </c:pt>
                <c:pt idx="59">
                  <c:v>6</c:v>
                </c:pt>
                <c:pt idx="60">
                  <c:v>6</c:v>
                </c:pt>
                <c:pt idx="61">
                  <c:v>6</c:v>
                </c:pt>
                <c:pt idx="62">
                  <c:v>6</c:v>
                </c:pt>
                <c:pt idx="63">
                  <c:v>6</c:v>
                </c:pt>
                <c:pt idx="64">
                  <c:v>6</c:v>
                </c:pt>
                <c:pt idx="65">
                  <c:v>6</c:v>
                </c:pt>
                <c:pt idx="66">
                  <c:v>7</c:v>
                </c:pt>
                <c:pt idx="67">
                  <c:v>7</c:v>
                </c:pt>
                <c:pt idx="68">
                  <c:v>7</c:v>
                </c:pt>
                <c:pt idx="69">
                  <c:v>7</c:v>
                </c:pt>
                <c:pt idx="70">
                  <c:v>7</c:v>
                </c:pt>
                <c:pt idx="71">
                  <c:v>7</c:v>
                </c:pt>
                <c:pt idx="72">
                  <c:v>7</c:v>
                </c:pt>
                <c:pt idx="73">
                  <c:v>7</c:v>
                </c:pt>
                <c:pt idx="74">
                  <c:v>7</c:v>
                </c:pt>
                <c:pt idx="75">
                  <c:v>7</c:v>
                </c:pt>
                <c:pt idx="76">
                  <c:v>7</c:v>
                </c:pt>
                <c:pt idx="77">
                  <c:v>8</c:v>
                </c:pt>
                <c:pt idx="78">
                  <c:v>8</c:v>
                </c:pt>
                <c:pt idx="79">
                  <c:v>8</c:v>
                </c:pt>
                <c:pt idx="80">
                  <c:v>8</c:v>
                </c:pt>
                <c:pt idx="81">
                  <c:v>8</c:v>
                </c:pt>
                <c:pt idx="82">
                  <c:v>8</c:v>
                </c:pt>
                <c:pt idx="83">
                  <c:v>8</c:v>
                </c:pt>
                <c:pt idx="84">
                  <c:v>8</c:v>
                </c:pt>
                <c:pt idx="85">
                  <c:v>8</c:v>
                </c:pt>
                <c:pt idx="86">
                  <c:v>8</c:v>
                </c:pt>
                <c:pt idx="87">
                  <c:v>8</c:v>
                </c:pt>
                <c:pt idx="88">
                  <c:v>9</c:v>
                </c:pt>
                <c:pt idx="89">
                  <c:v>9</c:v>
                </c:pt>
                <c:pt idx="90">
                  <c:v>9</c:v>
                </c:pt>
                <c:pt idx="91">
                  <c:v>9</c:v>
                </c:pt>
                <c:pt idx="92">
                  <c:v>9</c:v>
                </c:pt>
                <c:pt idx="93">
                  <c:v>9</c:v>
                </c:pt>
                <c:pt idx="94">
                  <c:v>9</c:v>
                </c:pt>
                <c:pt idx="95">
                  <c:v>9</c:v>
                </c:pt>
                <c:pt idx="96">
                  <c:v>9</c:v>
                </c:pt>
                <c:pt idx="97">
                  <c:v>9</c:v>
                </c:pt>
                <c:pt idx="98">
                  <c:v>9</c:v>
                </c:pt>
                <c:pt idx="99">
                  <c:v>10</c:v>
                </c:pt>
                <c:pt idx="100">
                  <c:v>10</c:v>
                </c:pt>
                <c:pt idx="101">
                  <c:v>10</c:v>
                </c:pt>
                <c:pt idx="102">
                  <c:v>10</c:v>
                </c:pt>
                <c:pt idx="103">
                  <c:v>10</c:v>
                </c:pt>
                <c:pt idx="104">
                  <c:v>10</c:v>
                </c:pt>
                <c:pt idx="105">
                  <c:v>10</c:v>
                </c:pt>
                <c:pt idx="106">
                  <c:v>10</c:v>
                </c:pt>
                <c:pt idx="107">
                  <c:v>10</c:v>
                </c:pt>
                <c:pt idx="108">
                  <c:v>10</c:v>
                </c:pt>
                <c:pt idx="109">
                  <c:v>10</c:v>
                </c:pt>
                <c:pt idx="110">
                  <c:v>11</c:v>
                </c:pt>
                <c:pt idx="111">
                  <c:v>11</c:v>
                </c:pt>
                <c:pt idx="112">
                  <c:v>11</c:v>
                </c:pt>
                <c:pt idx="113">
                  <c:v>11</c:v>
                </c:pt>
                <c:pt idx="114">
                  <c:v>11</c:v>
                </c:pt>
                <c:pt idx="115">
                  <c:v>11</c:v>
                </c:pt>
                <c:pt idx="116">
                  <c:v>11</c:v>
                </c:pt>
                <c:pt idx="117">
                  <c:v>11</c:v>
                </c:pt>
                <c:pt idx="118">
                  <c:v>11</c:v>
                </c:pt>
                <c:pt idx="119">
                  <c:v>11</c:v>
                </c:pt>
                <c:pt idx="120">
                  <c:v>11</c:v>
                </c:pt>
                <c:pt idx="121">
                  <c:v>12</c:v>
                </c:pt>
                <c:pt idx="122">
                  <c:v>12</c:v>
                </c:pt>
                <c:pt idx="123">
                  <c:v>12</c:v>
                </c:pt>
                <c:pt idx="124">
                  <c:v>12</c:v>
                </c:pt>
                <c:pt idx="125">
                  <c:v>12</c:v>
                </c:pt>
                <c:pt idx="126">
                  <c:v>12</c:v>
                </c:pt>
                <c:pt idx="127">
                  <c:v>12</c:v>
                </c:pt>
                <c:pt idx="128">
                  <c:v>12</c:v>
                </c:pt>
                <c:pt idx="129">
                  <c:v>12</c:v>
                </c:pt>
                <c:pt idx="130">
                  <c:v>12</c:v>
                </c:pt>
                <c:pt idx="131">
                  <c:v>12</c:v>
                </c:pt>
                <c:pt idx="132">
                  <c:v>13</c:v>
                </c:pt>
                <c:pt idx="133">
                  <c:v>13</c:v>
                </c:pt>
                <c:pt idx="134">
                  <c:v>13</c:v>
                </c:pt>
                <c:pt idx="135">
                  <c:v>13</c:v>
                </c:pt>
                <c:pt idx="136">
                  <c:v>13</c:v>
                </c:pt>
                <c:pt idx="137">
                  <c:v>13</c:v>
                </c:pt>
                <c:pt idx="138">
                  <c:v>13</c:v>
                </c:pt>
                <c:pt idx="139">
                  <c:v>13</c:v>
                </c:pt>
                <c:pt idx="140">
                  <c:v>13</c:v>
                </c:pt>
                <c:pt idx="141">
                  <c:v>13</c:v>
                </c:pt>
                <c:pt idx="142">
                  <c:v>13</c:v>
                </c:pt>
                <c:pt idx="143">
                  <c:v>14</c:v>
                </c:pt>
                <c:pt idx="144">
                  <c:v>14</c:v>
                </c:pt>
                <c:pt idx="145">
                  <c:v>14</c:v>
                </c:pt>
                <c:pt idx="146">
                  <c:v>14</c:v>
                </c:pt>
                <c:pt idx="147">
                  <c:v>14</c:v>
                </c:pt>
                <c:pt idx="148">
                  <c:v>14</c:v>
                </c:pt>
                <c:pt idx="149">
                  <c:v>14</c:v>
                </c:pt>
                <c:pt idx="150">
                  <c:v>14</c:v>
                </c:pt>
                <c:pt idx="151">
                  <c:v>14</c:v>
                </c:pt>
                <c:pt idx="152">
                  <c:v>14</c:v>
                </c:pt>
                <c:pt idx="153">
                  <c:v>14</c:v>
                </c:pt>
                <c:pt idx="154">
                  <c:v>15</c:v>
                </c:pt>
                <c:pt idx="155">
                  <c:v>15</c:v>
                </c:pt>
                <c:pt idx="156">
                  <c:v>15</c:v>
                </c:pt>
                <c:pt idx="157">
                  <c:v>15</c:v>
                </c:pt>
                <c:pt idx="158">
                  <c:v>15</c:v>
                </c:pt>
                <c:pt idx="159">
                  <c:v>15</c:v>
                </c:pt>
                <c:pt idx="160">
                  <c:v>15</c:v>
                </c:pt>
                <c:pt idx="161">
                  <c:v>15</c:v>
                </c:pt>
                <c:pt idx="162">
                  <c:v>15</c:v>
                </c:pt>
                <c:pt idx="163">
                  <c:v>15</c:v>
                </c:pt>
                <c:pt idx="164">
                  <c:v>15</c:v>
                </c:pt>
                <c:pt idx="165">
                  <c:v>16</c:v>
                </c:pt>
                <c:pt idx="166">
                  <c:v>16</c:v>
                </c:pt>
                <c:pt idx="167">
                  <c:v>16</c:v>
                </c:pt>
                <c:pt idx="168">
                  <c:v>16</c:v>
                </c:pt>
                <c:pt idx="169">
                  <c:v>16</c:v>
                </c:pt>
                <c:pt idx="170">
                  <c:v>16</c:v>
                </c:pt>
                <c:pt idx="171">
                  <c:v>16</c:v>
                </c:pt>
                <c:pt idx="172">
                  <c:v>16</c:v>
                </c:pt>
                <c:pt idx="173">
                  <c:v>16</c:v>
                </c:pt>
                <c:pt idx="174">
                  <c:v>16</c:v>
                </c:pt>
                <c:pt idx="175">
                  <c:v>16</c:v>
                </c:pt>
                <c:pt idx="176">
                  <c:v>17</c:v>
                </c:pt>
                <c:pt idx="177">
                  <c:v>17</c:v>
                </c:pt>
                <c:pt idx="178">
                  <c:v>17</c:v>
                </c:pt>
                <c:pt idx="179">
                  <c:v>17</c:v>
                </c:pt>
                <c:pt idx="180">
                  <c:v>17</c:v>
                </c:pt>
                <c:pt idx="181">
                  <c:v>17</c:v>
                </c:pt>
                <c:pt idx="182">
                  <c:v>17</c:v>
                </c:pt>
                <c:pt idx="183">
                  <c:v>17</c:v>
                </c:pt>
                <c:pt idx="184">
                  <c:v>17</c:v>
                </c:pt>
                <c:pt idx="185">
                  <c:v>17</c:v>
                </c:pt>
                <c:pt idx="186">
                  <c:v>17</c:v>
                </c:pt>
                <c:pt idx="187">
                  <c:v>18</c:v>
                </c:pt>
                <c:pt idx="188">
                  <c:v>18</c:v>
                </c:pt>
                <c:pt idx="189">
                  <c:v>18</c:v>
                </c:pt>
                <c:pt idx="190">
                  <c:v>18</c:v>
                </c:pt>
                <c:pt idx="191">
                  <c:v>18</c:v>
                </c:pt>
                <c:pt idx="192">
                  <c:v>18</c:v>
                </c:pt>
                <c:pt idx="193">
                  <c:v>18</c:v>
                </c:pt>
                <c:pt idx="194">
                  <c:v>18</c:v>
                </c:pt>
                <c:pt idx="195">
                  <c:v>18</c:v>
                </c:pt>
                <c:pt idx="196">
                  <c:v>18</c:v>
                </c:pt>
                <c:pt idx="197">
                  <c:v>18</c:v>
                </c:pt>
                <c:pt idx="198">
                  <c:v>19</c:v>
                </c:pt>
                <c:pt idx="199">
                  <c:v>19</c:v>
                </c:pt>
                <c:pt idx="200">
                  <c:v>19</c:v>
                </c:pt>
                <c:pt idx="201">
                  <c:v>19</c:v>
                </c:pt>
                <c:pt idx="202">
                  <c:v>19</c:v>
                </c:pt>
                <c:pt idx="203">
                  <c:v>19</c:v>
                </c:pt>
                <c:pt idx="204">
                  <c:v>19</c:v>
                </c:pt>
                <c:pt idx="205">
                  <c:v>19</c:v>
                </c:pt>
                <c:pt idx="206">
                  <c:v>19</c:v>
                </c:pt>
                <c:pt idx="207">
                  <c:v>19</c:v>
                </c:pt>
                <c:pt idx="208">
                  <c:v>19</c:v>
                </c:pt>
                <c:pt idx="209">
                  <c:v>20</c:v>
                </c:pt>
                <c:pt idx="210">
                  <c:v>20</c:v>
                </c:pt>
                <c:pt idx="211">
                  <c:v>20</c:v>
                </c:pt>
                <c:pt idx="212">
                  <c:v>20</c:v>
                </c:pt>
                <c:pt idx="213">
                  <c:v>20</c:v>
                </c:pt>
                <c:pt idx="214">
                  <c:v>20</c:v>
                </c:pt>
                <c:pt idx="215">
                  <c:v>20</c:v>
                </c:pt>
                <c:pt idx="216">
                  <c:v>20</c:v>
                </c:pt>
                <c:pt idx="217">
                  <c:v>20</c:v>
                </c:pt>
                <c:pt idx="218">
                  <c:v>20</c:v>
                </c:pt>
                <c:pt idx="219">
                  <c:v>20</c:v>
                </c:pt>
                <c:pt idx="220">
                  <c:v>21</c:v>
                </c:pt>
                <c:pt idx="221">
                  <c:v>21</c:v>
                </c:pt>
                <c:pt idx="222">
                  <c:v>21</c:v>
                </c:pt>
                <c:pt idx="223">
                  <c:v>21</c:v>
                </c:pt>
                <c:pt idx="224">
                  <c:v>21</c:v>
                </c:pt>
                <c:pt idx="225">
                  <c:v>21</c:v>
                </c:pt>
                <c:pt idx="226">
                  <c:v>21</c:v>
                </c:pt>
                <c:pt idx="227">
                  <c:v>21</c:v>
                </c:pt>
                <c:pt idx="228">
                  <c:v>21</c:v>
                </c:pt>
                <c:pt idx="229">
                  <c:v>21</c:v>
                </c:pt>
                <c:pt idx="230">
                  <c:v>21</c:v>
                </c:pt>
                <c:pt idx="231">
                  <c:v>22</c:v>
                </c:pt>
                <c:pt idx="232">
                  <c:v>22</c:v>
                </c:pt>
                <c:pt idx="233">
                  <c:v>22</c:v>
                </c:pt>
                <c:pt idx="234">
                  <c:v>22</c:v>
                </c:pt>
                <c:pt idx="235">
                  <c:v>22</c:v>
                </c:pt>
                <c:pt idx="236">
                  <c:v>22</c:v>
                </c:pt>
                <c:pt idx="237">
                  <c:v>22</c:v>
                </c:pt>
                <c:pt idx="238">
                  <c:v>22</c:v>
                </c:pt>
                <c:pt idx="239">
                  <c:v>22</c:v>
                </c:pt>
                <c:pt idx="240">
                  <c:v>22</c:v>
                </c:pt>
                <c:pt idx="241">
                  <c:v>22</c:v>
                </c:pt>
                <c:pt idx="242">
                  <c:v>23</c:v>
                </c:pt>
                <c:pt idx="243">
                  <c:v>23</c:v>
                </c:pt>
                <c:pt idx="244">
                  <c:v>23</c:v>
                </c:pt>
                <c:pt idx="245">
                  <c:v>23</c:v>
                </c:pt>
                <c:pt idx="246">
                  <c:v>23</c:v>
                </c:pt>
                <c:pt idx="247">
                  <c:v>23</c:v>
                </c:pt>
                <c:pt idx="248">
                  <c:v>23</c:v>
                </c:pt>
                <c:pt idx="249">
                  <c:v>23</c:v>
                </c:pt>
                <c:pt idx="250">
                  <c:v>23</c:v>
                </c:pt>
                <c:pt idx="251">
                  <c:v>23</c:v>
                </c:pt>
                <c:pt idx="252">
                  <c:v>23</c:v>
                </c:pt>
                <c:pt idx="253">
                  <c:v>24</c:v>
                </c:pt>
                <c:pt idx="254">
                  <c:v>24</c:v>
                </c:pt>
                <c:pt idx="255">
                  <c:v>24</c:v>
                </c:pt>
                <c:pt idx="256">
                  <c:v>24</c:v>
                </c:pt>
                <c:pt idx="257">
                  <c:v>24</c:v>
                </c:pt>
                <c:pt idx="258">
                  <c:v>24</c:v>
                </c:pt>
                <c:pt idx="259">
                  <c:v>24</c:v>
                </c:pt>
                <c:pt idx="260">
                  <c:v>24</c:v>
                </c:pt>
                <c:pt idx="261">
                  <c:v>24</c:v>
                </c:pt>
                <c:pt idx="262">
                  <c:v>24</c:v>
                </c:pt>
                <c:pt idx="263">
                  <c:v>24</c:v>
                </c:pt>
                <c:pt idx="264">
                  <c:v>25</c:v>
                </c:pt>
                <c:pt idx="265">
                  <c:v>25</c:v>
                </c:pt>
                <c:pt idx="266">
                  <c:v>25</c:v>
                </c:pt>
                <c:pt idx="267">
                  <c:v>25</c:v>
                </c:pt>
                <c:pt idx="268">
                  <c:v>25</c:v>
                </c:pt>
                <c:pt idx="269">
                  <c:v>25</c:v>
                </c:pt>
                <c:pt idx="270">
                  <c:v>25</c:v>
                </c:pt>
                <c:pt idx="271">
                  <c:v>25</c:v>
                </c:pt>
                <c:pt idx="272">
                  <c:v>25</c:v>
                </c:pt>
                <c:pt idx="273">
                  <c:v>25</c:v>
                </c:pt>
                <c:pt idx="274">
                  <c:v>25</c:v>
                </c:pt>
                <c:pt idx="275">
                  <c:v>26</c:v>
                </c:pt>
                <c:pt idx="276">
                  <c:v>26</c:v>
                </c:pt>
                <c:pt idx="277">
                  <c:v>26</c:v>
                </c:pt>
                <c:pt idx="278">
                  <c:v>26</c:v>
                </c:pt>
                <c:pt idx="279">
                  <c:v>26</c:v>
                </c:pt>
                <c:pt idx="280">
                  <c:v>26</c:v>
                </c:pt>
                <c:pt idx="281">
                  <c:v>26</c:v>
                </c:pt>
                <c:pt idx="282">
                  <c:v>26</c:v>
                </c:pt>
                <c:pt idx="283">
                  <c:v>26</c:v>
                </c:pt>
                <c:pt idx="284">
                  <c:v>26</c:v>
                </c:pt>
                <c:pt idx="285">
                  <c:v>26</c:v>
                </c:pt>
                <c:pt idx="286">
                  <c:v>27</c:v>
                </c:pt>
                <c:pt idx="287">
                  <c:v>27</c:v>
                </c:pt>
                <c:pt idx="288">
                  <c:v>27</c:v>
                </c:pt>
                <c:pt idx="289">
                  <c:v>27</c:v>
                </c:pt>
                <c:pt idx="290">
                  <c:v>27</c:v>
                </c:pt>
                <c:pt idx="291">
                  <c:v>27</c:v>
                </c:pt>
                <c:pt idx="292">
                  <c:v>27</c:v>
                </c:pt>
                <c:pt idx="293">
                  <c:v>27</c:v>
                </c:pt>
                <c:pt idx="294">
                  <c:v>27</c:v>
                </c:pt>
                <c:pt idx="295">
                  <c:v>27</c:v>
                </c:pt>
                <c:pt idx="296">
                  <c:v>27</c:v>
                </c:pt>
                <c:pt idx="297">
                  <c:v>28</c:v>
                </c:pt>
                <c:pt idx="298">
                  <c:v>28</c:v>
                </c:pt>
                <c:pt idx="299">
                  <c:v>28</c:v>
                </c:pt>
                <c:pt idx="300">
                  <c:v>28</c:v>
                </c:pt>
                <c:pt idx="301">
                  <c:v>28</c:v>
                </c:pt>
                <c:pt idx="302">
                  <c:v>28</c:v>
                </c:pt>
                <c:pt idx="303">
                  <c:v>28</c:v>
                </c:pt>
                <c:pt idx="304">
                  <c:v>28</c:v>
                </c:pt>
                <c:pt idx="305">
                  <c:v>28</c:v>
                </c:pt>
                <c:pt idx="306">
                  <c:v>28</c:v>
                </c:pt>
                <c:pt idx="307">
                  <c:v>28</c:v>
                </c:pt>
                <c:pt idx="308">
                  <c:v>29</c:v>
                </c:pt>
                <c:pt idx="309">
                  <c:v>29</c:v>
                </c:pt>
                <c:pt idx="310">
                  <c:v>29</c:v>
                </c:pt>
                <c:pt idx="311">
                  <c:v>29</c:v>
                </c:pt>
                <c:pt idx="312">
                  <c:v>29</c:v>
                </c:pt>
                <c:pt idx="313">
                  <c:v>29</c:v>
                </c:pt>
                <c:pt idx="314">
                  <c:v>29</c:v>
                </c:pt>
                <c:pt idx="315">
                  <c:v>29</c:v>
                </c:pt>
                <c:pt idx="316">
                  <c:v>29</c:v>
                </c:pt>
                <c:pt idx="317">
                  <c:v>29</c:v>
                </c:pt>
                <c:pt idx="318">
                  <c:v>29</c:v>
                </c:pt>
                <c:pt idx="319">
                  <c:v>30</c:v>
                </c:pt>
                <c:pt idx="320">
                  <c:v>30</c:v>
                </c:pt>
                <c:pt idx="321">
                  <c:v>30</c:v>
                </c:pt>
                <c:pt idx="322">
                  <c:v>30</c:v>
                </c:pt>
                <c:pt idx="323">
                  <c:v>30</c:v>
                </c:pt>
                <c:pt idx="324">
                  <c:v>30</c:v>
                </c:pt>
                <c:pt idx="325">
                  <c:v>30</c:v>
                </c:pt>
                <c:pt idx="326">
                  <c:v>30</c:v>
                </c:pt>
                <c:pt idx="327">
                  <c:v>30</c:v>
                </c:pt>
                <c:pt idx="328">
                  <c:v>30</c:v>
                </c:pt>
                <c:pt idx="329">
                  <c:v>30</c:v>
                </c:pt>
              </c:numCache>
            </c:numRef>
          </c:xVal>
          <c:yVal>
            <c:numRef>
              <c:f>Bubble!$A$2:$A$331</c:f>
              <c:numCache>
                <c:formatCode>General</c:formatCode>
                <c:ptCount val="330"/>
                <c:pt idx="0">
                  <c:v>1</c:v>
                </c:pt>
                <c:pt idx="1">
                  <c:v>2</c:v>
                </c:pt>
                <c:pt idx="2">
                  <c:v>3</c:v>
                </c:pt>
                <c:pt idx="3">
                  <c:v>4</c:v>
                </c:pt>
                <c:pt idx="4">
                  <c:v>5</c:v>
                </c:pt>
                <c:pt idx="5">
                  <c:v>6</c:v>
                </c:pt>
                <c:pt idx="6">
                  <c:v>7</c:v>
                </c:pt>
                <c:pt idx="7">
                  <c:v>8</c:v>
                </c:pt>
                <c:pt idx="8">
                  <c:v>9</c:v>
                </c:pt>
                <c:pt idx="9">
                  <c:v>10</c:v>
                </c:pt>
                <c:pt idx="10">
                  <c:v>11</c:v>
                </c:pt>
                <c:pt idx="11">
                  <c:v>1</c:v>
                </c:pt>
                <c:pt idx="12">
                  <c:v>2</c:v>
                </c:pt>
                <c:pt idx="13">
                  <c:v>3</c:v>
                </c:pt>
                <c:pt idx="14">
                  <c:v>4</c:v>
                </c:pt>
                <c:pt idx="15">
                  <c:v>5</c:v>
                </c:pt>
                <c:pt idx="16">
                  <c:v>6</c:v>
                </c:pt>
                <c:pt idx="17">
                  <c:v>7</c:v>
                </c:pt>
                <c:pt idx="18">
                  <c:v>8</c:v>
                </c:pt>
                <c:pt idx="19">
                  <c:v>9</c:v>
                </c:pt>
                <c:pt idx="20">
                  <c:v>10</c:v>
                </c:pt>
                <c:pt idx="21">
                  <c:v>11</c:v>
                </c:pt>
                <c:pt idx="22">
                  <c:v>1</c:v>
                </c:pt>
                <c:pt idx="23">
                  <c:v>2</c:v>
                </c:pt>
                <c:pt idx="24">
                  <c:v>3</c:v>
                </c:pt>
                <c:pt idx="25">
                  <c:v>4</c:v>
                </c:pt>
                <c:pt idx="26">
                  <c:v>5</c:v>
                </c:pt>
                <c:pt idx="27">
                  <c:v>6</c:v>
                </c:pt>
                <c:pt idx="28">
                  <c:v>7</c:v>
                </c:pt>
                <c:pt idx="29">
                  <c:v>8</c:v>
                </c:pt>
                <c:pt idx="30">
                  <c:v>9</c:v>
                </c:pt>
                <c:pt idx="31">
                  <c:v>10</c:v>
                </c:pt>
                <c:pt idx="32">
                  <c:v>11</c:v>
                </c:pt>
                <c:pt idx="33">
                  <c:v>1</c:v>
                </c:pt>
                <c:pt idx="34">
                  <c:v>2</c:v>
                </c:pt>
                <c:pt idx="35">
                  <c:v>3</c:v>
                </c:pt>
                <c:pt idx="36">
                  <c:v>4</c:v>
                </c:pt>
                <c:pt idx="37">
                  <c:v>5</c:v>
                </c:pt>
                <c:pt idx="38">
                  <c:v>6</c:v>
                </c:pt>
                <c:pt idx="39">
                  <c:v>7</c:v>
                </c:pt>
                <c:pt idx="40">
                  <c:v>8</c:v>
                </c:pt>
                <c:pt idx="41">
                  <c:v>9</c:v>
                </c:pt>
                <c:pt idx="42">
                  <c:v>10</c:v>
                </c:pt>
                <c:pt idx="43">
                  <c:v>11</c:v>
                </c:pt>
                <c:pt idx="44">
                  <c:v>1</c:v>
                </c:pt>
                <c:pt idx="45">
                  <c:v>2</c:v>
                </c:pt>
                <c:pt idx="46">
                  <c:v>3</c:v>
                </c:pt>
                <c:pt idx="47">
                  <c:v>4</c:v>
                </c:pt>
                <c:pt idx="48">
                  <c:v>5</c:v>
                </c:pt>
                <c:pt idx="49">
                  <c:v>6</c:v>
                </c:pt>
                <c:pt idx="50">
                  <c:v>7</c:v>
                </c:pt>
                <c:pt idx="51">
                  <c:v>8</c:v>
                </c:pt>
                <c:pt idx="52">
                  <c:v>9</c:v>
                </c:pt>
                <c:pt idx="53">
                  <c:v>10</c:v>
                </c:pt>
                <c:pt idx="54">
                  <c:v>11</c:v>
                </c:pt>
                <c:pt idx="55">
                  <c:v>1</c:v>
                </c:pt>
                <c:pt idx="56">
                  <c:v>2</c:v>
                </c:pt>
                <c:pt idx="57">
                  <c:v>3</c:v>
                </c:pt>
                <c:pt idx="58">
                  <c:v>4</c:v>
                </c:pt>
                <c:pt idx="59">
                  <c:v>5</c:v>
                </c:pt>
                <c:pt idx="60">
                  <c:v>6</c:v>
                </c:pt>
                <c:pt idx="61">
                  <c:v>7</c:v>
                </c:pt>
                <c:pt idx="62">
                  <c:v>8</c:v>
                </c:pt>
                <c:pt idx="63">
                  <c:v>9</c:v>
                </c:pt>
                <c:pt idx="64">
                  <c:v>10</c:v>
                </c:pt>
                <c:pt idx="65">
                  <c:v>11</c:v>
                </c:pt>
                <c:pt idx="66">
                  <c:v>1</c:v>
                </c:pt>
                <c:pt idx="67">
                  <c:v>2</c:v>
                </c:pt>
                <c:pt idx="68">
                  <c:v>3</c:v>
                </c:pt>
                <c:pt idx="69">
                  <c:v>4</c:v>
                </c:pt>
                <c:pt idx="70">
                  <c:v>5</c:v>
                </c:pt>
                <c:pt idx="71">
                  <c:v>6</c:v>
                </c:pt>
                <c:pt idx="72">
                  <c:v>7</c:v>
                </c:pt>
                <c:pt idx="73">
                  <c:v>8</c:v>
                </c:pt>
                <c:pt idx="74">
                  <c:v>9</c:v>
                </c:pt>
                <c:pt idx="75">
                  <c:v>10</c:v>
                </c:pt>
                <c:pt idx="76">
                  <c:v>11</c:v>
                </c:pt>
                <c:pt idx="77">
                  <c:v>1</c:v>
                </c:pt>
                <c:pt idx="78">
                  <c:v>2</c:v>
                </c:pt>
                <c:pt idx="79">
                  <c:v>3</c:v>
                </c:pt>
                <c:pt idx="80">
                  <c:v>4</c:v>
                </c:pt>
                <c:pt idx="81">
                  <c:v>5</c:v>
                </c:pt>
                <c:pt idx="82">
                  <c:v>6</c:v>
                </c:pt>
                <c:pt idx="83">
                  <c:v>7</c:v>
                </c:pt>
                <c:pt idx="84">
                  <c:v>8</c:v>
                </c:pt>
                <c:pt idx="85">
                  <c:v>9</c:v>
                </c:pt>
                <c:pt idx="86">
                  <c:v>10</c:v>
                </c:pt>
                <c:pt idx="87">
                  <c:v>11</c:v>
                </c:pt>
                <c:pt idx="88">
                  <c:v>1</c:v>
                </c:pt>
                <c:pt idx="89">
                  <c:v>2</c:v>
                </c:pt>
                <c:pt idx="90">
                  <c:v>3</c:v>
                </c:pt>
                <c:pt idx="91">
                  <c:v>4</c:v>
                </c:pt>
                <c:pt idx="92">
                  <c:v>5</c:v>
                </c:pt>
                <c:pt idx="93">
                  <c:v>6</c:v>
                </c:pt>
                <c:pt idx="94">
                  <c:v>7</c:v>
                </c:pt>
                <c:pt idx="95">
                  <c:v>8</c:v>
                </c:pt>
                <c:pt idx="96">
                  <c:v>9</c:v>
                </c:pt>
                <c:pt idx="97">
                  <c:v>10</c:v>
                </c:pt>
                <c:pt idx="98">
                  <c:v>11</c:v>
                </c:pt>
                <c:pt idx="99">
                  <c:v>1</c:v>
                </c:pt>
                <c:pt idx="100">
                  <c:v>2</c:v>
                </c:pt>
                <c:pt idx="101">
                  <c:v>3</c:v>
                </c:pt>
                <c:pt idx="102">
                  <c:v>4</c:v>
                </c:pt>
                <c:pt idx="103">
                  <c:v>5</c:v>
                </c:pt>
                <c:pt idx="104">
                  <c:v>6</c:v>
                </c:pt>
                <c:pt idx="105">
                  <c:v>7</c:v>
                </c:pt>
                <c:pt idx="106">
                  <c:v>8</c:v>
                </c:pt>
                <c:pt idx="107">
                  <c:v>9</c:v>
                </c:pt>
                <c:pt idx="108">
                  <c:v>10</c:v>
                </c:pt>
                <c:pt idx="109">
                  <c:v>11</c:v>
                </c:pt>
                <c:pt idx="110">
                  <c:v>1</c:v>
                </c:pt>
                <c:pt idx="111">
                  <c:v>2</c:v>
                </c:pt>
                <c:pt idx="112">
                  <c:v>3</c:v>
                </c:pt>
                <c:pt idx="113">
                  <c:v>4</c:v>
                </c:pt>
                <c:pt idx="114">
                  <c:v>5</c:v>
                </c:pt>
                <c:pt idx="115">
                  <c:v>6</c:v>
                </c:pt>
                <c:pt idx="116">
                  <c:v>7</c:v>
                </c:pt>
                <c:pt idx="117">
                  <c:v>8</c:v>
                </c:pt>
                <c:pt idx="118">
                  <c:v>9</c:v>
                </c:pt>
                <c:pt idx="119">
                  <c:v>10</c:v>
                </c:pt>
                <c:pt idx="120">
                  <c:v>11</c:v>
                </c:pt>
                <c:pt idx="121">
                  <c:v>1</c:v>
                </c:pt>
                <c:pt idx="122">
                  <c:v>2</c:v>
                </c:pt>
                <c:pt idx="123">
                  <c:v>3</c:v>
                </c:pt>
                <c:pt idx="124">
                  <c:v>4</c:v>
                </c:pt>
                <c:pt idx="125">
                  <c:v>5</c:v>
                </c:pt>
                <c:pt idx="126">
                  <c:v>6</c:v>
                </c:pt>
                <c:pt idx="127">
                  <c:v>7</c:v>
                </c:pt>
                <c:pt idx="128">
                  <c:v>8</c:v>
                </c:pt>
                <c:pt idx="129">
                  <c:v>9</c:v>
                </c:pt>
                <c:pt idx="130">
                  <c:v>10</c:v>
                </c:pt>
                <c:pt idx="131">
                  <c:v>11</c:v>
                </c:pt>
                <c:pt idx="132">
                  <c:v>1</c:v>
                </c:pt>
                <c:pt idx="133">
                  <c:v>2</c:v>
                </c:pt>
                <c:pt idx="134">
                  <c:v>3</c:v>
                </c:pt>
                <c:pt idx="135">
                  <c:v>4</c:v>
                </c:pt>
                <c:pt idx="136">
                  <c:v>5</c:v>
                </c:pt>
                <c:pt idx="137">
                  <c:v>6</c:v>
                </c:pt>
                <c:pt idx="138">
                  <c:v>7</c:v>
                </c:pt>
                <c:pt idx="139">
                  <c:v>8</c:v>
                </c:pt>
                <c:pt idx="140">
                  <c:v>9</c:v>
                </c:pt>
                <c:pt idx="141">
                  <c:v>10</c:v>
                </c:pt>
                <c:pt idx="142">
                  <c:v>11</c:v>
                </c:pt>
                <c:pt idx="143">
                  <c:v>1</c:v>
                </c:pt>
                <c:pt idx="144">
                  <c:v>2</c:v>
                </c:pt>
                <c:pt idx="145">
                  <c:v>3</c:v>
                </c:pt>
                <c:pt idx="146">
                  <c:v>4</c:v>
                </c:pt>
                <c:pt idx="147">
                  <c:v>5</c:v>
                </c:pt>
                <c:pt idx="148">
                  <c:v>6</c:v>
                </c:pt>
                <c:pt idx="149">
                  <c:v>7</c:v>
                </c:pt>
                <c:pt idx="150">
                  <c:v>8</c:v>
                </c:pt>
                <c:pt idx="151">
                  <c:v>9</c:v>
                </c:pt>
                <c:pt idx="152">
                  <c:v>10</c:v>
                </c:pt>
                <c:pt idx="153">
                  <c:v>11</c:v>
                </c:pt>
                <c:pt idx="154">
                  <c:v>1</c:v>
                </c:pt>
                <c:pt idx="155">
                  <c:v>2</c:v>
                </c:pt>
                <c:pt idx="156">
                  <c:v>3</c:v>
                </c:pt>
                <c:pt idx="157">
                  <c:v>4</c:v>
                </c:pt>
                <c:pt idx="158">
                  <c:v>5</c:v>
                </c:pt>
                <c:pt idx="159">
                  <c:v>6</c:v>
                </c:pt>
                <c:pt idx="160">
                  <c:v>7</c:v>
                </c:pt>
                <c:pt idx="161">
                  <c:v>8</c:v>
                </c:pt>
                <c:pt idx="162">
                  <c:v>9</c:v>
                </c:pt>
                <c:pt idx="163">
                  <c:v>10</c:v>
                </c:pt>
                <c:pt idx="164">
                  <c:v>11</c:v>
                </c:pt>
                <c:pt idx="165">
                  <c:v>1</c:v>
                </c:pt>
                <c:pt idx="166">
                  <c:v>2</c:v>
                </c:pt>
                <c:pt idx="167">
                  <c:v>3</c:v>
                </c:pt>
                <c:pt idx="168">
                  <c:v>4</c:v>
                </c:pt>
                <c:pt idx="169">
                  <c:v>5</c:v>
                </c:pt>
                <c:pt idx="170">
                  <c:v>6</c:v>
                </c:pt>
                <c:pt idx="171">
                  <c:v>7</c:v>
                </c:pt>
                <c:pt idx="172">
                  <c:v>8</c:v>
                </c:pt>
                <c:pt idx="173">
                  <c:v>9</c:v>
                </c:pt>
                <c:pt idx="174">
                  <c:v>10</c:v>
                </c:pt>
                <c:pt idx="175">
                  <c:v>11</c:v>
                </c:pt>
                <c:pt idx="176">
                  <c:v>1</c:v>
                </c:pt>
                <c:pt idx="177">
                  <c:v>2</c:v>
                </c:pt>
                <c:pt idx="178">
                  <c:v>3</c:v>
                </c:pt>
                <c:pt idx="179">
                  <c:v>4</c:v>
                </c:pt>
                <c:pt idx="180">
                  <c:v>5</c:v>
                </c:pt>
                <c:pt idx="181">
                  <c:v>6</c:v>
                </c:pt>
                <c:pt idx="182">
                  <c:v>7</c:v>
                </c:pt>
                <c:pt idx="183">
                  <c:v>8</c:v>
                </c:pt>
                <c:pt idx="184">
                  <c:v>9</c:v>
                </c:pt>
                <c:pt idx="185">
                  <c:v>10</c:v>
                </c:pt>
                <c:pt idx="186">
                  <c:v>11</c:v>
                </c:pt>
                <c:pt idx="187">
                  <c:v>1</c:v>
                </c:pt>
                <c:pt idx="188">
                  <c:v>2</c:v>
                </c:pt>
                <c:pt idx="189">
                  <c:v>3</c:v>
                </c:pt>
                <c:pt idx="190">
                  <c:v>4</c:v>
                </c:pt>
                <c:pt idx="191">
                  <c:v>5</c:v>
                </c:pt>
                <c:pt idx="192">
                  <c:v>6</c:v>
                </c:pt>
                <c:pt idx="193">
                  <c:v>7</c:v>
                </c:pt>
                <c:pt idx="194">
                  <c:v>8</c:v>
                </c:pt>
                <c:pt idx="195">
                  <c:v>9</c:v>
                </c:pt>
                <c:pt idx="196">
                  <c:v>10</c:v>
                </c:pt>
                <c:pt idx="197">
                  <c:v>11</c:v>
                </c:pt>
                <c:pt idx="198">
                  <c:v>1</c:v>
                </c:pt>
                <c:pt idx="199">
                  <c:v>2</c:v>
                </c:pt>
                <c:pt idx="200">
                  <c:v>3</c:v>
                </c:pt>
                <c:pt idx="201">
                  <c:v>4</c:v>
                </c:pt>
                <c:pt idx="202">
                  <c:v>5</c:v>
                </c:pt>
                <c:pt idx="203">
                  <c:v>6</c:v>
                </c:pt>
                <c:pt idx="204">
                  <c:v>7</c:v>
                </c:pt>
                <c:pt idx="205">
                  <c:v>8</c:v>
                </c:pt>
                <c:pt idx="206">
                  <c:v>9</c:v>
                </c:pt>
                <c:pt idx="207">
                  <c:v>10</c:v>
                </c:pt>
                <c:pt idx="208">
                  <c:v>11</c:v>
                </c:pt>
                <c:pt idx="209">
                  <c:v>1</c:v>
                </c:pt>
                <c:pt idx="210">
                  <c:v>2</c:v>
                </c:pt>
                <c:pt idx="211">
                  <c:v>3</c:v>
                </c:pt>
                <c:pt idx="212">
                  <c:v>4</c:v>
                </c:pt>
                <c:pt idx="213">
                  <c:v>5</c:v>
                </c:pt>
                <c:pt idx="214">
                  <c:v>6</c:v>
                </c:pt>
                <c:pt idx="215">
                  <c:v>7</c:v>
                </c:pt>
                <c:pt idx="216">
                  <c:v>8</c:v>
                </c:pt>
                <c:pt idx="217">
                  <c:v>9</c:v>
                </c:pt>
                <c:pt idx="218">
                  <c:v>10</c:v>
                </c:pt>
                <c:pt idx="219">
                  <c:v>11</c:v>
                </c:pt>
                <c:pt idx="220">
                  <c:v>1</c:v>
                </c:pt>
                <c:pt idx="221">
                  <c:v>2</c:v>
                </c:pt>
                <c:pt idx="222">
                  <c:v>3</c:v>
                </c:pt>
                <c:pt idx="223">
                  <c:v>4</c:v>
                </c:pt>
                <c:pt idx="224">
                  <c:v>5</c:v>
                </c:pt>
                <c:pt idx="225">
                  <c:v>6</c:v>
                </c:pt>
                <c:pt idx="226">
                  <c:v>7</c:v>
                </c:pt>
                <c:pt idx="227">
                  <c:v>8</c:v>
                </c:pt>
                <c:pt idx="228">
                  <c:v>9</c:v>
                </c:pt>
                <c:pt idx="229">
                  <c:v>10</c:v>
                </c:pt>
                <c:pt idx="230">
                  <c:v>11</c:v>
                </c:pt>
                <c:pt idx="231">
                  <c:v>1</c:v>
                </c:pt>
                <c:pt idx="232">
                  <c:v>2</c:v>
                </c:pt>
                <c:pt idx="233">
                  <c:v>3</c:v>
                </c:pt>
                <c:pt idx="234">
                  <c:v>4</c:v>
                </c:pt>
                <c:pt idx="235">
                  <c:v>5</c:v>
                </c:pt>
                <c:pt idx="236">
                  <c:v>6</c:v>
                </c:pt>
                <c:pt idx="237">
                  <c:v>7</c:v>
                </c:pt>
                <c:pt idx="238">
                  <c:v>8</c:v>
                </c:pt>
                <c:pt idx="239">
                  <c:v>9</c:v>
                </c:pt>
                <c:pt idx="240">
                  <c:v>10</c:v>
                </c:pt>
                <c:pt idx="241">
                  <c:v>11</c:v>
                </c:pt>
                <c:pt idx="242">
                  <c:v>1</c:v>
                </c:pt>
                <c:pt idx="243">
                  <c:v>2</c:v>
                </c:pt>
                <c:pt idx="244">
                  <c:v>3</c:v>
                </c:pt>
                <c:pt idx="245">
                  <c:v>4</c:v>
                </c:pt>
                <c:pt idx="246">
                  <c:v>5</c:v>
                </c:pt>
                <c:pt idx="247">
                  <c:v>6</c:v>
                </c:pt>
                <c:pt idx="248">
                  <c:v>7</c:v>
                </c:pt>
                <c:pt idx="249">
                  <c:v>8</c:v>
                </c:pt>
                <c:pt idx="250">
                  <c:v>9</c:v>
                </c:pt>
                <c:pt idx="251">
                  <c:v>10</c:v>
                </c:pt>
                <c:pt idx="252">
                  <c:v>11</c:v>
                </c:pt>
                <c:pt idx="253">
                  <c:v>1</c:v>
                </c:pt>
                <c:pt idx="254">
                  <c:v>2</c:v>
                </c:pt>
                <c:pt idx="255">
                  <c:v>3</c:v>
                </c:pt>
                <c:pt idx="256">
                  <c:v>4</c:v>
                </c:pt>
                <c:pt idx="257">
                  <c:v>5</c:v>
                </c:pt>
                <c:pt idx="258">
                  <c:v>6</c:v>
                </c:pt>
                <c:pt idx="259">
                  <c:v>7</c:v>
                </c:pt>
                <c:pt idx="260">
                  <c:v>8</c:v>
                </c:pt>
                <c:pt idx="261">
                  <c:v>9</c:v>
                </c:pt>
                <c:pt idx="262">
                  <c:v>10</c:v>
                </c:pt>
                <c:pt idx="263">
                  <c:v>11</c:v>
                </c:pt>
                <c:pt idx="264">
                  <c:v>1</c:v>
                </c:pt>
                <c:pt idx="265">
                  <c:v>2</c:v>
                </c:pt>
                <c:pt idx="266">
                  <c:v>3</c:v>
                </c:pt>
                <c:pt idx="267">
                  <c:v>4</c:v>
                </c:pt>
                <c:pt idx="268">
                  <c:v>5</c:v>
                </c:pt>
                <c:pt idx="269">
                  <c:v>6</c:v>
                </c:pt>
                <c:pt idx="270">
                  <c:v>7</c:v>
                </c:pt>
                <c:pt idx="271">
                  <c:v>8</c:v>
                </c:pt>
                <c:pt idx="272">
                  <c:v>9</c:v>
                </c:pt>
                <c:pt idx="273">
                  <c:v>10</c:v>
                </c:pt>
                <c:pt idx="274">
                  <c:v>11</c:v>
                </c:pt>
                <c:pt idx="275">
                  <c:v>1</c:v>
                </c:pt>
                <c:pt idx="276">
                  <c:v>2</c:v>
                </c:pt>
                <c:pt idx="277">
                  <c:v>3</c:v>
                </c:pt>
                <c:pt idx="278">
                  <c:v>4</c:v>
                </c:pt>
                <c:pt idx="279">
                  <c:v>5</c:v>
                </c:pt>
                <c:pt idx="280">
                  <c:v>6</c:v>
                </c:pt>
                <c:pt idx="281">
                  <c:v>7</c:v>
                </c:pt>
                <c:pt idx="282">
                  <c:v>8</c:v>
                </c:pt>
                <c:pt idx="283">
                  <c:v>9</c:v>
                </c:pt>
                <c:pt idx="284">
                  <c:v>10</c:v>
                </c:pt>
                <c:pt idx="285">
                  <c:v>11</c:v>
                </c:pt>
                <c:pt idx="286">
                  <c:v>1</c:v>
                </c:pt>
                <c:pt idx="287">
                  <c:v>2</c:v>
                </c:pt>
                <c:pt idx="288">
                  <c:v>3</c:v>
                </c:pt>
                <c:pt idx="289">
                  <c:v>4</c:v>
                </c:pt>
                <c:pt idx="290">
                  <c:v>5</c:v>
                </c:pt>
                <c:pt idx="291">
                  <c:v>6</c:v>
                </c:pt>
                <c:pt idx="292">
                  <c:v>7</c:v>
                </c:pt>
                <c:pt idx="293">
                  <c:v>8</c:v>
                </c:pt>
                <c:pt idx="294">
                  <c:v>9</c:v>
                </c:pt>
                <c:pt idx="295">
                  <c:v>10</c:v>
                </c:pt>
                <c:pt idx="296">
                  <c:v>11</c:v>
                </c:pt>
                <c:pt idx="297">
                  <c:v>1</c:v>
                </c:pt>
                <c:pt idx="298">
                  <c:v>2</c:v>
                </c:pt>
                <c:pt idx="299">
                  <c:v>3</c:v>
                </c:pt>
                <c:pt idx="300">
                  <c:v>4</c:v>
                </c:pt>
                <c:pt idx="301">
                  <c:v>5</c:v>
                </c:pt>
                <c:pt idx="302">
                  <c:v>6</c:v>
                </c:pt>
                <c:pt idx="303">
                  <c:v>7</c:v>
                </c:pt>
                <c:pt idx="304">
                  <c:v>8</c:v>
                </c:pt>
                <c:pt idx="305">
                  <c:v>9</c:v>
                </c:pt>
                <c:pt idx="306">
                  <c:v>10</c:v>
                </c:pt>
                <c:pt idx="307">
                  <c:v>11</c:v>
                </c:pt>
                <c:pt idx="308">
                  <c:v>1</c:v>
                </c:pt>
                <c:pt idx="309">
                  <c:v>2</c:v>
                </c:pt>
                <c:pt idx="310">
                  <c:v>3</c:v>
                </c:pt>
                <c:pt idx="311">
                  <c:v>4</c:v>
                </c:pt>
                <c:pt idx="312">
                  <c:v>5</c:v>
                </c:pt>
                <c:pt idx="313">
                  <c:v>6</c:v>
                </c:pt>
                <c:pt idx="314">
                  <c:v>7</c:v>
                </c:pt>
                <c:pt idx="315">
                  <c:v>8</c:v>
                </c:pt>
                <c:pt idx="316">
                  <c:v>9</c:v>
                </c:pt>
                <c:pt idx="317">
                  <c:v>10</c:v>
                </c:pt>
                <c:pt idx="318">
                  <c:v>11</c:v>
                </c:pt>
                <c:pt idx="319">
                  <c:v>1</c:v>
                </c:pt>
                <c:pt idx="320">
                  <c:v>2</c:v>
                </c:pt>
                <c:pt idx="321">
                  <c:v>3</c:v>
                </c:pt>
                <c:pt idx="322">
                  <c:v>4</c:v>
                </c:pt>
                <c:pt idx="323">
                  <c:v>5</c:v>
                </c:pt>
                <c:pt idx="324">
                  <c:v>6</c:v>
                </c:pt>
                <c:pt idx="325">
                  <c:v>7</c:v>
                </c:pt>
                <c:pt idx="326">
                  <c:v>8</c:v>
                </c:pt>
                <c:pt idx="327">
                  <c:v>9</c:v>
                </c:pt>
                <c:pt idx="328">
                  <c:v>10</c:v>
                </c:pt>
                <c:pt idx="329">
                  <c:v>11</c:v>
                </c:pt>
              </c:numCache>
            </c:numRef>
          </c:yVal>
          <c:bubbleSize>
            <c:numRef>
              <c:f>Bubble!$C$2:$C$331</c:f>
              <c:numCache>
                <c:formatCode>General</c:formatCode>
                <c:ptCount val="330"/>
                <c:pt idx="0">
                  <c:v>1</c:v>
                </c:pt>
                <c:pt idx="1">
                  <c:v>0</c:v>
                </c:pt>
                <c:pt idx="2">
                  <c:v>0</c:v>
                </c:pt>
                <c:pt idx="3">
                  <c:v>0</c:v>
                </c:pt>
                <c:pt idx="4">
                  <c:v>0</c:v>
                </c:pt>
                <c:pt idx="5">
                  <c:v>0</c:v>
                </c:pt>
                <c:pt idx="6">
                  <c:v>4</c:v>
                </c:pt>
                <c:pt idx="7">
                  <c:v>1</c:v>
                </c:pt>
                <c:pt idx="8">
                  <c:v>0</c:v>
                </c:pt>
                <c:pt idx="9">
                  <c:v>0</c:v>
                </c:pt>
                <c:pt idx="10">
                  <c:v>0</c:v>
                </c:pt>
                <c:pt idx="11">
                  <c:v>0</c:v>
                </c:pt>
                <c:pt idx="12">
                  <c:v>1</c:v>
                </c:pt>
                <c:pt idx="13">
                  <c:v>3</c:v>
                </c:pt>
                <c:pt idx="14">
                  <c:v>3</c:v>
                </c:pt>
                <c:pt idx="15">
                  <c:v>0</c:v>
                </c:pt>
                <c:pt idx="16">
                  <c:v>0</c:v>
                </c:pt>
                <c:pt idx="17">
                  <c:v>4</c:v>
                </c:pt>
                <c:pt idx="18">
                  <c:v>1</c:v>
                </c:pt>
                <c:pt idx="19">
                  <c:v>0</c:v>
                </c:pt>
                <c:pt idx="20">
                  <c:v>1</c:v>
                </c:pt>
                <c:pt idx="21">
                  <c:v>0</c:v>
                </c:pt>
                <c:pt idx="22">
                  <c:v>1</c:v>
                </c:pt>
                <c:pt idx="23">
                  <c:v>2</c:v>
                </c:pt>
                <c:pt idx="24">
                  <c:v>2</c:v>
                </c:pt>
                <c:pt idx="25">
                  <c:v>3</c:v>
                </c:pt>
                <c:pt idx="26">
                  <c:v>1</c:v>
                </c:pt>
                <c:pt idx="27">
                  <c:v>0</c:v>
                </c:pt>
                <c:pt idx="28">
                  <c:v>7</c:v>
                </c:pt>
                <c:pt idx="29">
                  <c:v>2</c:v>
                </c:pt>
                <c:pt idx="30">
                  <c:v>2</c:v>
                </c:pt>
                <c:pt idx="31">
                  <c:v>0</c:v>
                </c:pt>
                <c:pt idx="32">
                  <c:v>0</c:v>
                </c:pt>
                <c:pt idx="33">
                  <c:v>3</c:v>
                </c:pt>
                <c:pt idx="34">
                  <c:v>0</c:v>
                </c:pt>
                <c:pt idx="35">
                  <c:v>0</c:v>
                </c:pt>
                <c:pt idx="36">
                  <c:v>2</c:v>
                </c:pt>
                <c:pt idx="37">
                  <c:v>0</c:v>
                </c:pt>
                <c:pt idx="38">
                  <c:v>0</c:v>
                </c:pt>
                <c:pt idx="39">
                  <c:v>8</c:v>
                </c:pt>
                <c:pt idx="40">
                  <c:v>0</c:v>
                </c:pt>
                <c:pt idx="41">
                  <c:v>0</c:v>
                </c:pt>
                <c:pt idx="42">
                  <c:v>0</c:v>
                </c:pt>
                <c:pt idx="43">
                  <c:v>0</c:v>
                </c:pt>
                <c:pt idx="44">
                  <c:v>7</c:v>
                </c:pt>
                <c:pt idx="45">
                  <c:v>3</c:v>
                </c:pt>
                <c:pt idx="46">
                  <c:v>14</c:v>
                </c:pt>
                <c:pt idx="47">
                  <c:v>8</c:v>
                </c:pt>
                <c:pt idx="48">
                  <c:v>2</c:v>
                </c:pt>
                <c:pt idx="49">
                  <c:v>0</c:v>
                </c:pt>
                <c:pt idx="50">
                  <c:v>41</c:v>
                </c:pt>
                <c:pt idx="51">
                  <c:v>11</c:v>
                </c:pt>
                <c:pt idx="52">
                  <c:v>3</c:v>
                </c:pt>
                <c:pt idx="53">
                  <c:v>3</c:v>
                </c:pt>
                <c:pt idx="54">
                  <c:v>2</c:v>
                </c:pt>
                <c:pt idx="55">
                  <c:v>0</c:v>
                </c:pt>
                <c:pt idx="56">
                  <c:v>0</c:v>
                </c:pt>
                <c:pt idx="57">
                  <c:v>2</c:v>
                </c:pt>
                <c:pt idx="58">
                  <c:v>1</c:v>
                </c:pt>
                <c:pt idx="59">
                  <c:v>0</c:v>
                </c:pt>
                <c:pt idx="60">
                  <c:v>1</c:v>
                </c:pt>
                <c:pt idx="61">
                  <c:v>1</c:v>
                </c:pt>
                <c:pt idx="62">
                  <c:v>2</c:v>
                </c:pt>
                <c:pt idx="63">
                  <c:v>1</c:v>
                </c:pt>
                <c:pt idx="64">
                  <c:v>0</c:v>
                </c:pt>
                <c:pt idx="65">
                  <c:v>0</c:v>
                </c:pt>
                <c:pt idx="66">
                  <c:v>1</c:v>
                </c:pt>
                <c:pt idx="67">
                  <c:v>1</c:v>
                </c:pt>
                <c:pt idx="68">
                  <c:v>1</c:v>
                </c:pt>
                <c:pt idx="69">
                  <c:v>0</c:v>
                </c:pt>
                <c:pt idx="70">
                  <c:v>1</c:v>
                </c:pt>
                <c:pt idx="71">
                  <c:v>0</c:v>
                </c:pt>
                <c:pt idx="72">
                  <c:v>7</c:v>
                </c:pt>
                <c:pt idx="73">
                  <c:v>0</c:v>
                </c:pt>
                <c:pt idx="74">
                  <c:v>0</c:v>
                </c:pt>
                <c:pt idx="75">
                  <c:v>1</c:v>
                </c:pt>
                <c:pt idx="76">
                  <c:v>0</c:v>
                </c:pt>
                <c:pt idx="77">
                  <c:v>13</c:v>
                </c:pt>
                <c:pt idx="78">
                  <c:v>7</c:v>
                </c:pt>
                <c:pt idx="79">
                  <c:v>21</c:v>
                </c:pt>
                <c:pt idx="80">
                  <c:v>17</c:v>
                </c:pt>
                <c:pt idx="81">
                  <c:v>4</c:v>
                </c:pt>
                <c:pt idx="82">
                  <c:v>6</c:v>
                </c:pt>
                <c:pt idx="83">
                  <c:v>37</c:v>
                </c:pt>
                <c:pt idx="84">
                  <c:v>5</c:v>
                </c:pt>
                <c:pt idx="85">
                  <c:v>3</c:v>
                </c:pt>
                <c:pt idx="86">
                  <c:v>4</c:v>
                </c:pt>
                <c:pt idx="87">
                  <c:v>3</c:v>
                </c:pt>
                <c:pt idx="88">
                  <c:v>1</c:v>
                </c:pt>
                <c:pt idx="89">
                  <c:v>1</c:v>
                </c:pt>
                <c:pt idx="90">
                  <c:v>0</c:v>
                </c:pt>
                <c:pt idx="91">
                  <c:v>0</c:v>
                </c:pt>
                <c:pt idx="92">
                  <c:v>1</c:v>
                </c:pt>
                <c:pt idx="93">
                  <c:v>0</c:v>
                </c:pt>
                <c:pt idx="94">
                  <c:v>1</c:v>
                </c:pt>
                <c:pt idx="95">
                  <c:v>1</c:v>
                </c:pt>
                <c:pt idx="96">
                  <c:v>0</c:v>
                </c:pt>
                <c:pt idx="97">
                  <c:v>0</c:v>
                </c:pt>
                <c:pt idx="98">
                  <c:v>0</c:v>
                </c:pt>
                <c:pt idx="99">
                  <c:v>0</c:v>
                </c:pt>
                <c:pt idx="100">
                  <c:v>0</c:v>
                </c:pt>
                <c:pt idx="101">
                  <c:v>0</c:v>
                </c:pt>
                <c:pt idx="102">
                  <c:v>0</c:v>
                </c:pt>
                <c:pt idx="103">
                  <c:v>0</c:v>
                </c:pt>
                <c:pt idx="104">
                  <c:v>0</c:v>
                </c:pt>
                <c:pt idx="105">
                  <c:v>1</c:v>
                </c:pt>
                <c:pt idx="106">
                  <c:v>1</c:v>
                </c:pt>
                <c:pt idx="107">
                  <c:v>0</c:v>
                </c:pt>
                <c:pt idx="108">
                  <c:v>0</c:v>
                </c:pt>
                <c:pt idx="109">
                  <c:v>0</c:v>
                </c:pt>
                <c:pt idx="110">
                  <c:v>3</c:v>
                </c:pt>
                <c:pt idx="111">
                  <c:v>1</c:v>
                </c:pt>
                <c:pt idx="112">
                  <c:v>2</c:v>
                </c:pt>
                <c:pt idx="113">
                  <c:v>3</c:v>
                </c:pt>
                <c:pt idx="114">
                  <c:v>0</c:v>
                </c:pt>
                <c:pt idx="115">
                  <c:v>0</c:v>
                </c:pt>
                <c:pt idx="116">
                  <c:v>5</c:v>
                </c:pt>
                <c:pt idx="117">
                  <c:v>4</c:v>
                </c:pt>
                <c:pt idx="118">
                  <c:v>1</c:v>
                </c:pt>
                <c:pt idx="119">
                  <c:v>1</c:v>
                </c:pt>
                <c:pt idx="120">
                  <c:v>0</c:v>
                </c:pt>
                <c:pt idx="121">
                  <c:v>2</c:v>
                </c:pt>
                <c:pt idx="122">
                  <c:v>0</c:v>
                </c:pt>
                <c:pt idx="123">
                  <c:v>2</c:v>
                </c:pt>
                <c:pt idx="124">
                  <c:v>3</c:v>
                </c:pt>
                <c:pt idx="125">
                  <c:v>0</c:v>
                </c:pt>
                <c:pt idx="126">
                  <c:v>1</c:v>
                </c:pt>
                <c:pt idx="127">
                  <c:v>4</c:v>
                </c:pt>
                <c:pt idx="128">
                  <c:v>1</c:v>
                </c:pt>
                <c:pt idx="129">
                  <c:v>0</c:v>
                </c:pt>
                <c:pt idx="130">
                  <c:v>0</c:v>
                </c:pt>
                <c:pt idx="131">
                  <c:v>0</c:v>
                </c:pt>
                <c:pt idx="132">
                  <c:v>1</c:v>
                </c:pt>
                <c:pt idx="133">
                  <c:v>0</c:v>
                </c:pt>
                <c:pt idx="134">
                  <c:v>0</c:v>
                </c:pt>
                <c:pt idx="135">
                  <c:v>0</c:v>
                </c:pt>
                <c:pt idx="136">
                  <c:v>0</c:v>
                </c:pt>
                <c:pt idx="137">
                  <c:v>0</c:v>
                </c:pt>
                <c:pt idx="138">
                  <c:v>5</c:v>
                </c:pt>
                <c:pt idx="139">
                  <c:v>0</c:v>
                </c:pt>
                <c:pt idx="140">
                  <c:v>0</c:v>
                </c:pt>
                <c:pt idx="141">
                  <c:v>0</c:v>
                </c:pt>
                <c:pt idx="142">
                  <c:v>0</c:v>
                </c:pt>
                <c:pt idx="143">
                  <c:v>2</c:v>
                </c:pt>
                <c:pt idx="144">
                  <c:v>2</c:v>
                </c:pt>
                <c:pt idx="145">
                  <c:v>2</c:v>
                </c:pt>
                <c:pt idx="146">
                  <c:v>2</c:v>
                </c:pt>
                <c:pt idx="147">
                  <c:v>2</c:v>
                </c:pt>
                <c:pt idx="148">
                  <c:v>0</c:v>
                </c:pt>
                <c:pt idx="149">
                  <c:v>9</c:v>
                </c:pt>
                <c:pt idx="150">
                  <c:v>3</c:v>
                </c:pt>
                <c:pt idx="151">
                  <c:v>2</c:v>
                </c:pt>
                <c:pt idx="152">
                  <c:v>1</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2</c:v>
                </c:pt>
                <c:pt idx="177">
                  <c:v>0</c:v>
                </c:pt>
                <c:pt idx="178">
                  <c:v>1</c:v>
                </c:pt>
                <c:pt idx="179">
                  <c:v>2</c:v>
                </c:pt>
                <c:pt idx="180">
                  <c:v>1</c:v>
                </c:pt>
                <c:pt idx="181">
                  <c:v>1</c:v>
                </c:pt>
                <c:pt idx="182">
                  <c:v>0</c:v>
                </c:pt>
                <c:pt idx="183">
                  <c:v>0</c:v>
                </c:pt>
                <c:pt idx="184">
                  <c:v>0</c:v>
                </c:pt>
                <c:pt idx="185">
                  <c:v>0</c:v>
                </c:pt>
                <c:pt idx="186">
                  <c:v>1</c:v>
                </c:pt>
                <c:pt idx="187">
                  <c:v>1</c:v>
                </c:pt>
                <c:pt idx="188">
                  <c:v>1</c:v>
                </c:pt>
                <c:pt idx="189">
                  <c:v>1</c:v>
                </c:pt>
                <c:pt idx="190">
                  <c:v>0</c:v>
                </c:pt>
                <c:pt idx="191">
                  <c:v>0</c:v>
                </c:pt>
                <c:pt idx="192">
                  <c:v>1</c:v>
                </c:pt>
                <c:pt idx="193">
                  <c:v>1</c:v>
                </c:pt>
                <c:pt idx="194">
                  <c:v>0</c:v>
                </c:pt>
                <c:pt idx="195">
                  <c:v>0</c:v>
                </c:pt>
                <c:pt idx="196">
                  <c:v>0</c:v>
                </c:pt>
                <c:pt idx="197">
                  <c:v>0</c:v>
                </c:pt>
                <c:pt idx="198">
                  <c:v>5</c:v>
                </c:pt>
                <c:pt idx="199">
                  <c:v>1</c:v>
                </c:pt>
                <c:pt idx="200">
                  <c:v>4</c:v>
                </c:pt>
                <c:pt idx="201">
                  <c:v>5</c:v>
                </c:pt>
                <c:pt idx="202">
                  <c:v>0</c:v>
                </c:pt>
                <c:pt idx="203">
                  <c:v>1</c:v>
                </c:pt>
                <c:pt idx="204">
                  <c:v>17</c:v>
                </c:pt>
                <c:pt idx="205">
                  <c:v>2</c:v>
                </c:pt>
                <c:pt idx="206">
                  <c:v>0</c:v>
                </c:pt>
                <c:pt idx="207">
                  <c:v>2</c:v>
                </c:pt>
                <c:pt idx="208">
                  <c:v>0</c:v>
                </c:pt>
                <c:pt idx="209">
                  <c:v>2</c:v>
                </c:pt>
                <c:pt idx="210">
                  <c:v>1</c:v>
                </c:pt>
                <c:pt idx="211">
                  <c:v>2</c:v>
                </c:pt>
                <c:pt idx="212">
                  <c:v>7</c:v>
                </c:pt>
                <c:pt idx="213">
                  <c:v>0</c:v>
                </c:pt>
                <c:pt idx="214">
                  <c:v>0</c:v>
                </c:pt>
                <c:pt idx="215">
                  <c:v>3</c:v>
                </c:pt>
                <c:pt idx="216">
                  <c:v>3</c:v>
                </c:pt>
                <c:pt idx="217">
                  <c:v>1</c:v>
                </c:pt>
                <c:pt idx="218">
                  <c:v>0</c:v>
                </c:pt>
                <c:pt idx="219">
                  <c:v>0</c:v>
                </c:pt>
                <c:pt idx="220">
                  <c:v>2</c:v>
                </c:pt>
                <c:pt idx="221">
                  <c:v>0</c:v>
                </c:pt>
                <c:pt idx="222">
                  <c:v>4</c:v>
                </c:pt>
                <c:pt idx="223">
                  <c:v>0</c:v>
                </c:pt>
                <c:pt idx="224">
                  <c:v>1</c:v>
                </c:pt>
                <c:pt idx="225">
                  <c:v>0</c:v>
                </c:pt>
                <c:pt idx="226">
                  <c:v>3</c:v>
                </c:pt>
                <c:pt idx="227">
                  <c:v>3</c:v>
                </c:pt>
                <c:pt idx="228">
                  <c:v>0</c:v>
                </c:pt>
                <c:pt idx="229">
                  <c:v>0</c:v>
                </c:pt>
                <c:pt idx="230">
                  <c:v>0</c:v>
                </c:pt>
                <c:pt idx="231">
                  <c:v>1</c:v>
                </c:pt>
                <c:pt idx="232">
                  <c:v>1</c:v>
                </c:pt>
                <c:pt idx="233">
                  <c:v>0</c:v>
                </c:pt>
                <c:pt idx="234">
                  <c:v>1</c:v>
                </c:pt>
                <c:pt idx="235">
                  <c:v>0</c:v>
                </c:pt>
                <c:pt idx="236">
                  <c:v>0</c:v>
                </c:pt>
                <c:pt idx="237">
                  <c:v>2</c:v>
                </c:pt>
                <c:pt idx="238">
                  <c:v>1</c:v>
                </c:pt>
                <c:pt idx="239">
                  <c:v>0</c:v>
                </c:pt>
                <c:pt idx="240">
                  <c:v>0</c:v>
                </c:pt>
                <c:pt idx="241">
                  <c:v>0</c:v>
                </c:pt>
                <c:pt idx="242">
                  <c:v>2</c:v>
                </c:pt>
                <c:pt idx="243">
                  <c:v>1</c:v>
                </c:pt>
                <c:pt idx="244">
                  <c:v>2</c:v>
                </c:pt>
                <c:pt idx="245">
                  <c:v>3</c:v>
                </c:pt>
                <c:pt idx="246">
                  <c:v>0</c:v>
                </c:pt>
                <c:pt idx="247">
                  <c:v>1</c:v>
                </c:pt>
                <c:pt idx="248">
                  <c:v>1</c:v>
                </c:pt>
                <c:pt idx="249">
                  <c:v>0</c:v>
                </c:pt>
                <c:pt idx="250">
                  <c:v>2</c:v>
                </c:pt>
                <c:pt idx="251">
                  <c:v>0</c:v>
                </c:pt>
                <c:pt idx="252">
                  <c:v>0</c:v>
                </c:pt>
                <c:pt idx="253">
                  <c:v>1</c:v>
                </c:pt>
                <c:pt idx="254">
                  <c:v>1</c:v>
                </c:pt>
                <c:pt idx="255">
                  <c:v>0</c:v>
                </c:pt>
                <c:pt idx="256">
                  <c:v>4</c:v>
                </c:pt>
                <c:pt idx="257">
                  <c:v>1</c:v>
                </c:pt>
                <c:pt idx="258">
                  <c:v>1</c:v>
                </c:pt>
                <c:pt idx="259">
                  <c:v>7</c:v>
                </c:pt>
                <c:pt idx="260">
                  <c:v>2</c:v>
                </c:pt>
                <c:pt idx="261">
                  <c:v>4</c:v>
                </c:pt>
                <c:pt idx="262">
                  <c:v>1</c:v>
                </c:pt>
                <c:pt idx="263">
                  <c:v>0</c:v>
                </c:pt>
                <c:pt idx="264">
                  <c:v>2</c:v>
                </c:pt>
                <c:pt idx="265">
                  <c:v>3</c:v>
                </c:pt>
                <c:pt idx="266">
                  <c:v>7</c:v>
                </c:pt>
                <c:pt idx="267">
                  <c:v>5</c:v>
                </c:pt>
                <c:pt idx="268">
                  <c:v>4</c:v>
                </c:pt>
                <c:pt idx="269">
                  <c:v>0</c:v>
                </c:pt>
                <c:pt idx="270">
                  <c:v>34</c:v>
                </c:pt>
                <c:pt idx="271">
                  <c:v>8</c:v>
                </c:pt>
                <c:pt idx="272">
                  <c:v>1</c:v>
                </c:pt>
                <c:pt idx="273">
                  <c:v>1</c:v>
                </c:pt>
                <c:pt idx="274">
                  <c:v>1</c:v>
                </c:pt>
                <c:pt idx="275">
                  <c:v>2</c:v>
                </c:pt>
                <c:pt idx="276">
                  <c:v>0</c:v>
                </c:pt>
                <c:pt idx="277">
                  <c:v>0</c:v>
                </c:pt>
                <c:pt idx="278">
                  <c:v>0</c:v>
                </c:pt>
                <c:pt idx="279">
                  <c:v>1</c:v>
                </c:pt>
                <c:pt idx="280">
                  <c:v>0</c:v>
                </c:pt>
                <c:pt idx="281">
                  <c:v>6</c:v>
                </c:pt>
                <c:pt idx="282">
                  <c:v>1</c:v>
                </c:pt>
                <c:pt idx="283">
                  <c:v>0</c:v>
                </c:pt>
                <c:pt idx="284">
                  <c:v>0</c:v>
                </c:pt>
                <c:pt idx="285">
                  <c:v>0</c:v>
                </c:pt>
                <c:pt idx="286">
                  <c:v>0</c:v>
                </c:pt>
                <c:pt idx="287">
                  <c:v>1</c:v>
                </c:pt>
                <c:pt idx="288">
                  <c:v>2</c:v>
                </c:pt>
                <c:pt idx="289">
                  <c:v>1</c:v>
                </c:pt>
                <c:pt idx="290">
                  <c:v>0</c:v>
                </c:pt>
                <c:pt idx="291">
                  <c:v>0</c:v>
                </c:pt>
                <c:pt idx="292">
                  <c:v>7</c:v>
                </c:pt>
                <c:pt idx="293">
                  <c:v>0</c:v>
                </c:pt>
                <c:pt idx="294">
                  <c:v>0</c:v>
                </c:pt>
                <c:pt idx="295">
                  <c:v>0</c:v>
                </c:pt>
                <c:pt idx="296">
                  <c:v>0</c:v>
                </c:pt>
                <c:pt idx="297">
                  <c:v>3</c:v>
                </c:pt>
                <c:pt idx="298">
                  <c:v>2</c:v>
                </c:pt>
                <c:pt idx="299">
                  <c:v>6</c:v>
                </c:pt>
                <c:pt idx="300">
                  <c:v>2</c:v>
                </c:pt>
                <c:pt idx="301">
                  <c:v>0</c:v>
                </c:pt>
                <c:pt idx="302">
                  <c:v>0</c:v>
                </c:pt>
                <c:pt idx="303">
                  <c:v>5</c:v>
                </c:pt>
                <c:pt idx="304">
                  <c:v>3</c:v>
                </c:pt>
                <c:pt idx="305">
                  <c:v>1</c:v>
                </c:pt>
                <c:pt idx="306">
                  <c:v>1</c:v>
                </c:pt>
                <c:pt idx="307">
                  <c:v>1</c:v>
                </c:pt>
                <c:pt idx="308">
                  <c:v>2</c:v>
                </c:pt>
                <c:pt idx="309">
                  <c:v>4</c:v>
                </c:pt>
                <c:pt idx="310">
                  <c:v>2</c:v>
                </c:pt>
                <c:pt idx="311">
                  <c:v>1</c:v>
                </c:pt>
                <c:pt idx="312">
                  <c:v>1</c:v>
                </c:pt>
                <c:pt idx="313">
                  <c:v>0</c:v>
                </c:pt>
                <c:pt idx="314">
                  <c:v>9</c:v>
                </c:pt>
                <c:pt idx="315">
                  <c:v>1</c:v>
                </c:pt>
                <c:pt idx="316">
                  <c:v>0</c:v>
                </c:pt>
                <c:pt idx="317">
                  <c:v>2</c:v>
                </c:pt>
                <c:pt idx="318">
                  <c:v>0</c:v>
                </c:pt>
                <c:pt idx="319">
                  <c:v>0</c:v>
                </c:pt>
                <c:pt idx="320">
                  <c:v>0</c:v>
                </c:pt>
                <c:pt idx="321">
                  <c:v>0</c:v>
                </c:pt>
                <c:pt idx="322">
                  <c:v>0</c:v>
                </c:pt>
                <c:pt idx="323">
                  <c:v>0</c:v>
                </c:pt>
                <c:pt idx="324">
                  <c:v>1</c:v>
                </c:pt>
                <c:pt idx="325">
                  <c:v>1</c:v>
                </c:pt>
                <c:pt idx="326">
                  <c:v>0</c:v>
                </c:pt>
                <c:pt idx="327">
                  <c:v>0</c:v>
                </c:pt>
                <c:pt idx="328">
                  <c:v>0</c:v>
                </c:pt>
                <c:pt idx="329">
                  <c:v>1</c:v>
                </c:pt>
              </c:numCache>
            </c:numRef>
          </c:bubbleSize>
          <c:bubble3D val="0"/>
          <c:extLst>
            <c:ext xmlns:c16="http://schemas.microsoft.com/office/drawing/2014/chart" uri="{C3380CC4-5D6E-409C-BE32-E72D297353CC}">
              <c16:uniqueId val="{00000000-7D25-4670-AFED-FADCD4C164F3}"/>
            </c:ext>
          </c:extLst>
        </c:ser>
        <c:dLbls>
          <c:showLegendKey val="0"/>
          <c:showVal val="0"/>
          <c:showCatName val="0"/>
          <c:showSerName val="0"/>
          <c:showPercent val="0"/>
          <c:showBubbleSize val="0"/>
        </c:dLbls>
        <c:bubbleScale val="35"/>
        <c:showNegBubbles val="0"/>
        <c:axId val="-1534103024"/>
        <c:axId val="-1534107920"/>
      </c:bubbleChart>
      <c:valAx>
        <c:axId val="-1534103024"/>
        <c:scaling>
          <c:orientation val="minMax"/>
          <c:max val="30"/>
          <c:min val="0"/>
        </c:scaling>
        <c:delete val="0"/>
        <c:axPos val="b"/>
        <c:majorGridlines>
          <c:spPr>
            <a:ln w="9525" cap="flat" cmpd="sng" algn="ctr">
              <a:solidFill>
                <a:schemeClr val="tx1">
                  <a:lumMod val="15000"/>
                  <a:lumOff val="85000"/>
                </a:schemeClr>
              </a:solidFill>
              <a:round/>
            </a:ln>
            <a:effectLst/>
          </c:spPr>
        </c:majorGridlines>
        <c:numFmt formatCode="\ "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s-EC"/>
          </a:p>
        </c:txPr>
        <c:crossAx val="-1534107920"/>
        <c:crosses val="autoZero"/>
        <c:crossBetween val="midCat"/>
        <c:majorUnit val="1"/>
      </c:valAx>
      <c:valAx>
        <c:axId val="-1534107920"/>
        <c:scaling>
          <c:orientation val="minMax"/>
          <c:max val="12"/>
          <c:min val="-1"/>
        </c:scaling>
        <c:delete val="0"/>
        <c:axPos val="l"/>
        <c:majorGridlines>
          <c:spPr>
            <a:ln w="9525" cap="flat" cmpd="sng" algn="ctr">
              <a:solidFill>
                <a:schemeClr val="tx1">
                  <a:lumMod val="15000"/>
                  <a:lumOff val="85000"/>
                </a:schemeClr>
              </a:solidFill>
              <a:round/>
            </a:ln>
            <a:effectLst/>
          </c:spPr>
        </c:majorGridlines>
        <c:numFmt formatCode="\ "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s-EC"/>
          </a:p>
        </c:txPr>
        <c:crossAx val="-1534103024"/>
        <c:crosses val="autoZero"/>
        <c:crossBetween val="midCat"/>
        <c:majorUnit val="1"/>
      </c:valAx>
      <c:spPr>
        <a:noFill/>
        <a:ln>
          <a:noFill/>
        </a:ln>
        <a:effectLst>
          <a:outerShdw blurRad="50800" dist="50800" dir="5400000" sx="2000" sy="2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aseline="0">
          <a:latin typeface="Times New Roman" panose="02020603050405020304" pitchFamily="18" charset="0"/>
        </a:defRPr>
      </a:pPr>
      <a:endParaRPr lang="es-EC"/>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_xlchart.v5.2</cx:f>
        <cx:nf>_xlchart.v5.1</cx:nf>
      </cx:strDim>
      <cx:numDim type="colorVal">
        <cx:f>_xlchart.v5.0</cx:f>
      </cx:numDim>
    </cx:data>
    <cx:data id="1">
      <cx:numDim type="colorVal">
        <cx:f>_xlchart.v5.3</cx:f>
      </cx:numDim>
    </cx:data>
  </cx:chartData>
  <cx:chart>
    <cx:title pos="t" align="ctr" overlay="0"/>
    <cx:plotArea>
      <cx:plotAreaRegion>
        <cx:series layoutId="regionMap" uniqueId="{D56E7525-A38A-4276-9939-759DC47F217D}" formatIdx="0">
          <cx:dataId val="0"/>
          <cx:layoutPr>
            <cx:geography cultureLanguage="es-ES" cultureRegion="ES" attribution="Con tecnología de Bing">
              <cx:geoCache provider="{E9337A44-BEBE-4D9F-B70C-5C5E7DAFC167}">
                <cx:binary>7H3JcuS4kuCvpOVpxmyoIgiAIJ+9arMiY1FsWlOZWXmhhaQo7hu489af0sc59KGtb32tHxsnGFJE
MCOVUpWeZZqNLgzCFxDhTjjcHQv/eVf/4y7YrPm7Ogyi7B939a/vnTxP/vHLL9mdswnX2Uno3vE4
i//IT+7i8Jf4jz/cu80v93xduZH9iyIj8suds+b5pn7/b/+E2uxNvIzv1rkbR5fFhjdXm6wI8uwJ
3FHUu7u4iPKO3Yaafn1/E7n55v7ddb7ON9n7d5sod/PmQ5Nsfn1/QPn+3S/D+r569rsAmpcX98CL
9ROiUx0RQnVF0ShS378L4sjeoiVdO9E1XdcUVSa6JhNVf3j22ToE/nGWr+/j7B00D34ecMfaJVq1
vr/nmyx7t/39mv/gv3yNdrPY7OVixl3zb67F//3lUO7/9s8BACQwgOypZiiu76GGmjmLebGx10/9
95fpRCUnCtZ0RWdEo5gieqgThE90KqtYkXWKsQq6e3h0r5JntOe4Lh4ZB0p4hA+lf3b+E0i/2JTr
d182wTq6f0UdSASkTJiKqdrJGu4GSmDyCZUVTdVUqmCCGR0o4bnN+oYqDtmHCjnEfqWWLz9eLQZf
t27wIJNj9uBlfUJC8gljKpMJ0zRF1mQZHRoqik9klWFCVJVSheEO3xvJvldAg7KnG3RcEw98AxU8
gIeyN65+vOxPwX6/W8DlQQJ/X/yKcoIxBrErOgKrBFo4kD5C5ATpSFFwN5BgpAx6w2OL3v2vq9/G
//updh3XwlcVDNTxFX6ol9PFj9fLLLp3X9FEgU6IjhHSwAohrGgIH+iE6SdMYTJSwHoprOsZD2Lv
O8R3W3NcE1u2gfy30KHUZ2c/XurmOlq/5sigKicUgzcEL7nOwNboh11B0tUTrGkwbBMiExjDZeVQ
7qI9f/7HA/BY3zwu+UfGgewf4UPpm7/9eOlfFdlrvvMqOmGqjHRFY0jWxai7563q+onGVI2oGHUj
NlWhR+yPAd9tzHHBb9kGYt9Ch0K/uvnxQp/wdXS3efjvx96wlw2+RD1RFaQRRLCsqgT8oQNLA3aI
Ip0QhMDOMDYYeEVjnn4Hjov9kXEg+Ef4UPSTn2DsnbhR54m+nuwhGADhapquYUTBngzMjaKeKBpA
dRlrqj584bet+UvS7/9IxzqU/w7zlQZmP/7lNx03gka/WoDcvfsUPHysKIxCWAYB8J7JQTLECTLG
VNawLDPt4cH9GPvdthx/87dsA7lvoUOZmz/BGDvd8HAdNQ9//u9bHIpOEFgcmcnw3mva4RALoQCR
ZVUnGoFRYJiR+C2ArE30V175HedA8jvEUPij8Y9/4ad8s/m+tf/X5T+uNsmf/3MbuHfrd6azuXvF
vkfAhcU6kqmiEPXr4R5RCEoQlWUZ+qdMmTrwtF7SsOMd8esaBm/G1wTDN8T8CYLx+TpZR6/XOTGY
RMg8YUoZUjR96A4gzCBniFRNPxYKQlv+/O8nG3NcFQ98AwU8gIdin1/8+I45y/h684o5EAye1d7Q
gwdB9vcfd1yyD3wDyT6Ah5KdLX8Cyebr4BVHG8j1UUWH3AaEDpDGwMMxXjlBnf+LmYqorqodej+s
mEFr/sp488A3FPy2uq8E/+HHC/5skzsb3nm42YMMXmGwh+QSURSqgb2AfDYM+QfvOQXlaIgySLOC
csDeQDfYF//F+s//zDbZO2Pt/ZUZiAH7QBkD7FAnZz9BZzjbVJD/Xr9u2PGW/z6cUnrppNB1snaf
HOVeGIHLkFRiKkz4iNzq3iggge2i4CXJkBNRIPeBFZio2O8e4yxZ//lfT3plx8eFR8ZBl3iEDzvD
+PrHG6jrys3b3kI9iOHvGyjIf8CEA8y3yYQSBOmnwxhQO1EgLQ6DB6UaOKtUHmRarwu3/Qvy37IN
pL+FDmVvnv542f9WZDl/eiB84VvPTqjGZK2z/RpjsnyYd+omHSANq+EuPUIhHTsYl5/RnuNv/iPj
QPaP8KH0f/sJhmaYiY+/E/a+TPpUO1E1DFNuMsHClT+UvkJPIDTvJhjI1tl/6HB97uMZ7Tku/UfG
gfQf4UPpj3+CIFy8Gt9zA18mfwkkTJmmwxQ0zKup8I4fmh3IcZ9gmH7oUiAQjH3lFz2rScdVsMc6
UMIeZqiG325+vAm6iF/XDaLg+kNkgGGmZzudc+CaIv0EwyyEjCh4roTAfNthH4DmfK9PHlfAI+NA
/I/wofAvfgJHdLXmsBLm7mkn/GV9AKMTmHYAA69AHghTRiDFs+/8dNlvhGWYemaQLFQRG6SAntWk
4yrYYx0oYQ8zVMPqtx/fB67jIndg/p9vnnQ6XqgItZvkgaVIahcKQy7uMEYD+Z/ALDQiFLyjIwsA
zK417+43wbvrgj/0kWOO2XFdDNgH+hhghzpZXP0sOvntDw5Z0qf+/suUIin6CfilsAaAyWo3OdTl
wve6BwwgsGQDJi4UmAsdrsm4Lu7//I/vNui4PvZ5B8rYRw018eVn6B3V5n7zipEZLAfQFMR0WCAJ
00RfJS+QCilsmDaikA1ljJJh8uIaDObTLvO3NNDzfSX9HjyU/PVP4CIZm8B2i/D1Xn8qn6gw6Qzh
wXZx6uE0ETlRVZnC+khQCtMheBiEB8af/xca9HR/PC78HedA/DvEUAHGT6CAcejydQ6Ldf/8d76+
hYzZ9xftvsweKd1cKIMFSeCQQlAAS8EOzBEFfxUcVcj1EZkJm/TwLmwjhpe377h+vvlHB+r6Jt1Q
e7/9BNpbxTy+u4sfRHZs8HyZtt58q4MV+uJVGi7eH659gDn4YPN6KpAwhaXeCkxmQ4eAVfbDdZUS
Qycw8QAdStEfY/D95N5323O8g2zZBt1hCx2+/OZPEFpcbdwo7u3V60kflgzrBGsYYgvWzS93K/X2
vCcJFvpRSOdpHUbW9UFe9ZlNOq6AA+aBGg5wQ2VMjR/vzJoQ1Ya3T3stLzRFMG5AogP6AVZg4R4s
Mz7UBIPF3bCCtc+vwh6ULhF40A2e0aLjitj9l4EWdoihCsyfYNfDNew9WicQVD3I4e8PBwiSSYxC
to8qCESMBjuBuoVOkN2GYbtPhAyX3fQt+ivB3Y5zoIIdYqiC6+mP7wWnBaiAN6+nAMJgmhnW+sEF
fFVZBGx75ghyTZDslsGpUmBtsQqLnx4e3XtPXXv4n//5ZHh5vA/sOAcK2CGGCji9+fEKgG1J1foV
5f+27arfqiheku85QpCMf+a+vxeOBIP9iMNtPsP9iN1y2P2R4PntOt4XhvyDHjFED/vFzU8wBbrd
KfobxHjv+gjnNTeMvsV4/8KtpIPVJv2L/feHdpjFeFtgc3Rb9rNs3bZDLcDnuo9fM3+1jT8goa4g
CrsaDydYt/EH7LeAHaiMQKRCD23dQaDw7XfluKE7YB5YuQPc0MT9FBFIu7lz3sHi26Jbd/wglb/f
Ud4WHD/hAjyBGqZJYDtgHG1edeeXJEMmBBYbQJCowGJNSC4qh5MdqNsXr8NKEQhgdNafZLDvGTyr
Tcf7yh7roKfsYYb9ZDb68S7yPOb3r7ryG9JRkNiFVZgw3a1DygRikL0QBRaGw+5s0BLS1YeF4fsq
6JvzdOLguAZ2nAMF7BBD+c9/gjD9WZOw/7qdGRcbXryecZT0EwQL/mEzMUzIw2JD2A91oH2JdetR
YJ2KjDQGS7JgZv7h4X2ECs35838eQMeM9XHdb9kGit9Ch1q/GP/4Xve4QfHbY/LLgqK3/ZfdETri
7fheXAq7cl912HnbcHzsTKPheH8dxOXmVRcfwisPowilKpgbOOsD1pQc2BpY+tnNusNWcDgUpHMK
Bq7xOHtGi46bmz3WgcnZwwzNzvXsx5udDwX3N9/Nh/3rRpvHdeGvZvbeFr0/z+g9HEbzWoJ/O2xH
nNn2rAHnq5NnXksJb0fufGvMf0kg+t2teS/0xN52Cj7TEXs8lea1+sPbuTvboySfZZYe9kW/lvTf
9nw/byjeHRXxWpJ/Owrj+YPxd3favdDav+37e07096xThl4m+bdTj3ZHBz/L3g/2QLyW8QGz/7bt
46/PHD5u13otfbztR3uB8//9vRUvNEpvWz2e6fzv9kG82ov/ttfj4Sj5Z40Hu6V7r6WBt+WJj4f5
P0sDu5nJ19IAbNh4m319gf3/7nzjy8z/2/znM63/bt32a735b2vTX2Z79maqXksFbxNy+59zedYI
sL8V+rXU8P/nlu9vT1o+fttmtM7XY/FRnL2jup7GPihxwLpdT35sgcoWNbvvPpwjZnz7U8K6Gg6W
oQ+y3w8Mm3WW//pegigONvR1e21gVxMsqEFQV7URKDjQ6P27KOa58+t7DcP5RrIGZ3rpOpy9Lc7Z
zLrDHX59T9CJCh8ngXlvcR437O1/+DMQcjZ2HD3+8235XVSEF7Eb5dmv75HY25P0hF3T4JsacMgG
AzCcwKfDKRoY9l8ld+srWPHa0f+fsOFuEhHN/iRJZWW4dFJmrnuj8AjDZa/wgEGlqtxAwcfIuZE7
Mt5syWpfGWfMSQ2tCOKLPKSjTHHD2ORKHows4nvTMK2d6zxXI4EVJZrqznWM4n0KPyt7CoEUZBVu
glGoKm5fh3hCHGIjLCaJKrFFXTbaIrGSoJhofvJw66T21MU4nIUhq7mhaTUzS8mWZ01pkdNSbzWj
9JQiMGOr9ExaNvw0F+VSOvNSPbsM9IovMI3xiKVyYthRkXyqEkufNjTlY8zs5JNrJ8xENg3mAhtk
9KqRXDSOPE7NqHS0axbroak5cTCzQ8Suk9QOZ3qRhT22Yq51JRUrgRP0eiw1RhI71bwiuXatufA8
2Bmkm2HOgvPGSyaYS+m8sGM+l3iaBUZfRuzIrUBxVPG5uGtcygNDlPvbqqtFF7WIW1Grr1mp6WeN
PiorKTyV01Y2MiUmF2l3aXy5OktibHqlji/EJQwdI0kJGwdBHC8TN9Bn1NacWRy48UqPm2ySY8u7
RD6KR7SJ6ptYr5ABzyq+VLz4kNSOvtFYaPo5zwyWEHuKivLcVe3sknHEL7PMzpYyr89FCT7alV1G
TOECZD9SYT3JlhgYB6BHRqLkeJm2TX6GWFSO5SwNl7GieasGDqAcZW1VfkaFv1IzRb33VenKy+vw
04407UijoNJHTmqVn23sriIWsHuu6FdepPlnWGkvkjLMVmql8ZVCQ3XKg3wtSjt4Fkd5OUoko1Jb
tyeV26SqjahjFXQkqP+oI51P60oHREkbaVSXhT8pYyk21YjoZ2pSuSuc6N6oapXyNk8TI3N5/iVW
oRvSRi3mURi6V7rXRoZDo/JWdfhnKYriDwFm1qkWF2xC8lz/FCdoKgh2dZe+Cg1LyHfqTqUyMorA
jSYtfEZtknssMksSBueF5rfLhkbFyA4ldKtWpoRIcBvqXB21XqUvtFDVz32/soxCttyzyGqaMae2
Mg/bRJn73UXcCZi4lE1KQ+MYTR34xazl1bkWWspYZhG9DpzGOUsrellltnotQFmOLnkZumeSJ9Nr
GQXKOHeJMhbFVI2cM71ml44PyDip2nmlWmda5sqFwSPNTJtAmceSrcejwnXRssYcLZlbtj06DLEy
74sCjQJcqJOOUWAErEf3dVSRlZ1KrmTfojgftdC2L3DKVzkqc5Sv4FCLdskrSx/5Bap+T1A8zbjk
3ktWFRo0rotrL6DW1JWd9tRqlOKq0MLSECSHtcmZlK8yW26Xtu9bI7ug5e+Znkz9tKxWDXaSaVBm
py1UdCvpXmMWGrVWMtydwZevEpNXtXvrac6iLJz6o5twadqGtJ7qrbJUcx2tMpznywbLZ2mYS7ZZ
8hatfMs9tWI7vvQ0ObrM29A+JyEyGeJbkIej7EL1VwJfuznYs6I69UIacsNJEV0keqQuxJ24SKGc
mrXteKOmtegeQhThkLQ7xXGrqctytvKLMBp5EQ5HSMJshbtL4gRFa4jyqlU8thKUArUjEoyW34Sj
wne1LY8gpFG0yNL8U0OpEZEyufVo3JhJoGrnTqDRWdW40VRqZHLtSmps2Gqk3gel2tPasb9P66oo
mxR+eh458byOnHolLmCA65VXN35jNLi25x1WwATW7bCOwJaRas+bKux53SYMGiOsLK8xBMaqkx5D
XT4ncqVMadak89Rh6dwqiNWa4jaQpASNBUpcZF9KA6MnJcmWfofeI+8pbUlPx1mREBh76/yqlIP8
Sg69yGA0yOei6MeFd+GqsilK4sKDLJpqqa2aBW9cE94+ycSOq54rGYyrASwp/j1QvNYkzM+Xmh+5
H8ogX9Uo9H/H6TSsrXgMltadY/iU443HkgVGkvqFRFo1spwqXrTIxddKnl4LOPJgTA7iolrmduld
5al8Rzt6OZEik2mSurK0qrmI6ygxlKRWv1SViw2nDaPz2tO88xAsrJHU7CqJ4plWptaSSnYykxtl
4WHbWlodiMWytdwVxZ2A+WSq6mHWUwluQS8uO6pUba58W+anAq7HHC/UsB3rEqlNL+PurSWVpykv
4k9uoTZTSmprCuvym4/MseZuyKeVjacqDovwzvtkpbq1KCLVq2HUccZ+idBYklQ6sXWt+KLEk1qn
wVqRa3/iucSbgRcXfvRTPlOyOFyrmnMt5emK+dVdlEXQkByRq7qKg6Vel7+X3KFXeXexmyA1m6Rw
JjyRRjRJVW4okiMtpJZY/cV2dACKsiNl3jhMVdnQH9FDQleQq2nDpwFJ7zxHbY1Saf1TOJY1sozI
Rwr0bU01HCmNLSONmuii1I1SddxsLKiLmD1Qt2WoTCVkMyNOnMQy8Dk9cxsnPoNG6KYPLstIFBHj
8VmmNQ64IHL1Fabt0IKGW40LHiI/F7wsTAIZ/M+DuqLEspEhWJISfDRB2QPB7GMDhm99ZmX5RC1Z
cCdLLjNo3bQXJUd0HkYSHsM5FfbvYBUneZWGPYXFaLjwrXiZ1jy/SsqEGpon2TOEpexKprl06SAT
R1QOTBgVitMwrVxTII8xNB2Dh0wYIuRVXeunoVrnyyhj+bJtcTZJdewZoigQ4pJafrHc0Ym7oONA
geqCA8IweOMPtQjErlhpKs4NUUY0XiDk6qe7+nZ0gi1XinFVNsmKU/lCS7RqAcETaJ5Z8B7j2Maj
wpHrC4011JBbsCm8bcux6nveqR5y7RO1/M9O7JQXSArdD7ZWTSyks08h8eW5mmeqyToqLaV8lGg6
mgms6+QLy/HJFW9t5VLS2wuSYfkjbNULF9SidJGiantJyvweIT+fFLGn9nBZK2GwEnRRJDEQYEcN
DaaLiqT3DqvzidxY16FSpFOnaL1iJijaNrGyie7EWxJRDZyLXp56abuwmyYpDYa/JG5EFk6B1KXT
kkifEIWryzZQqlFdOQWMhWFaGo5W3HouDOYCW+O6SEdV8gU2zm95++p6rOAoYu1cSrA3JUVdzZGr
2LMSuaYoiUulu/Vc3HmhWvV3x2BOhxUkLcQuoZGBDRohJa8MAYyh14eG7aaA6u/9mM3TgqunXsna
JfECeakh56Oq2GQqSju40iEHMG6rjoHdEk12iJIU8nLHJu4ETG14bVDmKeNnEMe+5Jmwr4yOBPHg
4U2eZAufKxPH8jgMdoH3Rbac1KRKG6zCQpavKqTfpNTxvzSpWo58WrJ5aCvkIglaU2YsmOGA3KIM
/CdwS7fFhAY1NXjKs3P4plZPQtKqogZxlOyckvbbML+1s/O8Y/UDF3xqCN0nKquysR8Hed9PGp42
EKWBFGXHnWupFVpGHkr1RZZUH5gc2AvRncRFsPIy3bIKmCUReVmDFyKY4jSnU98pWzOGoHTsaWo+
TViJP7WkdsHIEu1Ms4rkY5F95h1Yk0K8dLFKDZW7+NOOSRQVRR4wAZ+ip2ju222SGHFmpwsNRY47
K1NyXyeqM7FRET9g6iZdCBpxKWhGDFXP65F2iOir6WA9s1Qk6cIp4dIzEz0Z56FXmphGxEyIT0/j
KqMfIoTiiZ5H8tjxKP2AXauZEUwSUxQT18ErZmu/C1qUKeiKB5YhSj1BQ8dW6FaXfWWV7BgqAXGI
4ms8qsCmreUIQs5I6i+p02zvIG9wFvs6me2BHsmwlGajEuXeaMcq7gQx9cHfDDV7sUPSwrFaQ5Td
xOsr3mF3rHehE9ZmEoXFWI1kSTFwU5Azu431JeMuWGqKz4rQsrEhbttWq80qtouxoOtZfF/Tl5Ju
mwIm6MTF9nxyprrgDPlhVowHiJI3e88QtJYLDIPnCISd519sJffO4DAoZmQJrZf9y6r8Ycm++1FK
He+clbrdv7Rc1uopsTAbCyoYTI4x2alXzWK72vAaPFk3s8sPqCFkxUj9yeW0/FCzrPzAsFFg7vUF
XmW3RYiDlUCB8x6PPMjBTEVRgaTYqairx5ZFX5coiQqhrsAj3gfxrNAvb0uNG8hR9KnVJimdI2i2
jME0a8xXqxEdBZkifSgYAUPhVNksyQv/pioce4ykNpiG2PFvSsLVCaVNMg4c5N0wiPFOyyojpijK
WlEukOc0hihKDkvOiqj4JFhTopSXkFWciJJme/ZNPRF04kFq4U7qhMcrrrrzllX2BSkyo8lldOlo
Mbr0mKQu9dg/kzuQgFtF5MwVZgeGgAkyMAbyVCNabAqYT+NqFbXWPG5ibdQyh42TzkOSO7+oUZRF
koT6SoCKPE6WyPY+Cpy4CCbNjdlYFOEdz64cThaur2mrpqj0lVsUbqUbnha3ZhkhiOlV2zUT18M3
oggtcfaLmu+aWagoN5aHzvayxkdSs7CpEjKvh5lZBifuwrfX4fuKFL4zPcjMcj+nauBV/KNr82ZM
aGnA8F985sStYWtCzSdxqjRfEoj9GWbFZ0tSq1OKUj7xZL/9ogJ98Ui/gx/Sp109pR03X3IYvwf0
ov7H54r64VS1LX1XP0uYP8KaXM/ikEdLx0sCs1Tt+HMS+e2oCvR65odt9LmmydSrteBDqLr1Oddl
2xBwC/nNxAt9dyq4lDZZs0pJL8pEja+dvJ7XXWW4gnQVaeDFFUWJSsyoq0SHMDEuPun8VDA7TgPu
l11zsBfwyKSp+QgcfHnSUKTNwfGSVuKSJrG68LNgtANJMgdzJ8pV439xKi87FaU9hAKKGLcoT8zC
x9uqlLBGJo0gJrBlGZxV2ianbYnDT1SGTA23CvcMknHRJwh2IQJq65tAzdSLEiVXAqyUXjZvIF1h
Sn4TfQqDpB27mt1ORR2Q/q0MO3T8lcBy3x/55N7nJVqQJobIJc216ExciMGkODxDrezLU2LQrsCU
MD5zcZjiETFcbAVnrA04Hh1jSArIRqWc/BFlZS4ZMCBWI7WS87GrB4VkpBjCsdgiihEgl104IWXg
qFv2SuH5TIC8QgM6O2vM3A/RWV9sijgwKi5DwN04ktHoObsQ1KL+pFTz8Q62e4aoXtDZVu2s3DKd
7UCCoXuO21borG9e/5yq2rZFEDNWNGaU8zMPklBBovOlTVq+jLq7QgvK3BDlQG2K3PBgCuTUAcId
zY5FwHrix2oKx3dPZTnpGfbq29FFNAzmWpmPsBO3mqlkvBrJFgWHBSXJwpaJnxhlaycLcYlIs70r
yxAwe+WOpicXnIKcdHXUkTzRpZKcDuCCooUQpD+koJ/FOmKPEIFzvg/tERwSB0fugjusURVONR7Y
I5c6uaLXtXWTyXAcNTe12LulLWfg1sM0gJgZcBtJHifEgpHtcWpAT5A+b6T64w4k7hJlo8MbdL4D
q2UFYZWokeqQyiJLXnN67bVZMSWxH43sRCLXYZFqF66uj9S2CrjpqnFoWJVWLmCG6zhxrmsjIogD
ne8TR9GMFFyeQQIRpi+qhl+Ki5sq/hzGzC0MMrH8kpPcn8O2JccouuIAJooCIXgFnajqGGzHK55R
xU46plHsjIpIURfIIWbT5Sljkbj0urymKGuyFpkqTJCMRbFtAtKOaj3rWfaoA1LlrSHI9SjiY8im
4XbkdBUdPkHU3TMOntBXIYBKl0QVfFCNKVhKS/6iWMUt9iTCRnmULfPSgaw9s/CZuMhqS87iVpUm
TMeNIWCBEju4vy3qtOdQG4uyESlie+qpVWNAp3a1aVdhmKTKnIr69cqxp7t6+sp4VZy5mdkinp0G
qQ5BGS6ca3GJ5XRJ04SfiZKgUCSypUiJ6lyXkFgZUIRFdv30+N1tU97vLnCoDxz/DRO84B/CN1Tg
I02HE6s0qVS3Ii25VG39Egy8s+K6Ey5UXpg0o1E2Cohur8SlQGDPXd8KTO5jd9x9j/ljxYq1FNvS
xtISQ0M2udNhXDAckkCuLrO0iVLK6rykbr1iYY4MjUjk1PY0iKNk3U8hjZ7AbWkX6QK+cAsxVN7d
irLAiwtjTn7qRvh0SNcSxR7hDFPTwXHtjW01vbJsL1poTuKt4kSCV1YJvI9R4W7cnFgbKblxPJLd
52HaGF7kN9ccJ+1E81y/P7fhm4YIvr13KFk44QVeXrU7CRE+cA8fiOgM1d6UdatVrlckGbtRdWtD
Q5qXM1mt2SJNKuyMojaujASp8VjyGVvwKmYLgS7gg7OQmNlRysy08qZaEN0puCEQTYfty4JRVNGX
ITcFs0WQGjT65wiUq0ZlOds9I/DJH41WJJM2lRVntGsBb+SHZ+yoZQemjThyjAiyTNwA59OdNbE6
bQLLX3Is+9AP+PZuALOkJjdyHrdjgRB0Uemmk7YE7woyivLCerwoZSYlE1EuFRsc845mhxZ3RFJa
yXSkRF5AGFCmhhRUVQouXnfvxOnKoZY17YF6hdu+ekHvVG0wJ5Y2Ytgnq6BONINCfP07D0NuopjL
y5DL+EOuuLM6iorfW5iBmwQ4KKai6EXZuIJDZW64I+FFxN0lZMsuarkNF6EaX8S4iKdFm4aLvIH+
I1UwHW+oRQBXAY2bijCTZS3ZAvZwgiDreGmi5Aa1mTRSdO57E1GXeAYsJYCqduXdo8SdoBFYUdyr
MYPpPWq1kfk03Y5t8AyBELD+L4gnCaCd+DCTzrI/RKnHitv+r+0BegJmhWZYFtbE84tRoeZs7ZVJ
MiqtkC+VFvKqRAkqoy41toZpoLWSKNF1E0bpPFPDegwxe7hMbYdPpdq/VYtQmzmyE11IbXeR4njm
YuIYArZDFEF06zkW62lDlEWQo7XjWSAzx4BpyfBC0ApEV68e08BQGs0Cu5ezy8Z32SX8nZmdeNJK
lDwvyS9SyzYySnPPhLRtudBc/bOg9zomHTKU0ypSM1MwCERigWulwtqG8a5eXEY5LC6Iqhn4U/k5
8iITJ0qw0vIsWKG8wFMXtV9QB9rBITcW7hVTGTsmipJovKMTxBXTlMoQVXk+rJJgDFaIdFXt6AQy
Lhp/XFYNjF8j/ofvug1MjtNi3JQNO3e0TLtKi8w+dTlk8kKBhTjvItK9aqXBGbBXTV7QmVLoDeR6
gVhc4PhY24i0gi9E0WprumjL/E4wxLqtXcGBGRAOuCSbCQo4Lktaebhc7erIWl0BP91FU4lBvW5D
sgtYEGDuKEhkayOIt70JHKAtX9poGTpKPg+wlc8zFzqusSuLu93lOzQCLaj7enblQRW7orj7Jh3C
wWcUlPr4GFnC822rW8m9lTgjk1iSyFJcJJTQZU3soDREuZbyT4XT4OmAxOa5D+l2BaizVspmXunB
QoCHWnZVDWCy36QmaQp5tEOIR+6KO16Sfq4USESIp+zA/aNFGfqvNnY43jZ2R+hLRWZqchxPIykL
xo3kJ1NFLNEizbaYkgJBGgbG5dCzgnNetME5wRJbFjweiZKAp2lA50/7QIjAcrZ9Jwgm5uALTQw+
nojhG00YvtR0OFTDoiUCKeSkuYliT5tJxD/nIVV+Z9Aaswyj+NJKw3Iqh1kzLxj2VsSR5a7T1B80
WKVgQBSP7xycm4lHyB8kIKZs34UBCcGnGdEsUOeWG4YLxy9huqyxYQJe3AqgIBsUpbIAWy+AAr3j
FjDJg3qg5kR3WzMr7NJMu7Vl4lL6oe6MmFhbJlGnmNgaaidpUd/C8jqIWwRmR54Imh2wIe1lHJTy
VJC0YWubOeIwSRvza4fm4bxP63cJfjE30MEVroSwFgZA4iLmBx7pdyBx9wgX9YgqHuG7eiIx+dDk
+bXXPVNQCFrB1cFhUUE4d72yNhX1/1F2ZU1y4sz2FxEBYn+l9rX38fJC2GOPWIXEDr/+HpJ2U1Pj
+Sbui0K5CrspkDJPJpo9vfjFiQZN/Jrd8ZK49osgzTSMQx5B3TKRoB1ZsZ6ZqeZ4EMnx3dPv6VmX
fJMX0vf81j9Y2Oncuv+4JFKZl5x4fi7lJux9ERi8iE9dpEXz0IihKBA8A51I/mu6yIUvvtVtl24X
Vh2z6HTnhqR3vIacxkys/uOX4zv/OG67+LCoCbQodvtoEMrQcO92l5uXhtVEo8nfnNxphvB1GBkQ
g05WNeuq0ItLXari0rbtWxMOcq8ZIkt3xEvrrtsVpf/nWCn1rhymSdRjy9e/abKUe3IQuZGHlJpU
QVuFNqLLQHSuMgQXtiVj4TVPq/Aqp5k04mwfIQsWVIWEIjFJ7FoJ/tL+cCHq3g3pzSa+3Wf7OoK6
YfXpURX+Q9KF5iWsdPNi6IKPgWb+mabGcL5hkYqHfO8uRg4tUGNhXYi32BKPV6kbJBKPyEUwOyU6
R89KLxrOM6toRsAre8d594o9qFw5YS5PIcIaO09H2se3quih0yy5rlU2fu7D8FH1XfjT6NQWMMfh
m9CRCGRhjcBAFYe7sWTDwcnid6M0HsfPLPQea9P4M83M9GBOOVzgQkJDL868QW6XOB3lbWnqRaNY
51xDXn/SJZ1Oi5yz1k954dbzsMcTUbluvb6XgSWH6hQm6fA+ZRNNTC1D2pJmCw+IrI3DdXEg4Vi7
1Ylmsy+i/zG9UyWPbqOulTnouxuTZSk1cB70vFW7TM8kEKKORCwQqZ1YeHhDh628Ygs6mus6Uiyw
cr3dKs/KjIDUSY5/WxX0dY+IMHefaq6VB0T2Uh3JKIdfGbedNYJe5iocih6gL0/TDyEAVTPJ4yy6
Vk62HvLBPRE1G2v1akhUfpkzI11jeaseUZx1KWRf7OJBiX0Uc6X4Jm/5QeBIF638eoq0lKm7nmne
I5SSOKGzZkneRauF7oy0xG1T6Wve9l+TPiufY61hZx05wlWZtcPXrq6+AsVcPrcyY+fUwB9Zd/nw
VYTNjT5OJzf6+qh+9lyLyhqBw2rvmApbE9sFSsqKL4PbvA8iLFQXEN1pnbuJCzbO5J3iQjK3luuq
RO6TzBZBKg3ZBUT3dYbdL7Ipm5l5swzJ9b6Mg6atw+1yKYujhYcAMnCV1ls46vlWeGX5yDVWYpef
Fgdf8iRwgeOZeSSNs+wa+rF1apyx8YMqy+ptmSLJSHqa7tc+sDYH6Vn6w6xS+yn+4AMbNuQ5DOG+
1hW/aO6440bi7m2hGZuskfZKNnL46lfmZ94X+nOYmy2S1am94pY58zXdG5+5AH/Rd6EfGeCTfoPf
6Qo4VSWt6io0J/yjSPc+EDSfxrTDHRZneqCmVHjutHKLuyrZMUdZn4DqxXtJj+sPI9JyuPNuJOza
3EuN1XugF4KxshIc4y37QZqx92XUrWpVuH74lKrR2ep6OeB1xwE6MVO2bRItf1a+Lld1GHpfQtUf
bK0GjrVw7Bde8K8dnh5AsIGV5QiBANPAN+5Emp0vHlQSn7LI0dZOLb2d0IvykrNQXdrabLfuYJVB
F2txuyamnSiAMTpl7FkYfR+9xjvkg/S8gA5/yXT4Ww6K82kRhz/SWw6FpKv68FaXpNOh0vo4gM7m
piUOpEvn0cX5x2EVz0Csr33otboG+sMfHVLpGHrnjzRK5TWrWuZik7o5HtHTwA0nw+xQDt07x3IK
PIPHNAHKpgqlvtLwf7VeLIT0IF/of/NAHp0QgRT8z2OrhaNu/mdodm+DxvsTBYspbLywDAfPool0
bbM7RXbyTnaTwUKSvWb9ks7u/m5rGF0SmFmdIsFZFN4+drP20unAMlta8hzHevJsIHO2iyLfWBFJ
AmC805XlIAVEPBqSzNvmPdLtM+uXo8XoXx31EsC1OjF/InWrH4soda/IFiBQ5ife15j3G91onB9+
Vf8lmo6/mUDPbWM3MWbVKEpvVLUknFUrG8nnRTUbGvdaAS63btRw55VUQ8Bst3QBcRyXe7wDutVy
UBjzKA7ySjc2dERIhW27KzoZ3Jwebg4bv5+Sv0LiFl9czccSOqaQv3yZorVpFZgSDzqb4f81LEZg
X3v7hQbsy/9oUPJwSevMfsk9J9mOJnL2JMyFY17tyLjRH5PyD1/G1SU5eAdrqlFJy+RNN/X6keGb
Y2+x9QlpdvnJAdj2GnrIn5CSV2X5vnatdBNNZS5lZ/K13bTeoe/G4pPniLdMR4Qmsgvvbcw+k83Y
9e8uGs1oDpURlruas51rdtZftV/vEWrsvwFVz1d+nFnPVdEOW5bXJjL1pYdkR99sdVFoz1pVhcHY
uPa3Eub+L/MwSoZ7c9Mbja1ofC3QEL9IeRceDUP5HiCMXrEvQ9XglyrE48z80GkSL390MuBHSa8q
myZI4kDWAfO5iS8BxPq1dw0AkkDlujleO2l9NiOdzbKJmjXzepYRZTLgDDiLHjKHre7RpT338vMk
IDQpgUQXFdZm4uxhL6CQG5lxqqRGGiTEly1XMb6OBVA+AuHlyq3x8gGqwzQ50PmWsTHYF69vgb/C
PtOxefgzK//UIz/5kRV4D8m+LV9afB9ii/+E6NRYWnHJ/EFsAMS5sZH190xV6Y9ksmnaAslv1eh4
OHVxND6WPM03vhWJbTbdfZ3T5hc8/j95qW29EAsxUIDNav/aTXdsLMIMaKDiXb8Os1k/RnHBugtH
tjF1QK81lb52032le4wfGyXDFZVP+awVqF5x4z1Jbdx2gZ9a2oWkTffDVoK9fbggro2j+hE7jXBF
Nkbpik3UV8jRiuKl7T3t0DW2iQNTa14EcmzrLgXSvOl9nAOISWKjT6xLheIRVAa5e+ITi4Q05Ebo
HRVwiHf8RTdmnbOumRhXy4rzOkRP3lGJ4+5ba9D3XA7qVa+8VYqgTRRMM16mxf1M0/V3HtAM7zPd
RBlP0zVfgRqpTsY0ILdRnVxR40BA9Dwlbtdq4NJUk93KLnTjQBQNi4vfm5CSrmnVKYszuVUqV3vO
uuoB/9jqQTmNvyv8tAyAMageWhwtHmi2CEiPLBZBmxfvFosrIM/9HQkW5bs1FuXFFS2+rGsaIgkY
UlGnwdiw6debNW7y1t0Sbbth2G691XFMEoN+8laTvMFmnIhiImCzSCabPOmDElUZI3bcdWcefS0t
rtloF9fQyY3DUA+PjWyL68KnWd/6P0Ql20OKMzpfc78xTjSYrUz42gotfVPISgRIn7xL7nVm9b+L
h6Z8tgp8mTv6s+id5BCpejwmH8PQp+PR7qqj9Kt+B/hwnQckJb2ZZjF7NyHtRXznhvR+76K3xiYP
FnNSJTJtVbxBQWaz822er0okoXaZm2pPVW6HTx5Lr4XUkwtRUW9Uj1UjAlIQkxaqC35wVIJl3xIW
X/HgqBCFxR1nTfdZMs2KhHE8pHpzTwLikXQRFFoG3Dgx3dB61+67DhDchSlDy9wTSQP5MdP4Ed+k
wEOvVDsTuNcxqP3BRQ4Xg8mt/BA6I/BvhXshPkAlKDMiWupOGugyVTtSvhFXfjvbEU/Wf9me6L7i
qwpbO5H+5xww8k2rN+YEx2SPepk6AdUEeA7b5tL1bjTsuPoPDfJhZoUTxD12maWFCI8co2PiC+9o
2Z13bJn9PhubsBeou/hFk5gU73ih6AYRkJgGNvmhGS8mCdHzlLgo2bJWXh3lq5tloxgliTf0x7I3
PNIhFzdL3lzmzXKktQx0xaFq1TbL5Cfit3crzsxp2RuPernRakCK06YpUHHZpepSy1j2ga857VH5
7pZ44eBIoL8bdUEswA1aVwyrzh2Mi+17xkXahQFpslJt5p+I30zCDgGBIYi7EOVdtn2M0gS4CFKe
pzz3bGTUDTe480UkDXlRYOOODMVm4ZEHWtgU2krpWn6wx0aJwMsa50hDMw7tps/TCFhRE4ABlrfW
iqaLTgpIlrEnpjkp3dCF50m4k1GHv+PkdPbfxjgbDmVYZk9u6ZTHSljlk5qGMB/OtpG6Z2IJuyqf
atQzNnXjnoki/qRV/ZNFhqORoLp3Mpy0FsMP9zMLJV6HtgD+A/Wu+jUNWbvC9qjdyJEbV91FUWyA
ilfjKpONpdvZdbQynQViknppD2T5kCarnphkQm68Mn/mkW0dyHT2Mhp5dzD86pVsZzekrOPgjcrC
tNjeLIdCO+cC8O7MIhNy3zSt3DS20FfKGJtzW5j23kTo8Vhr016rbocM+VG3lUd9GmbabK1fUxIR
TVZE0gCsRA4gTDegng5/O5f+/iVAbSJIzdFau4Nez3/7oeRgzqJbtds5+aChI+3ZRsdvYL6dFjnx
bpYkuveNAbiRolndlBlEkTi7pjwTi1Mdl+U0Tyz3sG2hCgWRqHSTM1tf42vuKP4xBjM/+zCZa4FQ
3pKd2wzbNR1148Aqu9pjXub8qUm1cOukXQ3AMng0WC0Qx4ZK/iKqmNQ0PDwvGcKNZLSoMuurcJX1
sGjWgj+bds5Oi6bSOAtCT8g9qZFAx+9hTddC/kkwRrn2r9dSxq0GDGQ5ztdRsYzz+ZpxDZbB+3OY
e+ZeT2ohAulx59ig0NtaWdyyj840jE4IEU19x5bWqs5a+3hjQKKZFqjtBe41/0S8gZzOkntXs4y4
y3CzFK0/XwpdFSndLEoXUZZluurd9FMVRmJt9LH6Ug8omQnxsHngeoE3fu2/ET9T7bhpRt/cV6Mu
vwjxV6/k+Imr0jn6XIj1OFm3k7XtlO/WBtPeSL2rjBF7umdjCMWqdrQYyBS77k4lTfWQTRES0DJF
cCRva8iHiblI/Mxiu3zQrzcmdawZ4WrRubeeHWV+9BMv6GxLYlpmFiy0M8QlngXTisuyHyveXKka
omoTNoZEVsxE3mEqUBla3GIBUzjMI0m3I56YCmIWFSKXYVGRSsF2oe90VOL3QeEkCGVPDmnw9QaY
sHmkFRbR4sdOMmOT8KjalSUKEoDqQRIpEgwFuX4VaYBQj+G6N81kPctNw0geHD/u9h6sgihCAB9V
aTgxMmwAWVRCKnn6UCVObaHbwbAfGXa8s3EG8LiPismDyGpZID3gIlNnoUTtpHK7WTsa6ktmJkoh
odB6Kou2kpRnk3nU7SaPtrNm3VXxSU+7H2bOvE3aI9JJw+xh1vmn1exh5pOH1lmnrWccb5e/NZ4v
Yr4guuIUx4v1qKUjaqtqPOG2/mj3j6Pmiks8IlkQ99MNUKVf2iRsjiSkIUx6a9OXZbL2bA3PwTIv
xFQusouGAfWuk4Xb1TH+TzOU1W70tEJep07yDU9Rjz12VnmmwUNU/TyVyJ5V6QHiTNNZMmlrZYbq
7S7u6hsbEht1C3D0bD5pRhU0f+9o8k42s3Pdz+arQC8Xc+MnvNVe4qJ+h3wCbmld3Wkg/GbUuVsH
GQgA84AUJRYNjJn5tumSaLXokoD0KulscfK3TigN+ul7Y4iiaOy/o9h3LzRzHGXg6dkX20XAaO/O
lOyOLIkOiFVin15Nu/h5SjZDhR8uMdUk6b18r7S4016qPkkupZHsqe3NqDvGk+ARUgq6+db2ifHE
VLynZjkhChSfLFDUE4cnoCbZYveh+WHn5fYJJcWbXJMxkjFArh9psL3mfdbnvnXDk5GeioCYpNO4
qbGpkKRaMdds+kBHW4qLCFGMivMDzmSgiFWO9fts4eGZ98kzvGSvtVF1IY07tUYotgbaukchF+xv
lhhl8bksUHhoBGVtPVtJxAP0w/FfY0MbEGzKx6NVokVJb3oa3lOm9tXU5RzaXXSzMh+RyfCHWVcY
nbnK3VMet9WjqhPt2MpG34ShkF+8zkRN3pj/6eIDgMH/1Ci8wQ/QnuHffSwace1gE151pvreoXQF
RxKN4X8uRgYHUak3IjnOqEFrteytyaR5L611hMwW5XIiF2WSLiR5Ljtpvjk6SpUW2/TH6Odsu/wM
6G5HeWOFV38+/zzufkB2HLVBrAqxu/sFVXFUH808vSZen1yBuHSmQhCeJ9/NNK/3OtWITGTu1vU+
cnxUr9gD+pBM0hZ5satDdSKTiprqQu54ZGZTAUqXt33gCK3eUreKAdHJrRmORhAZKFg7NgPKN3WJ
Nj9zg4ssWfde5b8gHumtiz519pQBA3ro1Weu91glCX9NbFRTT+mzMomikzkCJkTkvxn1Grc3CITF
eBS04sVFAJ1CNool4qXiw5Q6QfF80QLDZdhatOocB680K9Yu+WCFF5U67hgURl/vDb37QjwaFpVs
Uu6Hdpu2dnqaDRY9W/pAgap8XC+8xVbPh/Cg9+55NhtNLTtUuf9goqruHEuHn5u4js5EzrwMicza
0qsAr9JbAUkX5d/ZAkvyVGjC2v2rKVkti5E7IPC9XW82j791OV0Eqf3ONLVdhNDx5Nks0uUStdqp
1o5eVLtEVdbadBJnp0/INMvurXXTePYMVCMpkcbUTWwhCca2KP+/bDMRO8dcy34K002rn8Jh7Jj3
pZcD1lwCOTba+xtehdpVwBvxKhiRgyjMY9ui8LcG2gZmUSz5akCFyQq9rerxy4A4wRgnl5C7rF/X
JrZROZDqW6G3+iVxAF4LuiHTL0R7KdowWYi6EMvt3HHmE5n7GWIM9qze+GgBM09JOGZudzAL5/I7
S3JUxkO9nRpRBbGXxavIrJ01NSG46U9AfQeWYeltIKshOiijQbFZLMrgdyqzm6jv2UEoRB1YP150
LpB/B9R4nVZl9JC4/TNAudFRjF2O0MnEG1M0efEdLjelZkQPxKOhaG1n52VagUP4h7Zm4r8kahFB
zEKH71OrfeZNGR0XM/LiVa69KlguN5VojXWLQArAzm7+Kgf3Bbmw+EoUivFb9OYClJnIwimsA350
fFWZTf5q9Wb9lLft2vAaF6jJCgnwv5vKoS13pNs2/NYUhaQNmZLwY+Wh1KKr1wnxijhYs74z1/Gy
m1c2J/OyR5uEj5X9RrnbVMu/tl46nGiw4uZ9RmTB3P50xyPS6Nmf9mjJ7b+a8lBOsK4Pz4v7MozV
f2DVzHuomqejS6HvOb6vMx8xqvsegmMsmR3j8PM2qshfj4NrHiIeokTtV4sjA0/YudkR8bgYZ42Y
ehgtevSmICl2Eqe5txHxSCWeWiG1rjIPE1RnbIsOe+Amwr+UxDfqpOkjrrKZoAarxcXih3jK49nG
TLJidSeYfS0e7v8B05WQCangnPTu4XcrkcqyCJnVlAHleHUOBXtq6yFEvMy8+InOntxpMLH9Pxjo
SxXIpnqNlTPVb6ZAedjI1eMtV6Dm94GowvCbM5oWvaCbHVL1TWR328rO8vVikGG5wE7McE8WJPgX
J6SgSs3b48He7YAqa3d9pTWBPR3c2HTAo0HxzDvh5btz/84nNXOqFGuBwVn041ClDwLF4MGYWOV+
EZABGg6INUqb3PXijgTL+qZEr47EKuSWBKTn4huRdBHtmLYWWqBNh9Qce+lsWpz0loWWxdE5Itaw
BUGzMFpz0aGZYwFwiGRFg+IX/JsBP0yOI47LO+bZFfaovGHHrijcPJhfIRONHC87Etkb9uCfEIpl
x94bxQEllUGtMwcFwTSS0qJuOMO4igZ0yBsGFZ640OxdqRuPROU4NiPMOgli0dhlQFMaUM9o7tGP
8HAjSHAcPy0qiYjCE/FSMu7ikB0GdNXpJoeLXhZydGwi+t4ErdmsY9LEeC/BZHYzK05LZZ0LcNBC
06zsmHtyb9YQXAzxemS8X8fVgFAloWjagTdBbwqObe8v3A2iIoWPuNXQHYZkPERa3SYvaNHSBLyO
+LZNM3TDIXXC0QDBgbgsis/N3jHltUdfS8/T+Gk00a3HzdB/w7BqrQqQOBFnzcSjZk3TmWto7bVq
HLl3ylGch7wV2fpmWqiy3iL6/zcn5eSJlMgRzRYeaseuJnop7G9Yi1vL5BzH7Y9rI+PcUY/e6PCD
H6HVFPAMQMOKWOcXYZ9uWDFBZaUyL3EU5duMSyMQPWfDmixo6JiTBYPKsl04KRqp5Wx4jQZcbtmY
6LeTmucEO5Z5hp6Az6HW5PuFlYbAZ66lEPVZeV88z9zoWuohum+7T92AkGpuZHlA5Dh23pNuoaRs
GH2xJh4Nfuf0q7Bs5W7heaL6qtKoPFmthh6rQxsHujdUj6ThZGjFJl37sOg3tV0cjLHv5rVIYHc1
QyhCWuvlmhAZT1EuGfE9qXCnS88ht84KTapO+ag1+8Tx9kQVE8vue1MGZpc2J00M9YkkNJgkoeng
JJYMaEpKXmECfoCUyYYMF8FC3rsgmoabZXFX1PspaXizlitF9B9vYsO6K430DGY7vu56pu/5+Eau
fgca720kmiRT7KVBg6gNjrKPbTuEP3DA2seKCx60I4LKqOKOAe0/cJboSdA3V9c1izhIlVjXYRv+
5ST6IfdK9kMK9oTGpt13s2y/GxaTV7Tn+Vl0tbjq6GqF43iYApDS8l0RoszdS1vxjGSpeC5DOQa+
Uuqg63nxTIKm30WobH+aCYBRjsxDSHsxcjzskGKZFdsUEOjAbqS5TxsWovhafctsT55YB/DTKuV7
jj3H0yxjTnVOtOHZwDMA7UFjdIGEidHqAMEXebOSzugmq8i1tVUb1mxb2yp8QqBRe1J58c1xM3Xq
ylJs9U6W63iy/ad/pB6e57U95r77ddiLYqP7SCaLe1qd1piuWnRevE7ReFklWxEmNvYuoT1lJBwT
zex0q0VlvBu9FY1Vrau4DneRUaD7Mh/EtjSREiQyzfpm33lhtB6UEb/1ykRPztBhOGhDmTfYg+qj
9lnTJ6rP2id9MLYko8G71rrpvdI8VC+1VeTHppeneOj6Hbr6Wcd6GmxVoInjmGG3bJf4YzY5nv0k
KcoxNFdISkCedm2p70kGKKx9ZDKvvA2pzdN0bL8Bg+1vZn+z5q/VFrubJT2dxQLxo2l5YgNlnv3X
L4OZf69Ewi/DsdDm2jZMtN5mOu1hb4uGy9Kwu1F1L67z5saZm6xDNr0nUBESyNSLzzT0aGyAN8ZE
30ydPkvOrfCK0+A/WkT0aH6JVMBv7EwuX4YCnThqrUlmr7/Vm/1biUIPEfhekRI57xwE69eznGkK
F4RWMGjb6vR/VNgp7jsjNM8EFtUavTzX9vBAqFFqLOD/Ys3gUCIrr3uwK1k9kRqx0FH4YcGb/t0P
qXq+ml3bZWGhQZORVzGAENq1TvEbBgjLO+Kw9Z0oZ6yGpyQWOFEOGmojywTdn3o7rXZ+XFcoNpws
ir44lBUao1SpDizCaNjuwdTyF8dCj+Bd4Y57IPS6U18BGguMTMbXaHetIawShddEqwbUeCd4RXtc
f4jMUn9QZlJtRMT5zFsEBevzlTSzdks8lFb2uK2HaeeGd0Q25LfDwivq7BtvscNYWIvuwkPPp/Rc
8alOoWF4oKKzWbNdFNFPKD/9Ry2QiUbwt1V0uHd9hg+i46a1bMv6x1M9VczCTkHJlzlYic3lKRoq
64yzg3WmGbq03pIkQAHpt6ZBY82ZmnTjZIxRzPhhW2hoeJgp1Hl9sO7cJWjviebChpNv9M7xAvKl
8xZRHV5Y2Hxn4SVS4nNdafZrg28YPNtxF+j2YL9iC22/otJt6+Cb6k/E8i1gkGND9WciURvhrkoA
9fdEIopRb9GQo9tUWum86qK3Dlyhdzp5am0z3tah3mv5xmWxgzbGCJjH00AzGrQGAXPUXNhHFNwj
Vk7TRUIz4pHiYkdu8GDMRLC4WOzu3KCJp9og7RDP/hdfjDyQnVG7aCOW99XFd6P2JRMIPfXYS83U
4OlrJ2rYlsi6S/OrqeQDUTxqWjyl6wSxqqg/ZagkeKnxSEeNF1ohk9SX6qWtnfHgTKATozW/VXnB
9/2gWUPg8TYb1uknJtAsixRokFywCzbj7BIZXbG3Ku0z8Ye6hJFOo9WJYo1qnXi92NGM7GiGSOZ/
PZsd9/7+NnXT8piFttK2bTHrbteCqnV0l3XM6mWwRzdwEs0H9EaGF9Fl40m0KMgMdf+y8GlGg94z
nJA9W+wW3qLny6jZ6ZqTzD4XwaLsRvpmzLPyRAsufFpxLH25diyJx850TXf2IWvGU9WxWbjYLxcr
DbQsT53hf1xdD+T7zb94saXFpqtzJMq9l/WXi2jjUa41u3m/OjJdrgIdU8bT2BtrYvVKw94GO74s
8r8dkNZ1v7mO7DeA/CocXt30pS3a72M7eN/0LG8C4Wjuoxla8dmz0MXdHat27bhlv3FdXvdbFIla
awCZ/CC1iiJGaxK0eNXG/tDRe9FnQ3yeNdX0imxktFGcuwdHt4zsE/G0uOqCUHrVxu18Ff85xGg4
5aIILAC2otSekJ8qN/ogHRxqbLWvePm919DYqirG/NpMA5EDmsMijhk/LSzi172fX+swdY9VZe+J
hSAtWhHT1M98cTbCdkXUncuqwvmJVxuSLW4XLd59igBYQZ85VJSLsuy2vLKGi6+a4RLix3SJpYaW
463KtqoYS7kjSc/rn3pvj7tQ61CLXcW57NcpGx68GhUupJLV8YgiNSn6ddYMG61DEarre/KXtiWx
z7b4JYmzEm11mHD/o7eKdf9LRNMa3XTRWcWeTg//eNMUyhmBi8q9Jy9xs/GPtva0I2WQKA1UaqUM
HOkXu4XHURZtBB0CM7PkPV/EC+zDPXapCmagjAtFcBpizIGN/hMPPQJzD78T4KVd7pOylKs7JCyR
2BYxFdgTCPZOjJ4m9hYNCT8vfIVO6htVyegA/EFxJViu7PIUSb5e3xHZ+Ua5/Y9X9fys+lvXPhf7
TN+atpj4fiq7P4FFTqhXwNfXfxgtIIhdm3on9EP9hMJzvosyxKtChibF3wejd3Y8jh69itkrYGTK
TWzp0Qu+ZZFe3ba/ENWbBdoV1YguhgAQ7InnTRooXZs1DIvHL7hH0GWtioZ9GOnF6b0/17DCTtW7
hsr9q0Kj8094pZj7vEIuhkhk2au1ZjXqgLa9qO9IO9QppsaDkXr2H8pbEddhtXcdmDF7SHXD3Lsu
0jckJA/emKtDJtENs0LV05zra0PAH1SSu6s5FUh0brTuHGZt2HTHNNzclKjyC6qp7TVu6VNuat0n
M1b4hEvUYHOYJO4TipnfNXIDhf4mi5/MSj82U0tba0AYmUn1F5MJ9oI4iawlR59PLZxahdtDxFa2
P7XEmXri9tMgRWkeZFLfW7AcMdO5q9lY+2qnCUN7aH1NnvU0P5SlFj7QQPwabajRdF7TgXqBYJBK
m6XhdB5KCn5e+B6wy0fEVD7rk1bTtmzlJXmO5gEq27V24qwEc9WzmabqWU/tGoAX3T4AJ6yeVTwE
LCyM65Bp+SMqXV0UdCTNLhQGaltyJR5RCILO6050Jo2FX6e9G3BTNTtSy5reROt/29nUKE1YJxVD
i8xCZmdRRwIfbPGdzyW657W+l/wY0Fg9GMY6fsU3RcZdbU0NQePEf8KhE6ntSSX1kxUPneobeWN5
hRcjG7IzeqOJjZi8SXhL0W72h1n56KFWRPFrZmvo8p+rH4ZZfW01kT3042j8EeMWyeNceykqk7+O
hrUqmtz4g/tnVvWI8Lso7YwH3IHT0E2D6Kau6DFKc4nqhXfVRu9dI2Vpgr4vTbafpSiTNAPOkR2W
McCD5IAksRa9AsjrHZOpTR0Dyknv8d0HomiQcYu9blqa+PSAw7UAndbR7MHOhpURpxOt2QWChuF5
Jj/c+JXlXmZemJVe0Di2uVvcliIEXsDRdgzfQ3jiIUo2gbXVv8X/x9mVLUeqK9svIgIBQvBKzZOr
PPTgfiF6ZB7F/PV3KXEbt3effU7cF4WUmZIouwpQDmsl+VZoAPuawvg+76rxs+zjal11TXBt8CA/
4EnmKoy095OyYvB/2mF631gjymJrm9m7eMx/ydKsD8TPEHTAacXLy0LFMAgU8w0SN5WoRRLCSuA7
5yXwLOILmW7dPLWu+AdZV5nn6cm3pjtgX1rXStrmLB/A7LFtjKBZLQrSAhwViP2pr71ZhBRNw/cj
gDHPy+JIr+ZnZK1tyWBZqK8AMa11g+EttmTCCosBd34Qm3cKnzUPDiBt8dP7fZm4nw133Pn6bm09
xO0rjoBjEJQNSAJIHdbtsAY6p6rr/j2fPv5UOT9rs04P7+R6vEfSGsIgr+alFqVHJrOPi4hWqFK7
3wTCcd/8oUjR2YAo66zK3i0z5g/pdOso7avL8hnBu2KcihgF++p/ssjNOtBRBRekbxanNYCRlK6q
Qk7v/wtTpp+cMmOnZZHMVSlCRb1e/lIgC4i3VeokwAILjYvju1/1Fh6xrA5xTCBZ2DN068+oF+ov
JOlDaVxmC47H9x4wEZ9JBpe+cTEQdx/XU6kXa4N30XqeTxNJ/x83WpbwP9BmJJivQV0c9WjD2hSf
lwWHsu3hdQtx23PL5FJFiMp7OfsYuoBUI5GJwptoN3YAWy/t5pIgh6pZx1GQXLIuhO/Z4Hj7ZNzF
C+6iIj01Ar9zr064vkHhBqDXFw31OhGcUKWIF1PaGQEHYLmSxmSZiaeYnEep766QxPPTdq10Rzd9
ehBMg7NhyO25tuo5kHdFcbJuVT1Vx7Iqn+NEa26xW7w0Op9uuVM2SIr7LR86M0FdvkAQjsyUInU1
85qBaUBJ+gCloKNq/BI0ZG6ELOpFQTsVvH5eNqEJaqc2mLDT6+aB6wI1Re1Eq5EirAUg80Fm54VA
eLPdYnpII3d8QAL8sDH9oMDfFeEHkgXhcHDhtL6jUY5Y2BEIe5lHQ2qGgGd4PWqrPc1yDL+/L8X9
YoBk4mAHKLZgvciQrvWJtVFxJpFWA4whK5InGtEFlRHAt+F8Rn2PujRqYif3xlxlkStRx7mxR1EM
srTVkGb1FYrW3DzMjiRLfBFcB6Pf0Yia5TMun1t04yFKu7efMUPo5c1n9LmerUyXVXuapWXVcI+b
9rJxyYxgpyVh+OYzDrH+5jMaoWWcq+4A3qZKtKe6+M7Fo20g39VX1CvIp0f0sC46fx7bTurDCMM6
GaZonRVPzLTDE2q/EQqcrWlii/X2hil5cuFsepLIthoR37mF5KPA7wylnihaoqFrT/o11aJ9pjwW
vvJ64Gk4eMzk5ZGGLtzkh7SxLQ8Zj2650jOxYWVS3rQALg8dTFDAaTAAo6/m0nJOmexJSTvQcm33
ckGyRz4JQRgFNoq8RJgGO8IxmlGOoldhPwLQY8OC7sVopmBIWl55xVzpyroRYEx3vWOFu1zghCXy
3j00erOXYYdonBJRk7AofDMkMwcVs+/k6esEmgX/HVZzqzdmoI2Ke4+m0RZJe0EGmzb2wNCPcP52
nPhI6LdFrE97yy67FQ3hKWYP+EIGCgqXJEAzNj2/0uNjOSi0XBfutHf2Uf5AptREVgkIH7X+3+z9
qmcgh3ywFJjuvH4ImkW6HscO47MTxw9tbPmIF6SMr2yrRIUukEAEihPe9JFc6x+p6ZVxwtvRq6J2
Uu6Uv06Y5XkYavO0t3bLYvNGoS6wRkwtYGa/4TGImm8BPw88ZMaJjoiGDI0TNfprj4akJbt3Q9Mt
Ki82GQo91Yy/2ZHi3/cAzOfDWCXNjraVfLQqj6b9D5dBdqUEOktaGoflY/xtx7/JaItGR857Ex//
hw+xmNRlil/D/JFjc9qnLoKw//1vGQTF1tCb6jAp3FSmGtkDbzVQB12kuh4b3xz3JCLlOzNSyFEh
oy5zI9+pdkBxeZq1r8stq1CPtlhMluX92G28vDbkZtbS8v8+mdaydJQa6Nl1uZJ3V7tsQT0LZbzr
cZLONmLhjjcOgLIUFwHQa6qTwcofb4gHjA64IYCa3S4yswl2CdI9/japqDJtpfFYeCmcdJdcNRbX
+kvRAO2eWaB3UyOgcgwXo5+sfm1act8b0weAZcW3WC/iG3BWy6yvEKdPqvvEzfVbhPoiNSBxOfbp
fXWqX01I2vQrtzDdG9kBv7fa8g7PJstsbSRaWZOXqRsbNYnqBUYFIOO/qSvDxv2tVndPEZvxFgQv
iJXYkbN1ZDZ8mkJ5YKJg35p4BEENjnDXaYy1kwwLvm5kXn5rUo8Meh1o9LnrNGAVNesrUsqR7a5x
/dtowxvGquxzieclIG15cxgyP3tEVf0vmhkl2bfU8PkjYrbBgfbONaunvW3T/Mfe+RDxNbAYlr0B
4vuyN9hs6qtEttiKNTK6CoEKt6AGIQtyLb7Cs4XgUt1017SqkqPFcsAiybx4snsj8YIEMCWsN2Zb
AP6YAMSPXmw1wetVp/sPlOzqd8AvnqJE7GmYIsK6LgIJCKOpAceE0i7DUYZIq3k1XuaiEKG7awbN
B0tWUaylmwdfBh2YZY5pALLeTu8kSx3UQEBuAvDdk7le3zmO0913Wva9UnLczkHIC+aVE8792Qeg
t8EpAXnlNs6mi0O+TxHAf0Z2EoktkKXukHGCkKgN/AaA/1WreLL4nQvIp7VV4IjlRC2/k3mfmx6q
DupLAYfhPCRNqqwtE4XCiaZryPJUhqRpge5wyl12pAXJbtb6FhB/fWayHWi7Sgf8R8LZw7f0dV6r
zkERMtr1U9UYCJQEOPYNJQtO5cphcLm0TdQ8sCbi+06WrkdDagDR5gM3OzH2rl5Z6ywWxrpxQ+Mg
u3Bc0T+mADPGoVVDSkpehvR/omETZG+NBx/UN8tc0i7GtBRpARFuHP6HuTJI130XWvcGEpX2PXfi
HVxK8nM3+OsMfHlfAXGTrHk46OcpLOA+Ai8DMuOg0Hj5SQy2+zjw1DqUwPfbGGkhvkQjSi+gL3og
kPtpH8DznGcP8WBuiii4A6jj+EXnAi/jozQB2Gsk9yKX4HNSmFpFnuSIYkcvCiNFlg8pmiDI5xlO
AC+UidJXEAeapRmCvUQ3Qc+IUDb1qDGaeliXTYGY8asCEYp/2M3GyfArqpg7r0Rmf1tztnVPkTuE
Z7LyZYHkPpIvDWDktB1wvJ6syG1QbYKwo4XUZ4Gy/x549D7b5w2SyT09ad1rVIzZhvd1ua4j7l6p
SfBDv06aed9PpTguculX7NTp3ZlENJ16aa7j28U6AwHR+NrUPW5soqp0TwuRmmPYuZuseHupAIQK
L2icPwAaBLS0BiKo81DJ7KA1EX+a3M0i6/EWKPqqPXOVjsPLLLqiPnK7GARaBISeuGtXPWK/ByQW
BiuLV8MJV++j2Cc2nhs7BKFnAJJe+Onbmy0bpG0NjD1HJcvWcPDFp5ix8mPua2uS65MV78awzHel
ml/jAK4Fef8xi3LtmHYmkGaVXNhhCEwDEO6BW8UC1KleeEUMjAKzBhdQOgEwvMjG4sra3AV9l0Ca
b+WYXzjnwI6us+//Pwum1jD/WKMZ7psKaWDEMZvwGjnwKSq3kGKjWGatYHp2BOdbXY10J/31X+IE
/wh56jjTm0IHsKdp2gDIfRfyLDPLBCgiTx5baW4z5KivjCEfPtpaYG3DtAi3HJmNHwuJGJEPooc9
aTsL1Dd1yvByqrS+X30uAAl5JWUxGWt/DPrHYur9JzsLvFncSxzb4/JGUyY8Ts+5NoC2uHT6Bwfn
HlSvgIE9qSx4mgd2xMM0fKSmsqpu5Zc8Ab0kZK4VGUA2mWYLmiSQTL/ScKfZj4E7rDtWgrP4zxNS
y5DihUzbcbso6MADR3kh14u6phcGOi71U5BtpgDHGiIpeEdc8EJsMPKbZbJyt5hQbyE4oGkk61s7
2mujcVxs35khzvubN8EZzRseJC8LL3Zv+RREtXVEK/YAX0b1z7IRXXOi29G2NKLpirr06RoyPAst
Oyy2th618SbUip/gLYlx64XJYjcNAMay6vFspL5YNb3ub8A0XOMoqLHsPCLYMLU9olzAjTtTY4XO
Aw4+is0i4KtIoXrg7OwcNZfrOzPJT2PRahZI7oDQAY9T5oPOBzY9QX2QNGcIBHnvDcagyMw9SWnC
AO+67DIbhA4yuiBh8GuOUrInq7LSJxfcYIMelA8kKlr8xBDoz44dgCGegsoBBR4Qlc3eCW9MNSX4
JuA6rptVPwzhjZqgz6ObFjn3xRT5gHFiuQMq4S48Irn4+Z0ZyjM0ELC013//OYr3CTaGpdsmaLZs
ZCwa5j9+jTYPgwlgaM29U2kfmiHpTq3RdCepGuqlAHL0Ah0Uf6QdhNGdFru/yZa5rpXUJx/U0qL4
AXI548Pg1P7ldQQaNx8cT9mPSpUGkk6NslqOnqWyQOiob7R4WoxOZ27pUI73eWBIDPz7lJS4Z6Lk
Yl+0zLxa8ZgAWDpD2sDoD845GCuxkerigRmGQglZBuNpaWZhxAJ9lbASBI++DYJRX0suqNDl96BU
+JHrPbsvgMjjtaZTnlGmjjiS2YcfOsMAbIUs/Z/hF+Aw6D/LrC29uBrHJ92qo62MDeSzZ5nzX9JF
7HeY4sgTEYIL5uocDliGnKg/gZE58m6QD9aV9y8ROz3X9UfZsS9UIgpe8Wf8UtgTx+cAWUCH2t0s
7J/+zSAG2tPdqJvVGRkn+PuZSOkKFcIQQQERKBDKwZIVEhea7SKrHKEfgJV2y2wg9eQAaDlVUQwo
OR0PNERmilOjuOFouGjhBsfjjo2ezdoG/Apv8BcduDcPWchLb4FSRADGXiOl0dwsMq0vvplNVZ1I
5Dd1gBc8QKSGeIq5SMs4gbndhpsfPV+fIGxfx4u6ls1DmIf9zg6b5r+mrL1Dr3YYfuco3RSWjjxk
pK29Y7+ZxgJQZkBvegRye3tGTBl10aY8uMgvRpp20Z9tVD+2Ho1FnKNbWPh1hRbQ+xYj6iHDoz/P
No6aOU837T2ysuSBRot8mTtvQKs2PmoI3u9Kyy7m1Hu9zrIHGkfAAQ8WOs4vUfjuU6qzcZvxajrq
muvcmYgDrkFz53+RKchwpGH/iGFq6QPKoCtn3CIV+cVUB4/POjMT/wvL6k3vZ/YP1LJEPNOV/0Cs
F2DTpPPjm7uZgUoV/Qb1ch7jt68saUhYpmmHg/6LZUeAp4uVr7l3L87ErgzTjZbHJRjXkUpADTfC
S4Gw/R2NbD51gGGwi9kiVEkIFb6V7ywKzS9W8VhmxeovWtoBjuCkAH7lP1anuYWlgANtJwFO7wcL
hJDJKgD939E1A7xaamHwIPQmeEiyQGzi2py80AVQIRKSTukEaHY/ylE6pIaOguAvhmCq5/GbLl6u
o2hdgzwEfL7FkcwHwK2ye+rOTTTIlZsARIGGrffvjxLT+MfDRN2VOCrhhIFsfHA1vbs/9alTSJAF
lI8WK5yjzwsLMF4jWydhk6PCKzGu1LSsmM65a29DpMVdZzPcg/1dkU2NZ8ZdkWwGEffrjqMuiqb4
fvsyGcXSOaCiZLtfFiSt2ggVNv/YKEjgeXmdTpNoM5DSNR4Na/tb3NbdmerTqI4NaVvFKUGCG4mo
eVOwx3IrJ+1S84YK1mScU0BetW9mmFMMxjLTiFdcIdqYIJhH3rfqog7PPhaqoZ5jK4Ab0mQ60Mb1
0HmjnQjPxjVL+9gQSA5NnKU0fSSonGXNZCo+BDHKj5FzUlyoGQdXUc1ZzdbXQy2eNUgcDsAs6u7J
pCXjQSChmcalHvxEmpO/s7Vu10c8BZkWyuUb1cxJT6rSXimbOAJZkZIbhQ/fXAMwTDyIpo3w3WlH
yTdIdGq9fpDyQsPMiVdwwLpPA7gU7k2478CqiYwdvP4csx6QuWRFa2i91Oc1Ypm8XWOaklXSmO5T
KVCvPiOHmwPYsGtFJEUNUUWVaVhvQp4jgqsUC32UXTUjKFoV99RCO8W4b618XwIkG3XCm7FC4tnQ
2sh+ptnl69rvFqMhTYnVVu9WtWgrsnnT1NZGpEgzKW3AvtMnLkf/OepS8xpwzfiIGyD9WYAtwu+C
WoIpSOU1TToO57q0+Bqh8uyqNaGER9H5Ekxd/sz9FNW/Zdk86WA2hGuxT25hrGlbXcTyjHorfgiZ
kxx6oO1dUpxMtmCNCe7NrqjW6ZQ3H6yyNbwhT+ovCRNPDUjgfwYNyA9TxJe9wfWBq9lGv9wK1SBF
fI4Ad3SivIssDhAWqlF6MmdZgIjI8vADiw+UicFF5dy32YYGNCHqOrmHiyGGPzBtHqgB6v13vFqZ
ySUeRLHrinFcE99saDkRijnluCZy2tJo3g5zoxZbw42yXef38skvwW8Bb+h3P3c+46BtPfGi8nds
cJL9nwZ9+QzMWPNUOyNStHRRF3dI8owuZvztjSgcw+JuACCNZ7UoAuPxty4IUPAw6nl8GcdvpI/B
PoC/jSlndAjcF1wJwor5LqLKZ0O6WdD4t3K+V7yp44UCaNsvs5b7DE1CBNECOcAESLtEm7YR/FyI
8oII2AOQa37mwGI620CAqhDKOyakSJQNafHKGGxKM7bxsoF0CHjKsgHMcag7oXlT0zn6hbpOA/Jh
X7e2wkKOXqjZ+occf1q83zn5r41ry+xXN5Qx0s3y6UPcmahJMLPskvLSAf16rG1ZZqE4CX9wgLqb
qIevZbUligejRukU7844eqDqYCGFqHFDWtes4is2ILay7sp+wzJQa6ECVgdElEJ7XZpJIbPSEN7q
yYtAirNG8uP0YvjXOW/0b7q0iN3Wv6QpeoDYp79QhDyB7g60PSc9lWB0NrUwPWl+BxwMJaSGZDJs
arGibkVd8JpdQWxS487qAqWpan8R+eqouZGxzRMN0EMOyLfPTb7SCtlkeJVSstkolOjKoQxQyNd4
yBFRGtLP8x0n0g4ZspFHO5Pntxq3KOEjy4EkpfjfY6KVT6n9Z19ODk7vgSKGd2vzqDEj2ju6QDkY
wAuAl5umVemROo3znYyj7ugwJAN4TuFk8HOwZI2KOvPiqKpN5C0JPPrUWG9B8KtHITzmcqh3eWF2
pzRo12nfOiNqipFdPHfDUr3Vu8iinscxGSC3H4XgpZZ7vs1yD66XcGWOYX9tUT1zpZ7OwYgxcQQZ
aeji0WSjbiH/FTgoDyI7gJuAvifn460ba3acTcgaxZBboKoOoH/6vR7JtfEGyrLxbhE3GR5hVfk9
so3uze5GjeRpJJGBymgIPNYklUdn0jgNyzsrKm4UO6ZTaxtmjyyu7cscee6ZvQFzyrihYSEAe12H
1Y1MadKrPYlSU9gbfxQDyK8RjSZ7tb5NXK5mWjwC5/5l7eR17TlybcgCb9qWXX0ztNhYjWzsVqGr
DXDxooKemj7ojhN8kZd5BF6cO7tGUbUyoBJ5rcjtHRCTK6QR/Z70nxaqisy90Kz+90J4nbXXJtwt
m9YP9mwYOMp6ZT1DWyqR3+T8QqiWhImpRGXlWhdttH7gZoerU0iYsa7tHGVJRrTCn+uZY7VpTeSe
zweDMsH7bYpQDB0WqKmkDpYJv5pFxHtAcoXOspJgItlq3SQcjxV+dklYsaWVlvmpWrNSdjPXA62H
QMK2sU2t2IB+7GXLZR6ZqKVolfmEQsvQpb2zU0tNfvChL6w7Ny67k0jaTdXmAMstRpAApgY4UHlX
uAC5Q9nyyYx94IVTd5bSJBqrmcMAmN1Z8WbSyyrMOehIUjnx0MD5HtilHvNTZ9dbXR/i4PF7rBs9
ckokiu+uCcO7IvIsxW4Whrw9D5kFBswy+ZAavD2OKrk3a3RkCY/g5+6daU4BLl8Th1MHL/L4PWtz
zvCiiFm9DyTrzovI4QDBM1vxldKIrREgByg1M5qVqznVlrYxch1HIjAneq2OJ0iDXJIz9Vpb9ri4
XG6dTk88UnCjx/Ga1HPXKnBjs2KUU5FQtj2YBWx9X6tllrWo9042Wo3c+mrpCJCJiCDEPWCTLOAu
bUzUVJ6c3M1uQjBcGLwR36M+2aR/WtiF3+ynsQrPOkBLPdPIxI8yePRjX343EzMHDHxs4k5Uolg6
yCyANTrioY55D9IK0341RYV1joDatnERwna9sKnEWvJtPMrm21AJufYbFlzAORDduWXhrMxgzL7/
YQBaGABU2Oz6kgMUd8LA3SKZPiPQDcLwOvxRWKXYlqY2mJ/KMPkBWjixdTgiKmtTmHI9FqjHImPf
twCb9zqPDGmUKdLwgRjHadwtXbVilopx28ebKRYjAJiy6Ua9LPgBBN3ySgNqEDwDCJGo5S5QVrOp
2yX7PozxKFDTp3aYbqPtyht/WJYicxa1PbLxJrlfLJ1IJLscecU4eKTgXtAB3A9ABIAJqQ2qtqsR
BUVBiocChe7QRcOA4nmkAQhFPk4NXCsvvcl10tJbNO/U3cRu6k19905Ow/dzl1WX9Ujmu6hqM5KC
rbRcXHB/QUku3sl8zzKYvgr7CvCugPIEeOwwCUCO5/DB0RgVleEdUspwmlbmgzDNmwxx21dL0Iia
ZZl5WT2RL8u0pmajcAJITbrChu8AK1YrfDHif2j+GDmAZrEVEhnxRqD0a7akkZonOvk4yK7bh6pi
CNcH8CPVA2nFeIlr4Ov7HVLmSEEy0lKjqcqiBJHbddNU7WpZ4J1dHmQcoUvRr5e5ywKdU4LYNf9k
JxIJ7n5u7CUvsgfe69kDss1XgBdIbyQChax5iltgWofcK2N7A34n51ojlPGo0kN22QSvlm2Cdrs2
o/AR77sb22qcK4kWC5pAstc1Fou8b17WeLWgNf62C1n86y5li5CRUfQlMHP04k604bOFvMg9jToE
2QFXqBRAm5kVNRNgQmgNZ1tMrb6ywYazfnMsmY8jskl1ECtxtp4PJqDg8QonirPobqpjZxeEzS40
AGIy7AsrXiNg6G+0jAfPiLJvEzAxfwAuLB6/uaWpH1n47IeVuRpyfzh1o51/KmLwFSh5H8QlCNqC
eJ7Opgn1pXXvXoHibN8Lp/1Ay2ZwUW852C52NOt1F2FY4KDNHdCiqN07szVX0x+7kJx2weF5Y7ju
AakBz1PWJg9+FyUAvna1TYsj7JqGs2IKAb+iD+BZUyYo9LhZfeieG+c7CKD4jaRDmxhgicyeQyQw
wq/3us48HoK09cKq1A9239gbzUWeRiLDW6YJ9pQ3bXS0nazd4O6af43ZgBuJHzyPg94hjOVPu9Y3
rc+IX3lkoDd9tQFYan5Mi7Z94m52z2M/A1e6Na0QgSgvWsAGfMdbCcgjKEYNBNaTo1u3yAWYp9Ul
G7OAl6GaZP71z8tgcKhtSK4uQ/m4z1nf91vLCY5x2k9XgX/bI3f7Zp0Dimg3D3s9PEUJlx4NQXDn
4730MRQxfyBJHVvArMiq5kBDiQK2PVw8/YqGZRJZ9zgxziMSjVzEHlz+yNPhHu/75M5UDfW09sfo
Bv6ZBni/fRGj8Di50wbg6469dVjkZEaN7HSgIds9+MiU7bv5GjDFVpHs3PWiWOy0DO/sowac8WVl
pMkPyFVgoP8QtvFr2Wgx0fB7PI4SFRR0daE96vPH0dIqvIt2i2UEFLuL9GcY+XzM5QGQ3SAfB3Vt
uFrGlvUdRHQNsMSKUsPbmpYKtu20tsbrloK55d0A1jpWW2sSUmPF0mFbF2fupIg3qMdDxjleWz9q
gb/pg2L84gsLB0klF3/IAwdyspcm3PXDCM+OmgRU1PGLsMcBwQo5HJy8mRcj+TLpdZMcZ7dTysdq
F6m8ecssD5Lb7NwFyL8n0eDLaoMTY7OOVKo+yfqwqu6GAPf5eALmKcmicmRIlDDceSUyFlmPt+Qx
SrzEcRh4V9Wqao8wGdh5nqYWlVFebZDVhT3UVVDj1np1B7BjBI8h4sE04euD/LtQ720QH3U/AZ+E
EATv3PvWth8LO0JtVyimrVmKcqdNsMqKFqFCiyHXYAIFVdRc3ASMUHT/llk27NshL1ZsZIgbIFPp
EjUiuaM7+XttOJbvtR2gJ1aIpyhwtd8rV9I9W3mRnt2+bTZsAoZXp4idRsX4RL0of278ILy20fAi
rjqUFi+mZBWkY7BJJyFWrdvoYD0cI5CBo0Ko93Cvv7fwWrW3FV2422RTtBsYnBGOBZ+gsntjLKLp
uWlze5vifeFEzDtFIEDQ2cGvcOABW3Pi5CEWnTfdTot/gJqIbeFQ6s6hQKNXBdvqdhvgTRd+eFIM
Y+M389jxsyZfJ7b1Mc6qcUdThgggzMGhFC0X68z6Dpy3Hli+3Lwzwep+x8QoT32a4m5hgKJXus4e
72L9rVHNgG/YLtRtEBGrISkQysrxcuktEuq58Ph6LAmN3aLAsv3eZXg62Li57oDxgcKeIV2zXIAD
MI9iD78mGYNsed1ETph4KLZgk0whQaYxkliAz4UQ99op+jTwkkzsarsxftZJeR5ct/iRltZ91WnO
t2LIP1s5WMSKWvy0+jr/YjOkLTSd6eLbCNTjOhjlCjFrf9u7TfzkALOLnKI0mpBvJJEb+eFVR/7T
ZfSqU5b/27w6ijxb5vKEcBOwg6cQ2RkSLimA9oFnRdU6hzhorarMDi5TbvokTzr3RQ5QufA/yh2Q
aizrcEt7vw6tzwIXlLBDvNOs6EqJg3xsY/xUoytlJAo1+lMXuMGVAFbJUo2WeQlLrpSNaIw8vild
OvTmmQGPaTUBjW41aiz5VCd97qHIuP6G2/UpSSNwirThBuzKqBmdUM7cFRn7nrmoPrSm6jOeeuVK
03j/iFJ/uMZS0Mz30YPJGudzUg/uSsvS8mZadQ4ejHE8NKnT3qEmm6/jJp4+Fn7+08Zz5xfKFP2w
+8Wb7BdO6u3HznfFGvWT2V1wj687Xr4Gbt70KNJWWWHYn6Q9flU3619yxMMnRJQgTdr7ibcmsNN5
tRKgDXiYurrbxpabncFv5uP9w3y7Drdi8cnN+9d1WDdgnQreGCYA2jFFzbQPW6QogwdXPAd9n4K0
Fr1YyYKhdJ4X7dL7d7t32v+4HtkhPRVpGJ1dbxzLAQhv4abICkL+SOCzt8NFS5kndc1ftDRctFo1
ouIycfxVNIHd8QC/fX2saiDm0ekXSb7AmU/wtUfYf5daDSqwVAOH/wdk6monGo1JJO7t9hIMiYYb
shrYRnsRzXSaRwpLLgOw+kFGKCB8MydgbBPUGqLcahYpCl2kK9rOVtNI0XXphxZAdW+Wi8SZtqM5
tR10SJQHZoq6uAY8GQcGKCbPHJh11Z8DfM+uDgPhBwkcO+0Odc+/1XGHVHuStTm+fwjmj+sslFqy
iZzi1wgg/8PQ1H6yeVlDTHEkvNf5s+kytdeQk2lPzQGfKDlRYynHuU3u9ACEmicaL+opsOFo9wFc
z6bC3JNiscsb6Ryl6ZF4Nn1nsaxEvWV1WuSdrOutGu6RprvZYbUmBwy+1JEX18HwFCHvZ+t2cXUM
LCe/IrYiVuk0NF9DrVqTByZrOKDixNQ/FUmEMss4XxEmEsJjRYL89N8YS1UeIHJo1fasJogk0jYt
T87UawMFo7SMw4gdc4Q4UAnNPucVcEioF5jlSy9Svb4Y2GfqLVrQQbPP7+yWVfKoPIID94cA+vAq
Q04OXsc1PHvJO+OTQ8cKQm3V9poxO3RmLw+CJ0hPDRBwFQyM5WODIvYiA3wpV0OSWaVlgwb1A0kq
oOTOYr2qASQ1gUSZFD2i8hVn8kJz3BTuzNDRXtahWYMdCbUODaIuf0ImwPCk3ROrY5+K1Kt6EKJG
lWZvOiAZnrO40U56xkLAQVrjU5kjZNG5jP3U7ktFVb7MqYdUbIAOII95D25olQdS1t3kicgWBxpO
eAifJwf37FEleICP463WKUxAeIn0SvhiZtY94XnOTiAxBxdt2+A7o4YELUZNrk9vRDRJworpln5a
UMiUVdV0b0V/riVkAvyUkDFgoQDJvgY2+JQG1a2CN4dGeOGeR8Sx4OT1POKKm+FPy9cR6V4tEfFx
1rFRBHeyLm/61EZPouH1KfSBJOGG2fRFyZsiip7cPPoYOmG6G4AIeVdo8qUZWwSl4Y0FOHUfaLq3
aGxuAw4BdJarRbZM1mQEzAEeZ7OWFKgncXGiAuHzNpWJ6y3WuCe87If8x347un/sVCSxPABY4DED
fM5dbjC5ioaYb+ZhM/h31LOinu/9QH5/J6dhiedxCL/XOeBBiToJd9grxJFbbDV4h4+0xqMh7mfj
jXppdHU71HuSJOQQjya+DnKEZ2gxHbV02Es1nUzeKPCGGiTp5oXYtGzSD5RXN1PzwfN3V/DcPVIS
3kR0fRyy2gEB5xtKv1cZqIIc4HqwL9wA1AF4hE/C5vKBmsZ1gRnQd8AWfpWZVvHRSfMCTnOE2v+c
RCKDmS+TJL4HJ5nbSFlYFwhGr/ISWQL45wBObe6KWAPaSZYDTWgRAg4bkOkuqh7xdgrgtddGm5J7
I83lnoyZiF6U74aMddohKN0tyWn6vNu75ZbNI0JqI8s310EbIPxz7+IUuE1LPgAzO9AdB2ncnK81
03a3FpyZTwXIRY9lKkGMqIYG48lDAlLdAbmfCP7I+nOrue2FxX3+ZPKJr0cxvZ06+iivpakg0Jtu
SSt/dBbQCUchuydHjMY6GdJsR8NW75APaMkRLm1oTaDW3DWhcU8javT8q6/50SNSnKDHey3gEn4v
lgPpZ17s/xj7suW4cWXbL2IEB5AgX2seVZJlW7ZfGO7e3ZwngOD09WchKYvVtb373hcEkBPKlsQC
E5lrpTLqPv8umOUBf2kwDLzeTSjIAdYgqhTwm2GqGJVljUYTo3XOcIPp+qG1D1iDjPCHgmaVERi7
scFD/855AsIkno4S6RIeBec5IumVhWKbnrfFLuQiQooH7IPjKMFA5yYgDzDKAkV8Pjp8ATCdXR2/
wpTpKUvYp8QGa5LsUYODDlnIWg1cgC9qdnbDBj0oWEW95XQnrwUwMY+BhFSjnP1KxnVciGTPTBsp
3TRS23mbeYep6SfQlSqGwuFKnKYis7uTAPLTUUXucdlr3htHoWKbKCtcpSXIPyzh3uxaF6Wjp1Ct
UJOryf3i94E0plbz4j8KV9znTpT4giYRKcl2WaKUI15FAq+5YLGH4RJK8elTVPHqhE6RYp/2tbFi
EUeuUQ9p1OfPofIvtenp3oxfIgNdzPseoAErslgcQvBCo3I6OC2iKuvMQxr74I2Ki+IuLvejH3Wa
J6cw9xwfXUsAr+nt8W9bbxMVWiZGFYPz0i+PXdkzf5XjyHtSAPWh8BSPPoAfRWLlD6inpCUpClT4
n0d/fJmyDKFI5rcceRzcU++XAEUkjXOQuue29RLUc+fdnq56617gSQtI8zkXFgJP6AaGijUeN3jc
klYvyZaui4F5OTvMFrQcAzZbkBnFWEJ+xHD78XNmh+bX3kHutJMs/sq7DM3ITJnPshyMHdLd0aUq
ZXdKzK48uEBAeQKIarntpc9fcRePXIJpsO+aj90wg/5HVmTVyvPlsLOSlD33+uolrhN3b0UjLjXp
PkZVuIJ3S7UVTey0QJmsr5yPxWXWWj7IlCkCwMZxe2NU8K4NsPVYId66nHFwdrh4lbe7wcZpflR5
uIuCCde34/DN85seHIlxhwohpFbwWdSFljQjmfCCawXgXbQ+R36L8h7YzVMyHLRzVyXxwWzKT4vb
nUkh6/5coT5E4p4WiSLUl5nSrJ7NrAUnjuLxH6ZwP6dAl/+ssqA4pqJVu65tuu9WFIO8s9o0TRK8
dE1cfu5VfOE+Lp8Z2AM+JwXzkAKzqgMpixFAXmOL9sN0qNCJMcbxs1MgIK20w4c72TvtBEaOJqsP
MVLvSMKjCLdJ+dlH18Un3BD4z2nqfLUnK/sWt6m1Fyo1trRMbNTSZWVTPnX2AAyWzlkxbVahiuPs
cGSt6biOVh40+9oxdnDQS3UBwNy5w5P2uRNNh7qnzL9GBshuSFYB4PwZuN3IREpk/WlJitHA8wnQ
YD8KbTEYTXwUefrD0IWeVMwZ1Qm4SF0qG7Wn0Tvh8S/YmipBySrKe1CZGMiFlVMtGVqT4Erq2WlE
LUiwncNQxMWAZjQ0FPT3u5Sjg7xFhG6X60DFTYaLv249pNGQnPuPZd5xYITZZYdHExSpkaTnJq2a
ajVbJ96vaYas814M9Rv3U/9QgdFrk2k8Njvy1EY1yJ4neombnJ/tJNWtroLorfxqeLJ6i7oYvchW
+hd5GJGJLpCPAGVtqI3UAUg7mnwOELFWbEPgZqynIEONFPUwGYOd76eAvwBJoTlLPZCWhgfZ7EEa
/ALhtWOxnIU6lkBB9yKfXXjGTuBe8PexA/DStY+HYbUKxiE+uw6ynlM9WNtZ2FS4NwOqbpe/G9x7
zHPymy38AdAlJiD59sDXPr/LluCkvpfO0VGpGZ8pyrzm+oMsn0a2DnIS2ubOn9S0Js3sSELyDmnT
+Z+gPFN66wKJsDhF9rPTgHUqNodnf7Q98EMOTzO3KclCF0gyQFU6zzI5gkYlAeLbptVu5Pu/3PpS
sjNZkO1gcB95WI+jHRqb0RD4hncG8uTTIiJbvSu5o9vKPIODfn4m0qOPUtD05GsBx+CYBhDh9SNx
kZOSktQ0I4Vbu9PO5Uk8p6wXBfkuy8U3BUgxEoXZfipL4DY87LGEz/AkO6K8GTVRv57iswft++CW
ecrHLSiSk0uA5YM/yBha2s/KOzx8ulB6+DyLF20heAOMQdwQzl8mYT3sJMqpLq2+gpiiZLj53mG+
X0C9EPrYglBtUAScgZUYZ27gCzk9vs2PgaqgpTuLxYT8apYaa1eCNZu+vGI0ha4K8BXvaUkDfdOF
oN1aZUGGlLz+9qu4y89d2XAAafQ3L4gmsJF4xW0ZfCNFiUZshvtFRrPRkwMKxsArvSj6Li9v1pSW
2yHJQpA2YElaUtQKL3mBB6KrB48cVSsopy6/PMgnk7mXqRw3Swyjx/c7gG9f2BTVTxR2Ss5O3ec3
FtXi2vNwk4cqvIEYO7zRLFTtuMVFobEezX4qQJtovuJfPJ0Wu1o201k0wSV23ljeTgM/NRJZQLQ4
gbk0BObddRks5QIwxsoN3NLjdLYnDch0/EOEIomwcN+N48qNcCkNGNHZGYh6737k4U/qz7oHuqdl
yaQFQ7GzrWNg3aINtL50eIy7R+Z11YXWXtEaa5QvWmvU91aXRaEsA87LmtQBmghPzDHXdTQB5hc1
UeXG9WoAYncBcoihHHGrg2Kss5oqKzjQlIYgccxjKnEdqA1bI4QhTRcTmqE+7VcIp8savl70iznr
DWhS0CKi2IodyWS2vnMn6YTvDTSa609E7rPVoD8DCcfJfB5jD980ZLhsYaCcNDjQev5XRTjSWKiX
2xccBxXDbHq8vA6ed6bBMFP/lNtvpAT+ukArEP4o0cKtTaQd/ZrOutwMq13k2H+T2u3GCUBa2nLy
2bYv8QNy0qy5uHrQLybzoHBk9JO6Pz3IG9Rk35nNDlo2oIx2FXm+oreby0NMQG5dlQqzg88LdpYA
P0CDnoV3uxhsyGfg6eJNO+pPpKBhsaNlgXo19G9qvwc1yys0M42iWZOC4s2hHwwXZ7JZlgK/zzmS
JsAR+MenuotCHqQntwIFA5vJyi8sQrF1l/fjtwQN3MAOb4dTopLxm928SaPK31IALF6CXOTog4AY
6al3K44/28sEQJa19HFedoWMv4PGtgdyKfBLwoKLV17hTlbLmQKkCkAmQPOol0VRXVxej69Z1DdP
OZJSqwiMcN/zMa82WQb6UR4r81tmz+JGGMmpc8NhQ1a8cQQo81iNTteuWVuBKy/j2H+ZwhKdNV3a
AkgNA8lpyNEgebckmRniRK7fxxez/2nrNcBxFi04HfVWNNAOtNfvZF05pAc1pS//M+TDR6oG09oi
aditFgXY58pNkeP4O73WoHg6gdwgPdMguhDPWtWnZ5oBpN45eCBTJmWofpnRUoVNW6EMHsIHN5L9
zmWxSw0m350HMBAd3DqZN3mItyzRv7wLDTBDm60ZnLpeBCeajXpJM4GnIpD69HqePujJhzfBvbeJ
NNIqtRpn86AgY9vBSR0I+L82JJuH5bzV/za/0/MB0DYm4Pa3qO8HCROugVeVJt7uqK8AeLI4MxsK
bQckjVEoMM9m/W/XpY7UNg4IfMg9o56GyNIk3uRA8QJQLJ5675AbHBlsbg5HJQEk5kkXKE0g646u
rd/jTe1DMxuSxq4CEDfY4N0iH5LRAJp7KPIyzPZJMqartAVSQYRvVdRER4m/t4zq2ADC/NwGnYNm
Vhb+l5o3+ac2DlHHlI3ozRSy2yX61Xw506CaIFmP4Kyd39kXBdrPozXabM1ZkbcSZdkJ80M8aRtn
V0WVBDg+kBHBQfwNQPHhC/JdqFfJC3yhN4a1piUpOIpYgGfh+Ts3M4LZDt8AP8JmEmcyI7kcLmHb
JC+0SLORXewmvA3CQGfWVKbGPq8nAKzqXcjENJ12Y4dBOodNurpCRfdYgqzOvIXAsgEpGLoX8EPo
tn3m+dtGw/SB9ARgOU7walQA8iPRh32lDVxp3NsjiQ280xFklzrYhz1PQvFEK7K3Hfyw837eouKD
TVuMmcYI4EF/S91RItOqQnSUtP6GDZmDKqt+ss40AHfDPiMR269bo/DWi+LOUAonjTakupMuTib6
ws9OF6B7KRkByilqIC9baLq6tqJzrh1Ar1csD2o0BrmgKftQ0BK3vN4lrF9pQfaLFc3CeIh3+D0B
rLMT/jmJydjR9eFCwDJTsyzXkMTcwsPhVAcGOyy3kLPd4ldpqggOHAXCe+CNgTs6D8VHKIbReBB3
08EZmk2cBcaKMB7MZMzdC3mZ9TSskfjPkHEFshKOU5omDxTB4RkJAOBs0tSKn3kGuHNSshxkspvF
jmboXUKBxYcvHGqJ/7a2zIodMqxDtW9AynXNzPqpKIUE+l4BkDTklNCfObbb3nEA7m177cGo1P0s
aRM1y6KP2YPd+E/f3lJ4pSi7n81kgmyicEKcwE1kHgMFtjizD/6xFp5OHOUlivbIPumcNTruiNWk
5kixCtwi0spoBtxypXGxnZfcRXZwApAucHNQNZJEqPascnUktpMSWL8n5UXtaiY/0eigQOUFYy/e
FkINHZoYOHdSOLLoTTWHI+6UahrAecjxv9PI1DiiqOibQFc3X8VlGgBjVwTrIm/M7aiRnUw9kGJo
zB36Vjzgzrnvog9/MljkSwxStBNOHu/0pMHQdKelnTYvown8UlXxNe5dsafm14feWFqSYnEjmfYa
zUjuH+R37bhkx7l57VBkdaAgAW++2kKzAOnG3tmWpksUO8LRqJADkv53DXN5buvanuhILXA03DXV
0dp/7JabO+cWHc10oLJsouPcUTfbcN2fl6PVNEA3r/H67034/L/Ivnwb0EoW7ksBseQG9kMLfpM3
Vo8qwfhTTezuqBcct1Fg/V2Lgf3QE6Q+2Y/UYX8jo+t+zsxh3ICyqDzi3cH5FA+sAEgVWAlaIW7R
EA9fp9ZrdkYv9k1T12tCKaJhRi3CheA7PqyXCG/Txjlw3f+Jg0TWi2yxC8EAu7Xw1F53AQfVQRv4
u6b1yydGJOs05QysTczq3jUom0BfnrbhuuU8EUAzS9iACoO42xA3cYbH7MUDPEysOZJnLuTmTQR2
8IkWdoF2Djtq+ImW6KBRO5TX5dvKAsBO1YFLKLdk+dzUXO7aEb1zqAxA/iIygUlRg6DJtlmL6zJf
XP/9J+e5j1RAgNUCCVAARmE/wOWKxhW5o2lrEl6luOQGZH1l+5fewMUMGNzrXQGE77e6MNAUhEYe
J5PAFfZt0NwBTQXYxNxHObDkn2bSsxK8MmdUsn5SVKNgT5F/7lz5Emd29BzEKD2nmS0mdGRQKxXQ
7599PZDCRd0TAzpT0CEnuwpz7NNzUa5J6bVjhv+JJnlzgXKC+zi9BHiycWo89RLqIFxJpI7ASbtC
ofrwDLyQds+7zlj5Lmh9V0BB4re0O5Iy1Ffqkb5ANysXTFuodD3MZuQme/xAgBkBQos4kd6NG7Pb
4mtrN7ds2gPvakQXbRX8P0AtAvMRc8fCD4P5pmkGPg8Aff3wB+UjfWVUAO14Ldu0OyT6DZ8rgUEy
UDjMU71eNG6q3/Oy6kjKRU5LFgAdZ7W4gfsba6BfY5zni27eorIAb5A6JgrUPja/9yJ7V3+E30dx
/CBPdmRQo+58nxhi/hegLYEdfeGeiskObxL3ny9Z0v3M8qz5rvq+2NoC1dS0jHGTHIKboXei8mT2
Bki2tBX4NjN0wMbGLRIsX7zTxgZpmvYWHLU6YYDXe9zoW6spjoI9AabPuOptVB6N0cfRWtdhLwow
SCBTWFqXRV45DKXibSA3JKPBEBPgOxUu6a0CFeAkm/cJUJy/2OW4yj8WEw4SC1Q8aUtTHn03MC+L
vNH71AVYKRes+M4OG9oHODfYhz7ngOvw1diV7/u0zSs4i5unyEImUuOr/Exs/qq7QD77WSaPBXIV
O9Pyix8y/ZP0rYsONCscX5SL3ysNPhPpQYrCXtu+6e5JlkV2ftMWRHdDokZb4Ff23cIwI0D3tuow
TNm0ylwfPFJE/Omov7DF+DzTfiJPd42C8Yn1mkjUz0djj34etIujfHTmE2VFBKze0qh2MxeoJgRt
DfvvdDScU6ZXJP8VdpY4eP6nyfC0hEEd4XvoeWMdfwm9xPlnaJLj3Ty1QDjpJx3YcTwaDYaSXhCo
tPGlTY5tkliXWTSrVcvMCw04J8aXvjnSonYB7oJ3QXvL/SS/9OiMihOAU+IoneF6UYv0zP2YPchC
pA/OgQT+yS+rxYBkTHXmu5rWo6jbUwHKR6O3g4OcevOHAIRJEo7iR626aY2LCuc5b5LiIA0A9vpo
k79FAAPeoP0h/4bbls/WWKPRtgQTIGhr8n2PRgigLpjel0lW3g69Sua28GP+ZTRstUPrXDhrpQuQ
4dYY650RwhgXfe5W1MzckW9o4Np+dPth4wJtxs6j4urUdn5tU8bQg6qnJJxa5q8lXh43TtwUs4y0
jchgSDbKD/dgfspOpg6zxJpn2q3ndXtwCvd1UVK4duqd9yAoxQfkv1irP0cwqm5bJEduZipDECiV
1ls1lQauaTvnRkM22uqGi/TZgGwVCuKPE2c/HWkH3orMppzlW6DFlJs7YatwJWrEMjuQDaIH19xB
00RW+JuqjIZTzsvyi9MZJ+qGKcbI36B0cwAQjll+KZBGcfBKd0b7UrUJpJw2o1ME5yoOvWeJUpKV
BNbYH9EwfTOnGjUAyjSPaLpLd1Onih9Bh+p7bUCeE/7Vs6cx4jsLdaQJam+Hb+B99GfPGO+Du8TG
80F7kgF51ipVOwZsVV+iSHlVSAMNR3V9VGMRP9Pg1KhC5gAbFDKX5dZBKwdwh8E4sZjQDO8mOsFo
PeHBikhSxuV+BO04yIongCLPNpX5h5hy+9hpkEIS5U3en1svvJJo/hR56rproIdwFGT+sgsjnuHY
wERkH7wK0MRi8gxj7bW+eRZWbp0ZRxpqBeBFdGPVWkBS0nt1us3sXh0X0Wz9uJ69SUoh8jL/pDTk
PIkmEI1vUcuCAxIHUoijh8ar/fUICqz1IkPJuzzT8DuZqWFFUEJzFhEP9+gbGus5HnksQSeOFOoi
+/d4pF2Mad+HZZZO3zJ8K13qOsXTb/JyCxBFvnnBSTY9FUWwpRXJnX40ZyXJTG1GM2Wl2QkQXNvQ
HVZJvPNzELLUeJc5D1kWzzOSeVpBMzsIk2r1oP6dy4OMo6OuWtWu36yT0bLWpKaIFGviZoq3fjB9
45KzPdMQaPpx4HBbugkfQlobWrgsF2vk1zMUwKTZhuzQOeacahyif+Dt508njvtX6YT4S0C7KIDo
m+IbONFRgcmQ0goYKMDzHEVpyeh98lAGvk+nLAcld+g8Mx+F22nVd38OxrNlKe8/ZNqiWODOlPOa
zaZZHj+a2hkQgFJQQxe2k6+QG0jwVLdiYJSgBIlmNRgjtsZQGesHBfhP2dFr+GeyBWJtwVA2A187
eEOLc3idRWPSP4EmdToNgC2/24FMlx0KhVu1RUYz2iEfg8+LfPlc2MUGtO+VdNzNS7Z6+DcUMo7W
YQle7l1Tg04HgFJX3W97InAjQkYaNTwSzcKcz8pFtJiJX55kusjJ9p9hSVnngEWh2Ydyxl5aXD9C
LqLFVXtNYxidOhMVtLhHLC740kOnvoGSm0qjdfeM39Dbln2WPGnQ1Qa0BJID1+hWD+1wxR1dsEZ1
YXOOUl3gQdPHNcHe3gHn0toPubllgHpGIyJqSMhnwccl2Qyk63sqOzI33UZZZ5tfyE+gq34FApo0
OTIn/gPVLUOWrNsE2Qk6zgwoRLtElrHOUT19ms8/dBRatFwmplr5QTDbzEco+XE6oggA8TT2Tlf7
INuL5W5Ia+etBMQAiHOT5ppMtvM2IfWK6++3xJf4WaBscUVWflJH+985kRZXML9zCrWTrXeaGM7t
yu97lGb/olGQqKw8eWG1HYgQhhShpVkVSOOi8SbVmYQsaFS058j4AwYK6PvSw0ErSdWJZjTIzMCf
4bKmWaoNBZgf0ZeUTvsqSPme/GbZ3ZTMH0IW9tCeHuPO63mcoyyuUvpAhX30WPRZ7CPPH5fBpshk
+CQc+9mobQAGy9B1ViQDTjBacGqnmE1INisAVHEequG0iAZ5MgrQy6C+oA3Xk0blrWo7RM4WKHfo
Bk9B3xtF/bkhIekJujevQxmuSWXFpbuxx7h7cop+X8ZVHK1sq8ZLlhGidaye1vhLAdQbQxe5Hdo8
QXX8sx9XaNF2wYeWOWCdqSMvPIZJWJwm170ffieTaMVFJ4b1bkfLxY0UD7IApx/UYCBF9KAgt4c9
FpN5j8q+hIZr7MAOIE6pnYqTgxRkvqL1PJUxb04VDhD5igwWU1ouMm60mbkmtRmb6ft0DkJWj0Hu
rOwu2PeV4aJWgUfPwG2sjsiTRYCm1WcnLaMhc1J8EzRmvxd0ttMK36jRp5xYK4/ObK1WFI4LpLUW
0G0UAM3oyNT003SKYpZcotxAxQaulW/IW93wZm99d4U9oiDQKF7aduj2osiHkzlm+RXopNPWArLe
55R7eHaUpfsnoJLxpYaGPmb2r3YX/S1RvHtASx7KSRXHDRSaoP6c8i49zkvSgPXqZ1qOzb0sBYa1
cMvhmAb9hIsrDSoc+PLNFxVDTxnikSjBm92tzeWXyRXGuz/Jgk69ymQsTmRLA6iWJGi2nBdR8HaW
V015+vc8nO3qjM4djy1yZw4wllGpyQKAKvreQyIuj5NyEPgPffGar12aZk8mK5tTEqPzO6ml+JQJ
ELdwoMj/gdtaNFWCvDKPwq+yqdWbP2QFLhkznH5Ls1tlYL+4sMSculVYonU5c/MfJKPhzmaeNuZ3
5U6vIV7i0TUKvmrcVx1BI2B9xSt/fKg8T+5xlvXfVFfgNUNTVuN2bo1XmPBSovHv5gMKA3DMjiat
rfZZBs76dery8eRH03hyqmY8TUltdwdPr0lIA8q8faCxtreOO+W7C8qNmwLfDDBURSjcLQXiEveq
66CP8m3SMxCVKCXPpWifGsczbhZy2niVAIz0Bk0m3RantbDYisJaT2HoXcG3aaBqM8dvfAAidnzB
ytVs0o8NgPciJCUoDtlYTQjmCcDuq6J1UOegeQ/NsOu2dToma8t3wP+uB1LMNhVKr1esCeVuUS82
NBNNhE/uV+cHOS2DoS1OoveOFJNENOREAYmOcXNbN4OBBOyvfRcbmlU2avKRxkE7ozYRXW8d2z77
j8815UXfunjxFqBInEAlnuOR+zmOwmqVgt32LxQY8aRQ/0HjkQOW1VicK3R7G/l6MvFVGODlflih
1QD3f1Xvg408dDrg3BgSCDp1e9WF/FvcI1XroJ7aa5Q5ZgH2bXQyoNPjS9iDsvZkgIn0EluneTVl
1X+SJP7eBEmGrJANiqYgHW+yRptM2A3JS2ICWSpwDBPXAjLbhMqtPwOzr1vnQCn5yjwF8CkRTFfD
7bzdaITtXpW2A7xVazwMVlKfASjrHcGDFxzrvCrOqZdaB1Xlf0V2p1YAC6lOy2CWJToVgUVpbhch
fv3T6rCsaYZkyDCtaUpOD+pFxtBums/7lCxM89Wiegx0Z3o3vfOap49uS8C7Tz5PF9Xd510+6t0u
d9OU/r3kerfhncHdlGItu2RiSt7/qxbh3dZ3nnf/rN9+oCUyGqf8478/Xpn9X/jouNywbO4GDMSO
gWeb/7znSL2iB5B9Kz7xjulCTiN7GpBkeJLcAKEWgAQ3nV66Q93aG7cp8x0fQFmLx/UEDnutIn3j
pvXB6Kw/KAJrKmVvgsJip8lDuSz6MsHsq2P3JUP5UREAAmfb9+5fTMNDmDZ75lLEJ1uvjCRjuHTC
rK2KYZ/7Y4Oq5RB/aqQhm9r2nm3ck5xmBcnCrh323oTjUcUVSu8/QqvqK/ARgrS4WmLa9J6VfR+D
2ttWQkwnAQSllyoDIsxkOtGfUZKeeJLYABkAFXfEQuuIr6bmUxTxaraoxugZ57vqq/CcEtAxeYpc
l92iGoMdR450HMFgLQPBZRl1Nl4NO0GjxOCdSUlyAH8CnRYMPN012DImAP5KcrLo0gD1EHznTXis
WIkzBBtcpQHod5Rqh2t9wKSB39ZZ8TQw9l0QFfquH02W+kC7DEHyQ3a5dyWJ+DCgSGUxqd1iSrNm
AskuRZu3JKFnfl+CgO7qi2mFn/2mZk85nnxPPL41/eBfPS1ZxMCGRw14BWitO5m2J7tRzk4UgQZ0
y7GnEUC3m1Q7kYw52bd2LPMjKUkERyFK/0oLEK37pyypzrSiHSMBQDAyV05o2CvSCOdxN/pMtJs+
jsy7kSkpfn3EOA57dKsWWYaKyQhXTFOezbCdWen/UagOXAsalDOIVP0CTmNa0ACwQ6A1DYA4XGR1
C8wIy5qQCP8fcRI0n91EghynRrbhaFgBZ+uTa3nqCYnr7qkRZnu0W/6qTMe3VqSlwRJ1uc0YupTI
Du83v9SWGeA4GbvxfokVtxIXQL6fb11cqJ5BsqyxBtsgFRsrAsgmLWe8wEJDB9LaqoG0Id0ckJ7a
esYQrLR6npKUBg/fpneWd4EsswNWEZP7xZg2oNidQocWCmRzAI06P+glGRkrAI2J+VKBJA9v2vTO
TTKB4/CHKYmXF+4KuPPVpghWTv5XPKUW3ueHqjUvPAcKV16/l4BRMRg4TNwLfX+H9uCuglqone8U
mSY3cS8Ajtl2TQ2MzlE2aOSfzDPVyzd4zp8qj3+j1VxX7wT29wrlp8jysEagix4l2p/zNc1tLUiq
+M3KR/9qeWH/OZQAzHNlPh7KJjvUSOjdWIMSdDMtnm2AzgKaC4xhYMPL2M4tQI8qU3Cw4urXsXv/
hSSjOdh7IC5Na1o22iBn1ne7y5MLiWyrlBe7iN94PDnFumaKrTt7UnvSorfL2jrT5K8L34j3DlDV
5mr1QFedL6Xncx17a+LRaZTu4bEynerRlwiLHylomCMwM3+xksg9lEHy0/FRXpNplmPeg6fbqoHG
SstEy4Q7rvsiq5+HYgCJc+dWR0A8OWAogZJkRQNiyDathiOABQ0c2Yd4lau8OdHQJ+p95sqhypGL
/LVebNIP68VF4eyEbIbWPKgXmyWC7/r1aRpSeztyVh79KkQL0mi26wjXe/E6btB6fLeWQhZ7lfct
ACq0fllX/ShemKzlyxIDiDPiRTpNhrMh6A+NHIQZypu+AKgZudjOnwD6x8ofyVR8AilS+1rklriw
QuPvaTk+1t8GiDxfojJInwTOsCuStx6ulHK8ydxAMoE3gkahvhtN6T9G/BzQHRX0VzP3jJfGjn6y
uC8v/34GsXCv+viOh/t8z8Odvm96DmePTBWWpzElvFx9GoTEdRnnxqnWw2CzsFzNa4WWSDRF7Ipg
NE4kYmiJLleP69ln1s3z0c0A4P3hRrO88+E762krZbFhif/gMkejTcn7cU0a8vnv3Sl636ifICto
dwa4J3ZRKKKV4SsLyL3Aen2fFmUdXUlKgwoqYxcw9jURNm5qGND6zhYQPaMrTVuvgmdcpMF+KtIn
cslrFYmX2bvGdfPodbu50Kprjn7hDOABKlC18mtFdVlIlP5wVVLgZbOwtgApqA5OJMZvgxKnWlTm
K+CzqlsX44+A5GQmPsxGQ55s9K284jh0b+bY2ZqZJlLA9BTNGPpSgqa+MP2wTXXRbawHowcwvZaD
u1QebFS+A8ACv/lVBnZzx+fRqqXSGVoDSzxazX8oy5rM6S/Dsut3H1qSgmQorYpW9Le0xKZYtCRF
U4Brcez/su2x27lI2r0mQlUvGVIFneMBiyTuW3PjAplwRyR0mdZaRY/SywTaVGvJN+K4Vcua9uza
TfTqOFlyGAfQ2dIytO0IVQjyXLUevtS1xTDG6sB7u16TkmS8S54K1zGuJEKvi3vAtxfYSihkz9YD
elGswirXNS+HN5Rc2dtIoWE2qq3hDSTVuKLIU/XEPORH8Muzrabo6KC+6BsaHfOdnQ7lKRCJeAGk
3ISfKn4l/v8s8siLD6M0zEuJ4opMjsW3FJiMW7vu0OqU+vKCBiqxRdtx95ZU5gvToMp+Xs2miSXj
bTnk96Z4Zs+mtQZV1qYKYMKjo95Q52ztPE/08TopR7Z+XMdDhZbguD4ZOJytgV5uv9hj5O0jm08A
rPAztKcXxQaQ+dl3XEBca4+zvzpACDe2an7YI2Pr2q2S59RwgoOSrjpYicbvivxuLdH8/zP3/Z0Q
bXHwkCLZRAK9HrHtxmCpKa366OXFgWSu7qmimaNntDSpA4uENHhd9IcDyoAdmZBoQFEBoPOBwAsC
OzRcAYfvqPTznXBqhtD8JaNf/2VNajIkGXA6M/C0+v414QpJxW3nmgDB60P9K9DmN5B2Oq+Arz/a
+m86SnlzqIx6QklCMHxD8QC6ffrkzoxpszD5hxkYLVCGOCbbCF+ch9EEyEzicP6Fs8o9eDZSn5NZ
+V8SQPfiv2QYNkDw8L+0Rm7tcTYMN81o+V/MFuw2qq7klnzNLDN3ruy8LfmWkUC7BQiGdqQtKhxD
ZFOAZlD7uh6OtgEKcvekRaeetxl7oCLTUgQArPRM1J3lQVdvndo11m3a4nqVJbpYQd+02pb5a1pP
hW7m1ReulWGB4Tw0DmROhrPPozutU91Bl6J7BlecQGdPdVl0/jEkjlPucK8Sr0ZdNE0KR6J56G5N
QvTfyBWRXRHkkVP2u852rRutwKGo9g2oKtbZMABuUmvbD+2gtWA7De4osqqk2zUDuJwWf0dbIN+M
59JH9Nzxo1eZ9ff+/9yfCLcSlri7Gj2CfmXuUZ+o3uKuRLEOcEVwRzm1b01+daNQfi2aabwVg/GT
pC0DpI+demxDS3TppgBsS73j7JNMn4ZOhc9TKb3PDOjTFDkL+DpuI1llx8IFiYNm8Clr8T5UMsVt
GwdH06LAeyBgumhtdC1Avsh8sKt3y4LH2WUxpyWZLLKocUGBluNINAr2nTrBChscBWkRlnta+r76
VCkNfuj27rO2oq6yANjDd1axJ2erMfbdZ9DjzLHIyk+RGEiCYPz2YfURa9AdarQjWdHyv63IufTj
/6Psyrrb1Ln2L2IthBhvMZ7txHHSTDesNm2ZBGIe9Ou/h+2eOM3p27O+Gxba2hJuagPaeobbcYIt
3gzbv37R6Ov1p1ifA3XL6wwOTu/fSvqSXr6vFGzoq3vtdz2nQykRzxaa9pKZCC7AbYCV4AAiwj2Q
4mfg1/lRxrq6h0oAln9xbgfU2SrHOvWFCuIOnFfwQzsdGrF4DlPvEAPRh+VWtBjiGfTBswrYMQGL
zXkqC9LygQJnYE3JVWZZh9weXi5TzZdtysw8Wnbxvy976ZwzOmzWfLi0U7jw5Js07fKPoCvMl+8l
pOStMut2NPRPn6Ev1QvlO/O87/98dyiTGxkZ227mYYyN0+3prJmbf48NMYRM8IIJGvM87P819k/X
KBv8DsosL5afLm4TXYSGVO4IgKXWgofqpHhtctrkhDpZfEYR4D43XftZwbAS23GqXI/ShSxPVWRY
2np8lTm4hepYnJ7pANwxrO7NJN20SQoQSFPFOw6B/2NpqvhcxzAhNOHrXM8tCqEKhDVhFprQGcck
Iuk10PrKJPCiTZHaUOm0+mptDqnzVvbtD4mtjucpbyS2xdzpXvPwOQpRVLe8tcZ1DHLNfmCgc44K
TJIW+Jgb18aDoxNtfm4srJm7vHYe01GHKweL0m9q9A41vDQi/7+uJ0Op7pM8yZZtUtVBYnVQYJ7h
BmGjcNujUzhmvEGHU6w82yn3dKA4nfEi/ifv2k1nznv2Za6GJ+OyhPYIdsDMBZOxONkG7OsjuE9s
gOkrT13BjUVXyeYVDo9bPO28H7JSh6o2xxfbwcZSPEbw50N5ZqurAQbRehyt66FYYcMeTuDzgc2k
kd7SjGXWtQ7em37rUFnyCgFAB3tY/8TrIQwPv88RzkXI2GvLYCji8SigFHCc5jNXwDSu7Mzv2CE3
h4BilBJ7TK114XwXQ5jCYu19WFOiJmI1M+ECQ+cM6uv6CmnX2T1gKWliutY1nowTCLXX2edPQimF
w0Azev88NKKga19neB+WhTV0s7DsnYBhxoXmj+FNQ2nt3ie4zJfpbrGo8UqxiFw4dem2+VS2EBDV
Uys8Of1Q3kbgRVCL4vjWhifDGlYeg/kP9N4czceKJQGWzzC2lEcHG/e1BddhhdI2BXJEkVcrLBic
xTUnGSa1HZWWQjcLV6MOA67vRy/0VpcWzW84hc/Ssb2li9PHqET8ZKUq2l/S3GbamDqMYrIBtoJ+
74TipjDPDNRHfEeijwdtLLad26n9p7ibgXJWphzvV/OAwup0KCQ4pQhk70EP5H0WmhRoLntVR4nt
Xzsg1Des2zw0j4oBHa0KM70RujkcY5lpi7TN+Dfd/O6Zdfha20wunTrM9xAMMWAfmxr+NDDjG6C6
h7TprUcx8nwdQhsNu1WFfNB5/xLPM0ithnLzKODZMqbDFtx6COS3vXiGQv66nKqfWJScORSSTknV
mae0t8eFagy1iuYmxcaRTWuhUAjpR8s8UbLGqv5YpdmaWtwCYJcNHLKzog93oD79Okwet4qZQBXu
qMd876amUU/ROpnM06dhAPr+j1lUAmY9GIm4yofTy2QF9rxR2fptKPWMNIhO8zG6S7H3vKI8ncsf
rhLjMgqnfgd6Ur9z5gOcLrE0oFPYaOCU+lM6pSxqUz+dXYdfcq7d1+wPPZc5P1zpemUa+flC1+no
zObqB/xv7RDau4lpL6/k3wtfeGiF6VvY1b30FDOT+ANpODO96HjNuTCJKRizEtzh/91/vRCd0Rz8
/TrXXqag1mrCSGFRtSBblBO+fTBLj7dCsnTNUz1/dDzIWEVp/vbXjElT4pIxlfUXE4+gTZV5EA2Y
mv6VOd7ZcPv+Po3acO9BBzsAJKR/5ap5bEzdPUcVltqOVVsLipeZeJ2atDrDLdI9NLY2LmgeZTff
peXwuyyE5H0B099LnEkLitl5Ie4mpl5Abcp9KHnWOzo472d/ijmF2eH7M+dkWfn2H5VAZv+rEGja
rmGCmgv/cXyyT27NKVhHXjh13h3eBtqDVzfpEV5D6ZHOIGD16ywHNlTAmXZD8f+ZZsg3MdWQs5un
EDpvBt/NjRS60JhIirrZtRX2G+bWNf5pNgaS9Vo27OclDaacg08p12HMTvWgKKC7+anj2qQzNn97
81jpyw+fBeZWxQJguDJwR6Ncc1Drg4vVgIwA8hjnB7rRjmcB/86KWXs6sEgbtrlWLhlcXi4hYdXw
16beLLdyCJG8d8kkavcJCz44r4u2GPBNeTdhj2UXrwumPai+/OjLXoXmOrZYsqvxXgIBIG5Vx1bT
NSCE5aVFoVEDGyso8VYHLnD9A0/5bi3gt3ek3qbTIUhJbQ6jIZgpw0jsMuEos3qdphDgCKfybWrz
8rYXuXzacCcqnzI87m7T0HgbBiWfzLaItjYk3GF6hc6KGyCL9kW8pWbN/4O7yZzPFEADVQHD1nWG
A6BHn7fGvVHPuwQA0DsBRV6/a7rWBqKwSHeWbn4ps1S/vcSAWorXYyUh9pdAwXvZxpkeOKnNgoIl
w9bNwIEFm8AU08KC3u4JLqv2bYJbbxEy1DV64Ec0bcTWz9xJB6nx5MTDAYKNPXjb73EeAoQjUtx5
KKZiGHz72PNp/HxKqs01sS5zfgg5X4f5fA0bTEpfZgaUQvAqDxRH8RhFCc6kKx+hfZ0ucghFP8ax
h20xZ2we8eb13eN1QDrKl4pUn5eBBUgQ3AxRpaKOcY7BjU9barR7gU3BMjCNGuY9VLUa6vjXGEon
zeVr7NM84KxpS8oDOsVa9HZeLe0iH4+VBAi4c8IqwKbvcPxwkMN4aVIKinNVYM4jKIXGqgFb+37b
sl8zeE5mDx/moYGQePptYK/j9bSeJw8bLVpoHsubZF1hkQHdCAhAoMoT+gOXkKIC1PJWw1oBh9Hb
mNgRpDgdKB6XcgK9WN8KQ3NN3w2L5MCY9yNmJnglWpluzMzQoWpY6zcSq+IbVyZ8H6Zq9SlOzdDE
PxF63X1AA+jQzkPpLDIYmOV6uNcHcPjgkpKA2RiH0JmNJw2Wj9JdxcBM+oVToDkfcjgcqdlKQTte
onT6oQvVPOiiJwAhUHBIjcmXA5hyGqDM56aC/wWE9MYdIKvs3Ls90CAT1FebTOWLuoWEfeOBEH9p
26JatGbUn2jsMKJ4WEHS3q+qDJuUwqj/Azro/OthYhjQYdU5wIOubbjWp4cJ6gHQ8Shy62RN0wid
3B6mOAdy/PTCtgkMIG5RMYfqhawNC2arRYrXSSheUKw3o1UBmCkQ/3zC4HTstwzbU1uyjCTrypZz
Dim48Y2sJSlOZyBEQ0RQD2O4xCmboyIIsxCoWkNehUGzcVWlw7cPiikXIRWSYHFnMjqd0eEirnJt
X3MKrH0hFAtgXaKlJzW7wSWadmMkVXZicytCi/oMq+VfNBuEhkRPL31zqzFNa+06qVpome3hHqUN
sK6uAc3I63RZ2+b4UBSO4eMO2H6VVnVQHSqm0B+GPU/S/4SOxRMvYHwS6ti7xKtQd9ZYmK3UWGoH
ltTp5u9vBuZn3q9hGLbr2rYH6i8cp5xP/5fQMQHvqw37u8LusJ3jx2MIikDPlqGbdrBaEM42j7wa
1pFFfStKrgJm5eLRszThe15Tfmdut+jh2hL5HKK5ckymr7GUtm/Uo30fMdSb2aR/cxy4EOluCti9
53EIhqYdbjvTYB/w82mqICtifCsiuTNtWQJQ6uT24ZIEKf0eMo2oP2qD91Um5lJkQr5EHcfjPm3D
nWdozQl7qYDpaaiRl9nYBxesfT2z9lGHGQ9VvPoAv+fO49//itz49yPNdEyuozpvOTr4cp/o0140
RqquzeSuSaFQ1VQQdu2c8RzKHMBrK2pvvaEb941Qb5Pdvlm2yX9C2VlCniBP31o3Sp/KEEvv0Gyy
26HSvY2d6+FmdJv0VnfLMbDhCPs0YCj+3J7vQBlnE+rum2YZ3QuLPUgStLG3rWrHeO69VWfL7kUM
Mt56fdUtKSsT45d2MAReeAyYsBrwQcpHe7yJzBi1fKkr8B6SMii8snjIYeF5U5bdXTN4+QNPx/yh
cvVlO2rRHbVsoQsUenm37eYMD7fktYPKTkADNCVh9CKbO5qMBjjWDMGGRhP8U3DfnrFKuiXrmxzk
KbD3+QVLRNgiFpdFMEhX/4Acog4NSlXzADdZTxNud7ZlZXd4M8juMqEHI57+8FNzx2hRZdkpFUCJ
U6fouuwuj+B/oRuo0WCZhhTNS0PfAGlunc7dlGM7PSiFoZeteKOmCNUKhU2V0J39CZBDlzNcCNK4
Hu8Wl3lcvHNtwlhCl2vOoQtOeh3uoHPyfPk0sWrLY5PXIBt24+mXaHmWuRuzrLDdUUu8iXQG9MSZ
Fd6Uc4tC18OfYpex78NABwv3tivCPU90fSVtzfFTYXhfEtkvzLKEWtvo8q0OnaWghd/yczIB1CPB
lj9SWhlDEWiOx7nOt7CqwFciH3dXCBABhC5YH9MB5trQhq/Ua41Da6+cMMnAcC+fZGJ8d/DWd1d0
8EhnpuwWxDqd4xwIvD/F8zb6Yzx04N7A4Fa/IDFT0jbVeQKfjCi7veioQm0JHLe+nNkPeCPzp6z2
Nip2JdgPc5tkU7UcWBsTDkiXmBPHEmXzOglAb/0O8yntuRj4Ab6K8oemqRsIPA/PeSog02u1AMM1
boyXfKtdFUmlP0SjkfmQLsaC0TBeu2Rwvniik34d9t7b4CbBSI5EVRPDGyzxvkYeYM4qn7IHgWLk
sg6lcWz1BmKrfThuPM9NblNg/QN3sOU2d+rnvACQEQbc9j6dFQzpjGJuJEHcHXQOHPU/HXZulKhI
zUMup5RJ7Q/zTHC9tye7xF32PbGuAMgElmWR0qImnpdAdRNiqUOndGgLGABm0gbbVK+LOGh08wk6
se0qUcrajZ1r7ZJK2DtqZhIGbVgn/dNONYZ2PyddMt/HxNRDwWs3NVurRRmueWlY4W3YvBgJlfWW
1XlxS2uR74kI86cEJbNbz4NIyJxhDBxG7EkzBrSY4Zk7BYCWa5eVjovxUALKf42fbLNAUW8sb0OZ
oUZ+NG14KvU720jgihKB204HU7cYcNRV9KudzSypopQIUn/5KfM68lP3tYOmoOZ1WiXDafH3J5Fn
/utJxF2giea3M8ij6Ib36YHuQSwcu99pfxcnUQUSQGVDWQZO998gchJUs3HMyIuHNne8J1VlU5Aq
S4MxorHGAywCVR8H061eJTSOto4wfoUobjVgUjXGUASfOkRXRjsUjc6f4i5Md25hqxSMHiwyaI42
0Zc8NjYAwGCZJ8EPCiHm8gz/7241AAO1pmbmjE8ea7yTydPuXDj6TezV1XMfAzWgRK6W1KziuvVd
AMJvjC7qv+DWCQd4pDVwFtpNXQZ1xMmqnqsRPPysLO099VrposSr7VPbxR1kZON1n+ILXASJO96l
SZquR2OCOQskDPR9mvc3KZT3TjkMyC+HDoZmvs26YVPZUnh+zgZvC/ncb5RyicWO+erWZQLBmDkl
g0XlBgSm1hfzXNcJhdUdnUpmG+bqD0lvA6YVa+fENutjm5UC6BfhvGgJKrelA00L1Lqnuyy1vnIj
dl8ikLUCBwyx3aBwO3KhZFIp5bxANMtauWG7AvxkWNgGBIT6CHpC7Xygs0iA8WIz1a8/dVAy9fbY
CVrTiE8TgDWU+3maoAztmmybGOqmndmX+BuzQzfLVlDzctaXNtDpulxeY9TRzHl0RodRjOPGgGNL
s8wgLnweUlWd8bYnt6EHS1+3myAuOnZDv6j13Fhf2lbeL9wCLniUDdBrv5H5CQqA8DQDLhfSuw4H
pqSNiz2LamtzafatKQ81KgfQ8Z2TqE1nXijA9XEruHA51SzzO3dfMmPWqU1Vxsr3ONOWYSyG59Fy
1gTwyRQzsBDs47uqSvudSvXa7z2IouDlAv+DqebcQPKeoWKDMgEscZJv7ijWsQAUHvue9boBmGbj
jYV4lLU6UILqoxxkc/jDXkcmepTeg9OG9WeERVDP45+saZ6LXoTPoehraCta/Fw7kB8EaKE/8tat
t7obiS3qiubRzBVfttDguO8dKBdaQ1W9JKhHVD0WHdx7GJQxrSWQRluAFAOrU8VzHQHwosp6WoMt
2Txn2Lq0XL372oPeE+iS5Xs9rhlgUKi31nn3dZSK+zoAo6h5RP0Cz1+8p82orTYtYyNwzTG98WrI
7QJPvUt64RV7UM3aGuUA6kuaKjKC1hxPjgsosxVDagKWZZqHXYwkxz6WdqtgrPy1hwHhYuBGd9MY
EFlvcqBtQQozvjradCpCQ3sQIIhueyWLlaV5+quTHjSrMb6mLiAgYbsoABOEChF+VxfZfqdPo2Vt
iMaPIQXSnahH9DAZfrXDOt1ncYP8vijsDVcMtCw8fhcDVh4DDL/WWLuquXDrNLsJbuTNdz2GcqYG
NdpFx7IW6hudsO+pHwsxpHZ2fmpUHvk5dkbtMcHGcWpZD3qhvpfCFXAQE/YDgH8jNv3dbHvpxE7v
EigTbwlTGfuBcTffFk09LLw52Uo0eVQjw5MOLcess7MNOQEaSSHgQ/5+JdfD3Z7m0v/XlWi2BMqm
/+tKlwQByND7vwnGTt8t8FIEt/WVUcKr1JwPGqCKl7MQ8puQSp3bdLi0r0kKVMgP6XJadFOTfIjQ
qA9ZEAldXBTD0tp6sIGpXMrZzhdLG7AMsuixrZxo93tcJFz7MuKN7U/xBtqjO17GxZLV0Ru+opof
2xWcJ9wQs4bas2yxzvOaZDykcxzKkHAcbpIXaDFNf4rHUz+eGyC+Lvkdli8Mm6aA1+mxGS1yvJP7
iQ6AaQfTWYj7GJFYMZOhHkRtNnTdoRsKPNzoNCKnk3YU4M7KckUxXmTiV7dQNiax6gSK1MnHcZcO
SqdDzcN6WcHMCCxyeKdQ7JJDViiXK+Yq/grH7mx9+SyUWaMGi4uBLbIumvB8gQrhydRE4B3VBCyi
GB3EDEO6Nj/ERLKOBq3Z5jBfgdbjayPTGms1r3l2YYeksEgELaYyb3Dnkz7FzTbnS9eo0k2u1+2z
VztYUaNa1rZNf8JO/FdUzNtnaQB3ETIzXNGgqlfPYpxseOAa5ZlN9m3ZNQnw/22xkqlQezq46TBt
BvwkqBVX2MrNuhzo7RHmy4AVlwhQFMpGaLsD/zWQgkXlQW+q17LgMoiCLm+ga0/z4Sleri0AE6fB
L1zxyhQrb61mYNg+hDcSpAF4tOyhMrsQepHDMBLd1wOWcB7Wak0JO53GjJaR7FmQtmUPCYXGipYD
uLsLCT3YIJz3JTOgONeVWxxc4FTMpQeP1x2H84q5pG6Q0UBv0j5He1FGD5RAA9zRQbknV+0ybD1r
rTtNf6c75k+4AYyvQkT1Qp+09kgaE11Ry2AAMiawY7e+nUbntbI67REIvmTnNrDMoGYL9v0ScANw
IWCU+NhxyAaE0gSTf062lLjtvSK/m1TifYEFrjUn0YRFZL1Siya09MJeUNPA/v5lQmpqJcTb4E3t
06QUmieVYMzcjWPvfSnMG7ry759y8PDWRpN++pTUhP1o+uFT6hxEEsAeLxOaIAdXZfT0+6dMYhUu
siTv4ZKE5XlatG9DJtSKVuy0xqc4nf1HbKw+D72Oxz0XPjmWhR0DT07QjACyvWMVkI7dCGLOFJl7
UY0xMED/9GpimE3/8lQLFmbRly+DY5vbqgmdoMrq6iXtyp+Aw+BpnEzTKS3DHxpEfV/KTngBXgz5
lpob3Bp/De3DFOvTeSiWAz+tTownyE8NW0i9lhv8AdjuelDAIO/KqrfsJQXxk4Q+Pp3GrS5rGCL9
k88YIEJhi7Ko3iccAgnNwtOgmweHWSBNCl+i9Lt3Z2uXrMHP4IC7P7TYR51Fq0iAjlJNXrEeC6e+
BaOw2EDsE9+JGEbBPnbpm9uyyqvNIKBpEc/U/VEJ9MjRajdAy2e/gjSaslOQ1nAzTv1LIk0xDo6C
dEAM09QBxa0yM+5EUVZPQzcABQuz6MRm9jLVTbGFx8uHeKqAtgJ8Q2ztOa6whsWid3oVc5zyOzup
doDCuD4pi7bARyeGxrekR3oVG51wu8Mu/Cwj8p5CeqQ8g7A9Fy3eHHywdqD0HkC4mq2BKLcDN2Vu
gHeh9tTGvD2BBtkcZ1m80EtgSE8dbgujhTpn+kbwBpKACRN14DQwsUzG8tDmMscTaj7tyxZ6NDb2
6ChmTgW6K/xZgw+ZcTgdQNtWG+qWygY7YR78Obt3RbdAIbgIosLBFaj/wykNouFMQghgMr6ZWmsB
bzZNC1NN3YaayplKMK8t3admIW3sQLivtmO150/5eJu27vXe+ZUf52OyANi/wu6Ugl37VniTuo0y
U4MicXwruaduKUQH1wTI1gX/w7/GKEUZNkA9EOEKqOM6DHfH0MfX1ltdY/k86ViwLx0kSXfXmdpR
6rcGZCvg0B3dXCeqE9s9JCiNX0N0FjlcwGmbf79OTXHLRl1TsbpdUFMlQPrB0Au342m0psss1EMX
5P0MXWjNbkMxmos+YTklWwciq4fr9K6eazcxVl/vfxbKFDbEiRJz+vCXoqk1eOqssROpIMQBzqZe
R94uzQXASSAYfLUV2/ZDAtNGKEYtuiZS35NSS3yuQR2CObAodgAAOsUuCAlDo0HcDnsPh8Zoq1Vs
YLNEukO1kFWiXvSOn6tmGiLs4/pgACXQerGhMJGW9jMYihMEBJh116fSWNmDA6fdsoc71Fi2aw2w
lNNYZ0lQYKnFSnNc5z08bExjSJlPp82Yr21PyP2HWDbnTBCh1svC3FNaPSs9URxl73Klw48Bq0q1
8FwoDmMDafLzstFemLBew7FlbyptdtKZVOSjEIH6U2XCtDn62ULmAJo1fbwLoQP+FvbFq4eF22sL
NT2g4GPjpgb3UJ9Jvo5WlEBVJJ3fEkWXghmV25l+o2Wq2jkVuMTWfOikbv3H3qDJ/yUrYkFPxLYh
yGs6Hix/P+2ExK2ZpkxV/SnTUVQyZrp52UGpIpQVNPg6PXPXXZFs4pb3+7bq4GN17Q6Fijm2RRt2
wEorgP0gBJGbcgjGVO/v48EW54m9YInd33dh0d+3qMMsrDrrN9RkbLT2RuNBc2butaERfw/5UchR
xt6RRmWydFdpoz+iLp76FJJFnp8N65kadJ2pGT/OGuNOEAgG8nQseHWQbVu1foP3wIOLwsKBztK5
x8uzc2pl4ZpalzwaQm3Kc4byVcZ9jS+FNq1KAcG2EgvNF4ObAG6I5gmbH92uyfUJZXqXvUTa9Gax
WtzxKq5uJ4W1lDl07CUdB76o4QiwB51QfMl4saF5aFodMNJ12H9xit1gZJpapQoa7VNqFgdNQ+m+
hit6AxUkdqQYHQq8j+KLO/MV5+TLOOqhwYXkWuPPo4vM62CfOU9bpoWzUQ5sPicxwuIQpY1Jtp2P
aoB20urO2ssI/4vU4ebfIgUErpE08YoXFt96Zsrv/zCwYdzaW1OLYmXJh1dvePMSz7cqldwQvLaa
xdohw+FtBgeY0CvkljqgZwq1QuGiRv2OxaWO3yehTtvrws+T1NzK9tLNXjneK0cwbZ46BZA1nv1Y
f8/P8jnez/Fhjru/xa/5UMz5kG8Mpv5UKtSkNUdoS9F7l3mu+TS/nZsxPnaObUDLKvMgMot1HlsT
ZJQsh62ID36xLZ97YnOYtsT1ztoeAqAdR+UvOpixWz41YzytRsGNbRGX8TmPeOMno5W/vWd4DtgG
lBFi3XkuGETrKQPqUgcUQf4yh+RpEI3ikIaes6UXIEBu4WM5vx/lY/EIkKmzHZjWx8u5Kea0kRye
31M+xMgU+n3YxfrZxcJhGeK2D5cFy4qz4OKtBqPQMkiBjV1G5L0mtCq/rcwzEcPJaq1LxvwUzmnx
nCba0TpCjCkCST/1JojwtNPNJL1Wu68KO9qAqufhZVCV2s79/WC6zhHktGZ9jZsF9GkgnxWBQgs6
3M6uBIQPm11czyxSEuaMvJl5OtNPbRIBpSC16cyVx2Hq7SOsf0LOsptaWfwmxaMJAhxeZAaOUWcB
BekANSL0wH/F6uvsJkoh3kFxbLVBy2MeIHi/6bsEV3/fNaQlBJu4hX0cbAvX/uWcwrml5dhnHZzl
35ccUwk5x7oHBzNmYgaKT3UXKK7b2GlLKgsCiWhXWg+DRyPUfCAiIWULoXhwGPvRV67mLo1MwpqJ
2tTVT1N9pDPcC7u9642LhHqpA1rNv3qpCRj7ubbDvRtnQHcl8w9/PhS8n4ko4aAvAGMOAwpyWyY3
fenhkPoDnmq4/1vCT1IzqxeQ/IH6IBb75J/ClFmAPCXbNTV1gGz2Bn6CfgzPkXPIj2Eo2hoaJ+CA
Xg+oJVZBEVrZItLeu1vRgidaKbwcUya1L2fKnOco8getj+q1B3m53YS9diZREnRg+RHxgz61xqEY
EmC66BS1BxnIiqmFAW9gIOGv/bXkxqECVNIvw15ffuiHPNM/46VIzk48FZsP3TTwQxubJv4A7ea9
sAhsP18CzFDj8mHoivD+6naRZ2KT6H3qy6fsIdS6dgb75dMIapb0D8H+S7Q0ijpaTA2ASZzbhg8p
bXZLB6534TGtTb8dS+MSonjmGNG2yvFqdu2o5xS7beRSSbDdXF2ZNuBDCDqFx/xk6iHANM8MkHvl
/333zHE+w2RtF4b0cGY2bNvU2WeY7CjszGgAfDiBhw3CBSwdbznwKZvBcge899qw4imUF2Rmkz7m
HvaiBfTPfkQwsAP29ufUd08ms6Nng0UiGDrcASMeZwuRoZJtTq04prP25MghnN14j/rotjfd6OBH
OYetwUyBbJ/kipo0KPnxSyOz2VYA9n6ZnGrfJsI51di2vLaoL+6h5zv3SZfFK7xUAZg6c8Lp4DXG
C14L+m3Cpb0L23zcozoG9W0wilFi7qCJb0NfL2Nt+l3KH4Bol9/YaHpwTyinm0R5E8gMfFoCLqg9
4ft86D03/a5FNTBamv3Q8elhsuNivAPXYNhabIK8ZQJkUOjmDBBUpR+8wtMPn5qQDVL/AWgyPgOa
TNtxGSrp3AY8wDRIl+mDv0TIRnzF8V7xMIKTB5lodoiHARr+fBhXnafAUxmT6kVv+TIqdPbF7iZx
gJvRsNB6pDkzckIAInOcPB0EXwy3SrV1xtyovulRjXfZEfQNZ+RBb/bGl9w8QGO1ecGW7A5V3/KL
NybDThQ2vJcUc//j+8kM9ukLajoOFKBglgNRB+Zx/ZOqFPyH7UiGXfTglPWSd8lD5/IEfPmivY90
vkFNx3nqoKuxMzoTAAfYLj5FEF0NWtg67Kg3cZNtUk/V/dgAp66Dp0VZtWrVZgohwvLQQZjl1HCV
HyK4dgd6osffuKN8mZvmiyOjagWEd7MdI+i6aUn1SAlSx4qOw0jsBH36PGgFtNzLMQt0PZdn7trF
uRFxtHGkLhfXGNZB6cLWe9hKzynUMfXpwjOZOBkirtex0zDYD0ImDkLxb5QgRTGBAC2Z78Ex4+C5
VWKssD87rqBSHPu4IQ2tD+WLJ8jgAgNSuPYLRJSWeO1FxV6HvLxjwHjIqif30dbB2J7jRW+qpeu1
3XbMLbGr4hEMynGXzT/MSckUXwes/ajpsLpYeVMp1iQKW0UN9KFsyA7AiMp+hNqbhQf00wSdwL2B
f2w4Zt8cD5any5gDmhrOupiJHb4NXlac46I5JQySPBYEQ/yyzPSHRmlu0Mupvq1B2FhrsePtOpWo
fVQN5drJk/zEMm0fGYAtRHWVHoYp6HSrP3R2MxzoDND3X2cUA+kKlT7TgHi1l7cgC0Lv++/3TTgt
/+t76eInN3MMdNw4/wUjbEbRTlLm8QN2pfN9ISzj6PBuU5KVFDWnFHJPcQjnqLBI+TFv2k0+5s1d
Bu3D2yiSCwCn+5PM3XEppdmfogz/Z3RGsQ+9jQ0zuLp3F62Re/dCtktzBoJAsH46KDin+8bcbCAp
sG6AmFxRb9dM5aJyoCpFvZPe7fPczM9gIWC/cwJoM8zZrkkMdlObdnwvsiHblLLrFzbv4vu4LqaD
XbnfwqrwRa/nX8Kutu8Eiw6o92qPmQ5z5QzG5D41hdV0awOyOUtq1qhuQ8QwUfCpRXKcDD+qQjOh
fI3WPCO8J9ydmzpCPQ4lyk93JcBu7VaGs5xT2S3piQC4XrZwLeXubfqGDc0C2Nr8yzAlzm1b218p
yx4brK7nQRZrfQWfs3bbOIOZHbHXfl+YEIyLQoikwqiv2mEdBVstZshnhp8/n2oIVugGMBkovsC6
xymfpQKGRA+HZqW7PdgPFtYme5gvWXvWJ0ALNUqW0CWAdG3IvDwOrv2yYG9GWgL7y7y+3reRtf4/
0q5suVJc2X4REcyIV/Y8eXa53C+Eq6oLgZhBTF9/lxK3ce1TfbpP3BeFMpUS2/Y2IOXKtaAIhAoa
9Vf3Y6++9wR7MzIPyiwfrnBw3lCzg9drIqjINXM2aRKFfbjGwQbumtSBxpyBP7bsxkMJvUDQkeIK
FDxFOaoTR6VCri5YAJy7leCggMhaAd0C1v3wNacKxkZEzzrAGZBHSuuLjLg84sB/2EEpIr+vQz5C
6y9mr0KmNywrjZ+oKANehOffRQact5dpIeQNSm1jY58DKMSQnnLcprcT8rwPjlchm4/v71taOQeR
2N4Ld/Mj/sr2hbepc5Glh54yBz33Auyj/Q353AjI2Aiy4XhhZht3soyv7pBUOMZLLMU32z8MP8sQ
qT+omTg/QCq0mqzefasrxwQFhz3cWjyLj/hwEEBGSvCJYnOeVEHlmaBP6e36rKumrJlsg06TOM7A
zahO9GRH1hwyIQnb55EY7kMGAUgwspnbIbPkmv5T6P/DbLOVXlfsDuW51X1L3zdot0zvWzVUDW7C
Ke0uy14N7CD1FvVZ/Yp2bdV4k/SOtZFIgr7wCvId6stoC+ytTF8rIH9Qgn6qKRng5WaR71hU1dv5
Oo4T6wevE1CyiVCH2oJ1ax1V6fSQIRVha9UTPalT+7Vk2WKAaKF6ohcnhNEIJDibs5tl6h8m9r0/
fO0BZBhghm44ZDeGqfpp29hgT6iu9r38i5NJ+ebUwJWGIklf0/CLNM9WO7krvxLl3g3BszBkdbg1
KsT0Mpm+FEYs14VjmLf9NCZ7I7fEEfKQ8QVHl2wTd2H7KAvUQEBXKH5rcJKnvl1ll4r7Mk6sZ55m
YKP6yxp1cSwyX4c2yISng8pemCAh2rAw4utYmZbaki8DE0v5Gs8TJDg6tWNfoimQpqSof4qTatj0
SFocIbAG7kXVi6quXk+Kpo6OIYhZbiGam08lpH5yBfQlyc9SM1/hB7QDrcctvZN9dOgjT3/96bN+
eh30Pj6YVdZvNF4aryKt7ieriB8bFusXEACCXUAFp3XEV85YDBccjKWPuDFA3QvxkLYdNiwtReCJ
yAE+Fye23OTlappQm9YMXzQnd3/wBvIlRhVFj0CMmruuG4uDi71WXujtSUvsFMIgkXeJEgByqEe+
Xvli5aMe+WIG6TjA0+//Rex/X1Prq89XpPW0RPuSZRzYdUV46MZjfxtDKnG2FJ2hzStzL3IoNZKP
GrCv8LWhWAUW32Brd5YSNAX0G0D9PC7BaIjD4gFVByG2iXvgIqO9KazpKWv916aHAt4/BqTA16Fk
N3BzM/mBE9sDr3CEDoobQCIMT5zNIgsvelTl6zFJ2jcNArCdliU/vBqplwlvWfd50YOnoAdGfMiK
+MnPUCXZWNy+bUPdCYy6dbDxQHIlzvLiOeeRhdulLQ5k6tDxXkP/utvFRlQ+Z2mY4OadRlsatTN3
2kFszlzTqBtCMqbDIe4qj1HIX2RuiOQPHoUl3qnxPzeMyB8OxTewmAZdmLk/oJQKpHMo3McC0MLd
ABq1A8X6AmTiHqCFV7ElELSPlYrtVKzvV972v79Ludd7UByfWw70tRyDMdd3dMXp9mkDI1sj1n0u
zcf52Ybk266EiN9WdyR/qpAdDUBSL/4ck++od6m/Q3MAv/DcLu4HAUQxctsoOKmG6j6p2mTlSa/9
zuo/5ilA6EOhTmiPTtayLUgYm6OFR8eNzSaxjts6+YN1zZ5itTG/HfFP+22IIdTDalY/GoPh7ItS
2wvDgH4DmB510IK+QXHkqTOM/CksUYLgY5u4Ib8JNc/UyN96OXI8CfPuIH3vDNJNfurDwd6A6Sq5
0+z6vTcqXx9p8V0ubHszql4UvhamhexxayYbIpHBd1cGtVeXyHQ49pOZNVDxgup43ON0lcImrst/
eL31f91TOoaP4g7orujYWlo6tmBXmFoTWS/oVxRA7wNrjAyjewTs3z1Sz/joLb4WHwFkVPn+d7FL
2DL/f/IBC4q0AdjtI1X5NCt6+qrAiWzS3ZRJ+jTmbbi98lME+eZpZM+qndRdxmmZWclTLdYJPQRB
8V8XSUlGdJb4lNE3x0/aFqSHuR6tc+TyjuWvjcAbw7FvGHL+aqBtJgd7po8YGkGBrgvC/OfFfTWL
BshHPYAwIeK52H87bwlhvQ0ScqVuTQepgolmk4CpbTXrXLsVyp+8nF/yOvsHKkZVVPXLDsnBvgh6
wK5n4WzCNFz9mm7fHiaTFXbt3eWGhePcYZ13TvYjycMI7/RRBRLI1NlD71Tsh9ApHkwXsFIQ3uMe
hZtbVmU/xqkD9519ITxb1CbYNdRSv8swdhOHnCPtCaCbVkTARKTJ+0CqQSaDBjj0ygFnCPs7pAqm
pgySTOgHUJ80YGXJGh3plsK7c4bJu7ObnO15Ddb6xVfVrXaJx2kDsK7UAoqD3trWNlPrQhY1HkSE
AnOsDKCjQ++O5qeo499MXLI1hVjqEpbUvPkS5KO4zuvuI8UJOqXGVmgGe4wirt35NQeic7BeOmF4
+14DWzuZicYnCLUO4ZHM/5yEYpw2yFP2fWEjhDjh6AnnDoVj6bnwuq+QkQAaE0w1OJ7F8U+Fd7N1
ZQPyB0y191VUqx5FR68jqCtA7jLEGzo8QrXwd0Ak/LsizLI7ZMVQWqQOlWi24tgANb5lr2u/Gi+F
owFXl5fJs4UXziBzgRDtoXsFqgP7J6v9e7cVyetkaCDiywz7DkKS9q6rsuwoWfQ+Heee79Mnr35I
RHbhOTI0ICO5N3Q/uh9iL31OhAG9Y7jjthsvyD/VwbzxtWJnV01QKaDR2otsEP+iKJRG27C9t9Qa
3V9rALQQhHHvo7zScUWQWFJfd0YHOJdCkuNdDIjsrPKKm74q8aWxq2jtAFOxm2V+UdoBJirQMytZ
Wih6ZU8D8GHBMFrtubEkislQKwaUd5pvKSTFUfkpw60KkpUIBnVC+wiNczIovooKnA6jFPcQko5w
Y7N+K5NBzOd4Xgd6Qb8B1LNKvbOp5fmK/hSeE6UraKRp537qpyf8JAf6A9e4pe1UofeOTgXVdFvv
7BteDEeCuxMivk5Upikaq/UCkOdhnEMD6oV+DRRgVayafyszbj4jsHpuv0/taygouFPTHTRHDJAP
QGPaPD9WU3aQrnx3kb9XpuAxft9uC3EbG2f7qM6YdvSLMPKsQxIQIHj6ldS1xu9tMCqRRRF2ONzr
bGhvyKLpWeyP8/Ssk92hxnYi8Fm3mZh/zGTRPfrQsL0VFWRuKm6NX0vNszYAr6Z7R9WLQXjslJdM
PhZA0d/yKoRwky2mrxnkyf42LKo4KujV9Fqthu1GOoYhvkncirJtgQqmkyOriq2SsIQyhd5HJdRg
0b22GzvmZUAT5i5eLZ6FHK15kdlHM0XZQfmOup8mke3moHxxwdY0Ou5lcsF2Dzp4tvVa5OAc1VDP
LMHh7rYFOw6G2C1+8NZCC7Edo3aVNWGyoTjkrJGLoXkAtQ8XSyUksPrgxfBTCNm20zhriZzOygO0
alrHghdQchmGXRhmPxaK8irGERGoHcHlqF79aaCXeh5UjSmOC715M+ysLO3uydOEYXL6u3Vk9KOd
wvrFMyf8n2u6cRKsrL80KJoG+KB6VYiYvfCHbOsoE+fMt3arxY9QrcghImAaQT965esyneEt8RES
PrtI5n9mwhsBTIZYaBn1QPKOmYBMqYnU6mJTj2LUDAjETVuKI78wXDcAHeW47k1kF4QWho/Ua8ta
m3v1R6/kgh+m0AWPVyTyfVI31Q5vKNYLvjg7Up10fdNcAaSvX4ZyYjdymlLwq+G82qnssyUbAdgp
y+aZ4Mu1Xrh4Ggbwy6hPf/VzLCaNmqMb7wd/uqRTaR6BrDWPfgwqsVVR53jxSAUyh1MXxjibw/js
dEIbQxRrKITjbL9P+FiGWQlI3Yb2B9HfENdOjax9APrYZrtQ4hCpzpUpeXJne1BJ1QCoH2RUXKhp
QPox98iUZgNV5rG7XPmvYm1VBsFRh7VFYcjn+axu7L1Tde1d34zFSji9BY5zET5ZTbij22grw2zH
ahlu6W7r5yYgjK58Aod+csmgDjffhZfpsdeHT6jN2PHwLWfG8IDDbOvZw3uBVqbPzWejVokujAjT
TJ//CrPs9utQsg2gI6g8ttmX1BuzewOolAccA4xQR4RsDJnUlNpYr1ibhirX2z6QD5MGF8cbQIEi
L9fb4aorY5z8J/xLoff8EUUU4hyT3zNxVJ5a7TrCWzzIcIGWOdeQNm5wDxxwzhtG5Toyo3KlKVMf
Y23X5+wWcsoIIR/F2U36i52ZLyE2wCeKoEXn5dTyV775aiAQQtEmWPGCCSW9e+RJxhM1tZjKKlhs
04p+sTVjfI8cgTzbxu70JwUv/nkFPyxWOJZ+Q24WIo+5bB+6Nm4fRgDRAz9xiiOZUveKOxsVkmRR
A12Panc1y3KbPwQHZFgPejzIAdUQsdi5SJZtgDH0giqPhXNjWP021ob+qLV1Ox6Rgd+A5qe8T9yc
PSqMPdIr1vOHZXauOVsgycZP/Nlaxv63eYWsdGSdNHCX6Gb81YOCJbe6lzYxskvKQc5A7gZQ4A3g
zlAyVlHO5D9A01DeY+fUPbiivVAUXlrZXndaDUkYRIFKJwZSgENX4X1pWy+7F1sL35dG9VX6aGrj
cBrdrL3pVQMd5BAl+NA3TqNKN/Bmrp7kHWtuCqiBVEZUHJR8obnzW6S3ai+5UMQcHEapPI2+v80n
gGHX89xq8nDYbsQQveS6CbjlAC5pQzNXqZwMXECtTdfPwdEyX3q+wscFKSTraxcve5a2w2vfLooi
Fwd0WXxf8f7RQdUyajSZv/eN0FmPRmO/9Fanr0qIkxyhK2i9lOBRpEnQTI3v884Eq+ZXF/uCvdF6
e4+hqhh/0ZGdOmy85wb/MT4yzdOEIjrljKjrVuYZgJfifc4Sfr3GbOch91d2PAwgu8EatCb1rDQD
qnOZvox8fKr5gksI9eZlqTuP153XnnTUl/npjR/a2m4hhYpVJTXRR135aODK9zG/UgXfFEEN0KoP
EUtAzelZ1h0bynIF3odoR6YJdMtdEbkFkqOtAK8QQqgxkjG/+H68R5YP1Hvki5h5MM2MnQcPX8LA
L9L3pWiVCiIZpxHl945fWFvJoW/RRTy576oqRjEsVVazGpUEBpgtVONnrn0CUmCOIL9SH7ixU/yy
1SRqyB/H36spcm4XdxdrZ7v3h/PiKnUoggJICEi7Wp4GRplD3ivh5W65rl5WzhpSgcUGFfNVtLLU
53UmYGaWtejz4r+uCRaf6BPnlMTu/fJjdYWHyqIW1V5J+xKWffpqSlQSmdxCglKZrixXOu+nL0ZZ
2KcW+K4VU/6ybVmArNBwcbDPeCqxBPnF1IpdBRGyLU3nZQ+a09J7RN2Dh42YawfkR1mhu7Ijuz+U
XRho1tDfajhOvEXpaL0Cf1C2DXsG38dACwK8wOgqbUcDTI1Sr+ytZyeHVO0SS/7YRV4E+ifnKz/E
niAm5t8s7miK5UXaSi8RH2O+rvosuKVEJ79qb8zBlBfTAtUIKuFBldp8bsjnKU15GmDWWua9ffpd
aPGbmWwEokKyarssu4ShsNRorq/aIx+yq/n0enWJK3OkubRqhpTYGlKTLtCo+OzD1LAjR63AYIOI
A4jeJCA6CWqIXWJCuXWTFuPN4tdrVByjLnDCP4Y+3BGXhEDa93p+ZiPTAw2xHFzNhnvmwJkB2T+K
aNsbqQyicQSjjWnW7hkUXu/NEGVVFySVcRhQSn6gAZo9R892V6Fepe2/EZ+4NvnWA84pyODQ3nts
aqfemChw2JCvGUobdE9zAHlyOUEzwNT0DcXbuCc/VKh8VZTlpQ7StTQSbVC0A2StWCj28QB6K1uv
U9zPgLmHcATefgGhgBYVmkzFVVONBH6vlVvyNS4wjNinYXKkJkM0BTZOU2PQy5rY5QcN0Jd2mInT
0pi/mjTgh504VY37Vcqo2S6uZZYR+kDPq7DFR72/XY5mLME0l7eQ4PEkcKONnuONp4M2DEh3up30
wCSCXQPwCZ2GynhwvOar3Gnq+ya363voM777yKQB8rX1Fow/+zr2LhMEp4+GaorQApc/damxBgF+
2diqwuPcXYbm0NyLXGz6Rva+wKeocZL1Ti1Pc3AXN/dSb7aZY6O2Bs9UfGsd6wygFw7eqFvGMag+
qli7x3t4CRqNGBglBn6wYO6q8GgEH4OLROkxAce/06UYTbAH2Zo9jh+odIialjPohkm2r00XFUbk
ozIjKkD6NYT85PIgdrIzYvfB1zg2QeNkIJteGaDBhEm9QpnU+535L6ZZQ2ZkoI7oX2RYPHa5Zexb
bNZuGOu1dW3o5TNQfriPQOzlu2nVeGqA4yvokgwV7ePwTWPAtY5OZzz1jldsDAkeXV9mJXSFGrYf
tRx8cWol1I6VzxD8Ag9gWkC0uMPDBcIM9rlsh/cGlfXmJm68MSAfjXoAu5VrsnMV2IKUI6jH1Nnq
kEBHKWDi2cDrVKxcD1KR0IMtiiwaoCWGpowR+Ovis1ODzvgeaCCQ7wNbYerrtoz0M8+i7qQ1P/Mc
FQKQR4aLGr0tEvAI862h4YYdh+W7f44TygblEaZwZNB90FgdyedA4is+0goCxyghRg+QqbdreYxb
jr0v6nD7IzbjoDxw8rbdN5BhPgKdElpQlBhVgBr7Dy855CQ940QByzJLfA/FRGNFkaBpFquRIaMt
7bwB1YRfz03XmzfthKKzKz+ZKY6hcqgYXpZ48jtO0p6ZLVdXfjIh1ogUVWw9zFYDfbmis0Hpv8Ir
fn7h2tQOUEwFkuugFWN3QiHRLbCP/S5Myu7EVEM9q0bZ7hagC/nZpnGIHtw2EvVPjh6XIfgiMYcC
acEI6c9wtSxEI5A+8UGY/tdEPwVTSkAxc5dmUiQzPHAUeWk7PwHCFntWVB3f0KNgkrzeT24Pngir
AJxJPT8cWzs11pit+hBSy2EkOzD0ZWKnjVUFkBjvHlNeTg8jvp+Zi/NC8qR4RYztBpQVyoQ0dXIG
Gv4HWYDNIKyskG7HS9JsAcM7L0gmzv6HE+q2vnYhtHQAY+Iodwb3pJODXdJSDZnU9BHIEpgKGVD1
1K/nEcUeSSODwPvwSDSUyxLLxGXtZXS5wLLCMKhbwby2+iQUM6pLLysI3fg6tJaxI5ITNsRgZsNb
1kJgcsVnQmwnFMsH8Iqq2MVFs8icuU8UbwqZH7HkpyUF/u2O70eorgQXdxE3Tzj1AY5xYhxAnNA/
DXZYPnpe+ZQTz8GHvzDG8lHFe6YDIouBo5zNRULenYpVW9q7usEWBku1oH1Cz+6FxFdaM8tgsak3
O2l8mUPmNFoV9Ip1lKJ/LEYD7jBY7+uUaoSGZ+dik5PChTUYe6aZ82da/Ncfhz7tvIwz4L9C9y3b
r1eJURnoQ12giyTw0aohkxrg6FahXumHxUW9KIEu8zyN7CaxqpNtWcW7k+xlDq1K66sFG9m7K03/
quHG/sUf/U2m586r14XWttIyY0dmDPmhrLCtl0bLoqPTonCa/KOZfpnwHvrQ6EkEPVjsKsif5wX4
H6Cdc2GeYT7wInoyncR99RgAEo16VvSGccNAunJTTpFxE7f6j9LJu32E+6AHvHVuHC3IEboqYvZJ
125R6JiP2P27uglNor9WSFZGyKf3MDs39c3kajgzU3NxdIgcFnVb1AnUiTEcsx7ncQFdF2i7EdpN
8vukGFKl3oKgEHky79xpTnyKwd98GoVZgjLlwyZnnhR4+6QuNTQ8R5KNHUW1SuJRwT/+7RrLQlaE
kzVLB3g+h+S7nLQxEDgV2wD4VqyADgnBh9yjysN1zdc+xytb2OjWRQjfGlEJzfVTDB0Niqimwr5Q
j0Ko143Z+1JkUpOX97H5JQb950PbNTclH9MLEDjJQ9mY/Ba1Rxsao6bC02ufj2AeXHzNKN1Vyznf
Lb5fFwIBdn8xcncHxBsIkQRSVwAwn/rOFye3Q+5mRV2phWMRUJfGmazFafIBnXPGzF+PmaPjIK//
3PxPPiQk3ufStPY4jiGe/R8r/ovFSqi9ZICd4UPQamB2Prp13l1ar5XbgscoGROhe9+GUgZxMoHl
vRGg53H6l6zI5dYNdROUQgbOv0xIUIIWlx/jJuqeRBjm2whKj5u4dmAWUXzC3moIaFQHW8q9D0nk
AZQVT9TErX1A1iG5o3jdqAE1M7GXpkEHrwnzao3w20OUhSDKyltw1Hio4z5NGiTmqLeYABBISL3F
8YZ8pmc2J101OSRJRRVfmtGB6rNqXChPIYf+ULIWuTly1UkaYNfqnmdfJ+oDSl2so2+VeLtjOQqx
PCM+CTB/X1LFwk+NHKBLDIqOI/kLxda/DPKcQYO98Y1VDDbDSHr8WyNGSGRGTX7L0qG65CiiW+F+
GX8DMc8mhwDxV5nneE67otuDURFIQzHeUIAXY0NEM0MgeWNfry6lKmouOgisNX36hnfR4oaPvLgZ
Vc+zivHwngoG+sfRglaC4xt0vaChUX+NM179wRfDFcmMn47+brLFI1laDFdLJDefAvuRlavImrr1
p6GwHap9UiQPhUpEU5NEAGoOjePuKDm9DFCvM+o/GavFfrYUE9o8S0/LG6vx3lpNyHkwUS4H1MlQ
pkPqvnHHEQ/NxD/mjtc8dY7lKVF6dzNWXfMEyD0IaGM+BjSa6sy9x61mNfJ0alfAYN6w0kxuw7xo
n6B2PayswWN7itWdtNtVwByvkZTEmUvFDxFguVUwNdw8kRTltc1rLz3g4B8U1tCsXOImUBG/C1nS
iO2XKGp3BT+HhS7wXG274skUlaoYgeyvKmm7LE0Gvo3ZlDhsPYEKcY5Y/NexHUi4OmHvMhtfh9+F
/Ytr2S0ykiBHgSzl5AyBPVXxxlI/FhVRLg35wI2JXww5r2LIrNQKplqBQrSSfo1gwAG+cIB0X6zX
LwLpDBAhup5/bpouPOe5g4x/k22GurehRTml4XnugtkjPJMtDKg1abF/9BnenNc0+T2cTX9CcFPs
ZpNWnIfVZOoZjFurKqqKNS3ohUZ51kE14pt9EaByR5xabLsK0DbhZm1KJzmR01AjIwWRk4ZTZ/rT
KISnKn5w+//tEp9Wm7sUG4Oae4165nQLdcYvVOpScdNHiXSVnXmba3hYNV+EqkjusuG3/t/E0zrF
xzqpNdWHCoSCoAQe1irj8IxSIwe5pH5NFNofFlFoZ+M0jxGFNlm/zgNy4mqVZZ4aS3daHU3LNZYr
qtElVl1/sT7G6NN4AIp0Zg5CcV5Wa0toMkiaygtRmldlJ6kaw8mTZNuOPDsN+pSdqMdk6qB04CMI
OqHjDjnui0sDXjMBY7aE62BgQZnsUKxZ2zeXwurkVgBTAFR31lzIR72hcZsL9Zoxqk9ajY2gmuCq
hnpeBSXheZpeTScL0hmH2besQr0aisg42UIB5dXAcg36GF7mI22vPsYyQDPomh8fo/bBcNWVEqVL
k24fjcap9D11Ler60rfBmN6W714acjstBtrMqe2jlw6AqlHXmfQa9ISgTlgNBRtWNJXVmgMlEbXK
vKDODBGgotYJIp3ndx0T2T6rRzAsjyVjsxNVv2Aa00DYAd6gO4rD7fg9jkxqaJTXoGVgJj8tflrT
ZxJrGk0+z6dRFZshy3YKJ1yaXNgf/nV9FRt2k8eCj7hlvlv66d5wjC6gqy4DH7GLf1lT4Ia9MZWS
lRaYwqw3PVXKg24YX4DcKzfdXEgfqpOBT/ao0iZDGq4BG9ngxxlPdizHE/Vmc5igCLWMaAZIhIwK
MufEtCsqxdOrGjJ/56OQ3h6fZ8rfj9irqWTSfFpORK7cgfLJl8lBlFEaaGBGwt7LvbC85oDc8M/N
J1/vRwdusTnCTqZTU0LeC/dm/Hc6lvNYZIV+B6LWDVVvU8PMQgR1nJun2dd30HnBKwoqmKE2oJFG
IuoyK6Zlqn69viCxaEI5C9BwU1WXiEeAfcNvy3hZQimuwYfFrnIMNXvd87y4zSG3tnOHWp6ZmdSH
WNThgXWadTKS1t6NBjhiOxCybgq/6O/NzgQ2IM+8Jx4zcBGyvvta2CIO8iyR38ZO3LRjb/5soZ9o
esMA3GH/xdWUpp4eZUej14fvlTZ805nXv0K/3Qpy0FeAAc3zVxyf4YGXY7tZPhZQf/LcDV41fywQ
boPoz07fPxb4nBnAhyZqmEAtc8hE7T7Yhqql780zFGLchza23IdKaeMYJSoa0wy3bSeJzPsseaIx
ikpwPrIR4NjaUAAN2NWwBsllckcRESql9ppdNCu6CPm40z+bDYpiKB7vsuw4ecAy0BoUIZWwvDtA
1Y3MVkIIMsbp6nIVJ2fROixiSAWpjzsatXnvm49Iho8oNxjBjQGOU/5ijiH24Yl+zxXLhc5Bk9qF
SLTjmQ+KDw1a8B8RtuzSFSrP/G3P0g4YdYir4Pjcr8/UKyAOB1hHpa3IRH6+mQeWOImyvH+gbTaA
J7/GB3sA/QMlbNkYhB7DFcYc3zqwq2KDcFc7CbSAUWBusrQPOp6mb27k300QVv7pVuB/nRLGgROc
1qafxX+Gnv61q1L9FdlGFlS+tJ68upvWcrLru6xiHgDyKEoTfESuCUK3B5OtRJXwPQEggVMNkjKN
X7w4yU4pd6M1+etaR75AuPbNCBUFKE2mj4T00YvQ2xiN2e5jHCZlLuRKbbCbv/oo4GxxXPhN1lO8
1gCoxv/7WNwOiROvajWQmdMJcLHpSw4CM+yV9KORguwHQBIXqdQ2v/U06zbRcveJDVX71GWrVBnk
6Wx+xnFueFs0nvPkx82D7Kegr3j+5OpRepMW5SNZUrnM0Vwjt1vf416QPfUiBiLD5eahttr8aUrT
dqejzn1NEzxRj9tkrONTOjnFTWpbPTDFTrZx8fJvrX1NFDfgXe9XqXJa2fRWsPxnI2yeySBjNSjm
x04L9LbW9yZhk5xDhVLYh1LhjuzQcvdJVbJAV0glaijeySd93+ocWKbqVBpZ8ZBNOFQZkQJ0Mm+F
qsMEUGOBYznFl0oNmZFQfKlAT2AvWpvo5t34UxYSlYcqcFIDNHo172/NeSmaRuuhFvqnr/8pDUV+
BSVF0ym8o+Fr7qdm8SFn7oKe7r+F0Nx/EfcvQhiYW3bYwJ7/Rexy2WbCYzuY7V8/6dUyVX+GGKp1
9Iy2PYHZtT1RjxrhmlD6Ug31yFeOtr9Nm+x5cV1NXQauplIcHvc4bF1WdiLQvXjGjy5OuOLuRGkH
SExQTYeGev8fX136aws8+IfKa/9jOQi6uGAXTvqN4en9qpbc/6Pr8NZTDOGf0uWQRKiLV4ba83U3
yOHWHozsgNtruU/12L3LR3mT9c1ZON0WAiSg34pLIJ8rTdEz8b0/aW4SRBzfd6k8GJujoMO1LSsQ
WVupe8rB/Q4xBuchjXj3rXLGtxE3vD/8nINzX4biAUICwzZEih7iUX81XtkVFyai+DK8XnkXk3pS
S7VVj9vYmvGWDwHN5FBmGYL3+S75bRB0rkTbGC4SEz13N+DZQ5md0PQj1Rl1+YOLDcMLaOeqs473
0xW5KYrZ7CfecN25Fs3wIrYKLVRSCFW4hmLlcN3hL75zmrZ81gaQCAg78zfIWhbPhucZOwm2iXlu
U7jvdWw0F2y/CU60E0g0qrmGj1Ol0PZw3qHmgggjxo3R/SOfcv+7bTi3kECMX4TD0+2EIsojTrsY
7q52CW4Wm303xu0Y5eK77AZ7Vbadc1M2OrTpwDW5xlnXCg/OAY9VkF/6Op47ODj175AfzG4445vF
BbEyHzx8fFPnIruhKBoMdSnUw3c4LD5NAg7op3iJgI6sf0dxWYWnsmu6+YriaDlF7X3yC/dpmcoS
t7zjyc4RDDo5OPE0cdyCbcswXTrftvHCN/XNBu9HYPVXTmqklvfDuq0c8IVCY2E9VhnuUazr8cLv
pXJ7HQk6yCfu+sZ+DkR5xLpGTc6J4mzQe17MUrf3neO46mi97Yu1w9ccldpfoc+GL6/ZSnC710qB
3HJWaSzFiUw3W/tuwb/qFvdOY1FKoC1LyBXULlhG4k4cmx4FwnieF6jPDAUok1C2auNjR+1oveWg
6V25ji9vl9iqlO+xnOfGS8ONw0yyAImHZN2kkC32Vam7CTT8cQAAWVz0sTwPrH+LIfsHcUk0Xt6+
N12kfTZplOIo5HcmDVCIqwnnEKMGd5AgHQAJXCjOnYuNMsu/ZIroOcWhLzLnqlsrEXqKSPMBRNGA
CQ+eD6anQGN+cs9DL1n7PYsu1LgCXHFrw9LLrc064M+asY12ZSXCA+8aBkQVlOwAmxSgEDTb7oSC
wCoEHQS6bBHq/mSXBTM3uofPSpPmIBr/ZKM4WyK1OiFJZph1h7II4Z0lR32YlaHS45PTt1sPmlIY
1joTGiE4InF3zAvNg2H6j4Q2xhakfag8VD7VoTQ2kp71QOJfJKpvLxQS+f14VhMsenFYgml01PCG
mtfGccGB96LCQa8AyVZiFOEnEVdCiVOcWYCCBYC6YgiqDnjSmrkr5POLU6mKL5aGfCYVYPxuGPV9
79GhJyE4U0woTlYrLMHIdpx6vF7vrvzXi2bq6p+mxXq2Tfte3OUtKL87SGCV6Gg9FLFs0A7gLz93
OPThfn7EqKHec42XDLxaXrVlnc2CGVHZ1T8TYYM1aRHqpIErSOUV8vJjbgR94y1ZBNr8tAqS+4Df
Ycth3NiTVh1xMDCcqCn/j7Mv65ITV7b+RawFAgl4TXIeKmtwudx+YXX36WaeZ379txWkS+ls97n3
fg/WkiJCIl2VBSi0Y28zGU9pbN6GUwFQWFKGmwc7DWkCxT4M1Uo1JAyqFbk5YOljr0EeSF4MZxC3
S9DwVzYVIsrJC5gojo38W4s7UI7FNiDzNMzlH+HUR2CYo/HSHSvjb1a1/ZZs+sj2ThMN+7BHXemd
eh6NgZ+pTiC5uOno/crGBpxL2e+/ilQTa9PtNqPgLW4bqF9QJQoJOPE3rZQwfXDQUNlAxLNp4sBE
5uKn+VoS48EeyVUqlB8tq6i5ODKqIaiWtULfOENqeICyQes3MZrzVPpsa/r+X2RSDWjGmrMaUo/L
CU2phRuUCwDTLhdRDjV8mDsDrQHCzgDFcnIBuqwKJhsNlSPATmoFerpuk+eVto672T7WqCs9GEPS
b1lY9XgJqU+8t9M/6wy7EbArOi9d7oqD77jdFhvB/oPZ5amRVf4UAWD9sL/9ARk5ZEA+AcMEFV5Q
w/8KGO4JQPyAOyYUMcGQmySsN6A7dU5+H7gnF/mwEw1tlMWBjfDT4yP/dxjA1qRCaAY1ADTnu8K1
TLDVjcJjBij/29jFe/cEJUHU5PAP/FcupsWi/zTu+EcLVv8vIYpTdpaZDwdItqYvqZUCpysjLO2v
DiDEP5B68D3RIlETDY1/ZEHfr4s8zN6n0tb2zDUsj4YxaBlPTcwZ2If19J0l0XiZyuA/5IRaYfrc
ODjBkjPdoI3eOlOAurHN3slU+BctNcEioIHyORH+F4585SWSdY1WOeItZEizXSuLIJ3M1Q6hkYBQ
W3qHDFRCYu49PAYhNCORiSX2tdsex9TrBaM49N1tTNBDMMA0OHx2vt9YMl0H4C+qHsNh4rifcBqI
VMCPijKtQamDZvv2lmzUiNG6Ajrin2kUhVl1LRztrgztYSEKg8aXf7fQgLc/vugYgIUmB7g8n1cR
S/JncJq72PQK/zr0cX1ahsgi+cBZVreYmvVI58oY7mZgHS+J77Pu+48pHaZvA+r+gTNNvxS1zp/m
ZAQKStqbQm822tTMYG3HcPoRFtolfwq78Tuy2f2p7HS8ZiVV8RRZPvb1WWwe05EfyG6FSQSdi8T9
aCDXeOpEDnVJo4CApKyfjbnNtlnftwtxlC45/xObs4U4qo6TQwmStld3TKq33Mh2VEfbo0QQ5FON
uxTd0hphxNrtKBWWTTeJvdi1wqOB4jO85RbZWlGoCKMZdnndffV9Cwkpok9ZKF+pa5Tgs5mArw9T
KFVAEG18pmbMCzCGt6BQSKbnkKMhM5RswcneIptwF4pqyh0KeCJktn7EMZxBXy1rmURmzsF9W7vD
k13O3bmBjpIWTe0R/HfdmUz4leDb7+BPIHZc3MBpjIzEvNPb/CuNHuKUjRy0VKL1kZe3HNlVuZ4V
jDgaJvfSVXPcLlk+wj9i1GXo8lqcfqW1l89FH1EtE9pfwAVchT6wzmWuQ9o1f470KrlAMbJ9beMp
vEzceu71FOVPsvGDodoUUd1saCgEb16zsHzmVnCbxIB3u4SCLZPqGAzRwu3d1SAz8dRwmY6nXok8
L/Rp7SdzwFEs2QPNjKGmRCGjWVTLvBDsJT91PyepFX2nkbK3Pt7+5LJ3UyhGBQ60Ll0iSQRQRpm5
u7MtXQpHgS4+jJrZ4SAdJ/4+Du2T9oDtPKqxzMT0DGw+lyHER0wI3cBryrM+GiovBf9/zgUlkY1a
t2LPANXZjHQWEksqI5Q2gB5VGheKYKISTpsG9R8oXdsoBmLloOhQTibbvzpKWUnRzCBFi3BUV6MC
bQAQc0NlpNmFodgFxF2i2dRaoh95l/evJlKHKGKNoj8CR4tXQDsjPdHg+czr8HPimBr271ERtMvE
AsXiz2bjfNG1XVw0kNYtUIIxxHYwrGncT+FuarPpOOsBjrNRitsBUS67rAn/E4lAR42htKWu1q9D
uQR0WVELGfX5ZglcjJ+LGzNYcvvGrj26lrqqisuBZkXlPv47xazjUjLHsxOD+1cHAaoTNabrA+0f
J325SWKcGNYi0XGwBEWEEycXdVkI7p1tC4LwqAU19zKk+Sg4mjVPrScGHbs+vSjLjQAcd0WexaiC
emBoT3eLuFGESchJ7Qokg/YUeHddCiejXsX9dhjn72OI00EmMWHU6yIcACobAwRltllyIJOyq2Ev
56vhr0LI9r+Io08hrwi91X9cMSuDAgfG8mrcqiOv42G8QR2pfhHZbzWqKRbSZ1Py6NPQAFsKhBFc
SJZJr3LQJNf6piwi1zUGsZPGg6AUajnDFkwOsXUg+j5qiK3P/qT0U7aHEBqixGXNSttc5neAlS9E
gCo2KXm3Tq3e3aPiG4KGxvxa48Dgout4MKamxn6D8FXogS1ykrrM2mvTRa9knzNebZKhrg9TFmgg
49+R2amGfm+3oHvKgHH5DSRspwg7hi9JYPdnfBORl6dV625YIaMWXB3kiF7m2ASyCVdDchWVOcIe
UIldRx8oelrindFvdw2kobaFXFYHTx1Ov+KvyeynqJdv0vVc4M9Z4yXoH5M6205lpK2dyc7ffKsG
QtxaBqORF29WG0L5XqusLQWEeEW8okRt31hz8UamhKWJl3eas6ehESfD2TbFbzSiJrfaGDqHc32i
JefZdA4FB+MoeYtxqJ7LAm+Qqftb7oBSeiYSlrABGT3EI8rtMrYjFKJlrAbDKstxKtGWeGtB6umF
OFZa8C8nox1eiWwlkCTEIFlVNC1ycaFP85H8ZE8S6INIIPGWbAvDi7wIA+rHUza6EG6P6xTJUl6i
oiHxZ/8EuiD/RMPWmKXUMbXkWvzCTTZarc/gjPgx52EiDZnZTjudB1/6dsJpomwgl8WRrAGMBXQa
zUaAsPhmC6wYHNqL35Sg7U5rP2iiHroWyrHIb0K7ceVqnbtussE6OniyLM2M6v5jhr1IDu4ydMlD
MW4B2szFeOe/60aQ0zA9tZQDbSHUAYiPULectQgBS62zq1WPKTCddnqZZUM9NYTOrgXCO2CXKK7s
hTmsqBuC6czR/ey4ODR/31fMP6jl1CLUA9APegNdctXjFErM8lqR88YCNz8/RD5ck+LVstSLwbA7
5pC1Zo5o51XjTjZQI4O1x7nvO424VdiXgesWTh6z8W9f4F3HTvvuFkxuB/ybNGMJrpPpgrdA0DS0
r4CSlCs6vE11fumq1Pmah9za6mHXHSiiDLoSlJ3Yy35GWPlkbe2C3UfQfhivA5c4tuzHNXQN56d8
3FHOPrWZWNu13hxoCNmmtWHNzXsVxPwiJGU32SFXI1CD74DwWO43dOhCP4T10u5aSPz/W5glV6Pp
tNrPFx3GoF0uCm7A20XVZ6PF5UUprNZwqGA60EVImnRc+UYxvcSTEYLItcQfKa/sD5u7hzZKMmTL
kQQcUxeqtp8RIgV3U5UFzpqAyjXLwUQhkNxTCOSRIUsO9V/wQEpkMzU+mM713IQqjoQ3TyNkVgY9
/qYCMvyo/oeFRpaiNrwF9R+HiPoh03XJzQfZJiGbLvHC3m7eyNKPWe5pGhgiSbRJxZNOE4UYxRLf
t8YpDNJ5n8xdK+VNzHWD/8HvffE7fVcEkCReBP3Rp38J0DJt8kKrvgUIbLgL8MC41QDgAI4EXk0O
4pwW9Kx/Fs58FE2tfTjBrG0SXhhHPS/q5zmDbiNFQHrAm7rEf4XQ6nNqxvG5NMF+RJ+Y/itaXOx6
vCA/kwkIXOgvA+GzDX0IkAU4/9/YCSppfTuzTmEHevWVGpORGpMPPhiQO2OlbNTTWjmFur+aB1kQ
jrdJ6OCBUABSg0CgsL/dsan3pBC0yARJFSE30+JDJoZvZALeVx7U2775ZBv8b+wU6j3pCi0SQ0GZ
JxTMUkjB4BUn2NJdG/IVuOerO/vduKihyhtHT/SAWG7xDbTP//GAGJh/6fjgHkvD9MA8Hj4pWJeY
khBFqLYJEgftBy5MxoEjK0BVgrTVBYTXcORW4envdXhS6k+ND12LWAzR1qjDEhTadpdccnfcBkPf
HBdb3KLyvoGA3JCAa2GxAY+dbjVshQEZM5//O+UjzkD/wQ7nmo6h66bt2kzX3UdedytsQWA1tsG1
7wFMzG2th/A6MGEZE9mmlXn/zAw0bSvAZooHh8s8W5vKtQl1MqT7R6adly75uWUBBhny3luMLsNr
+6g5eUFlyTuCCRAkQGEF/hU60A08WuMsN/HUjIcFFijCw1puDTVPywkvAWr38aSes98eepbZ57+F
DVLfOaQDHr1Nlb+NUZ5umRZqJ222fMBHyrrfVlLshIylVgJ+kAQr8io7DamxjPHaVBl7ZhME9ZL5
+1C54c5qhbnjmuv8ZlsbZH/4agobbMOsErXMEjpG+LEwfwWpi/FKFlPgVRCkwEjPyYDMgUhbEmbm
irBpgxQesbruLz4FEWgz0xK0t6NuexoOgDdkrLI6uoLzM7ri+NDYhYDM4kYM2xKd1ml00ZvOI9vo
ukhGpQnogICieaIGNdWWN4PGfwN4TMlWSPffPCi8RMrU7k4zOShad5vpkBT122LDr256ohnIofke
CsHs9eMyDmgR0iQBEiasIHyolc0edMrBU++Wt6bGxs7vGhy8whIF2JLiBBpduS9dycTeuizDQ5gA
K48X4/e4rYYj2DCcNc7Cp+/WaB/1Ri/ewWs2HKMBfICkhCTtvYs35AbH/7ta/ngdS8oZoubjiLNQ
CPvpkEhHIg0UedJbBrX/UrBhpXNfe2Uo2NDzgR381p7WdqBHnihRhbCNIxCGCLwA0elYaJQ4GDPz
2gRhRoviXFk00ToDLlRGPgSbA63Zp3OXeVqa8UMoJZnHLhrAC9G0WxpORjDvmY1fazE0/AvTp+GM
WmAgsuQQdIr5y6jpS6wWYX46dasG57qvFDCw+Ftf6v6FFqNLZWUL3S/dvlSS3pmayQ3meN3hwFfw
dYL6W68Bg8EVSIX26jCcOIFj5UgmnQ0TPjdYAk9lBtEwGcZDBtpn2RRxNZ1w1HAkU97hDje2Ubb3
Xd0LZX1NlgBipU+pcS0DY0Il4JxvwCAroF0J6QZhW/rKGFLUTgFW9+H35nwWkgjfzkFiPudgkTeA
fCw8xxzvvFx6aa4+Qh4P3PnjB37c85mYwtVcZ2ADnroWW2lGniY7VNmCeKx37Q33GU5xWkloRQ3S
vcWlKKYCyGNkz8gblFa0iwQHbUYczjs7j0BLpcX6Vz/jR1vWtego5vNCVg1Puj+ixi6qR48qYabG
2Itxyj+6NsuAgu/n7bI3ieSGhR5F1FipBhxbA9mXjdnK2ydtXUxzerKhurvnOEg7AGZ4UYU5k2A4
s6YyHEi1Y5/Ps8WrynPKIUkgsCbLeCp5QjuH+PJ0HYgYGpSFX01586BeWUU4Sg/6rc3T3Fq85OhQ
gew7QHqpWLL7Rg0iGIG6YxqqJixyC4RtuITMOh/CAjx+/ty3rPA0BvKyhqQiZDMU+ha8ReLQo6jl
3JOihLSXRj3kIPhAN7OzfsMzbV6pGJfEJdQYuDfoezINMutIgK1HSPK9mTxCqpnp4LrAiBqLt380
jTOfgRTGK6DP520e1f8Ju+zdjno8ZUUT6djgUUu1sLBpJs7j9CYBx1uX+2dHwzcgNvPx3UAZF7IK
+viOc6Vbb5a2FqDVY5swZ6sK41SdXBqMM+gwZEmdcvdmB07qUcPvUjruauu4Dza0W7iaiWJ3fBUs
tpmNCEo5MSTG5ijsN3EO+Zt0biqGejZplO5qTr6DC1PsyZRY0JtfoZo6PYe+tVZh1PNRJWDEuOBn
2VeT1W/lUNT7WJo6unmRV30LP0OW75r67lHcgHqXuuvB4pzb7AjJDnbMZK/rNJFBtQrdRnXJ34aJ
iXPH9hf+OSLtIrnKXXdZ625ZtUyR5dcgEtr28Up30yka3N7HHgvt/Z/lg0hDCDJQ+rmzp3dA/8VO
mahHDekN0dTFOw2PseEEGhAeZhAx1EBFrIG27qkZcxz+JN8bEAS9s2HonvEz+0JWHKi6B+zmA9Br
ieKjmq10EzlVuievbkO7eECBOrK5gJa77iuDGt0qxOsC9rfYFtMGedkMg7kcXE0xFAbkFpq8Ko7x
GTsPFKVA9DNPNmFc4xaUUW7Wv+bEVVL9PIQcnczc+lcWoyLSk8GtLdKVawieXMoYKGnhR4VzCHAf
wMmSSDc3BUHIXISzZGjzhgnKsMTbQaQeRONBksOhFTYbFhe4rZH7xgECRkWsBBcZqVHUH8qm88FZ
DUbebBZ1YrX4MkbJ8f06i5EWwnsuStw4Tr4nngRAXEzasbZtDQAM9MhWx9GHVlot8Iaw4zzuFjEy
y89B7PHPadZUaTmAh4i866q11Rp9W4f4Kyf1XzyXUDklXzgBotvExjQc8rzVgXCW76OqWYwsEa96
kNSQNO+alRlO5UZR9D3w7ymH4uT7VcjQAFqVILcYdSAsbDT+RTP6/DwmU7Zq5TCLQ/e5jOxdCRWo
3kv7v4CgL990PgEpbQVfoxr8/RTZTFaEc24NQs1yIoR3qg3Iimc8M2rxxYyTZs8t6Lan8TxdExEe
onECNwIge8Ml0hOAJqOo3KISFQwMsgF6K55wUIFuneBxRm6KpkY0fYyyceM9QNLgZOtIo4Jcz3j3
bfN3u2HgjODDTht5/J3FTbkG0L58cgskAiqn/agg8CuLYAWqN9BTzZ3NnFxvSHjg8QBS4HeOf5sL
Ptn7pX51jUn4+PNTl/tVjLoSNPH+vJWL1AXqdfHzgHSv3GfghL/04qEbLpnTZi/RcdHWKQNQAMzh
d79j5WYEw8upL1p+tYwp8UyzRkWklpRe24FgNZXcqihVYfupyaCkKulWZUM9amYnnpqVGtM0ZnDA
GH/M+NW0B1sZB88J+KauQTbkpwoChB4TlfUBnqNg49u5vtcgMvFRT9lXc0gMpDW04gsU1vDxm/Da
QT5gl0gCSye1wYwpe9Q0YFZajybrF47MhQqT6C4V06Wat7g7bcdGGxi+z6XuGDX1VETIiaBOJhym
Zyc6dYCMvpRQaX/5YaEBb8rmpcU5rIwhyyADp9ssGpDZzWwV89M6buy8u71VB0zuOvBkTzr3SpKx
Qz+Xp8mengxpUnYI8LK1n5fWusMuG9UDgXspWNBCNmcWYLq3zIOLt2VAyEGoSIemNHRR4YAdZGu+
t5OeL146cCWvSJObN0adV+mCtiZjIMMcSwjGG6HjLRsGIFwOVTOBpI70ozSpOg5CCH5lo2EtjcXC
F1QaQ7bg0+5CffBilaFHUco+trm7S6YEjGVyunLEXci9KWrMTePkYs8K7Vvrmyzc2n4dn5ys4Nn7
KFjtgUoRn4XGZZrm3mT7eZLsIQ5QodhV746jY9npyohAajikfrEZAwHYGPeDFei3QFo8auHBrzkA
xxyUYn4yhh9DC7FdMzD7tSOHDLeaTZEzlBzZcfgRl6Avcoowu9BQG3GrBtzrzYR29NsAKdwaEhaR
8SU0UPMPGrierYsYsM46Q/lx39uh58r8fz0a7rxv5XmATInjDaSOnQ118cGEuUSRfwklV0xZf+pa
gZ2tHMuKNpOc3yEX5mxoaXKHYKsBoquMN74Y8GJX5VNwCqEqI7zHrkMBbmoHp6VbAdh1sHH2/+tI
Zmkf7hTZhfmqBWMO3ocQ0KU8QPJz1nvNw6t4kaxbm5keSjXNU6m/Tk0IRqzZFFcBJa/vA16pkbus
ZiQ99GoLPZb2zKBUckTt8LzzsR991jNICmbBPHxoSf+nDoDXX1hHZBUgrva6jSBdFUFO0JCIATka
AJ5Uo4klKH8DRYkuS2EinNrs8RlBFCyHVC0DpRFrhVq06EA2C+ipFwdim01pXGfkn1K8EeJ0PMRz
vGhM7UjNMibX3bizgEBfLT6LCeb1Cb5tFNUig3ZS8cpG05WjgMjywUlC0BVscx+sl6lubBupFcic
uNuYIdSVZ433X39hH/zev9pBUu0SAqWGkhN0mn1+AjscP9HwzkPjOd+2GShoKCzy87fJClCp9BlP
9l/O/DG9Q2Lk7gLcGF4biBgLGyrQob4C87c4B2ZBf8CQlXJ1XoKXAkbO5x1Uc9wDG2MLymSJCI6G
lm+pCros+243VeaTMJxbYTSI7rITNcVcimJFceQmIw2pR7ZwhIQqfheYQ3XR1KPG6Xno2WOVh+t6
zMEcvHLrKV7HYxydqKmG5tZ7sPmjCE+QjsPReVWUaB/CyZ8yHehz7oNcXa5zF7jMdOv4W4GKWCk+
MDkuNBwyvNGjPO5BOtxIxnQbOuOwONStfyjjv6N4hJ6j1BpHnaZ7zbLZuMg1Mq07tnGNNyDJtoBs
e31pGr8ekdHFGER4a6vBA+3ORjHkNQen8OYIirptATH6VTtUmEj+XnPSvW2mHxQ4MWgM4yDgdwWv
HUUAWqO5y0eQgzwHRgc+I8LqqhDC5zrIvZ+opxqyLVPw97Jt2yw6gJv4AZ9EhgV4VJe+cxzdR8QT
YYmYb/8Bcp0/UfLqnKhJRXvrPdoijYO6ARXjKi7/Ofjf59Lyen/EHRwFdHL0EMsnN90EftEtdw36
C1/uDMtdgv7uM3lDMejeQgH1dtB696huBxRAoff3lqX/cEuxA+hR1SnOScEAi9w3FWEvXWEx1CLm
1oFsbpLFqHCgwm36qTo94Di5YH9CG3TaORnUJ5W4V6zrlWcg6bETMzTByBGmYm9CD++JTOEs3Evu
10dkHfrEo0UgluqVJrTYTCmKiQJoqKcnjr8bJC4RjPPy1NUQF/KC+wzSMW3/7mid9ZyZ2msgAZGG
BS2CKXFQl+hU8aaIzSDorhqHMAglHftw+LOqkPKixKMLSRYO9p32zqZyk9LeNkieKRP1Pu2UriQT
NXJtFa8m5QwJsqg+mqLnWzrPfjjUpmPrYrLns2vvHk7ayaeOuSvRhlvs7UAg//OxvIojh4sa5xVd
MDCi6GA19lf8M77ESWFt8CoRbYUcBijdBkXsUHrkbUKreTIm8AXbnfGlh2zhlwnSLDKSLKMQzxBz
dZ9octZNkTdBlvMQOq3+3BjQkKpCPIE6fdhQAWsMePDZiQNICmLP2nhtA75FX3+jctami3GKVlXQ
a5SVsEiOxVue1cdYlPpmwZQu+n0CvPCrLOQTCA1R3I7Pxy8KkRpaw+IgAKpb8fKQ6qY8z/ch0hZW
2qZNB5TlOK2/JmOo2+AvpW4XWz5IHxBZQRhu6c04MtQ2ynO3EBnBDj8ehtpZdBmUOIPSjXiwFajQ
X5cOKOnJkcuNEfWo0WljpMak7AAQxv0U8tpdKtYOCB3WdlznzsHyO0DdAga+fSmLmUtwfxmxjF9w
Sltu8TKQrCrSyiS/4AKplR632MWlg+AMTANy6lBMrrGlWYU2JatlLKResRXguGFKAOrFPic42fSq
B4o2vOqpMXORtlktPjJTwAjRv5P+HbA7cQzoxVHNE3LyMo0mQNLtL4Awom3gQ45ySzecnu4yUfxi
ZNw6ugT8vHNYul96dWln29g1+1PYBqADHrv6jRo3id5T3mcXGjWT4+ya2jc9GjIZ1iMbZZiz/UIm
CCCHm6ZCFaLWRjiIgsLzFQIMW3LOhkAuE9jCVRey8kA2uqiONDHrp22AjCMyvqE1niffFdaW9wL1
phaycm3iWEhVw5OHuZavgzaGzIMOWi9pu3NUXYdiYSOcznnpdxDuCOs12eo0wGkZ9M5twNa/QaP2
2UXd1Gs71v1LZvVvqH0pvuF5InatBr6nJJtzvCmY+NPy++pJG1v9vQgHvLpgdlG5E6R7QbZBQ+zw
sFEI5/C0DMN6FUVO+TVJJ37xR9Ru0WqBNeGsPwjyPQ3lRwBSHlq59jRvA0ugylA2eTmg+KhHqT00
38Ti0JA8wLlJikLoRuAsT4bEwjLZaok243JdFP6IrWgMo1pnbowV18fwYmcpW5YmZxbk/RYyVPaq
a+3YXqNo3XjqtOxtmgcD9wc5oqV40+SHuYg+6ELkoKUYdDcn1l0Lq9tUfhRfzBK/a0M2PkpOj2Oq
vZBpgLQ4NCwdQBxbPEvWKo56Vlf80dfGdIjAtHrtkEO+gsa7f2LAUFCAsmutO++GsAFeRsaqhWII
d3qOHxpbFUzezw8X+uPTiErgvemz+gT6xVuDHL5EGH2OqadijBHJPwfCAsqkYsmGw6n79R7iyPtg
owWCysGvDiWA0E7+scCv4izO+0NRQ11RFn9oDeebpJeQTEr9qvGSKAYBIofieAKRXslfTXOgk/UP
G8W1eNtaa3HfvFAwraXmTp/XU7b/vl4MTKSHE0yUeUEbWrA7GS0S1BLcLE/B6G9JOIsI2xZhMXLE
lrZdwqTimFLg6qH5q2apqdT72UlLGk6wH2u3PKrTxCIfIByW60iT/3zCiDemqgMfGfTYSoPtlXc5
caQxCsLvJ7OyR9kReeQ84I/YHsd6dbcmmwjsv6Fo21QgK4zdyxDZFQTKeh88PpJgIJZkAtSLSt0B
g9R0Bun3vZ2c1GRODKaAh2nKTUvRZLL5KGBa+X4LaNHnNVSwkBdXQ5NICGj8r5dHmZI24ChMRd3N
Uks9fIxfXbx1RheV0wxA858/hgq259GANuHPn/xhqD6p4SbPc1J0O7UexaqfBjnIVtBP8V/difw1
WPg10IwZDBjYujUrqwf9Yiv3j2Y0gr6UxhprLVB3Sis1d2ODopZYre50L5vMxmMWDv1QoO7fJixj
Idf2Yw1Uqcs0MtijKMMtddXF8VpXjVJyVE5ZVl+mTFaFfek02hs/w5fXzuenKp77L6bhTB6IBm18
JzGcEhSmMVZB3VAOk5Q1Z2i0RCCr0vovVuTGb0jEk48auVjdtxCzWtiQhknSNnSF+ULNLPwPHaDj
kzLFUnWbB/FVmzTzZRBV9Ryzv5XfxnsQ3lvTZ2WqW60+zK0LZshAv63MwD27xbYLBWtyHQoGF1i/
zgbHxeElPgE5LMcRK1AP9HuyQfyggrQjZRpdKJJOKJGpkPOLoDXn4FG9jLs8sk6mbyEBBoa1aqXG
ZIxYb57ccNTgSddlUTanOxOFUGPIFai3BFPQPAXW7pYvMlzXXAXFV17PLl7wCrx3AE8BDZaRjwBX
FoOxEtBm22D77pytRBTl0QEvxhaUGgGqqpiRvaXGMlufwX+pQehiDbo6kMpPEPk5h3iqnp2WOZus
k5wGmnazKW8+ZHG/osAgmMHlYJuAxAA21a8oKAa2oVxbbl+cgVynFRZvjbL4lWmNYtPRO2zv4P+i
Bz2ExeXbK73dggChkhhZYa5QqJhtjBblcss7M/n9NgoPeNN4KtPCfzZanDrWZbaMrG72n6cGt+BK
ZyjIkxHUmAaQNYaL92xlS1yGOtHKMjya5tiO+2xrY3JkQ/wXmSjW6vG150zzlpG8AvWCNtmIPmM/
vsXQXXJW6jmXjeDj7Vq8yNJjj55z9mgEnqHhXqCem/zTFk0QXOgTl+NYlXMIVzYCglxRXq9obEYG
uiPXzm4uXzBoSJ5eVktoNTNXLjCEW5FO+XMP5VaUUbX2Fke4QCtaZQ8a/20eM+M3bg6VJyKjeRWD
0WznqWjOLu/MY1mW+k6vG/0ABO7kiVHfES5nAedUGffmzNRRDQusDhQnm6tRzHcRETLg3igjaMJn
RNCIxGtnMFkrKIdgQwBcl0R+EBzE1f0IqJ9k2FLMDfkhgSJ3kbHpgxjWmp7UOtjFjJDWpsprEEcw
z4A01ckZ5lvDxwT0pWo82aw7AahNYeZn7N0sE6ftWkQapSPQupuutaBqEEXGueUQ19Sz8UgmaiBk
ALyAbDTLBiKL4koICh5Koz/e2ZYuuDyz3VAC8PuCTdvvtAPOCoidZcF0sPE95hey/ewI0iBqX0fJ
FiaDweoBjcsOv7NGR3EaH8INRAQg0GrX7YFmLptxA+jN3oViyF29J8A52EVGLRCgNvRAlmrRzoXe
Z565I+qNZw1Forben13UOJ4GI/zJFhTDmbx+6/e4SaCh3gyJSlQXWcOahpB7xC9XBVbh+1TUxbkc
7bJbu3g7WsURdHg1SbaTYjMJiaMBQmRGoF/8nMuXpVLfglVNQIraiJ6Ybdp41jnpn2W9w99G/QfK
oFtoYE58V7A2wkKg2y7xujlBDqkC87ZR7mJgqYAEBCs3eYMCRNarCSXBe+hMvUY0xE/w5qYY1GUb
YOgKrDU5XAhg7G9ABmxZADeWNFg2IBYH6g7OiBQXElPjKmTgwl7G5EoA2sywcW8hANd026DPYyho
o/HxlQf1tNUUKxp3XeULnI1k+qHTxYrcvp/i6KuWD/Slq2ZOV5+DHoQAhnllD+fU39yAhhJzKBqe
A1AhHVOCG6+dNfdgxB8Omr5Qeox+2oC/sDJ3IRAqwkn9kwEClS0LsngVhi5Q1mSsJU7hcezPACqQ
JwmQDKI5NFQONfnBtqw1mNa0Djmry/kNJVdSRaYu3tyQbbmdZMcomtwzN9qqRhEBusZCsSulBkrG
NnceiLSwftUZYt7oesugpWhG1TI/MPG61TWoHpRLUJMhEb2y7a7YUDJ/yd4viXtK9i/df/g0w/d3
+Okc/xEk39aMdJxw2ia7c20eJZ54r1AcrvxZqSG2ohYI1pGyJQde8vGTJuAxLyt0KZLGC0JEzi4i
YUF1bmbeg0MFZzaYEfgN4EZaDyCD/MNKsLnQmAHQ2z0AjvyJHv05JmAbvveTJ4esL3JJOHakO7Rt
48jInIxvyw15uWs/APTofl7x5gM76GGn7tLqPv9gcxPDG+weh2EpTpAbNoCboTLK9VAHdb4iIzX/
17EuWeXU9P9pDUNyzVEQfYRkKPfI/2Fr4mvdSamgPGiqkPd/YeuyZvLKJDYWURYSWFHTqPd/suH5
fVtv0WaRSi9ZmiHv2/IDpT9VsnTyQVdZOrzdKAeYrX4kVH+ZPKXc6qPHGivITtXdtHXyPj24Semc
bNlUQrPvml/ZogjYQFThgTfo34L/+3q9E2372m5ABP3jYiOEScaMVX8MefJaSSGkQjbUsxl4PqlX
ugzi4hazPWVDSTnUjx4C9RToz94PDmSnhtYzSFOJxpA5qQ5QMTyqpaiXgot+W3dphwJzULU3bB3J
I9mc13hfu2MGcvD8Geok3qTkoaClS+RASYZk+n28XCT6nKQWult4mQOIPKovQ2C5RDSneCyCh70B
nclPqmCRFAgrU3e+aYfRmETB+uIjHzPQR0h1sWXeXfeX88hPk/mcT9xT4mLgiOqOUFhCAfu0jlyg
+Il0nOjGF+rw2pXM5GSgZiDGcUAWe8hMUJ/MNO3/kfZly23jWrRfxCpwJl81WoNtOU7ipF9Y6SRN
gjPBGV9/FzYdQdFJn3tu3RcUsCdSskxi2HstQLYZ23HyvpOIQMdJvlhruyUyygcTvtPS/4jp5elT
UOHIWd8TxdQuk3rpXgx1AowlGs5+qRs3dvnepTE1yC8AIQlpIqDXnmgcT8zYlhP/fmdXVhYQZ7Sw
ANbo/h2VxLSdiw+EkOe+48FTC/ZTNWicEMB61AuKaDcOWDqQwgw95q/SHId/fg7iJRIWEbiAzE66
Lf5PPKcG6nsFXJ+4HjZ0c2ntx8lu+UihQBb+im5X35D+SNS7+cTLRyTzrJgspI8iKBkVSFt8n3r7
BTaQjSE7DeBYABU8b1G17GR4J6IKe9GwqZ26M0nJ0jGS/DRzoK6uSQjCGiSSg11OChQ8gx55PBVO
NIM1GVO4MBH476FJmhdH/b7KQfy+CPUUj6Z+TTF5gL9Lw+29I42b4FvXVvJsVHmzlihx3HDUeZ0m
dbabBe6AHfXrmHrU2L0A904IIGSl1A25SeV7J9PD0pvKLQhCUS55tQMXN064/A6pvR4bhm2eMq9A
mm+DpFM/D94AGFEOF5oAopCoQx5CrUh6sC6nsvy0cRwQwoFbG3M24HqSMOBRdspSCwAyvYt9dp4B
XhcHF4thSoYkxLYhkFhm+92wB632NppBUBgAIPYBDMqXm/KVUVWHaZC43020nDwYwcOhBrjdp9lG
Nl3xVZbDsaps7wdyMz9bpTl+HszM3Q6OZ50AYs4ek2FmIMIDwDVqSctlrVXhDLlCwdSMPTJRHPT6
a3J6djaxtcLyUpyT2LI2DqrmPudJ/o+FBJJ/6gbY9EB2w/f4V2uMw1vRl2KT9d3w3E2liYk/sEWF
LBIQHVWbeBrAuvcHcjAAUo+PDc6v10NiKmI+LIZR3fOLQIxcGssbF/W94kr0VRfGuKaLUMA/Xkld
RN/HcuFrABpSFLoPGi6kZMstKMNSXUSrlwiKx0zH0vdBt6p9yYRk2kRr7z4XXYirr0wr7q92/U50
ZB1vMb5+YBpqLQUFvL95kB4WitdPpS+2/Bka+mzXC938bXQsfas335YOpD8skKFBYyQU2OkVkSNG
bgkq0ZBBq0SZRtBYwDQIb2PpLrqlPwCP+h1pg/zuwEGA1IITPQ8ZcoBNeZQDKE2R/Y2iQwVi0AxW
M+xo7FJl0O82/6EmyzgMHk0VZ3EhGeo/UcJIMX+3QTZddPJBaAQKk3ApD1nqQUbUHOXzh8nCwltX
iEglbqPa2hdeX6zu60xyUQAAL/Oxc0T+NniiGZuBYWE34QTQgDrHFAcY2sv93Hww6lJDRk2BNBa6
tzhNURFFXVL3RfaBgb9mF5ko4HMVtLKlZvTUu5MZqdshKVHZAFi233duh6QzjLQdDZEo9h6Khv8/
MgeUnBuBnScsM6f3nGRA0xrHZP6bJEvKsaGU2kIARKW98YhzZM5kLSgF4lgUSMS/5jfjjD0538Sw
UzBUjDW+V1uRPwkumn04JS/BEClaFcUetXRJfSMdBxTy4j0ZGdsQUMUrPmwdpH0/JzWgOuK4KJyV
X9Vfa9SbH0hGWmqiyKo2HopNN3eKVHbTQ4E9qZU2pp5hqxql9yuYgDdOA6+pk5ep4HJLeKhGDDq3
VV6F3xl2s3Ykm1q/P/UKbZV6dzIAPcNj8QtqUCFPs4MjiXDG/rsYkWk0IxV8S2PftaO9bIc+2coc
jD73+vvx0PblTrZW/CmSbbT1zb55cMa6+QoEYVCIzACJqFh9KlEYti4Hu/kKhpARdUw2exIgmf4A
mNQPOFgMnvygmcZ5Z4xVLj9jF9Dfl7lTnFI33DBslB9oVAI7CJk2SjEXKFAfXcuvVotKCUclJA3J
cNgRYV7ksemhj/v9MiSNUTblybCyX97keBPdAFSsj/o4xJRODV7zxgfg01303MAWD11tiUx6Ttdc
TOnuZIXHo2zjYrtcRMW8Cb+46nsmo+XOlo+oLqo/ofo+UkyvD0uIxOY4X28xQTGGDvnDC4gogf3m
Ck80zEKOlO6k2pGGGlKA2A4rncJPgKunwEi1ui08vqrBh7VbbEgj0uhLI2x/p/eAqUc7vkgyx2Mq
avHsuu4Y663gm73jis/4SWkVmWvvO4W+wJ/CRuArW9UsnjYsBK+kJn8Etv/PxraNLcnvOSS1Hanv
fPWQekQmST0VVKoHwJ1cM1lqW5LhUBtJnlqt/UgWsvRVjFV8DjLXeQXDQYPUAlHvRyq/LFzzZBcl
oJBFlguVq7LFv2l4HCLzxUS2+CNLmi0q5I1q2/ZAWArjBCsWwlPwZLOoE8XMQ02hSHG0nTEgm2qF
XOUBlGJibc6JNMW3DPiTIUC6jsuzIA3k680QRFKv4KjAYZbBL4QUPDgALFxp0OAFUxiExJDe4wsv
Y/ALHYIyLB80xDH1nKL6a0CFG+ryUI/ao8Lg15INMGnRhgfpuLlby7kOu+SWNI5aDjQQ+xQlmAco
94Y3YmcNyKaJCxwRmrTbbKuNZ6sYp6NIX0nOiFABpeteCrhTZFcXMTgtxkjVTFmZscnBxrOmSqmk
EtMj9ZaSqkQowFelpmKrmzqrpfjqd28qwCJv0iZ+Xqzfl62GGOqdYYNftJHTEwAKuounGsuo6s1Q
z/3WdFD0sIotUO8B6AqZEml3oYaMIw4swNYc2oNWZP7gIC09d9QhIXzJMOYBIB4YkGc8bIjQrohq
JscBGnoKlD6SGdPcYgVs/x1yszkGQJB+SBrkSiMpaUaCWgd+0rqQK+x/AOLS66oLBz2LArYMXKOM
AMKSstUAWCxQCsAijwZAXvaTtUfxPBa0SjbFZry1GZLIbSRuPXK/8x8D8BBsfYWtMAMXVYL3wwUq
kcCfr03T+lwnOYas86r1CJyQRyPNVjNQwPkKhfjvPSUbwRV2wd86xSIRMMcdcW7GY5FjYYqxbsLJ
Ez5AnCEktUSRy8qKg2KjZX+0Djgep4CUFcc5t8A9Phvj3gJm7ycaYvY27s3BA96i0qJsdboZktae
pfhUf9fBM1XBTDdR+FGxlm0ZLDeW4KvEXFjdI9nc3VlB5c3k+MfPOXYgVgX1xbQsufS0nlYMY4A3
KgCeL39aP5CsjMAOBfbzy5/Zl3/5LysHHzhAcgwPfdH5T4Nt+08OYeSBWmHdqSHJSBsGqXhEvsWK
5NqBhiGQxtSuu7EjRey2gw24msJ8cF3+486YYo4xDiWyEQix6tJzha2fEFjf+2HmDZ5DIH5zCqRI
YrsqecLZbs5WkeqyENXZdfU54Xny5NqhMyIBGdmRtcwOJAtR9/DugHmxs3aa2d2Q0A9lZ2506ALT
szVmN+WavmNaIC3fyhjXQLcYwre7L39ZTpE2gJa+br2u0sZmm1SAwzYWCzKrFWhwUltnsAT5J3Dk
gKqNATI5QQperBrqDWbHdqXF8c+qtGZXj0/ajgExZ513dYicACjIQ2vDpDramHIeSa4D91krd2Za
DCiPslFcDDLETh3YEof2ckSihgsmAI2vdjeym+7i/SsWhUllhWoMcm6b94tU2YgTqnmeWmvdlX72
IGoD+LxpUFw61VAP8FxfozjNjzRCZXd5cZBx/WA1HCT3VzNSjFPz1Zjxouv5VFxIVIccENPKVpr1
x2j24sPyFNcltJNA7mVb+fZWvwnogU4NPd/JxOwSRzFojMvLghTl8kIZY1RfyfJd/S5UVyBzfQEa
0lXwVn+WdfCcGQYmWFYAEP5oDKvVMk5Ah/GY1bYlV5UBTqi68k4pE7BEWSogTJQ6sJoEMHV2t6Eh
KRYXux+zk1t2u9tgdB1u47h6ToTc30Sb/QF1C+E/vP6LZjI306qaZjo0/XGIm/tm/kO2NI79CD+s
4fuNiZtiE6pBHijqk/KOYSd3qr1VFmDvt6InfqreDYlqxgkcGGlX7UGqB9y4q5x6JGN2/MxwXM6Q
HBqcw7Sz1lwBy8aq6QfgzGSOKAB9jaGN09obhfCxPCcZNQOolp6FP1YPWkFRyFcrSgP5wovfXXyy
BiTjlzHKQCALWPh4043CQSYaGnDTO8BltctTy/5D2QOe79SqhmyxekR2Mo1Jw3AWsALaTbYjtTbU
Q7/y4aLH1KPG8EW/lU7cLgG1QhsvznE4/wAXjrsd/UgeqcF3P2JrVY0B+D0UgMQB4fToW+ja3JLq
j/PL4F0FU4c17WoQKOa8US9O/RJa+VNU7UTh9PDm8qRZ3O8vf2ff042RKzV+tAPaeX2MFIelvzBf
IhHnGCq+zJuxa+XTHvR9p0UW3JmTO/lQj9TU0wonA0kaTqMRF5MaYExQd5FqJ+S5o1LRsT7qpLa0
CuN1WSEbeKbEuH9PY1v0lBg3Slccy2bE7xp5ceSiE+b+mEA3UvDK9XuAi+YnAE+8zTVemMhRGc5M
sT8T0zM1RPdMPVJEgJU5imZe38n/ZEvhhsQKNqDAMVb/GvPO93o7IIUoz6gi7YweCH1ZwM/Y2R6n
HXWdKU/PbWGfwZrUPXi8HLmqdeVr1sp5I1F4AtZU5TObY4vjPGXu4ywh3YxmnAOwK0wBTGVL40WH
c0P8nsEjsuKF2ZgHZ7TNFdJcI2C7jNhfQxKfvfFrFA4s47tHUGJ+zC3bP988t+ipRG4oU7PX+sFF
PRDs+Y9LL/l046rNyLVlhY00Bdgul6WH4XLt9yvqG1kscPKIjQq8OAw8TNdNMhuPpV/eNuOYOkdP
igctd/skkisaC3d8wSqhPvzJVXSGuRFcekjv+S0mGQPRxNaB86vFzJHHsLJ99mKgROegXZfLdioo
b/rboGeB+gdsRFrAtMk9yzqi4s46TiYKBVE7iO6iKuIeGDmu3frbGUuNB78ptlbgtjbg02BEaurd
+ARTz8KTVi32qKBdxU2bhA0YqE0bdRYxCMhjLJhOjTtsAR9TIXsRTdMF5RMNr0oy1XLqkRKIXts7
OcUgJV4ki/LO3QCb2WoKeoEsU3+V2SG/JF0QfyjBSH/23PmZ8Sr5sIhk1e1nowXvgLKgxuCTxAIC
iIo4FHy34555mRPTBps0zNosqy+hOa60U2bO0WFMMyzobZFla+C01VurnQsAw/wKYvV4W6PMxz2Q
HynMxF/5VpVehmFgeJZk5TiAtlslPSKF8jwo8gADe1kPJStfaDS3eW3vSGsTq0DjtO16TNIW+9a/
XFxjGIJHO5h2NgoVD4vh4tMFvNzMwm12bRSDpaJw/YuJGv5L1aGcBhRa7ZZki6IZiwfDxTxYyyrH
SgGqkB60aAo7H/gaLgo5J/lEchJZgGgF9ZwtDrG6jA/EK3MEzp76ZbBxyvFQ6KZ9XIA8ZaVLHSyl
wWHZtCfDG7U7s998mCFjlPtcpZ0KfFdVQVodjS6zhCSNWWCJeVN+oSKQjY76y7rCXdJduyabwOr2
e92GcryNWHerwIhbZCpdAc+wRQNSbzyTCbpMK4B8bT+WFnYhfkdIoyGKql9ReBQdaFTJEXvlgLBD
HiIQ/LckzIxSPrRLDruV9y5gYGPMe53qKey84OgoqDxk0I8gm5bNIitdEIWskM+22DlNGh7Ji5o/
yEl0jUv2JNJxSbYM6YqASwSK0gm7Y9UJvIvsmZoQ2eTP/Y76ZtS9S21wYJ2CcHrShqS0hqTfA28b
2xjXCFJ5eWMv8TYxrc2dokWlGp5D6bzX0cnDwKZfDeDRE064m0fRBZvZrpJXadTId6v68UjDlgH2
txjGH4nDklcSAY0SaXCGdWuRF/IHKUH4E7+2FhJmKAZ5JaJyT1cLMhNVculQLVoDBGQABtzBzfEs
oqaJrPeelvFBJMDsQIoOydqryZ1x1UTlruYVEGiv8XRQ2TmKqJsD0dpHbif56lDaTvviqPzm9uQ0
vb3n+uc87g8Amse7gl4YqklVA0YIQIuREDzYeNdENZIcwSu/jEjhIo0Nb/2ro45TqXcUKUh2E6zV
cXGO2NjrO1NyujFaLlT4z1yAUg7UvPaRoYzimNS/elpmAmJkI8wevDzKRCuE14fFIiTNnfr/Saaj
kls2xNH/FNoEk8BoJEgirgHCwZEPnfDos1N43aEaGNsWbvvU1U19Bm/KmbBx/GCcLtcRwByXEcHo
JDGe03mBPDmLj1V1WOpggRt08gaLH0KQzJHopny2bu1vGSgim+zEsTJGkhmeczED+FRtVAca6Tcy
vYxNZ3CRit4gZe3Xm12/6K9KEt25/2tYFskD/k+N7hDFYbt35IyqINWYA+qDpGpomMbTzynJzS2N
GLYYFjkNyYwcaPg/yGInb4CoosK/X8jGmBx1HH11y8X0RAIZCARPE3J3QBkS5nkEXB/HTDazknXM
Bj8Szin8EzWz11f7sC0+aRHyGa1ks0SgrlZlJQqSZNzPGy27MR/FbHY7ug7S1jeNHWBvmgHiPeNI
zFlgSwiDRGOX3OCU3EGdaBvtQr0hjB5K268eyIJEd64kI9iT5g4qRbv80eYamrR3dyB6DxW7tvON
4Ft8e8DEkrrUlMCe8md+pkFVB/WA6lnPOy/d3hZiM5WoDtMe1LsPw0FTWWGdo83uLcwJPAV/CkWX
a1z5WinSvTass8e5H3DoKuOvNYp1+N52ZAb4QzRWMicba2DxpsKGzmOYmxOQfYNqHkEzAMfCn74K
C6l4ZK39SKllX3iJuRcJb+LQOJL9DAYvzCTWle80x1Fww3vLQadbZaE88wTPjtnt+k/SxuEkDoqj
n0D9w0ok/5nzoF25SZh/rGVQ7VoAOCPDnnX7eOIS2IlGjhIegENtwdOTA+m6sAB71IFrHBi437zK
ARQY0uXB6BALf7uMlXXkpsjTdap0U2Rt9IQ8+eiJetxIUWyFBLYdydqqdsG+WWMeVlaAFNSGi6YH
0FUh+iehAiwiimDgPGa3jCnsPGLGSBEWoY7D5y2Y9cDfrO6DLsRngKVvahHuPdbyM6jSWlCYo1jN
BOLIeeJv98tQWkFmKC3EqdPkAAF3xJJWL0F7ay6xZkzmlS9ilFGomQXNBfqq3WeYxDyTCJtZcp8x
313r6UUCdJu8bEF/q6YSZKFjkJeKkSoLGomgBBqwuoppK35BiRO0uwS4tOfm0QKKCckpdY4S46jR
tr+baQusmDOAIaGAow8HYGuB1XmH1I0e1c7clajsnYIdM+wGYFXuND7kwA3Zl7X74M3SPFLTTjKc
ljGza2QXdm1gAoCVcyApXK20PalvLJcu6UmlLakX2mMdnLTQbvBeAUZS7O9jy3sgF1s63sprgOqr
z36CuZy7sx7rgy0AGiH9kzTLqVE719k2N5HesRwTDQV4rgcRbQAiiB0Nv4iedFPjKOExnb+QZC5L
1P/OE/Lgra4x9iRsPdAYrfoUlJVAj4tWUVw89VF59BSoIzU4yPVuhneyLscr9r+bkMecdkB21FHv
wtDQuV5ziHJxMGp/cfjX8HmMwiIxVWAZUjt+4JNxjkLdEA0tzMzKldZQj9RkSENquHLWQ9IiqQXO
2vDOjw3YyR5c9pe2uAslZoYdQn03bvvNtbEFRxm6uqrKM61VPiObY6m+Woqu2qnx9pbf/KB83UW2
6FuBJGchezAmUS1XB9gEUAThPLkmYJTB6AW2+qoEMEMVthhGFH5uSOik+KXvcD4FFnFFnZoauW/u
fFVUuliRF3Dq/NWN/RKvb+ZdZmE6PdbAfQAidYEyMZw+5VUzPCXqbIqGpsVAnY054pZkpNV2Nus+
8NaSYAn95Uq9uQCoSW/GS0itpBj6gr3wYmQiVsUeTKDeecjyMtyJ1A/AyDrvZZb2zQaVON556Xp1
JlfNzO2tOXl2/TQqgDUG8usomSfkZ+BZtTI70FKTD4UUvEMJ+jx8uPnT9ak0g63+I9/8pm5Ubsi/
elIie6nBe21Nf/QlyN2P4sZn+YFVLiCozXgON0KhpTh5CdgVbxY/3cDzd8uQNJ6XTWfqRQpmhYZ5
XOBlVuUgIrnKyEQUWH4tEWMOKJmG/0UWJvB0e9SR40rao+lQZ9VFbDIKvM5YeWAKQSfBU6dLje64
/E7odwA4bJRGptC0SEI73vxMZuVC4wy3s01AtB2BtxGFjKyL18iF4ft5jto1zoAxNnCccADmEdjH
aWxxYaoT/A+jGbbxejDH/qmM3E1s2+mLLdr0ZYyT9EWk+Ei1eRm56GOgQbI9wNDZI+nIlAXjl2hi
0XGx6Ac2453N5geKQQ2S2nHgG7bTbrmWwBpiK5AssVzMwF/iKUrClVVbYIhCrQN2Tn2BdLkYXIRK
5nctFGpIPZLVDTY+Zns+3ZmRkimvLnem/Zixv/81BimyUUYrztiTmxY9vgcDmXv2xKuNkU3gErwb
z3n2I+C9PE9e019aWT9aCstUqtEkBKZ2YIdsI3PReSJh5wzfKKgrzX6f5fh37kP8YPd+IEX4nLcm
UtlikAUYs1TlvM4ZCePBA+a5wH6PFOo3NUjzYWcZpfkuGsETDEoIsbKb2n4IKUsE0ND53gaczdqg
MWC7u+fCfvP5BMxqz8Pe55A4H4sqEFtNhzs1E2qQpuGZRK7FvXOOjU0aEa9uaU3Ozu47rCUUry41
nuv6eCJ4yCCwTEw65rze9ciru3QqZYqPrMMcG0OSITEqvhSD/1okI174Sk6i3gHnY+yZH8l0ESll
hXyFtW0MeC22YRasZOBGz9maDIZpSi6GwfPHlIttZ1vV0e/rR1bjd2uH+W0TpbHYDQCFXd0pTGVn
hgDo5cDy2motKWgI+ps327aiBwocTH53E71zHoXL2OO9WN0MqF8ebQ8UjjmKz+eM++Bk7vwXoCTt
BtT+PtGIFVI+R+C1BSpNl655FOMUtjd+kL0nXP+lN4d4j4WeOheBOym6DqSwdTb2uxJb/yn+tcGc
NOcsPZIL+BKwbvB8dxulA96fjt24R2qmIAH2q5Qu8GfRI5mog3+Q5TVtLW2GOiVgtys77Ua9O9+7
IZnoMNr3X0MFLA+whi8ygOOGDaAWqcRGN+M4rEGa0B94VqF+mhRh6TrhA5XleNjZrFYkdahbtUjG
tvryczwiX7lsOYqZVPH2Uq1NXWoEthjTCOdbVMVNIiwRq0cs8JtNjyqUVYPio3De2zEKl/H24s1X
v5+ABMWAQ9xKVn8Ni/onEGHMi8ST8jIW0T8kNpnrbeJ+9A5uZedfh20YsOKAbBbkToBUZlOJUtG0
OPYbgOkf3UFmH8JmNj/YXXXqosZ+yzLBQbEKmFnXr5pPIUgRpZeb5zkP2BkVlWzpkczPrPHEwu9a
Z0Wi2YahaYKiqS0vVv2GtGjw7ahcxUiisWy33U4SjzOSUYP1zU9bju6+BhjXIZkHsFw4MVadaFBA
AnoYPZ7KcTEBLxEU2dXwDyZaRL3U5MmjSIb3yBRpRJm5rAFiAoCFTjW9wlJwCXWBxkvXG8U/Qih6
Sark7RU9B1lqH5KVOKtUnM+XxTcG8DRSSqqtbQngvkoHs5U2RHmDhf8YYLzPXv2UhcArAAIzmZjK
zsP5yxYrRWtrqJxFgGUU5mvZdGzYFtWRJuyAhZmwqSqLfdFNt3P9BESDezmyabVM9G+m99Ql86Eu
VyycXgwgVICbEti/hh+Cn9ga9wQCTCKOqvFdncp2Q0NStHn2vcfG13Zu52Q72FW767PSfAPG3dGa
BWgBxwHHa9K3X4okjQ7/dwuAzFRrh5ly72SOeaJGtom19P67rJf8FYf+zY2rGRnfHSNggMPl71VT
vxdYYRn/2RqG6fM8RM4WXNL2KQ7Mn0uJbBi5/Dg2qgrZAlAh1lLeWTco+8LfcJ6xlTOhquAsW1Cd
Q3RnAeTsW5k9cuTrxG257xM2AW/EmC4z4FD2bex6q04NSQG6jfICdAoaxEZTRcjAwKlqmYTpA9DG
P+JU8NW6ookPbuUh1cNAjftVRr1kdHDwZxkuYNx/QY9Try+7dQUqp0fQNwEY2m9C4Ejm/DLQUEbJ
yhZIXOcyqc4TIIjPpdtVOBFINpkSkRxpSGW+uelimeWvGEgpN2EXQkWmaZ0ZAG3yTAG2hgGJgAmA
DnsF6b301KP/ZqgUTR4lG791gsW4EhKghmTtNlWKLIHfQwg1JFnALEDW9irk4DkhiOhU90baUCjt
wAqgaryDFHkRsDtpb2/Zd/xX+GS9T3i3taj3BI0KE+jMiJr1n4xHYa2DPm++tClOJsLWfAtzxxs3
FefJroijEchC9Xy6o6EQmUT1agnKYtQMueFqGZOlbFAJvsPZjwS3LpuPlpf/CIs5ekUCfvfAZsfc
t0FSfBqi6nMap8V31NX/4FP07wYoMQDacO7uy2jYD26PGhzHTJNzO1goslG9OA4ypBZdxyRkAnyu
mW/32zvFxLsE8LBoyG6iiDQeMqwvkDm8H9q2fxiS4BiMDHtzDZiSlyP9ZUwH+8vpPZ3mGw3r7DV1
cVgAvAXqLtkBS1edAHVM5RQsbkOH/I7RZBGmKFeHpdubnfnQFxGmP3E/vAIPEbgcIKUHqTywJ1s5
gOQ8c7ak9KbGfg5td0/KOIF9mTngrsVv/kiyMjT9Q9UGNrZOoPUw5bLqZHuzpo5SrMSlh4yTMx64
JohvguRTMuyIeYAGfbUj3oFfGqYw3H8NSONJYC2UHJyLftmhYAnZfWhr37QBE45TmDgEmAqVOVGB
U46t4/QwDG22raQdrUzUAIEIDiS+AKf2XweJczAXZTMrV+Fz03BWCOH9nOCcTWmp6a49rSC7sM8B
Kv7fXSg+d5KDKKsBGZ7x/CUNMmzIiuqJ4+j1qQ2QuACYktI5KQVAQnFk3oDuclGPWFSecigyMDvs
6zDOVj6QZk92/pPKXHXV64IcpNGGfpndgAuRktwIf4iG2BwYVDTbX9eYOj3eJ2v0cn405sOfjocM
pWv8m0Mn7RzjfOzRT4905gRywO+ySwGYqnAyNKRFmXZbl9nFQYs0ykWYW6qkq5oH8N785kYyEbps
zULbCQWwVKZEISqIF6lgIu2+/jb2yPD1sc+drL24vR2msv9mztID6xR+D+urcVMCohKEI0L711bG
X6IcVV7cOgwhwJXnrq/+suyfSe8nf88SbNMWb/xTj4SXS8+QO1zZbfL3GMVfE2AuvDrYqz+EL40Y
emRmgXes6NL0YmHDOMeT5pVEhjT/casWZCtK1KEsazfisAAJhRgaAFPW9mTBe+fGvjVYtHMjZIUF
4FE6jc3cbv0pfhsHX5zbzGQfpN+WZ15kXyo3nIt1b9fuOkJSyt6ME/NDAvyFDziTIN3ocMBGqUp7
8qQGkOhvthdO6ypoHnxV/QQiafNEPT1kc4yqQcd0t3cKPdTGI8+rYwIGJ8oExz7IjJPSj6nlgxjj
10iU9VQh9UT9W8T1mrA0KaVD53WksbPybIBr64wSbRYLezW0OVNkAzNIHoDgLWX4PKjGApACoI+N
o6dgE0g+Yf/3FFnGiURa3sQsAgdbP25IFs4e20sQhU4vGQutI+rF/C03c3YMgMd2mazIWXXSK75H
XrIXrGofgx6P7IVmATzH3SbywAJLZAnEpfAnagXSapO5NOW6y5A9plGBYoIBonHn4C+NzXUFu2QZ
/qZvLfDrXulKNSqQli3IQXocpN67nwYIoh4wclUe4cAOrnDTSxx2O5my4RVb48OrBByTQmaODpOS
eQEyzt3Mk6tFq2R86vYOiGSfSVRYSHTHfGja0jDvhIvHsKgfugQb1G3EPlAzhKLbgTNu3HRJxYp1
aTZPNSocH4eqMT/0jg2EaUfwG48mtIq1CUSrBwqAhVTyomLOrjTXbcC+xsFobfzENk48GrOLOxXe
akSZxN9GlOC4zmk/G0WKCYOs+QMg6c1PadVdyAA0gHKVsMa5lE7Yn9pcxtuSBcnfLQptVQQKPU88
3ExtL/E9/W3knF+WZ0scfvvXEQ+/NXnHL3Of4BkFP9Pu/g6A1rBra7BpAsK1wk6UmhTRmBpvjqbg
DFCVJ1m49p5kTd9RCqfYtpFTvuXjR+L4ju1EHhPP5gBXCecvvu/n67702/MERvk3J7ix4m4Aq57P
X6wE1WHaqqs/kRhZt/OxdpJ0sZJl9m5VhGAv8lmxm0w5gAKZo1y9mZLXyLKtp7qfj8yP82TTKGR7
LD1pEbosWwdWzHvW59/0EvV+oUsmMq5uTGjtCjJtzO+M+Jwowgucz2API3+mQa3YL8waRK04YgU+
nTLQCla3qDLDXsc+83PTX0Vps0pR9jhXSJ0xh63ODb5L/5Wo40WJ+/T1LoWYHDJUaeJSKYrXaOwX
RQhAyikGujQQjVd3sW7MDZmsscnmHclPx8ZBTLlBMRymo3k9rty45xeAiQU4vu6b9ew56TfQHb21
sqhfowIsW6XpmUhngDybq306BO7nAKkWDxYweXY5mLG/yX4dyIH9BeQ9d9cxv34ADZH9hl2SDenB
CMi3BjaJj0Mpso9j0H2geE5cADx2KIrHUjjexRgNzHfUhSzWosY5dvkFxbPHshgA8iRxcO3W9fyl
6FpvC8RR/hA6mfziN+xkyah+bTpnekZdNM63E/vdbBYjf6Dh72Ysd18cUWwwB9hhU9L92E9J/YQN
g37hsOcRzk/jsYwP9BN1YAZaURNJuEO1cbhtvHql+JyU0v1W+yBXDp3cfh7bsXicQzxKSeEm+UMn
uvQtaGS4L4Bpvp9DL3yLJ2dLBmnNM9RA1vIMYJX24lQ4QJ7nzP2GLN9vHAXWr5adtsfWw3E6yT2U
IiI551tcGN62dmv/0DmN8epO3ecIB+1Jibf5BCa6D50jp3UdIC2dXwnu5yw7sREcCCTqyqR/qvFA
SlMLPBqlwGH4gL/vOgP9cYaDewQoQGB8EwC7ZP9LAAofdV37xJ181yoMat5hXl0E8wlZ6dVjr0Qk
pyE1aYNy0M6fqrWWUU/bzTIX54mBu1dsgigaj3qSCap1v9rQfJOaq4lP3Koesa3q2enVBvt407Fy
kn/izMO27XUiTlNyTpw+NCenOTip9ZB6i42ewcd5xNeDPyUbbUh+jheBdms5/7EMQBr4JeqF46Bt
tomqqHFURU2qeq5S+AYYp0hBMtJqxagKbEimFUjiePeIua9SPdMMq7LWqZD4RwVClp356xR0h8fM
EMFFtBmqW9WekjVhh2c0zC9ZlYTbP1kkntjXKIT9YhseKpi5ITZR5Fh7cMAcxjaTIBkeImOTBYm/
TYCjWWBOXG8KP0guosnMD0NV8sPcNsgbIWukQjbI5emrY9w77ENspNOTihXPJc6x6rLdBWqzVm/n
Lnu6qWXvzAk719FV6ycdEI204eyWT16PfDcSBc6YrssJG6KegyN6rshKqefgx9PhxEiLQdyAjI62
KOZNj9n2ekIFkcRpyS83eKCCDmdMitIUlMoopyXlMIl3j//D2ZctN64r2f7KifPcjCY4o6P7Poga
LFmS57JdL4wa9iEJDuA8ff1dSHqb2tp1qm/cFxSQSEAsSyQB5Mq1KtVD3dThZNPbx/YB63a2xvdh
nYkhCZgbcx3ZWrLG9vhP2iSiREL0pYrBIUxuM6dSopw9O0nXZLwYAefRDtLZmfWxOH8kRGflvqmN
docdOBZuYrr3Mov/q+m/uV5oK5Bxt0G29fATbE/fbI9pbxUSn/2s6cPnEMs8yIs7052dxthEtIWN
fO+kPuiQcriZjAJpEFnlbbpEdlu7zBA8TRjkQ5SGCIisvH2hBZvFRHYqBssdmtVFu+kmvESz02Ii
5mUaG+lICwPibUBKOVD2YarHZ1x5+tJqCdSi7P5t0ES9d63KWbdD1b/pYHsGDbSYTjp0h168AaFW
5Za5NlSIhAeZCC0b3qTHkYKoWRXO75Dptg8cGfgSrAsnIQGS1WM87NqagZUK2F8vzZN9oFdI6yAX
KjQR4vC/TEy/dmqr29E48Guqh7ujr6PeOEuLfykjPO+9Fm9NQ+UypxOerdRkKtN5aVKvVM6BctaV
89VY6o2SZA3OFkRyCxf0D3MZAfXyZ7135Gc9g3qHoxvAwvCW3VJhqqPfpbnYLseR9XPw/Bl/6ycn
UWHLM0bJbZSH5okNHc4P9TDacQYCFKyKYKTCUxS4KcCRDZsNi5UgF0kBUZMUwXtI+f5iZNO7OPtE
pjleln9OSZCODJvvEeh6yLbboDyjj1lckE0cb0ILaT+9HUjfBXseogpQ7kiLqLsTquhbRPN5CA5j
6qACGT/dXZ6ARTwqvPbmakQ8ijeB1/7+akCI0LiXY2O8zEE1ra+2QTz2R2rVAoHNVewmKwdHAufF
NzcYEEJA4DSxYs1XBc7IQNGL9ezcJFuQZoqnVxmp+8IbC7jGhRz9p1pWqPMcApKIHZJ4FnW0Bn9q
u6g6kgnZ12LN4xD8NJXjbkwLwSSQ8sgT4iJ4mFJ1KVir71iqycNiopqrnsGzTeiXs1AHV71JfhPj
DOeRBx3ufa1CRFht7LB/6fZZhrUM5DQhxsN5t2ZI57ynvZ+Ow/uNE7lQB4CI65PFwvwum/g+6lqo
zV5NpRdlt++kwVfNgNsjSwxnl9XBDTBA0RNEFqMnq3FwjAO9nl1pOYD711l8l2re7DGG78iEc1Jw
TwUBiPwKaIZB/CYAb5PuADov9eBI7TzF99fysNtQ04BCqral7hGL4DWOdkufml4eYaCrBi6jXTn8
sCytulkgiQRm5IaBby+RcoeXKcApWaOLXe8iK2eUkTbDFesQqlmyT9/iJsW7oktN64w9n3W2efYv
AMrqG2ot9qwb4j3uhned1dbZUEUAXdhTWLrZF+m2XxIEvQADWg2kjSk986XCyuAtaLTJN4x4fABx
Bsd/LphuW2H30ArItW2FkQ9IM8Z+d5TmWz7UX4YoKtU8XTU475NmPNGRAvAIr6XVB1tqLcWi7Ei2
gufOLBF55VI2/Hq8A3RqC0pV2so5CDz1q3m7VwltlVeAllDPsgXEIZ3rBxCCUTIc9Z1hAQ5p41xs
UVZDcio7Qpp4lxmgrNCqzNvNshAj8uNDqLSuQbHePTtjwk4iG990GQeNjzdI6uTPpCYBdAcYX2Rx
onF8Mn89TecpLamKp3s3qfubmEXTDrGn6sVoK+iHJogbaOIPlljO0+zgdHiNODji002xY7z6QTrv
LsFDSBSe1N6poJ5PPzLVAIetp6yy8TYoZRlBckNY96Yqcjb+YYGAZ9+7pnlP9qCV3rqIJ2292EaJ
VyY38c3i8EALVnoW6Pce8pgxqHctWKyGXUzk2eDZHLCCgDK0MbmbZor5oTds70C16hfNxYX8QEH5
MWIZJkW9qiJT3y++bl+9Im5bbrEd1wG2/etHLH70iUuTaldXQWOv/AYIwK3MrpK+owgWmxpRrCz3
nK2lmtBN6+eCesm2uOA7A99NpRgBF8d4BF8mzUBD6maq9/hiIUYyeNPNqBXjXq9s4Et4021qrkPI
zsIqxjTT6LsrjJvWDSFda3Hg7Txm/4B0MnSbBtd8KXGla55y7UwzgTp03KedgFQFz7uNAfDbmUdp
dkNPfifgAuDv6YWe/FRIayy2tgyq9ayg6CooM2TKAUmzoz7xh8hcmVos78nbrPNkmYAJ0K1p4Bm2
NRBcOQ3k7/CfjvKxP62JXoOKC8KTsHC/Gm3qnhMtZI+Qbm9LM3qiosA2cGMLy9gIwJmesAat74r8
m8xTB6tRrHvWTQBW+bk92iBlH0DXdIBuKPrBnbgaEye48+JYexhdXIXXTMj7L4MH0RrBgyehvZub
iMpQkzr4lE3rtLb5hkZZlSvukCOpA5KHuGt0DLib3mI7fDSlXd/VQ/tRSM9ONzxLtmEr2dEtvXHd
ceF9G/qHui+zHxxE77jivD1zK4AMg4FrzyJgA5mbltvB9fCYdzg2qIFbOf4CXwO9GGLJhEmjIgcw
g09jtS+n3vzogLZtNiPhjH5kW3wdX/TSwDrCcG+R76GAXmnj3jq4qG6fO2ClprYF7ZH12LLalzWQ
yF2HtE43+FqYCc48JoUjJJk+qlWQWd2Dx+wUpuInhJWrl7ILqq02jR6Oywtw6fVlunbcsP+ap91W
E4HzU7nallPOrnEnJ2DEhH1AZKs79wKcBA6IX1+LQU92PBnzbToZ5uvEcYIyTVKcqBffZpZz58sy
KNFteT9NRYREZEW4B945Xqxao+lucQ50zMCoCcT+p61RdH1z+9J/rg9gMLiNMmjimV5lH3vcY34s
puxHmby4o2d8MyYs2WWcD8desOGcghPLL0FTv9WTCHTFKibEFaW53UlcBLUDFS2iGuRFIQA+sMFf
OjyKKC1tql1PUZThuGVT+QN/lQhJ6aDRWQqycUWCG9apt8Y7+KOXOoQeP0RdE90wT4wI+7c2gjpg
JDm2YwHJqRKoA7Jh3fTRQbWJvKkqR7xVMjuB4ngXgyiszBG/VMrxiJFUDwqJOtsspS+/2LA0FvuG
OQhnLT7ULb1MO9t5CFRTMDyBs2ncFn2AwGaSiJNWeiUUm7T4i3DEH5XKOdGM587S6p8FctBWwGKN
TxDkGbfGkOe3SYK4MrD9L4bW16cRgb/l0tIon03LlZGpcLw9x7Lt/M9//Of/+e8fw3+Ff8h7mY6h
zP+Rt9k9vt6m/p9/Mt375z+K2b7/+T//BJQRujwWdz38a0IC3FL9P749xnmo3P8jSqsqzxtpnjMg
X3dEtUO0OsxMtzpDjuNiIuadpTmz78TQacGzfOsmTTwT8pDHFdlPxzkIXpllAN0XJEfbAc9BjMii
j9dpcsQZM75mqkLEIQEuDD7UpAJSF4nfJvpDPFqWLxGv/AaNch9/fufnCP2gVVZoxbOGGNRWr+30
YGRjc2daCZ4JBujfSPpHs3G6j71eeDMr6lEbO8vwJqXo5dKeFfiwkglWoRNHNySONwabia/n958I
E7EtNF2HZkQBQCK1K9Uenczu1wBLa8cEDzckXT7knmc8xBGk0KvRvaOWmcXDXde0vhsiYOB3oHS7
Rdr48+Jv9ol9A51FpHyTS1ZH2TZzArmmCaiAxpBYG8NQb+vPz9EhaL4yIjfcz1PHufUIkrP0SFPr
zIrPPY/BUMWjJ4ovdKU8p1jJnqglCp1B7QehCzfopf/7X5qr/+2HBnSpB7yAwy2XGabz1x9aldrh
mIR8OuuuEd6SjpJTDUU0iy/N6koS2X1xjOOVuRvKM7dg0s3buR11TEbrv/roUxHUW+Rk4ulGFIY6
Xq/7ZmzCVTAa2T0xGlJH0gw/QB1m7hEugFzTGLPNiB/VVgtXmRjd77l6kRmNVZwiSNefODNxLQBe
At5ob2eObztq47NT7uWAlKxdaIKZLqw9a92APXxrgtcI2V6l0HyKNoEVFJB0Ci1VVgpF0TG7c1KE
WeYW+ISnXRWm5RHCoeW5MQAWpM2c2r1JMy99iIw28/bt00MfWSb9NKrRa8UfvaH99fdfFW796+8K
Aj94GJgAfHAwj7qq/+Kh0HXaIDPLG86AZQb+MHlHlxvak1HW3nHyrMIvupC9YxNqrpC6W5xbMyke
HUN7IXsQaWIzSXPa45TQeIu0g9W37B0pff3NGBvBhrwcbD+dMnU3YVs3N1Za1Hc5cCcbFWj1qSn4
VN9FqmgT87KjQGbeqZ0QQa6Y8IV64wZQvtvkYRHejKIwX/sYvIQcYJu8dooXvQVXo/Iaq0GDVgwG
Be30xsK6QWpwAviUjufOWjMr7tOSV3IPJ7ARz9Y1844B0/v3ttUCv3Z78y72qmgPxTn8+bGbvWes
RO5YOU1fZRTvC/Xwl7l9tMZ8I7QI/b1XP3InSlbSa9iBmoyP1t2QdTgYBR7dr7ws3CGZJYCkU6Ht
NeHixDw23sYiEN9VBXy8yfcYlV5ZVIUsn125Pi0+6NqxPC1vabe4FLRvxEmEu4Zyj/Spw8SjZvv7
X4/lWte/HtNxgFCAjIJp4K1Cr5yLX89oJG4SRrY4a0Dc+aXjWSfbGHFLcWgvNyb7OaiEJDJRJ9mp
mQs9uzUjfXNlpyYVUd81a7eV2jzvr/waluwHHRklUn3yMpQ+YRwgEuQm7PXKTtfg5l53EEW4s1vh
HUxV6BliY8j8cdzDoA2oUtdcJSu1qQaOCe+w2K59aLqlm2pINrwJkd17k/bRE24nY/vxef92qouL
WOa6mvr6k8mRrm6endyX685AMJupz17sF37LpyzTLLZBi1+crqm3Ab66A08SCMJRlQoB7aQDtnf6
YbFR7cqG6PoARgU1BRUXbZpibrtlDIamBsdQv5rjVzb6GIABsUq/6o5AUrcqtSrfMg58A5PBH8Dc
IRzJpy9NWoGPwir6kzNM7gFwTGj6uVr8hDAAeBKBGPihpFPSxgr+YAX7Bt7U6Yvj9X8OUouUshi6
bVO4J6zhU3CRsjT33byekP+CAzst16Jz0tsnRs/zUfXKNvnozboipl5EiqMnGjC10eV48ogxXkdA
btt7SbwdAKs4uoaZ+rIDdXYV4y0+GAnkt1hrPLetCchRUb5jfRjvEhM52/3oFu9G7tw4A2PPNHz0
gG2wldsynOP/TMMRxYogsox93Qy0Y5rO1xAVx//1E2M3Y+6ox2PGtnTzdt1ZMn3T6+7s1obzE4HW
B6Yl/asFYp5Nn1sNOKVz75iZZrTJaiN940OzuJYCkhVN5L14ZWGdee2CkKcB76dqpW5ggmhpwmGh
MzLdByi+3JAf9VCB9DHkpGPElX2C1rivj9W0MXpg8bUxbOYo1xI5WwJcvWNjRZphUaKCZHP8jPw6
E0i8NhAfY2nEVXBMjcUbBgIcWrQjqcAk05A4SdUO4bVmxexwUzexOJBNFhypb9RRuJO2x3vDgTbL
xAsAb1RGcWmX7EA1WzWptnS0Kv+4o/xjqpK3RWnD5IRUamQQLyPbMi1WI68BsOZTt3Wz5oetVl0l
6z+KqYuhqkRtHWd81apV4pdL/yBTIBsy4GNylUFBRa1SIyrKt6D2AMjaygh0Z5Mo+MriiAxCbR/i
4H3+H9N/PvawuHHw4Ji1EjP1B5n/aEx89NBfCngU5otGocK6Vt7mTfpRlAEHs/TSpu7RUGBVMlIb
4i7GBgvBeDX3/P/MMc/m1NVWaLqZnLysSHFsDCJajXN+j7PS/sCwPt2MDGAOIDV2BKAmjxL3yr3h
gY6HPHQQaK6KKs/WQAbYR1Cu7nvetXtqUcGVfWkimbA9lGEFnCsyBQsrlMgP0YfNaLZluSKuEydu
x9u5TdWotPNiS1UqMsS59VKaW5DHtnJPNpqNanFQKMi4mt0GuS+OWZ3mmNfYlIsaWJkH6lk+h8bg
mLoCwK/XhF/1TO4JZjmCQmBfutAQJ5Qm2fptbQf6E9VtHbs7cvcUwTlyoC7dw7qrfSdICx+00dwx
Vm3X/ZyYiU/Cen1HKYrxBPoxajKFdDZrK9s0qndSTeo1RCp3lME4ZkEGbnLjN2MXZxrr2cZBhqm3
qpDme5uo35mFE3moRyOKj4wfZdWLKUdoDHmIPrVTZFcin0t1USGMrNv0oY0gofIkW5/HYbKlNk26
eM9Dgr5b/35pxnR2vTSzPGQBGoYD3UbGTUct3S6WZq4eaQ6OJYwT4Fui2Xvvungz3dJf0KVXoNQF
bPpvXRAb1vZqksjAXdsE0A4OujucLclTp6cN8p89fkx4/5C1Q/NIptYo5MZu63ZDTer4xaA8GB/I
gYpaDXLVoGWiz0G91ZUrLNjTedtXWGCfk6n3nfZ/GZQkQJs+RdEKz+FyT0Zm4KEvhq5DclzmaeHm
bzIeeNtwPC8PPYl6EBw+JyQ8VQ3oqm1dSxR4oeWI1yXeT6twsSKQ46sMQaNggBPkwQTJ9zYJ2/BY
g5MQ+piNtROTad912LsDxMqcl3AYK4Tgeu9764BcGofIIRD23or3O44dxi3SBCHQusQiU5HwtVVj
hxhJOxxWS4BybjcGYr5qYAzx7d//gPjfNoaW51iOpzs6c5H7YlydFolANiVu3e4UcpD+hCYyfFfl
VCLnVaa+aYZoamUGFWrXy0H7hYwTMH0XEFJLM2tNRio03Jk6jpemYA3h1toPJDM3rm1OWCSBx29F
ASzRgkO5zafJpyZkX4EZUgV5Lx34IzR35LJ0kB+NWKaKlHSXXtj516CWCHoiE+WpjzXIK3sxhMYc
BwlUSMryA91G/ln2BkaE4sZG2M6v1fFr+ymZQjWyIc8k2TmafCIplcX+K98LlzQwtl3fTSsxjrE/
1pl+LBzL+1KbfzgK95dCm/SQu4jYNaM7vJFXFfX6EYk4/Iud/2Epr3IEZC60EZAjL2zFFK0p5iIv
zEXmxYsG0VwMXFvH3/8ymGVfP1oQKnaYyVzL9aBHz67ODAwQRrYRt9qTNdWePylmbSoiwSAp6IAj
Z7FRLRsHHxQs4hwNAWQmyI/hLXfhhx1Ydu9WIw6kanFuvTjc961Vr2SRZk+41ynMTuFzDztpPzaE
syMbsPn60e3E1znyPjnVq1aZ2pF8GwYKnhRf/5p8q7wsn/Lj7NlHIffbqjLneVos8Y61aN69BABK
f4yzN88FazTNo7fGtCuNRgPLjVut5WjV+xp06QA2M74fXS35gnOWnSyN8WvfRpf2AulRZOdFfmlX
/kJPpq9BOr5rdv3U2NYZqefNI/ahwb3H5GuM46I3p3blTrEPblPWlG9maJ0+QFHCtAAbC39KkDac
CHejWlMYBicC5Xz22VNjvHy2CJLz2focBwrBi1lozs9xYFsITtTKQzF/QpYA2BmGALGqqf7d4BTu
v7s8utjPSyDPz8ubvNof8hYJYalrK9l5o3AhGOtpd1rXZ1BitounELsqHN01xVOuOx+2pXepkZ/W
1eb/ci/w66NOdaju2a7L8KjE8Yd9dSu0PcD5Ydanp8JFxhhrOizzKQI1h6VAXbYzrGaCEMKf8SmT
l4iS28NRmypEIJB94oM0y3nWtDA54c76IxS2/WyNXvDQOMPaZanzzFWBtG5ocozZIzlwt/whdKc8
za0BSedd28g9uSL0CUxjxMItNZmRjBvD6t/BU5KuwGZoPrR5az5UdZ3thkgDrFbZqGiikq+Tym03
i01rg8QfI9fd2bb94QeI70+j5fahNV0cNAPSukuDsDjTqKzOsweJZZD6FLLgJK48AbR5u8xgdml4
WK4ose0IEIUwP0w6UkFlXdv3SLXr1VmpwGl4Pn0bW+D36iB95SKOb6oulruy0I23NNB9coBKtrEe
bGQdDDhqeTQ9/Gyog6Z0PV/TIhxEr/Igdff/y1PRvH4qGsxwdN2wTMuykBugq5/KxYKr7OJwgAiT
doxssKkvSSQ2onw2Yj2zYPViX5JJrmyQ527WnhcihQVZbKsoC6cLOtclmSeSECfQuTXOvUsHccYa
GSQRaOzSYQKEw1bUY8dpgzTQ+r4h5LLUgXxKBLBStapaQLduuRWOK+rWcMiY7KgKuel9YIThAdfW
HXSO9UAmteKtAAeUL2M738q2O0s8un+GdnVVUV2DKOqf09RcdQ2wTKrrLz6IiaQr0x7Km2rj8LK4
I7pWj1YO5Zosc4Ps1YZhmX73FwsQa2JV6wq4IHnj5yr1PVNcV1Tkk8OOAkxHDbFZ4VwWzCSJa3wv
pebeXPipYS5AzpuORa0/eUAjs6pimz5GEpQ57hcem7go2mZF9EjEa7MUKrtz6ottp/ACQVFFT3YP
PT0s7wBzVS0oVtwEOOfBndw6SEeFMnOaQsqwB4a/WlGVilwZqeZ5E0gvROtsrju68en3P3DHvHrr
G8zFA852kLnGTNO+jhQ49QQ2PxdggDyUOCFCQvtLL623QhhO7T9ChSp9jsGJ9NzmDLm0trBvG7PN
nhNRAO0oSht8J2jqGhQpgMHMAHhykFjRcsWI2eBQQaQ6BxwkKXcUxKECsuzJMSrFLa3jKcxDdr2Q
eyQyJMODnopgZ8et1hSKSmcTaT+HBo8lPP2+hbZAeBfoYyQufjapFxv2b81nkDj502OOB5MHWIgf
Yuz55jgMeIEY0JkIKVHkxjNzdux5+jrQmV9ntgyqY91Hr2gGdmzRW3Kk3Pz+W8DJ+t++Bo57mhuM
cQb+478F1xzT9rDkx0lJl1gT0hDBTD75YdLVEXgR9RIZOqE9/ChHXZwrbKmfjDTbgKsVsj6AID1p
RWRiK9Z2iL6UWLrEbNpIHnqPIkfO/JC7JiQKau8xKbTumGAxBfrLLvcnXgqoIXLjhpxzHbSDYPq5
6ZJyyP2qG7N1kYfBdgp097FITXsLqLarf5viXH+wpq7ZggCvvZniAKtZkGfUiF9+jaKiwVH0gJPx
qh/fkEu2SrFHm+2Lf4oznsX+V3+aJ2+Tn70HAQ3KZ9WhNbyzcDLk25TLurSpO8/A2Gd3RgAd36E4
hgKFPeYQlJocFELr91KmOzJR5+JmpHhoAvENPyNG8rbXesmt7G0daEYUJpJpzq3Un4tKdvs+FcXO
zk1sU8NwalY81eujR9WhScWuHatvcxMaTw9yKsPtmILaf6XhROGQT1w/YLuAmsVhpPZF9cJ1rl44
zMPUBMtU81DqieoWAi8lUJNFyW7juH3vxsjcNqIBj5MxaiipB2BIdnvRnt3VGKpVJmgaejy4NnOT
hs+TQKAUtFzF6vc/fef6BQtGO8v2EJ5wseSydOPqBQtoQ8fsFPkO1ZBHExCTyMGDaloBlV9mvYjP
mhyjD9tS+7d+0rLw3cRB95AHz9g3pO9Thpw8HnfGNpn68atXvkhnSN+ZMscId2+1yCxPXZKD0V2G
AXTWPOw2Cqv5YnU6oFlICgy6KD4wbBLWQmUSGpX33YttIzmlejne2RMen34YQPLS1cLqFGYQqOas
Ne8DcNCfO3AKINKJj+ayABE1yOnvWyRqXXTQCGhxfYwYLVCa0gigqrNV2KFjAuvPPCKAzv3XVAhM
hfDG778TzlUs/xJU4hgm47rn4pzAZo7nXB0TNLbe9aYjx9OYAt1jQIgb52SxJ2+pGJO0gCIVirQB
amhF1ZG1myGHnhK5aFlb3DrQePoYd9GevdVo8lyadRA0WyvQolWm+DdjxHU30i3lnRiYvKNa40Kq
T0ZBur7qmMB9t40K7KCpI1ErBqqBwBBAWWzFcbz651Spmi8ag/ggzOFpmZ08OHRuj7k5bS/mUCMd
bJ7PbbZb3GkaGlP1uZ+BOh0K2Qm7FfkwnMsiixF1knhTORkwW8qWGnVqrLBrKQHgBiQtYwhDyWw0
fw52vKqEZUF0KX/S+855K2wgZCBPAhW9HmkXNaQANywMbhHvrc11Vcmvou+Rz+3gCbT7RRMRlvEG
aqtYGQJ44msj1KeirGC7gRs61peODjZNlfXtND1I6yGxuGtNA4Q++KUBdHY3e4A5hO3aYtJX2RDA
lwZ8jpq8dto1oCM7TzP9gGn+cCmDDYINOAoaWb4mMBH4p3GKRngjai/dM1QpNVtnq2FX1q7AiTmB
wBR0qKCY4XLtUV7cPMpzy9sCwdH3Ouu4bwDje3INwLcQgarWXTwN31tjTVjlVjnoygGKvcGeidC7
JcQnZCbdLTI18FIcFLJrwYLOANEJuqcAsiNirIC0VFw4Rp/di4gbeDIxj7BSpMdDNM3PVbwjDKNX
LZogCUAta4JJFS0FhmYXJGPeGGF6xwfTfUyrPIZEDZIaxhwv5mFMy81Q9tNm7IX3SC7G9Gri9b2K
bevGtE37KfAsbV1LJFCUYPJ5ihDsPPZF/RUEWlASzTuEPvO4XYvScXCygoS9OAX5HigZpsPgdPdk
ijh0hVZF5jYHi7MHPPomxPFcsMaJlj8uo6g2tp4Ad1jyfGVva2iKIP3v5WJKkA0g2aPxvtCHFiSg
VeGBs2/T/I1s8yTquiBU1O31xHq3oxBsUnUNiI7Fym+dyh5c3IAkTveeFXznJQ93KYQLVraK6NUq
nw1qCsib0wIAjjTHv7KTB9mSeMz9joPD0aXUODJGKt2uY5DIVGPJ+aJ3Huw0H+PImYYBKuX6INjL
kSscg0Khzr+boQ0xiazVX5qoG9YI62h3/dAOu6ET0DGW2MOCWqzcCURAIY851GurCcIvpddD+isv
2PfUMW5AAhRHq7YUqyTttT94br4lfczfxnyofCfJyjMSIUHbCJZpGRjVvh3NV2KMpmJJ3Rh5ttUR
JjiSvasDMPtWIB3ztbypNkvmxtxttdXeDezX2W+ZT82St93HLHayLcodxbR1vIGQQeoGc9O1PX6e
gO2lTovC5KVz6eFUeXAOk3a/xMW1Tw+y/XWOSqXFFEbx04aSCM4uklvgf3EMD7SznpjIvMvcdLYR
DNrtBqjFQ+BlZXWjB5JMxVvZm8YGGTPpQfMyduRNCvLKuTtQxJWqOxvAnZWCIVx3sxOrlRx2khnx
rSlw/kPqI1kF/U9RO0dKZ5UBlAx7LRZYjiIVlgrqEAZIzKMQAfqp73EI/pEV+6dR0j1g5ODIV0Sq
M3vqso/s9eDVrEfkry7MvX+S9OKUiefeazzY1e5i3MzFOmIgUwNnb0B7sxWE50D30sXRY5OAlbGM
8udWFW7JXiNhDCcTy8/nxsKhvqb3yJoxm/y5Yml20FkDSgjl26Rt9Fg2MSCe6KQBfx2uxUiliEPA
840+3QQgHbppvWF8A1vSNm0H/Tlo9fqMt0ADWi7YmXLzlFuvmnVlb2Oe6M/IqPYzM+2P4N4EgYCu
jW84A0gVqxy/idJknlGoGQsn+JiR7PTB5KZlQFul4IDF8Vj3LOJIpZgXr0yzw1OC04KV5YbFqxEG
1c5tO2dDTbc0Oz8QwIhQ00v4Caw5xgPNIbNwTebRFmBsUHMYn3PEEtvfSnPWZSo15Pvg5IHOIFoJ
xg689GfTYsdBnOmzAKnSZJvPJYYM8DXbTl/n5gQB+NLpwb+Mk8e7wtxngd2d88rVIT8cDmcvmYxD
qLc4H9YcJ70bG/yWkdw57IwaSIN1KnuBZO0u3GBdAVWWqAUnX+eGd1QYyHG+KWotXZVZJIO1l434
Sxo3ndd/ePA6Q6J1njjfwP4W7ucmjYW0GlsDG4SXrPLu4iyaJxVa2+87POTJbbFTc2r+lVjCAkYG
OpYVcjd2EF7CciSEEPkeuazPHVLvzoGWyPPcwUVX+J3hIWgNDPGFdLkNkErQFmA8JHDxlZz5LF1O
XTTw05taRl3eVl7gHfjGBCPsRfo63Z4fVry86ruB7loOCuW+uJtz0+m+dtZQnQO3a2y/hLXU1lXj
AOwO6PoYreLaagGgGcwbj8XtacxVRFRDsJIONEzRdr6D1O9tQhHMnNWzz3LwAeLBaYcDGMgJKAx9
omD2V0T40utvQYZU7Rfme6o1gCypfI0D6HIfkEU2PkvkHz6KNoF4F1pda4/PvS1OQZr0d2RyGiP0
9aEKgTFBZwB06AZLNWdDvZOoEKds8p+FnUjQ3STde92NWGvbengrZcu/dLb0G3vs3oXU+K5B5HhL
bsILj3gmh8+J06YnBMaT2U3jdewPTVdgdxc4T0kOTsscP+BCd91Dkor2MSzZSzfqoGhCbtajjgOq
k6u7xxQPncdcFVpZ6hvZ2fFmsRlG/WiEtn0kj9RD9kgO/WNgP297Q7dfBldvnj32To0OlIJPERIG
qGXjO3kCphSs6ZHzEkcseASuaz17enX3iCcS7uzAecYusEzA7REjB6HQYmxNPZmD5NxApjftIRMd
gdoQj7C7xtWmuzGDSEYgTe8Fu4qXheJBhgneRkQ21rtg7Q5uiA4CigQNFr2sNHcARkwrsFDeI+ae
fxGSCYQXgFGFELH2aDdNsiLcSRI49yYAll9CsLnNHsWYhk9lU/4/e6hPCWyo4hmJXmxGpK6twPys
Q7S7hsxQ14AGKBr6rZ0MIbIV8RJfI4A0brpoEPdWlCE1MfLEfbsf6ka7IysVMufmRjew6P6YSPmP
AoqocQlydtWa/URg7zRwEa9a3D1yMwrnPW3T6EDTzn6OkIeeOa+zRxGn5irrNUhJIBv34xL7qgPd
qJoA1CIflzi3tYNsY+1umQ64BXNTDTqCgjRAc5qdVBdlpEO4Dju33Gmy++oyvKoKSJe/qJZelhet
JNLqc50ZxotlD3NfHXTmi7TqX4377ANrk1zFQtu3tovfXNN/F7zDHkC1IFgf3ngBcr+pOdjyS+Yh
VFSNmzzAQd2oWKO6WoJfPaiKXafSkUd7xH3EtWdOscwqmr4ndVYdG9UpwvRjwv9L2XVtN44D2S/C
OSDBAL5SWbIs2XJo+4WnwwxzBPPX70Wpp+X2zM7svvAQQIGyFUig6obr6GCtYs/ChSo+LAqIQm6c
CveR1JmuKqM3vVGpEiycq/iOFEmpvxbQcuAlj1YkQkp9c5+NB+YMZwq79f+angUMJMS8GtZyHFI4
0c/sbZjNn2e3vk9n1RyF7zMU5K4zZKNObq4O7VxZ8AKezBdwdeBNwcZHcFqRtRlf3SYzX/Sj/1xF
/NLpGAgMiUMGzQ/fcZLimEWGWgHb3TyW5ngHCW3rFXZ07m6KQuxItbYxm2W2NALAtKiJ1p2TjN1j
3vSg4UKf2+JxFSyIEzXiPw+ew74FtCCSweLKnmpEkW4nF6KaSFGBHcLbo6P/sIF7gGI50aNjVew5
6TbUm0SNDSUTdqKWgsb3XSTA7admxnu+rXBDXlKzDXNjhTe/vE4t7AoVjrjie9du5JY52GRCS8cU
PggMWFAoiDyMEPL2wO6eRwj0wByRmo0YvfvI9P6IU2/c4p4H7hVMTfa9B1mtoVHDSYBvfUpA39xU
HJbVne67DUz4CGE6DjXTWx+dZfWglgZEQJefBiQfmsUk22xNA7dRYfVaoRnJBHpJGqBXQ+Xum5d2
9Y76Y8edj9Kb55U9vQUAauG77RZ3dKbg8Nb6dBp2GIk8FFZ8K8jThTF7E5Su0UnDdEhomE773EZi
rujZUvAScFKIZCtZ21tqhcOUQtNJ37upLUbXO4Rz6Md6gEYzqKf9B5DLdL3PGTbhYbcruW17tgfe
1KcMmyu9yBqqKT7yphz9K4pqgK8lFnjF+oaZaktI7td8uCfI1AS6pXbqer8F5P/LJECJnHWL4jgM
BMJ8GWQg7950tpErQeUr+n7robNbaABle+lTmBd9d1W1SGxoUE1mdApbN3yqJKRo5xGKAHC3jp5Q
q+KQzZ8AHtCjs+UFF4A+9BB1QPwVqQ2mrD2Fc6ky3NMS/Ls6HE4b3n3dOkdq0Sx4AR97b86A4hCG
P4RJCCMDfOXtoQj2DZTonxU8TJfYIMfbVjdhRQrGtQVhPQo24Gu/FcVkL6g5cqAMYmcEF1EHV8qs
T3ORnK+xCvgRmFT6uIGEw6LL8BRDDfWRXmY28mebBcM9hfYGfrN47KcHuo4TOb6CYgtgOzMs6LVm
Ch6p4XL6vUmjwJGZ11HWuB+DQUn/2PynuXUJ9YK0h015wLG0h/3PJRxq++DFbvOAhJh60F12HtmH
FLuKB+qvuHnt8lq1LKoUXCbThdobZDu80xDCNF3q1XnaeadZH6K4hA3HKP+kgFs/9mo9ZMqDfE0D
14v8mn8LjhTUNcaZd8srLFQCZpMOyTvJd1IXmGV7ppryREDRVE0ATmd2u77FAy7xTq26SYwH0YJU
qPNwDvHWidlDHPWgB148g1wsGMI6+0ZBRWt46x57n0VXRvnJ7ir9xSmndwWtQ7x93XSComJ+arPY
8AuN6WmRFL0O0IwY4vYfZsC7fQJULXeQg4v4hnR3kd7AYst7AsXFfG6LD42/RiisZlsK+2vOqOJH
YAw8+OsACj7Zg3g1kqnc1ykSQGTEgw1BuTWFstNjMvMv9PinlQHYwGvm8OBErQJ0oxUdqEkDOoKW
ALRIADPBQJaHR3tq0hkI9kAU0qLh1+XoFSAj+PNyFBzji36SAe4bNn7JTtTjVxkZcte1TrbAk0M+
uUk9H3MxfqWW6HNoSFp8hmqvG+xiNsVPPes5FlgawKObVppXpwiLi6LqgBNM5/iYCdgACNRjnlho
Vsspz4dNX7P4aW7gG5GAXOvTVJHmxd00jUtI0ZWHMAJkqK4GOKCwpKLmFJjIsrCiyDf/Xv8wqOr9
W/3DdVzDQ1UckjIm8LafilKiSioD2Qs8pENW7YWJrYus2A8vYGs29BBggWbq2AF3qHnMIJRbUBuY
BRhb2BB/x+3hq8W88N2y8P1Cbct+UTxBpqFg9mXq2bwsgLN6qOo+XFdSdffJGMyQ73cSPLzrbhfW
c7g3PKs/wBki2fYjt7D7LLr1xFh5BgA2XIkmaheAJANZgOXmwm3G/lUCvgxcjFl9s7PwCF3UKfTL
7pG3VQydwSFc1V4OdwUH3A2hl1xGoMl/rnpGybtcpsFUPkxtX6zjupqPrGTGNhoNhXLlAH2VeTQ2
VpgwSAKhEGGmWHVnrQh3jm2bB3C8Pd8IGvPFGt1464qWYW2F5sgB7E670YbHLZqwvAddFkmzAzU9
T7xYVW2eqJXIzofaqPXkNH16aaJkTd2haKr7GdzT6wsMpbGHx6hVf7NtC/InfmtC0xAlZ9SZuhQy
DRoU13mJ7ZfOXB8IhKZ+NYcIaVckGS9BkD90Yz6+ZuMAGks3g8bixvLOhDXRCojM9AuKA/eG0Tk/
kOB6AOxheA2wK1j1kH69g4aFe+fEmbEUGv45NMPGzOviPKU8PwvQYUCvmGCJ7SAPABZwfmYedFYF
fFI21KTgX3GJqLsNZ0EM469kXLEC9TzThnMPNS1IaYDjBBz8bZRg8ZI30O9hcXpHz53IYgsRVtGF
Wh2WqbeWM4fLCi46B5lyC+jM9CrNm1p42mEDLCG9PRR3oxLOchzz4is3/s8RSSV7EGMr75+ukfDZ
+g+khDA+Y/McD3gElIyFY4CEIV1duvwAyOIBSNKsxoUbMUBV8iasQOILcWqkq0Qm3VWLQZkQZLiq
LNDwVYKBJhmG4AU0L6C9QG2aiR1+B4WmX2INIJHHixb48GUgQn6Q+oAN5XygJjBgAK3TKXXScAo8
wdIpHGh+6UBHeIih09vET9e5TfYsVkPTJAtBVUc6ZwZJ3CesbRcLYMzjtN9SE9qCxXlMJ7HXcTXF
OdlUnCluQAZ5e+2kGGjtPF0xujHg4Qs56C1CMP1JQNVRqGZhGmF7hHoskDfpcO2fYlQbqH827OFB
xxPg1WiNj/06Hgja9wgL8a1TFcaRNaNxpDMtA3SMupU3TvmHbjjUzkimxl6/i/LmnkJDFsDwULhn
wMseRiceXWAFW3nKUS1dulBAWFKTDlWn8m3IpgP83YsnlLLmJZJTGTLjA5om6n2JF3h+VIv8SWCz
B7kIe+HoWJoAjN8zUqDO8TY9rWW2ofgpi9gOmqU/pxsRkh8StKld1/QwzOjgmgGxt2WederAwQiY
UBzHKipu7BYiLtYrhfWjxyafpUYw+QK7UCyEobxPk+nwIQjL1OvFqI+udYujq8rafKV+g7tqx0Lr
jvelUUHZmqnD7SCSqv3QtKnJxxpJQ3N5C6Mzir1G6It8mkohn1+DYiIVypVdpJHfFyav/NvEltqK
JeilC9PQFEdY1MBKAbvX7jFNpQClg/d+LXn3qPQB9kXlgrtzuqUmDZQd3DPa6JEmaTeHbSXswJ/N
sL/2waHEAuphTncUz2wo3dvqOiZrIMMTV9wLrEbhP6PU19QU+8C2mtCXHHvFwut+hBwIzA72GS+h
aY+gU8f9Ka69cjtjEbzBn70NHWxJgNPS0PCSvXOQwWf9NCir4E/PDORT3uTzusAaFtsehA5CsoVT
O8E7VGNW9OCQsCNpUTBthko8Q+FiuueN/NJbvfnspFCuxjriy21s9OwvNZfmMzMrSCz8FfkP83Qk
Hs/gp6loE7oWijluPB0TSKSCzAiZPeq7Ddh6lJoSEs8wOAwglgU2GvZqenIXMrmqm6ZZMSOXa2Di
3H1d1ANol6DRcii7vKjW+NqqKvijiys/Si3ruweFQRBFyvgSCOdU9MNzJKEW6k+sw4pBHyJDqH08
opDtfz6lcRDu1D6l8eukOmyvM2/TP8TQaQwJkH9f6dmfnyYutyzHBCXGcwwXrPdPfKp+cmyIK0l1
18IeTpgy2hdGF/tXjRFql/P4V7vOsayu9PiEOtEDCYuILB63oMb6jSnCKztYssm97xsXTpQZuMMW
fK8h2+/VCxYPHtaODDTYRWvZ69vOCEI3kZ+mjOERDQ5dHiQxdN7S4bqVAnSgPEMrFBsl5yiSBtUT
7ST2SQkRZgfTespFdSUUyZtG4o1gFMDGD051aqcSix/+/b38W0rDRXYewANhOC6Hy4nx6clsQiXH
gBBffvdT181Iof90fYbJED+9wsuDNdQWPOlPM1RnZD/9fErRowv1lb0zuJDXOJHoUiCj4C7FA80n
6YfQTNP1VClkxbRgk/IEdGOwBbyfvH5++fukHOI8iyEay+2gIaGBCfL5wMJyV2kFIeqzFWuufbaC
jBANhOK3uE7PvfW1ldlACiyCdxqI0bJduy7ykV6YPwLbGd4X9Sj9EO/PW16kwJAJKVFpbevHoZ5f
qL/LM3uJ7GSxt1VevnpdtRi6wHkzlP7HkNPcUJPzGbtYO371Il7vY2DCljRdvxzPjeyxT6Po+nIU
32RwiaKXywPgb//9g8WD5FOyyuUOZC09adgCBJa/aQylfe1YLojld14z+LNnLX5q7iRmfBrRJIUe
+jl4/0sXvniLqzAPRehr0G+IZuKXk5x0BLWGGrhwfM4HLKfLPbTI07UJxNcXyLlvHeyDvgsObwVH
hvVDMjaIKJXW9Cq+OBF/mKNaPQxVDMsFM9rSFwfMa45f7YxXTCpIvcNGAgaaVrqjJlTUPkwywmRb
CsZ8sOXbdRJoRPbvB2WAi+RTJ8yj863dDsd/irv11bw4ApxpOe8oQg1+rL1uEscS27qYv1DrRsA3
XLjhRHoQa64v8IQo76nrFkYzZwxe+wPxMAIk4svunuw25NxpHCxr7lFdE3e8EuOyhiLGtzm9BijA
nReRUzf3kQvizL8FOEFd7WbPW8agRvB8++/fqr9hDF1hQE7IJp0RyxL2p9tFgfxNO0kjOsB4B/U0
f4j7fd6lxktrub5MePfkpuV8CRJzGVWCvwwTzFjNuvgWJDV/aZvRA1ihgA6KnuPlYIFKN21gNovY
qc6DJV4h2V6vaIPZzO15hOUO5uqNJw8Cfvr1cjxwl2KE2ekNpB6X47z0oKO8uvVlnumcoM5GPTfc
esbNj6E0QKFqWFCltx8g0mhboKHi51PBGqWw4O7YV1yBdwtcglNbb22Pe1gy4H9BYY56oTJh3Yc9
ctEDvDheAeU2trMBXWcazX6/ROUa10t0xkiXMPSFY4v/vATN4crl10uEGh1x+ytS2fw58yDc3fBQ
oMudTekAFERAqRuEKvLMDA8nC0bmGnN1GzCj9D8SMVJ/Bz7mYVw8lyXQ8MIzHJMDKvz7Zs+pI8uZ
q1ntkW8CD0SnUDu94Ye+Dzb3Ot+qfm8Cj/pz1C64+BCsGuubxyEGlFRWsWo5z9Zh4NkXjwWQ+LfS
V1C47Qtk8uwLlFWOrt1CClJ3wWbzZzwNpoDvHpM2fqXWr/gCy4z76wXrZoBF0AS97tLpDPgTBPGW
iCxmxgDWGsV7Cy2XU6MP1C+aQlE/tQY7q+69Pl6IVhZrdzDTSz1jO5MmJrhSQGwAlBz8mU/QDeGw
XQl6bT6Tp+7FZKlcpU6P1ETn8j0KtN0mhxOCvh1C1MWZkjeRT48FDAX/VNl7VCb5HyNuwr4tVPKS
gT+7zDzIe8HaLdxFjsvOsLr40lbMhcpAkKx5zN1N2Y/ulwyMNFaM6VOYOOw/PnLxmZAiDTBQLdey
Tcf0/o4HT8fBMuYCFSrZS6SBJnbsDLAUsqjlq6mQDL6d6Lsdgk5rvFnxj1sXnTGk/JcmiBPLoZxe
Bvga/dF7AXx3Ufj3vUot28QJfkyN8R6EbfRmjlihAL9sXeYYJmOqU+mpYdLe9N2YHaK2Sg5TJHIk
/wGZLP/jXoi04qcvOui2grv4AgrQb7F4+vRFT23RIyVaNgcLrME7UDXcbQdU664Ny/B+lLZenRvt
E/OQyYVGT/KNw7SurqsOebEqWaJmxr4XOWhDpgKe0BSML3mn6lPhVM12mqSEIY9bH8Gps4Bu6ObL
iDumH+cmUpUz8lV0pajD5gHu3H/MZR5BqceWL1NoV0uBt/jMzcHdmH3S75GMM8F9i/O1ozr7MUhh
DBYAEPsuXeNk5zak20x27mUQ/ell+bco4vYrbMaCBV0ihi5/c8IvsYe9wzhtSrCdFzfLMWbW/9Kn
tCsZBVNcFecA3NqwOwPNXy7qJgKiYhyaR2AU7bkxHwIrbR4d3Mp3KYdPKo1F4yTvsxFZMHyU1UuE
Sgcg0lP/Fe/Bqe6B+/IN7zkwYhffkwlldCX7H1Ab/hrU+J5gOx0vJOpE99DKTxZRHr/fFo+l6gFA
MNN3WkrS2vH3riIF9qyEnP8mjJpFWXN8F38/S0QKeuNY1iD/GDj7MLrCvg1YGLMZ1CNtI3ULgt8f
WjRGm8qinFeWjqRN5a95Sm8x9RjNo7EKrf/bvF9X+TWPrgIqg7fzOjGumniaDq7BxkNV8Myfu8q8
9oUgw8Je9a8Dxd2adEZ9fQZBb+R1twMMdmpQDnC9MhszSHX05uoaN9U/JHenHXfH4tEF8WwTR5FC
FgHNfvaKxxQqg4tIzu2W+lrdh5+A75l5daYu5IeqQ2yp79TqwgRMAG7wDRTukA4JYaehM1d0MClZ
RacKJcZNhzwxNlg6z5XN/MhpmNqdEQGuPqkYXgo6wXW7Bp2FKdhxEGiKNxZoZzuk1pFOBBb46IDk
dIDGub23m+jKByz7NJx2bVfxdTVBvyD1BFya3LbaTaKE0Fgos2NXVJfIgv9DJmR4uUVQX64jACi+
UDwdcN/5x2skbnmPrNdzZ8fxNyHU0k1G6wvsv+31IC17WzVG+lwFxQMFRHBI80cDSfsicaElyNp4
CYPd6FtttEvQ1KwveWw62NNAPQaLDzAiwy5YI+VWYhWJpmGF8SUH9kI2OSDougt3xZ8RNEh9v0fQ
NSbLLpcAnzf3DXcuwIxCXcOIkUJM2uacAE+zsEYhv8GdCykKCP9KBb4xeDoVzNfGn7HVFNl3Y5tv
46wZF5OLNbmVtVtWhuyPyrKAFA3qt9Zro+VY2NNJgZuyQxWw3ppeBac8PWnQk1qQ2+AD2T46ADzj
g0nTp5LlO1449pfeyYJNao/RukGSEeKJ8/s0Mxfa5k71IJn1St2gxjFgGmH9AGOpk5cNi0zU7oOZ
MOehLW13X5X2jwbKgwnEKxrg9aElGshE7iIw0N5SOKWYUP/KrXlnGEAnZzCneOON+aPMKnFmVa+Q
L+iR8dJhkF+3lwLSjzswC2NMLua0f/331bxhfc6kSIjS2Phteq5tQprms2hgYAfwKTSN5NB6vYC0
gzFoJ4ooW8HcDIIoKFutZDTK704apH5jKfOFtyD8h0Y6noUXgVUnLHUI5h4HJDE22oj73FoZbANm
lNnMXD1bHQqEUI4vFiCZqGe3n/sD6s/cT3WzdgHFbewh8b0ibJ9b3o33WHe/0lRZtMW5lOGRZjLL
Zg9B64FBiYkdj+SlGH60qOYsVRS5y2oUJZgmOHRzWB36eEDi69Y28xi8plub2e0dd9KhgaBF1BuL
XqtedPGYn1vHzDdgAjCf+m4HM232ok0q1JIQS4cPsTBdv68z9gb3LM9PmhgUn7w1o3WUJoGPqiWf
sKyc2PJqIQdhcHGocb8lVziShbxZDFCTDjMqKwcGcvmtiyZ8iqUwG+6qS3vMOPODxpDnyRBHVRrl
ncTagcEsDg5JoCNIaKfotgOIwQr3jennHDfo2LZmKfxrOvydflhWxhE5+TVd7DoHm8NF6Irp3uOh
d6YBqDzHPo8LAVDWo9WCT8AJnTAgg9s6w+PVrY76CrBplnYOzb4Pnd0wgBLsMGQONJ5B4xwA3b/O
vXVRfx1oW+/ENf9DJZd2JB93LBLrOCxgoQpsooT8N4GmAYy4ULRTcnDzHBzoGslkpJBz7FOjGlqo
RfzYaaJ4ybTdcwHpuMibl1fSM+zUMePff5fW5x0UmJUG9F+5h4o2hwfsp4VlEtt2hQQZlItcnt1N
gDjgq4oDnd2aeVlro6sKKTY9ijtNt/Zk1aC8PsFPASTy+wYW2dS6HaTTPeRxBLtqHUWHBJTVRZOg
fBvnApnmgTnVtgDnyI97OKektYcCbqZ16Jp2NLdeCqJmBaLmmrhW5INKZzeClWXxv0K0hj+Nfjjo
viESj//+vuk359OS3HOhkOQgo2lIG8vRz++cUsEInlFb7wsH618b91J7FTh8OCoNE8XuJPSp2eZA
hooGMsTCQdq81dDQAtbKfgou6LIBw96HeFp0LJMWhXqRH2TRREfqQgEOCG5qOzl75OkoH6Iq8DaT
2Rerxu7Yi8knKDrASn5HTeby1E+tCSxwPZrB56TyZPNUq2p+hJ721okkQzaUg9tS4s5ITRl/57Dy
21pRky0SBYKEA6noUwlYxuQq0CUau3/Cj2wRRx17oICwrxTMXer+QIOgAUMNN2vHNY3ORmqAoZVD
V6JgPgiK5St4ecG6QXF/TaQJN3CKRZfgZk6j2Dvs4yprHsO0sC5W4a6IS4HbGcwidUIEbsDiEIEg
uYBeBbO+o/D5IxkqOF14MEWbiJDfvCZZ4zwSv0hARGTVBxD5rTuxdNos0jjil9ARJrBQRXSOygGL
qUmEb2UBLskEENwOwMTojYH+b/Z58qr62DhUjWksaDoyB9GizJsYC7IuewYGdQ2/Q70xZOG2HwL8
XAcAUqwBTggzy4NtFw8ZFMShRX2VJzNU+ianKt9fsf6Q/Iz9xJGJ3zCv2oCcMgFUYD1wWLY+8ik0
z6wd36kblmX92ooz8MI0z7jPnQcRhzEWrYiKuvF90JPd3OrXdK0umjYBks7YY2n2lcqsBdNm45H2
IzfbpWXhy0QNqGRnS2vomw01mZqKI2Cuzyl34FE0duzrMIj2LtBW553BV7YDVe15SrA71rIOdRWX
905iPELoEL/+QLJlj3LtQ6oVIbhX0v5n3nlDAbqQqvrNNMDxJJbTPbNZAb32eLSg4ju8BLM9nunA
YAt5LlNnC18leXcNy2MBgHwbTatshP9RKWI7DrH4r19c7HfXRQCjKNjrOm9DE/9Rekn6AGMVuIqA
++Jbo3LfLA5lydACY7sVWXuRsTrDSdB9iwMD4kxN0O3yMe4hx/xMl4mT0tsw4YxraoYC775nyOcW
YLJD6lrww5jAXItwo/SRPPAMZIJrbz14xfdrM2yrCJ6TkI4p/TZsjZ3RRWDkZdGER7RhPImu97Zx
EMwLeKoaT1JF/GiW3hu1rNFrL1H1zBJEUg9+dndwxDBPNNm2MtvPinreX8Nzu4GlXr+wUGRdcVjG
P1aaKmGAhNJAtf5IXdwJx7uCl09Ih3EIUqdGuKIJnlPDbtK1XsLJ7n1kDfAqYRGfKnNGzSqDXgMN
uGUoThPovieuxMcBU89gDGZUn2bcBhp9qVRLPKikWpleE3U7GEFtotSV67BKyvuy5H87S36Njk7W
480unfQ4AXa9wBIeOf5AvYB5AIet2oQcUtqEB+TsUQJDWhMfcGpgp1RFP1z2B8jcwR8R6gJ9n/6c
I0oQ8FGZC7GIayz4oSrMsSWHZZh1m5O26fd+UsF+CJAebiXKOWDVuzsmGwccMBisKm2a0soIggnO
+HqLsKrQeeBx8Dmised+BXz8n80IX6LIHGDiYVtuu+4UkiKuMV2A2DNOKUgvx85p4AzT2fxNhQp3
nq4ajhN2RRcRzGfWF9BbD4pp5cBLZhsNaHpLOOuMbyYTyU4agPPSZGy+HqCTHl4GNp4HIDHWmRId
+EaecwkNfOS1a4sfTnaktylTAKphrWA/514Ej7BhxB4u4u0BxajlNE7bBt8e7O+QBe31QcHiDMat
9pm6vK4ul4Dhqg1lOgFCmw6TCy0MezC+u56brCygB/0r/7gU29HR5mYjuMncQLrDRW5ye6UqB9DZ
gMTA1vagBgigPpShflmBXNtdOGq0rnYOgZslGE1iyNZtOyv8PUMyv4BrCfiDhkmx4NGAyeoTqYMW
4mJ2089G3FyCodHOaNysv1VqEDUci9xsfom7snopcvB37E5ERzDrxGtTQkIutF76wh7vnR5Sn9Tt
QmkFIlhpvh7EMOKvjuAtInCLc6ppus8Lw1yC5pYsqWnpPjqjQ2tN5yH1vB3PYu2Fo0cjmQf7Joz3
174GlLadDY7w1ghsA6tf7KXjyHxqUSt46tiQo0LgdWveJiBdORAI1AEKVuBLF+zouxJsmXMPTu84
Jngas7q7DPnQrcBTw0a5C8atYbqxVncc7kA+4fCqa8uHWjHYGcAX6QXywTme8zBqnzVBL1EFzOUA
/5JWnvwZZuyFQbT7zcqSbJFnJVZf0xgANIVFQ5xWA9aDjG0BU+mfuALvdWCpvaRR6EUWcJyPU59G
U1Z7j2GPxJae2utD5IpzH6LCAY2oAf6yyOJ2uG0d08w+ZH2TPk7aHthiILbWCmoC1LwOSLic0wTq
o4M5Qy8LNaB7ao0ZXAilMcQ+6pZQ0wWAAcn8sH7KDAs6RCCYBtVsbt2ihBOtJphaRvtHab8akR1c
ZOF4qxwKQXdIRAV7bBzgk90Y9gPwls3CKkv1nhTdHfxfrD8N8GS6Jo++DwDp+8wKrb0RO99t1toX
91uJJe6Fzr1wyBaA/Oc7Vw/18Tjs4raErqZuVgPvFrxjI5Rl4OE1uGa/qCrsQ2+LYFrwWk0HZzYJ
JduwAL85rEATh/fyz7MYfQMgpwAYJIDV0tkt7vfR2Gos34p6tXFrZW3bjJ1u3j50Rj4+ZOsDNUOx
a1x7G+awTYubBhjOsQFnLBX5b+0+UO5KCby2B7vV2TtKUE2P3oBdN+ja4dFJ51ItYyjQ7BrHPcJL
5LsRJM3raM9PouXlpcT7fUixcFtehYHwLeEDbvdza6AOmxvREpawyW4ADGEBUEvo4WtQRu9WB8Ls
81ibX2c3aNsLhLLh6uR1OYRsUL0X4dRu50oKH5YGQM93AlgtONEIqE9i+JqqvfWReRDNoRi6hIxh
ghZqI/I6cQDF16hyr0YVWtggEghpR1sHLnTLJsitQ94uc+11VOk7WqdvYJ+aNHDrq0bAWAuj3yl4
uUMPfGDPHsDgpIFkK4gd97EI9wMwZbf+YIJE8q1fRsWW3rJbvGdDCkXh1gyNyRMJqYYBhDNkPeyo
i2RVf/WPKMDuqMuEGNKa65wSlMMSJB/aEAY8Zvpg2ObXPpnqN5j2ZasmC5tdSlkntR4y2FdgTZzv
JePzctRR2CQn/gjWT9NAd99ujArpbiM9d1nyFZkwCLk22FxwAraOrfCNPOoPhJenUWriQ4H8sw6+
jWY6eNJzhcbgU3MImnYR4PNY0MI0UQpitGmEaphep86otxxoYUrNkgN57uyuAmcQjs38ssi9QxYi
GdeUEECJawhBQNnWPsz6QE06VEVd+e3kzasMcIPGv41QIE3JQjxyk7y0sDIUFW+w54Lh7KsN5M+R
ecx3gQZdOjmWjIRNAMPzaMVJAhpsKB4dB8VwjVHoY5XsNQhoSVFQT6mXVVKf4baTjw/XpVLKpbbn
motjhTT5CtxF8wkArtbnrPe+d1G2cPA0+1MAn8Ura3xrO9hmjspOHlB2HzegrXQwii6/wivZRqIc
ngcAkMEibrpz+BR/q+NpWKJaoTXL4wqeP38FqOouTobk22yp3wLM9HGcHdxVPK+AyEVZPEVpf6Jv
JRfwEfiHfqOHPAm+N+VBmfigdDx96w2mumUk8aQpAzkrE5QyGd8NbDgg+wz5eV3woUqQ7hJZCXo+
eUD9as4anpXayru/KtF1eVccxyDHFga11G+Q/fa5RvOBmNwCFdiVl46xYQMmebfzqrDYTmHugD1v
Nw4s91rDsveVLD4+2c1sWBeKm4fbw56e/Sk2QJCnLl+oX4Tir8c+qLTmAo/ybEVXKtysxg3Ymny6
/8i5x/IOjqWrW+XoUx/diJxfcdSk4M99WGJCVwZ85xLgp91cs69YiKrTVZMi132TkP/YN2i9lZuo
RVKXfBOIS1/gm9NLL/nWYqEKrJvzw55GSOSMs3cJnTbdWKkmUjqmdYJHwLywZbWze1ucc+B4lsVU
t2dwoPEUdVJIrEDrdg8ID8OWdEpPLAMzoQQ35AkiQC6Ux6f2vS3NhybWS2jD/rkmKVR46Kw++dZN
+M+iaHCfxzl7GQML4lxj1m0IIh+1cKFQcPbZ0MqQmjRKa8NbkwD0KvF+Bv+/5t6uTC90mxv9/mfQ
6+ItlPfXhadC0hDgPwW1Hg2bALQCbpaWORZHUMc+ISmukIsRmZ0FUNjjklAZHrAvh8lqt0ox+2k2
kDKru+phtif7STlQiymkN951ejCZIfnTtzPfUhNa3rhJj9W4omCvD62dFVTQ/9NzjSH3jlmLO7hu
tUkhH7Ng9GkmvZS2aB7Az/3pPey4T57ezoc2dvJ0JjPna9Vb2d7tK+z6bd6wVVozbxFQFsAR6XSE
ud5a9dzeA7dkL3JbgfunV165KxyQdovyyBwVvwz4q3oJdRCk5JxdljrL67uHh/2DmgYHHKAQN0Ph
us4+CvAKqTknl6Jsw8Ug3XhVVrLqkchEZOYdLQeyClU4bmB3kZ5hfqKWsA4tXlClK7XSRf0das/r
ASAUEEm6eOkChPqj9EZoLkZm+prULFza8Ks9j24fbXTR4jAYIj7QNWUPX2/FPPeuCFJwrB1knUbZ
mTujRiYHlfb5AjJCDYkO/GAM2GRGZjk85N4cLOzWOLiQ6ri3aji5mWZVQYMOuS9ycaODYcFgVbPB
WFTVz17q7P6HsfNYjhtp2vUVIQLebNs7No0okpoNQhp9A+89rv48yNaoORNzIv4NApVVBVJiN6oq
8zV1H+TPwkIfVEQKYVg9C9N80MxbHwLa1S5q4XSgVBlsU9vKznNg6s+2beQrKdLVnvsT/pL/YjRB
eXKcgWqy25bfFQ0/B8p/agNBB1WdZ6NotdtXCkUJ9qFLUz740pwmleay/N6b8pVCAdHdqGFb7YoY
0+wFaCnOiFVkP/sGspl3n0TWJhg4U3i5uTMuQ5eQBrMI0q/3a+ISkomkDMvHWou+dgoEP9uuh3Ct
N0W850z2j3bEW2Kl9FTPlHifNxP5t3z6dfM78vlGKVQvZsuMDIA5P5CCxYlGBwmmqMFVfl35bSRE
HvgayB7S1xixNO//RrT8SHi5gUfdDxWyuUIfmEyms8HA0t62AcL086BhO6en84aUjDXcJpsL9LSJ
6+0c9MPtJ8pDl1ANJ/026ndIJt7/g8Ko2kooXP5MlaKCdq3GNcct450lAstDsoMHaSJS9ZUsnv3k
4/QIgTfdSRi7iei8SaHMPLa2tvy2ycsMMO5l4t16AAzkLhacyYtcUoRd1x3snN09BuT+KQpzB9gv
s/IwLh61kTQIXwPAz6GurEcKCfusGsMvHva4j+inLmkyKBaS8+mK9BmGNR/4uWwO2cJfFRJr54y/
YneaqxHXJKdGEYps2OoYCuY/MwlaShz1tzZ+kjRUPWbWLZyNaf0NvreEZTTJPFdSACp05kjTfjYL
z7krsTBW6+asBEr2HfqMR6psGpFYa/jbcQp/KD0vPHlFlB3MyJ4fK0ftNybqsG/NAqHqFcu+6mry
F3ws8zohykdCzHf20uwzH+OCQFHUoz64X8yJ6p50yGX2zXSTJuqrW3jzs1cnaxTsEw6a6EXDRq28
0+0EqQ3evrcs93ZkRHYy2NwyIZxndgKc1RLHO9hY8q6kKRc7nX/F7pD1MK9/xQSyS84bjfukCw+1
alrgEyn6V54Vv8jFV+MN4oDq462lIJrVhOaztLC+S17agRTtOKDaeY8ZOfoxFV+DlKroLopbrHmX
C/T1X3c9pPsgsh4iE+QOIhl06pDm9q6HEc59bOpFdPclhYB8eZRlxuM6HdJlJ7vImeV5Ol5iKELl
ooY2NcaAOX1Tfo/NKjiKhllTlIzLwlzdOhHIPAkmyWTveqvSDp4TxQezZNOizWr9xe2L+suIb7tR
oqmTclz6YkQcwXySdVvprBwfZRNV2UqnTAKAHK2txoiOMgLRRgMt5GX38vuRmeu/6SN4dnv5Acry
Q/nzXIoqhxOsR+rKQSxgU4Vt7awrUuRnpwm69mIoYXp2c/xfqaYSlYsEZZJRlJDvHD9PkgNIEvWY
ohefwYJMo10dZe02MjFSnU1qj4nl/6/MrHfLVEGSWqO9Uco4uLaBihJZ75DhcpX+xc1CgIYt+Qx7
KNfdQvkwJ+ddb/PivaqgB8qk3DzYJEcnA1ZWgzPaUzxSi5CL2vG9K1QUO4lIn8mpcpulKOC4JA0+
DdWQkvWLWrveHxGmgbcNnQGK2jLWDyxA0lqGZxBg5i9FjyDmggAd0/FT63efwEEn3fzJNohdfcfX
p0l6/RUu84zM+BQ/jNgdnmalQCrNVIZnq4i6tZbV+R+Zpl8KNdD+UkEpQMy0fqiwwVbwjgHKRWm6
m6u4wI6i785BNxi7uANIOdZuuPZMffjeWOXBd+z5K440707vduuiZu9F7tn6YhZxfEK1F+m9pSmX
Nnl2PUV/kcZ9fFAq5hd9GR9pZCekdza8L42uZg+gqbdzk/iP5qKsZxUAJrQ0xHx1aYp4XkX9ZsAQ
+1FCfgrIrImzkFrG4jn6H73V0nvzt1ue3sw9lfyi+Z6Stt3VCaDQrJ4+vGzWf+K1cyrJZn8rALas
XCA0K4Oy56F2erQH8/prkvnGU6BUyWsd4A+6hBvsz8+K3w9ru46Mdze0/Q25PovlAK4ztaaKrQoQ
5HeIBWQVtHrgTZu7BzG2s9KPohyc91rJtRNfJlCci99dNWAun7Vu88jb0nwGA/1uW+UHHuzvnpnM
H4UNIQG/kZfOB1YBLftnhW3Xhzc6GT6xsKz7ImxWaWa0u7m/Znpov8jblWIvGitmrR+kmTlBiGHB
bK4GI7S+FIVtfWF8PuyoaVcPic4e9tT0abZJmiZe6SkYXPlHqiVsBQUg2F7+C0oSoquqy9WrZQ3q
WzRfJUwV00d/iElQeHYOC+gw7bz5won6qdJ7OJ8I0+VPpllNK4dj0CGFeQNpxoX4voxZOBFrDFWs
m4B6pMQ2ZCx12N8h6fxnuOcu/AVoD/SxPN4KM7Vd84kAZ4GiVvRjjhXITIFSvJQepbrMpIwlGeZg
pfh58CNV+PaiP66fSGXWLzIx0Kk3OnkeHZvarV9eyOhTjVrqUgBpjAP0fFC2UoUyq8FbteyrDrY1
W89WuLOEZ2OWJNP8/uGWjytpFuY0PMhpdrY7c1PO8wTrMyvwB+QidxyWk3VkRMb2HquASH/qtZyC
xM8y494hg2Wus/RKh1woMPwad++9P1m1w6PRk0SJiuHD1Tu+QX6MCV5gAqOK6zj60vjVcElKc23W
WrdSMrO+AdKz2TRXiC1SnVjw6U7tote39Mq7S5r3Xhn8f5iL/Cb4snsVNeTl3qUg1lw5cYUol6wH
YNI7Ka/KuM51leOAZ7K0cE1KcJlrnuN8cVEq8wy15tkd1zcrZFdFVSTB5queLeOaF5R90k7BEarJ
nL/ZLkJ8GTtKfG5B5V8ZLX88joVTQ9sperI0Y5y8CZKpyeYW83Ywi9L0uoJPb9m6Zw192RviqdEz
jH/TdjroWo3udlt+K/Ucbxj8jVa2q5UvUlRGYt5YgdWBKrik8tDDt3fewFZXevnaHKOGUopIfTqG
3m1ybGPWovUpMX8R+ZSLu9xFthkfGsd4nqbKJ3Xjoadc2o+dn3kc2CD73ONVr1f9ToK+Oha7xNeS
+W3Ui8cur3ykmDEoMALej6WvXXSOAl/cGk9gbNtQXTBNSgqBYsFp8aMHYYvA6sz2zgKWEkbInUFS
NtVp+X5eLKfKD6bbR6t/JYglhyyxwnU/qG7F+3tu+T52bC0ghSQvN2C7+8chdH4lvH224481f43b
981hi2Tt7LhzyAkg7m+VeFHVpfp1Ssruua3V8rkZ2jcJlyS0N3AhDnE3IZentkb2pXGD/skr0p0t
OsNxiHZ1MTn2UmtlveOtuK/tqN1oHadERGIdyzl+ZAgEfa2LmD0O7+Mo80ZckjMDLW+abcarcIRh
/qBR9kDZFj2/pKiih1It1qU2QvdVyyx49HRHuZb+9NUFznO8hxBCDB59x+k3fFGHjQyTXukwhpmN
tzZ8NYHsgDRZBsuQAVUj+TEyFuRGQKaUC4cGa9XZqQXdkOZtWrO0i6XnU/D3LykPzfnodQjs2Enp
nktbcc5z2jrnZ7m9B6X5X7F/DTEtW+dLibrXvcP9/eh77F/PY4c+HjjVX6Le8VcoC5u/pI5vGadU
NTMUEbyt5JRusVu6ScaHkWHeum5BYffIHOr123ARSr7NuWes7j+HVPe0Q8BbXTX9qLGLGYI9hAP7
hVckrJyy7v4ErUZmiX2ljQSJWs14pvlol7ZFbjxEjZaBnWRfWFdl8A417KBoswXsr0xfMz3eCORp
zlL/weQVtJJmPRneIc7IRUtzrNpkW/Ueh5kFH5X32USiJ7YvSR06pwA/422AONpZLq6KoHjgZAni
+nQMdoCMiARvt7dBaUraX26dcarOiBn8mn7rdjttp49FsGHxNaFE/X1wctou2UAUmndyTJKOTm9e
GrjXFwmFSWAC/bXX90ntwAZIHjSb4XMEFOUiq2IQk8RANS1bK+ZSw7q3O6lXSbtMCwpimN1cObxs
JEEc1t20l/g9XyxjUZ/M1vLofz1famJuHZMDp1y/JzOrcXqo6l0I3ZsER2Jpx1nx/hrranq6xRoH
Kb1QSVHHB4Mgl8mar+FiuRvXJVIIqVwta0zWSea122HRUbgFebkhqbBc9Kxdh6Sgz9K6TbwN1DEt
7TX3u7SCCFCIkfXBus1Jjzw0WOuu6sC1tpntROE26u3RtjamiiLxP4EFAibIWcFPg1ojH0WN7tOQ
XFeKQ2FpfwFznvbYkvn7mpf2Gyokp6Bzwh8qQi3rUK+Gq+qPwdWY+nHtJVX0g7r4Afp//l5kRUzO
xnuyNT9kD4RQFDYu3pOhRFRYBu9VQlN/aAsveZWIk2RXAALTo3QBBu9W/ZCpZ+m0VE7VWYKLofQ2
ll3vMDqYt9KrNdjlVOggrqW34gV1weo6XN0ebByBTJS+8zyPo7Id7ay5wHLBxCgwn8q+HM+ItqBv
BI72MrqLj7G0+4rH1UvhkuVwnygJsBVccdW9tF2VU61VGKWBHDC5OwOln1VNav84uZ31lqNNvlL4
kANkoRn33SEP1PFF4Q/zlT8WO1jCdRRPj85YfJAstN4Sr/FOXQwaTTrDMEv3ZdVaW2lGXVdugkhN
jm6IlFwSxxwX1WSX4B6zFUxKizbIFT1t8C3gVYKF0ueH01vddosFR9WdzajBLxK+/CcW/NLklLgG
SFmf73E7FJm6pbfKwmQ7g7xmn/333Ky3yqOhjuceZDjVm6ibft32bjJRKBzbAzCyo7RamMrF8TaG
Xer5lsY25m7cBXbQPPtuEu/bsucA3wQkM+9t0BHG1feMtbJUzqV8LpfMSOMTRuv7e1ld4l1q+euy
D/zNTMLhsQXTbA6cvdYRrqWnwMTrIOl0/1kuru4b26IpzU30OxampOD7plYPMkQ62io8xf1MlX4Z
FseFfeiy9n9oVm2DzlRf5KIEnKwx6s0AUbhztp4Ufz9StrtKr19Z3tHRkn51n9GmgMvQP0DLuEq0
l2GChDsU3TYO9PgcxdpX2ZPdKdef2NYS5L10cbK4OfxrnNVZ7ha8R7VSC4/0je6O1aZWUn19V1UG
gEdPpzsfN6B1gdnpsTI999FZHC3qKOScP5vD2lqaEpNe1w3/giJYHO9xEnfwf2JvLQNYbClvqOMV
JTONc2peXnOlSU9DrbYcwdvkxU6QXR7Lbv6hTuEmL0b/f142ffW03Hoc+slYy8FNNoY60LJNbPao
BKhAS+8dx5Dy7NNUeRcNwAkJKs86mO1gXnFd8zaTm/dfUwrOqxHdtj81dNIA7qJ5gn7inip786NT
dDy8u2x8VboI2+kaYqEZWw1mheGMhiLbrhjlQkHaWiX/m+hh3VIJ6Fkg+Y9s2xoEz0iFAJT5cNT9
Us1Prmp0a1dj69WhxZyfsLBirR2ooKvjhzRCVqjL0ETOqspI5aBeqbeAzHGfzcu+5XCR+906a2MA
SUtwrGBYbtT7bT0UzlkuEoRncfCrSDlI6PY0ub1NvN0GJMT0aH6wEZqsV58eZmXYk3ZjWG/0JQuL
gFu/DljJtpKKlZjcRRm2ofo4rlvJ3d5StnX6px7raEVb3bB1xmb65nYBCrlh/ifrQ7AuUzd9Av2X
nP9jxOikwVpPxvRpIV2efX2213rV5tcRwYWnuk4VFjUjAD1FUy7qiMaQlhgvehSbt5DE595f6ZpH
vvl3nKT7uIIh0R1kRFUkVz1Z7NIWYfoxebDUIbkJ1EtELm4626tKqbWdzWfR2yAga+wp3ZSrOc9H
b9Nm4x+3Q0+MSDismJIdlsmdFECU4D/adj/529uGpOMIt0la/+vEcnBbWrClL7PNbZXJPJSNx+5n
qGLG3SN4sNJU9pdAjY58dY0T+6Pa2Mg5nXfaUV1imjIH2uqeFdAZzJvLON0P+7MMWWbIUyIjq4xb
HuH3k+/H/n8+6fYjDAUWqc6PLsoMX3tWfR1kDkp7YXo1BpwPkS9qbqs+HKeTWvXWW4i/yl7tO33v
9Wn03jvJsZtc1KH06tnwbf0aJdnHLTnZD/o1NuJPrZx1cKKqdzC8oIfjW6FFHpths1Ux+1zVug0/
ICmN6jLljzfcw+hYaz+a2VaKD1rK++LWxn4KA6rud/8NE2FZ+q/xgpiA8FQ8+frVNcwZ9wC5yvlY
jstmmHt7pLxfJdR19bylPJLzX4L0agToFM0KCLjyi9xj0hTIhcTwjUAL6zdGw2ptYyUx+QXuc52m
Q2tNnAJnHK5OLQ5y+ySNhp2cEUHG/5HNLgB4/mEvQek9Z1MKRvmGzCh0jtk10APhI1SkPQ8QARdO
H6Axbdb0K6ji52FpSWhSfgaur7xIg5c82KS5KG/0hzRMzE1YZ8leWXRZaq2/uHNM+h7dzE8LBCKL
1kOM57GsA/eFI/DQkbMH3mL/6miblxhJ1YF156UwU/t5dM2n0OmjD1q44/kTqZTWiz7swmIBzhv3
sijhvmdY1UXRR6U02iVqdepky5w+aqExRIF6kF5K+qycPNkvX291tNYZzOTBaT6wlFX2OC9rr5bR
fwPKlv3J1+SPAaDI6wzF9YCR2YzjRvc9X3Zgmp8Wq7Hl9C0bso4qTOJo5gsgMOe1m0j0L7s2y4e1
nUTuN5mDPptxGpy5ue3a9CoM90brubddG5k15D9LvTzy+g3Y/nVwrVD/5UMNwqAb2BeMASnMdsEq
ZFGeXNHvfuuXlp8i/qgnKdpUSr7sjap9ZBbhs3SmSMOuiqKuL9JMSIevB2xWD/Igw1GGxT4MJlpe
YL+bggqR16HOdnsVjA7eV79frpDX1J3iUk26v0WNKqwvEX99EFnm0z3uFC411sZ6kJC8pZvecDas
8cVDOFffszg39uAOige2QUnCmRevjVE332WEv3T44gE/clDcsKty1mGffvc5HOxvHTJQLn3CsTeI
nXekYlEPvT1BJgdh8T100oaUcAacOcgg++vmlB8rH7A6eNfl0Oab+fMATRK72uWcOJrpcw1yh+08
JXXXoyjtVe4ZlXN855vFI/Z2C2Cg3CrjyIwuKNC549KJhex9zKRjxexErF1un55rV50f8Ynx9l6W
ZYeiSetXz5m+I3eX/Rka80c9tbgbg7pfgAOfBohMTVWOH36a5i+DlyXb3DEx1FgucjfB6eStp0Xh
A4zCeMr6C+SqAPeBn9QPyETn44eWK9XW9cGLmhqfn8Ipk42ipfp3D2ZAWWrxT5zZQXh6pfZMciA5
2oWKFHuulGQSlL90r/OfIh9koecEbwFKpl+AHKcXq0X0XY11VIg5tSbYYTZIZvL+GqzxRCHwKjFk
p3Ca/X1xuuESdRV2pL9DMqz1lGbjFYh6S4eBTA9kir1tdhUmU3nyZxp973Ga+KlVy7ds9OMvikaN
IsBW46hR/njCdQLVMBecdWX3D7hslV9g3B+95aWRY/By1FEQ2EiTtHuNsqOvn6VZ9d/juJ/ecjQO
Hnxu4aAxCZIBjieY5exlFFJw77bRa09hYrOBcOZ3Py57ijZKh1IOd1Qc+tsdwg/vg+oaO4lboo5/
H+LhOlSulGLqz1k4JOcuwvswyMpDJYLVqLdZKxji/2jnpBU2UQ/0uBtMaP69p60E0xka4Xy2rAUN
v8BD702Bh8pg6a2ywGCfE30VfnuMMULMdo0jLaTyZJj6o1+Qe5dOuYR/j5CWiRrb0TbUXyPCtO0O
yRgDPwrmH25SDWfHtpoXJezNqxpZ+05N2xcJAQWod1Vpt5t7bJlUdvamb971xW6gN7tvpHDSJ4j9
9mvW5FjVYzuQKjkCohjirJXWNN5NmHNbPRxhSIaas4+LsdnxzSxQkmnDnaaid3ez8Auga+A1skSX
zAQIZAaJIbTcxfAMbKxA9nWMm9uIYOkb8j/zHkffYSvNYnklV5nVHqVpV+AdUHGbrrfB7rQKyYa/
wnqIXqZOOWl+H7zXnEAuvL6slefPB63q//SNRMHTA/5jN3nqRik8fy+Ex16JUNWS5kKHlOY4a8Zq
1lWc4M5llb7cN1xyh6A5rieDNe9kA2eKV+G9JyJ1QG2cYk5ah/muK3LtXGWbeQ6G77bvj1veKu2p
iFEg8dLoL9msmQYSyGoUuM+Y1UZnzMDibd6zUa9xHHHJOqix+tZZmXZVMHmlZuYZ7zYl+f3g5tTt
BDRTJgjOTYN/kSaT7L50d5HfQBVYTmRKqBjXGPUjad0Paf7idlxYbJlusaWwFmsjrBEqiD5yykc7
sFjLBdwxJBsT84YbOcD2lHyt20F47KrvJXpx+xJ7pAdFrf0ZVyBuyZe3677u022XGMqDxPTCwDWm
pO53QGPg/VdzGX0fozjJ1s664YxlZrBznaCHrtZhiOSVZDrlViWFBQybS7/0/Fds6Kg4pOb08q+x
pTxFgn52KavaBZqPXzhGE5RFJpXsehYnF1vHuTDWT1gUw4C0KhzXese6xHqSP5X5sKryYbpKK5WQ
Uuhb2yqDjcRab1qySD1LYUfetmiC6jxKovbelmASzPyb5PY2KKqNNW+XFhg8cwINys8KZOGvZ0iw
SnZVNo2PZecoq7Josk8VVF1PqgslmZMcy+UcTiJtQIzd8Vay2GP6meMVebkv3hK+N7ugyzcBWlXr
e8dtvQ8RXvob3OyZebTtKnX8N6A8WoDo98sNdH5DmQv+PKlLPhDLRLC+Zk7drA/jbcoB2ylWzmBN
SPUl0fbzhlV2rX0CDrJO3WgrzfvFQYNEcXr/rKI44KyyJLdOahm/zGFSP2BIxFlXHZcT7vjkae1P
bXLc491HplXw/UgdtHZlGBj96SlpTAdblF8z58HujyYwL2+vFW7yLbALEoZzVGyTgG2M44fveeZq
eyAE9t4fHPNN8dOTIBczNmBrQA8Y8dhjcp1GjLVEkERNkiMb33mrhHGyd+O+PXfGrK7byRk/woaN
LqS84Twoev+BWYOlFK94cuxLPRqevBH+60KtTRQyq/kAblj4uLOnPQ1FXrwsvlws1enM+xDR1zfF
a38gSNbuUT2o92IucDHtbvjDXoJ61dR7MRb4JsFsxHqn8uHXaoPVPsCIVmDKgXVAGqlh8wvAJxzb
+qvdqrsb6AEx+P2gRsatWeXF2enq+Av8m1sNIePUg+aWeZKKQWxX/rNzvZcXxsbsT2wxYnDTrMJr
mAf4uRZuvZXxjWGOeNKLlVVEBQgzC/s0k/C9F0jl7n4elEKqNKslxROiaSoYsfuP1PnIbQAXqaCa
qXxIx4IP8xegmIRI82uPVhBu7pMEYiYP6nFW2OgCdE1czkRVODTJG9bawQuUj9vaHc7TLgYv+CjL
dl0Z3d4JAm99W9OXxT7+/4yQnUA1FumFTcPlBjfO8ecuvempm/T0ZUqyZwnbVJD2LSZ1u6FA82Jh
r29EwGNahLahuhgd1jh9DKhEIvMibKI0eF1ILGPxzl1NfUiC8S1YyJquH0XbvMr0owp086PrH+YO
qmethN2hRIt4J83C6i9Vkkev+oSZmZdZsJiX2R1oYDgvan3t2EW9LE8tw2953WZYovOK3pVKXR7a
wGF/CdtvL36NndOriJsiTyVNcyzKZ73Fo6d04G4DM3pxMfG4iptja7XnQcgk6IUaWLrgYWJ77ngs
Yg6Jls7Sm+pTuq2WJvoc01nv4nolvVqlxi8lhzPplEsdI6vDyf1RWnwQwNMinKXPhnbp2nQ6p45v
XN2qJOUWVrCvivgvCVn6DBrBlg4r+4b7aXic8PXB30F5DYKoqL7C467W/r7syukPwNfVfujMbm8k
RveHvw9YRf+gllXtZxW5O4mS0Ar6/80IW9ul4zW7oo2cZ9i8iMH6dfAUp0V5sKICWKHKf3/HWeOC
shNb+DEJdk2jwhdcOnq7GS5yB+AAzoG0b7eVXZ9SR4+Ptj4EKM0vs+9zULUwssWhYAhj51ntjJ+C
qHESP1+5boAomVvnZ96zwVYwOJa7M9yh+A54WtvGllGcGgCkp95CZxvdcOR8FwA5ErCrNqrqH2Or
jxCVUv9xMkfz6GP9sYc1Y3yRsWV39Ts8JH3Vws0gydyLltlYdGbDGuuO8WKhW3Exlos9o+28a1y/
XQHtA5rTWmFzTT3c37SQ7U1v9WOPhgXENNXDs06ZU/3Cnt1GckEBCeA0Zzb4GHVJh1FOzdlaLn5t
nCLyk/vIJ/u1dv06PhfKrLnYnXFr+WGLFmad1IemR6EVH9UzOWrEbeTW8tKOxWuu2yOl0E/Ze0Nz
uvOk6atbGj9ZfBJDrSSjL7e/u+8eidTkOUZKO4WzmAUzEmSeGR6AQ3xkhlVhZPL3hVNuM66kPXmU
bdOeio3Vfx6CuXN9m1G1U7Z2Y/aWn6bdnwUHK9tl1BE6J0W/LQYQjAgcQHCjwpDUTIqjgGw6ySyn
XpYfZKAE/QU+fIPoLKNV1c2PxpKpll65DEOXH2rkY1bSoYfWsQbofZpUtb8Oy8UNjJiMeultUwQ8
rvcOufPD4pQ0nFalMwwVLA2XYa2q2GdLQYNhaUlcxkuz01ij5gARKmlKh1uFfC1DaH41iLdHOP5v
+EugtNfU4aNcJJ5bkKNL/IPAyv2zQ1WLg5WU2BwvHTJY7oy4zK5Wfs3xbDNvnRJ3pvwA3xNzwtQ4
/CuPK0eItFM/UioSB2nJ5X7m6ILpAxs8dz+WZBBeTS/K1rdMCv6wz27jJJtgtqKrkpTBJXH9cktK
bP7ga35yGz/6qXUcmQCLFq8UUTE2jJsYU4BJf+68UV/JEERAycJo83d5GonYet3OfrEvAkfboL6k
fNXmGOfxpot/VqG1hhpNhaYFRoXfrfHdzADBV7ahfEFzAtuBop5IiKjGURk9lsbSyB5TtZgX+OIx
CNnvxbnmnoUS0k4CFYw+Nzu3BoaynNVkMDS+z8251sZVlVr9CWksbR1Y8MSwjVsLWwXgIecbqwtf
bT+I9gEwmBOvh+ikB1QXpzGjHNR1Z8vGoNZYLnLnan12TmcO+XkyXKuu/xWXzroz0l2tUruQ5r1X
5gcaugENtejdvff+lN8/sOa42bEv/2LbWMw0Ttsd8cAIvtU1KhbJ8J6xjJ/9rrHXErZ4V7CH8OoH
GMHWK3CTvbVIwHgjjjQAwUF1LbPdNHpVWjV8aSq0LkwH/1RnGWYViCW4U/go+RBJbtwzI/+HmAzJ
9Vk5OqWNojGplFueZOiewznWqKRBI7EaPtDFeKKiw57bjtkzsgdId/9KJuuFu07STnu4x/MUkb2l
Oik7+MBSdhTvqtOcxF21cZPaORSh+9AnKSBz+KjwouqFF5V36ClaaTnubiN1y0bDbkQCA7XM6amy
22eSOe1ZqF1yyfM82ep4927unC9qyNnFxLRDJt2IXgVTzWWqxO5TNcwdNnHCO4Dz2a9p0nsft/zU
Vi0PJZIzZ+HUlX6ING2clA/SrH83hXiUeMmvXml+6l04w+Kmc58rg9XMLh6EpXQfnGhlt53ViX/d
4g3ssiVW+nDrLQbA1uZTI9zj24QxuBtToiPxwPE9MbXz/TI3of65yW8BQuD3mKwgZYT9+5+zdKhz
H23ypnIgBKrUKJ5DffRPJgzmDTog0x9xMDyoHULTTVzXezmq/uvkKoffcEEySa9c7CZLt23robr2
u6OXo/K9LQNlclsbSMSAtkWoEtGBevFZw7bOP3CIeJaWxMV0TZr3Eb3RPk8jmIfVvUPGKbPuH3pr
fP5k2CZDqgnD1jB1jmSDXgWtbi+4dZY7vhhN0pKIo0nGFvtZp3qVllyQZqQ0MmOULbPaog0flmfc
R8gz0AX59QwZsTzj/lPuz7j/lOUZkFOc81Sa/1NzLXj1UverDQjiAVe48DWqINhP/VztpDMCK3vG
JgRfpKVXYgpIzYLaxouEPE656zmN5mO/jKhRvyNjBixXequwaJ6qxfTw93S4IfvGgh64sLTTautb
efgXMhHUnbAwf1NjzaRI3arXQplKjl3eBMionB/5MlKJ9TLtPZ7nbx4pw5OJFEj1owkgGaZUuw3n
3S1M0luuP/1RGVTx5ynBZR3N03aOURObB6R6iDuKTzxtyrOKLAgfaTQDNMPPd4IJS2N4n4am4Zwr
GDPyYP9oS79rD95asGVmHryEphNvQLOM1sqvsvE0lcGz6Rd8cfqo5xVX+k/8G9Svg5NyUq5tY502
dfTD9ize+739rmCluk+HrjhksRW+cZJ9kAEt4P41J2Hsx7DcwbgnODotDBWXP9NDF2JQhjiWs01d
r35z4/l9mFrnZ2fYx9gsmm+O0k0bfxmq2dl8njr/01DRCv3nUJbM6NSR+yj4UF7coi23ql9qHwMk
iERr45+uYwSwjrv8FfG5Ye/6c3SEZWQ+g9BBCWkZUibuKg2d8Xs+WynbnyG8shEMyRV9NGaer6nj
ANaz+uIPpQm9M2Ld40umuuVDWCmPFiv/i4QU7Bg2pWNHu78n5FsgeOqj9IJcRFqmAH5e9GrOCW60
lBXVV+Mg3aZh55w/vt+mKp4WgqzCpkY6gxZNlYYa9Q6V/ejQzXoGqkCLH5u6552QpL16aRsUtJcY
5g+9eetWPXwgKy/HxriJFN6FfIRDozf3PaKiv8ZEmaqy26v4SN0nyo9ReqQ5FIx2QoTpLq6qQhcm
w3S0pwTZ8kHjXL5kl5LWLDdVbg9bxV9Qh7nKftUFXu5XQf7olxgIxl7RPqH4FPJ18Tocn2hOsJme
EMnR96i6Ar6W5u+OBK9rBS4NTp7LsCUeqBG6tBnMk9h1ISSqfIAuuWOd5Em3cX0DurHJXcD1feel
u2py/ZOmzv6pQxUKFvzSRjf9YUjrht3J71hkVL8GymgZ96m7onKobKXrfil8Q7XWXpPkyxcohZMT
sbMvE0fF+Vq33JMd6H1yCWGS+XzI97zssZ4nhUEigoV+PekxAF3FcB7kLtJsHxWm+cs9npoDvPOQ
N8ZDi0vxKkuzcW8nuTFv4iWoadNtirQ+dQyKG64szx/20iNPHDpOQnZBHZvkWYwwyjorxv9H2Xk1
x410afqvTHzXi1h4M7GzF2VZRRatJKp1g5BreO/x6/fBAVvF1nzTEXsDIU9mQkUSBWSe85oO//dw
vKyRNDeGtQ3EI3e6y7T0pTJa+uTQA2GkT+Zdo+7clewXvX3rpgieKhZFVqzin1ulChAGOhgFjCSA
c8gH+4ESwVJe2orav5T1aC/2MuqzisLQbTE6X5sQ4Y8tG40J3GjTHuNhJ5kcyd/gF+oeDVyZNpL0
KcVPDUWQh6nt2lsZ0i65H6tr3WOWh+o7OVe5yjK2LdO3sZDYb/lZvMvYJg0OYHZylg+jW4N2TyXn
FDe++iyhwYJxxlvHhF3Ixx3QSHk2saRK7BIrziUUOABKXCCtm+ssyrDfG/NH3s4UcPTUf6qb8LPX
TuofJDf8nTXYqJhNXfE5iz8WfaD90Tcaz9QGchKmk9ofJDkQW0yrD/lYzndaZLRbme0bBXUSuHL3
edo9jC5qDMNmRcuRq+XGDBz3zBZa2WgLtwUa5VtTfBavTem9DhZTRifCAzGtZ8iY5Wwcs7RVKU13
IL7hjn1VzGbPm9D/qcQT4uZz/rkMAkRDhpTqW9JbpxGVlG0xA5SY2auc+9GqL1ECzzjoLeeDnRbN
JtG9+AeSARvHLMw/41h7dAal+iPXPG1bYXMFocpRj46HNr5jNfDxnaA78+ZTTkFqtr+fJeD1zn0d
KKd/HsdyqTgMyEzh1q3VT6ggw+77Ngqos/XTpRGW5XhhvW+w4g8ay0C8CqViMF/ntei1HpvWveuw
PH6HZ7J+sZ+0xL8rlxnXDe2Kh1o6Ut44By/1lr+WX4Yf4S0eQj2w/kxDDFWpcH+10Cbe9lZXPbdF
ZB/U0GpuIcvmd3mlZAeN3NbL7LvWRjXJMC3THbDPeypO+UG1IX38wFX92caPopg962Tn/gShj2aK
wOUmpRBwz+quRlZ7wRcvVbLrQRu6l6B1AN8v8TI1/UPmme7WCUB5WED51kX5tSnLfWlWSRhdRHbg
2nzXSxH6Iqt/6e0L9c83LmzjKNS7nczz97lremcnhcZyI6fp0h6mEQ0KOfWz2H0bFaCbc05KNkux
MT8NmJHkkLaJDVbonwFt2IdiGF6cYUa8YTmYY8IiX05V030LXrslNijGH3rZ6hh5/DWttSNY+maA
2WLNquSMDgi+pd7c3o5Jaz9USgoFfLSy75HDJkGtzHvP0b8Bw9UeXFNBAtKFdGZDTrQBsxIcBrZu
QWK7h3os9QeJycGag3vXZk9uVSXfm3pU9HvbfpJR7a+hKBFDHDbnL9fZ0tlaDuXFyn4uupoE6V+w
r6TFQyVP2rsVbibNZUSGrXNbIH4DTwsE6HKQ3ea68fTTnEJaHx8kdh2Sl1TGNtc20tDwvWDy7GVg
hQg2JeLJQxLMBxfppoV51lWYhm5eZPsh8Wtk5ZN4f3WrBjviPfTzfM7LXLlFVwhCToxj342pBSY0
Sx6/PzMcnAbBcId+WVabYYFvy+Fd+92pdDmFXpzHRfZpBLbjDcOuMP342+Ij0StAUywXPCXWBxWs
1KQ5YYicH0dN1z6Yff9DRjgOjCDE4j/nIFL2eVnoZD7z7t7RNGWr6Sz1FUsBmOak+RaOW3kHub1+
tZPF4QmGljFo5zjjNyHN/z4qgkbwGanUt1HRIiUro6jLVXdgjuVaEvYHSzvjNhIiqM+lr6Oq7jGF
xnZKoiF+VgBYYXWghd/cHACOTXWdNWo0n1EQafd90lpf649qkETfDCNBHlg33LM57+qI3T70W2hx
TtzB11uYd3KIlBZidqp4+2uMHBsMvWW0xJDoBZcoA+M+9fd+kTjHsfA//o/a5nmvAvX24R9edc3l
DCHX4LIqpEcVmjEyJl5QRd0Q1LcGsumIO6XGAEyI/HR4cJb8NDBz8tOmZKklEEoaOyrBsWM06eww
oEXjXjLWyZK8Xic4ugalNtZ1YNRVrt8hInhU+k690Wp9AlK7pMsRiCJH3oE6QyupRqOxtuwb2GWs
b8bpMy+i+DSjLrkPVAQKvSrBK6zN03v0YMf7sfHIURj9MRyQvxfNEJEEucauWiWt5b+NkyEy+DpO
YjJYYhObBLJ/C1jsOuZ6/eu14gEbwzJrdYqJ6BcJMUw4ZHOixbs2h6ItTelYyWOVrqqX6Nt1qFn5
2Wa0guzQTWx3oX3F9q2LEcfGV6x2bwMRvpWYnMlBxS+rOcipEWl8/a7DAz0v6o10aV6Ydouk2k+W
KdUhXCrnckikUi6niNAxfVo03UB8fuClUeH5ysB3Y+rGZ8x1upzJFDn7NW+dwibg7b9xsvF7MfLq
YBfI/Su3MqJYznnBH8gtLqG111lRt8uND4PCOWcQn9b7fu3ni9WQhcevxjHa5rbvSQC8Px1t46mM
vPyooxl0K2OMMCv0OznVQjs7B2M0s9iYnNrjtxJmzabu9fBuiFrUdX6duayDFah0p9/iscy4jrvO
jT3u22pYUom/rnIdpwTkHJFj+ZtYRT4jBbKIV6hp00WHWHG8g94oz8UvQYt3WhfoRTGcjeC47eUN
GfKN2P3O0OkwiLol971yc4SgkwjwstPwyxgAvO4l6GJHsX9Tb4e6Xm4bBZpBG/T5jRQqUSu0jqGB
N4k0h2JKLyQiv1lz1n8ISj/+wJ5QuuSgVNqrN8zmRVpyrchXPqiuZuy7PlZe7arYxiDNv8Cajg/j
ZOHfCR4TIwr9CNnU2kTLpjOMZzC9MbtRHlrqvcT6ZUuqgITY4Yg87CPZjc7LbjRjN5og2ItL+bLZ
LTutAzzLaJk3/bq0xxscSwLrpI+a+SAHfgB7U/Y9N8oSc7TKfJjbwHrwfHNvehUaBL/Gpshs3Lbm
eHsNyZmRkgJz+g7L52UsEJkS4yyr38HCAyIJ4kvfogM37dDkGS9yaOPAustLrWdHrEcbkYOnSt3f
GACTyQhgS9dnWraL7XE6STM2vdexy4LHyImbT0pxDhd3utrNOpB3ThV9sd2IXGOGNvOUUMztjR5M
u9exUjNbh/cth6mO/xyi1DhLS+Ll5G2T3GUXt0xCDdC5J+OwbyyrxU9Mh70SagWyZst0mUDNeDxE
OrKLMsNte4qWSWix9U/7sDrVOfpgG/yeMUtfDmvbgE9uKTDIgVTm6U561tNkDgtW2JV5sKrwR4Kx
JJuUJRYx6GCWuc5bC20JQABL9lXUXgPdqnZNjHjaNXZ1OxB9WBlSLUNmO+Mec8fnkOzZOXZhoYqk
N7jEj+BU0pegmMO7DBNDpBzR5/4VTx1ktv5NHJWt8C5sk/tyDFBVcyDrdq6+FzHYq0BsI5VVaZue
r+GmxntPAQEfHK8jZbbPInwHecAlF6SylxZOpgduUm+3Zs73hplgbEWjB7YBFYvU/CYx0enpReSn
9sH2mpN+Z9eVvovLyTxjI/C9CLzya2iV60n818mvruUEL7Dqq0R0K/9iOV9Kf7i0C0Ixrev2cWkJ
mjH/W+tXXwY9c+vzezqtQAUjH/9UUMfHh3RR9ipi1Gin2PwsWIbItfHYzG9EbTHWkVwEWtPVC4Pc
TwHr/xJX/CssY2S0DCDdL6PHYSB/+t8vICObEXyCU+R/1snMytWEguiaZXqj9iUuHNo03cqZaQT0
rmNwm0iVrYSbPDFvikGBrsJwnclkSlLcVrHbe7vgu4ky6Hq4Xl1iEOwQI80+T35bnyPUQHdSTGsj
HZBhhYR2h0fji66WF4mHY6aAEUpCbhFqbqbh3DU+Qvjs/vv72h6p4y/xJOjrnTFX7RmhZOXzDwka
IZ+YIvcRZfgY4iILW9bSWFlY7EMWUMtroX+UcD5BCUmgP68/r3zQ9QeT0/XXcv1B1l+NhnD/1jH4
gWRQjzLTXquafJMN0dBu5sGs74y4cbWD4VUflalWj24YNXdpye7ERjmfdf4BFRTrBXdktM4Nz9mA
nrFOuHSbL1MNQT137HIrvW0EwaEr9yT0ba/eIkiFAPjdhMD4nWb55tb3G2tbGyqqwb86rs00D+Zm
g7PKfOME2jnAz9jelvkU3P7TqYtoPmjmIS424Pzn89ztJWQvcTmTS8hZpSN8ikYn0kAzmtxv/Jcm
OoCgU+6k0igVyMjo7RNa4l9Mc2CLJR294SI7GZTGfg0WSfxoli2GtqBxqx0KvZs83uUZPk0zUhjm
JkS4+SGex2/86MGpGdP0oVoOFl+lB02t0VOwFsv5pem0FljtAh+TfQKYj0KFQw14ig1cgU3/+2+T
KSvYYHLQe0wA8G+kVy5Tjd5WPoGESNmc0LNQ7wxPD2+Nwl5sLLTHfiw0f+P65q5T/PC+lWaaz+m2
TMr0WGS++mgigviIhJQFlpGdX7/Mk8lp7vr3yOm8hWRuWbZfU2cozzJMDi75jz08Em13jVFPXT8F
KJmFM+V9GpsarV7PyI/xUrWp0U1Iyy8SxXDlV9Sw9eJLoqLrK9GujJaxs94rT1iZ15umQOClGQf9
S9nXl9YJwDIUCPfjJpv97CNQCKBQ/U95p5e7OHaVh8juPbzuuvoc1qpz5+g1uAucB17kSmbDijLt
06qJQMyCpA6XkkmCTc3BVNz0A9ubdLGGsX60xbzNu9n6OiisFLwsHh+aRXQ3ivtv7chGsbZ1FFFN
GxSfEZVPadEhfhShcLUUBHFdQdptGSHNXyOkJZOGxFB3TR49NpiirI+GUvE/me2cPfH1G56iJFwf
DXqLN0IdqdZBNspjaX8ysyp/ioCH/jYK5SoL9yPcF7I4ZTW2PMvDLHjWkrxBq4WWhIzlsU7x5Lnr
/fpdPOtRwGoGzAaGxVRwmgJ72A12N17QFx4vXoaGax7ZJDxRnNzjMjSGGOw5T11gFOv+5LoBebch
iTML1yTZjKynWbKYtVDW3ng4x28muO+PtUveToVAtxcZUTPpySDzrl10Rs26SxBJCOcjDqrjPjc0
62ZYtLrj8as2jsZr5M7G2e61AgAUfnKhzTvETdqSAqLmPEUmAJ/FT65NLFACg/LBsMFXGOSJnhJ9
UfJxSQFqWeA/qfzIq+5pikKRP/9AdOFtZOylbyNRFgK+apJ1FMwJDhVuq/5o5p1OuuGy8h5WioP2
abCb/IKXGswIYUKs/AftU+hHOS4oOOQhuncRTIFqfokLp3pw2Uv4m9KteE+w3jquEAWlCyzwVkve
btWqjWPliNwnKAzPTu+EvQQeH3cqkhfPkZlqp8we5gOMsuyVZM2dXVrsOcWpC1UD8oJF8ZpBKL6D
0KE+cyMUd33hvAZCiMeMxdoij9Acpde21Pn5h5zKgYRtBYIqcbZ9k1C6SNTqlTQNTMhauYtNABeb
ZJjzLa49895TkuK+9zpnO6j9IqxBrTcnkfMI2zG81wwz2sraL2nntw6dasf9wNp5a9ZmhCnsoidb
VKjv5772QqWm3CBD7fxoB5L+Rdp+U2DQbfsoowIZhOap0ObiGLHW28HKnHdaPgy3pjqWO3m8mEn1
pAeG8yLxlv0NSR8Kzr/iYCwvKIvV310zzV/LolfyU+tQpHLUNr8AlkY4bZHzIxOXX8YaHJiUDfpp
YyEccw9QxL9VWN4Kjut3uNfSGbiwzhcizBXpFQ1eeUZRIkPhaj8s3Cq1oSRr5F6JEWoe34xlat80
RgMvGOk5NGSo9bzUfom81zBq945r25fSoDSqtJB/MWI8Wl3RvWJn0R9rNJCWe6f55BhAWos5fwR3
MGz6KS12cNtNoOq29qpV35tZRavOa6ybLBgnqng0DTSVSBi7T8UiIlX7fbXRxggw+DK7iRAmsqDC
vJF2I0goUFS6mzXLqlr5W3sl/fL4fmu/G68banejZ4OxHdtyQhAyBosBJH3X62jPOV0RHBKntg8T
hpufjFijDMGb+CS95BgSlNtz6yK9TmzeGH1SPmeDYyO0fSODIF05j1pVPUjLsKMJTHVI1W+5ftbX
5FhTtHdzeBGd5XTYNnjZi/odgGr/0i8HM0feUken6ijNvnZnkNnFF2nJFLeJXh1TDXBRYzwQpv4Y
I7O4iwrPuMH9iyroUoerjAL6RBJWW6nXSUzqcINnA1lAI/4aV5RQOywp0NWWUcZKb54AvF3GSihP
fTC31cTmn9/5FuT8xyofJ4xZwTPgMRyvTTvCE4rKwQgiP/fvrbL5JCUIKpT+vauUn6Rc4YaeJ31S
rbCWkQ4jBX30b+YtV5GRfgFx1aI+dojU7CjLR1k0+gqK9Y4dxneyzAz9MDh6+TjupJdVafo4G6+D
jqXwIqQshxJZ64uvDcdrws9Gj09Ca74PLwgPK/P+6NceCjZJkd6kevHqL8y0NDSHm74dY1CQ8Nas
EAh5E2o1mU+aEGT3ZhP1H3Iz6h8tLCWq6A8WP/5Pd/iZAN34kSm4LYWzVb5gh2ccInDst2yAUHoL
rMW5Im0++Xb53YuneecGdrNFFrwAvop7a6xr9tER0Rnw439rS3+69Hepzle4gi7yF/11rvtiI4S8
KuyaZzxUePqU00VCtVIgrxjrL0Lgk0OwVF5JQ6ILu/D81sP/56QypNg4ChtXDR+8YubjZLGzj5vO
Pbmid6B3brt7Y+j2gLgPTuyxuyvaCuDKpHy04FBL/td2bfOEqs60aybWLJgxRPOnOgQdmJIY2on8
icjTrcJ7/bSjRovbsm1YR5j0L7ZZOJdoEeiSM3hTzqWtePiHZTvtf+uQIQN1FvybnJ208gyXunRE
JCSdTHsfIs+2FwKF+At75gHBkQaED3wLrdRuGsqFZw3DtGlzhYiNuX/ygjI6C+hrll45FSgZaQDA
/ePfetcrLD0yTy41OLG6N7F9ZbXv8JJSFbD8TtVn+p3Rfx95uSMiT+aTlQWLeUNOl0RpqxVIAbLJ
aABtapsmgB6e9ZO+W28maY+eoe8KANzq8dq/3kxD0t+vghfZ6ME90RDyCPpWuY1nTT10iRk8q3iP
wsU1mj8Gw32ORTWa319SWOqfvtP/oSJN/DkNc/jddRQ8pdjnHcfBGW5GS/8+j91LK0iqxm4wF6G5
fg+tWLduO314iUplO7f6qiOw4kFHfl8b/pY8W2Wf5SpxdI9z7brhWmNpgmULq50agXED8GXQfBjG
UX3tdjw/jVeKdTqeGXkHpMQzXjHBVQ+R0RgH6a1dbLbM0AI2YnVgtM0STYXOi1COM7EbWOymTW0K
b+0W51j560usr+N4Y9jA5KVpqM7bEGnKQa5yBEo83GizmqjHOrS/zN5YvKFe+Uk08l/JtkqycVel
CFmhUd0GRyGBy+Hac43J2SAUcTnVOgwSEDuGxhRpZ31wTnEIF8txjZ+6ot4llR38yBMgMDA4QZol
3/pU0b/YVY7GQJ8nf9QBVPi5BTWmNUCNYIzFnwIfKb+RxPaHodS9rd2lUDV1lhtpyo5qDnksZuV4
r3lWdk8BjPJrHZhf0949ptmC5oOIH3W1+rX3WJfrWWM/A1waDxUf+LaYeMbbNSVhsTxrlS45Kfp4
I3pkEpJDtrgHXU3R1rGLmZCMG0wjO/VpciOaZhKqlOlTOLg91Jmuf5mgynYJttPeYu0I4SnZ+6EP
SmBpwiiPH9KwP/uUERDeAjVNKVkhd5rZ/Qt6fvXJ15ai8nKlkiwI+0RjcfkA8qr9ArpeIa9B5ejV
JgaDdzDd/I8r7FXO3o1LuK9axDfmT2RMjGWH54UOIFIlfJItXdIjlwdfjdth2RFKTEe4Unfn8ElC
3KhIDGa8+qRzQlD9DoLtJyRV8w+Rk8+kneDN9xHvK1fHzXZizSJ8qBxnli0YiepkeGr2IQL/ehxn
I9sp6qAc9MoutoUSeAW8r0i7Q2L34M9BcF5jflq/5P1gPDib0jALhH8yCwsNm3LgsoazDe3PvCoG
0I3G/DhY1k8JUy3zeEo7+snIi/BDX1XH32yIrUiDaRPMcHiXurUckMPp78cwwRbXegtJPCsD/dDV
Rrrlj98DUVssahxyRnciA7a6a7lqjcMMabatqIQFVsRT3M7zTYe4A/VzmPVlUV+62QkeeQqGj/Vy
MIvI25oW4ALpkJj0RmDr1QXdsYyXS9iBygPCAMf/2zWSQv02Fp52konSaejDRyT5jButh4lTuDj4
SV1mPWQWshiLhIYcErtxAJY4p2tIzq61H2kOlv5n7T9DGc5v1h2eFibzMQ9Gd7MizLVxih5zc2dj
NNbs0YhBAHIZ3TvN8c2y02ADA+46t16GJrBfovBz2/jDs0TSfBhBVzTDjfQF5ZSfldIlER6AsFz3
UGCf58MV8pFHE7f/tS1Qj3fgkLbJP1F0Co7XIfqI3TLWN+lJDPHQgbSAor8gZoteTVAEWPKF6p30
5b4z7qZybo7SG7mo1kfhhNwuwPEPiqVW91OkrVPrSas3WbNgocfA3KIjkVO8WTxZbHIap8xNfobo
YjR7UjkA8mPlsv4OMc7cpzPapnWh2dSfAeqkYB4fy6Cs72NY61c4j8RVfhI4aIz1UAV5N5ZMyLux
/mKOex07leOfQLyBHyMxZRT3cLHHozIpBctDUrqan31vgrF6rM24ewZH+SDhqI7fRgnuQZ/L96MM
/UHCIVUKH9G7XVg1BrI+o3fWfTxIWd4a4CfKZkvGu/wSNOZdlmDc1/bDztCV+HtYuDNfjij8kCWd
u8eLsNjWE+qSqNm2zzaqjaew85rFaqJ5lsPIy5VVR68e4YzgtRq7ECNRvn6MFzR7Z9vmWm+zYzbi
sTnPN1J0k/qZ1OA6gKsj+l3X8Gz6Af7I/asMusaLyEn3GuZVu2tHj9X2X0XNqvEhxJWFu/NBVWxR
QMIAccBjYT3Toukeh9jn1EIu9xqXTp19yK3PbR6aiwODxOQQu3BGO0f/k71t95A7IBVLG1YXeabX
Ue3nW9IzyRYPjvK1GtEFtZUIsw27KV5hyLkbJzWzO+kNZvPgaVP81KVoclq7tPCTvaRo5iH8YYWV
fxL+h3BKZtiXB8vxrO16R7qBYl/gbawTZEg64rysIFuM2TFmUrntOxc5i5TCvQyBhn5TPLuXaTkj
8eC+743NT+Sbgi0m9eZnlEh24nfjs1bdBfXo3o1apT+4Ppl7oZuPCsaAtZZ8HFzcMPymtQ4BEO2t
3bfOCRyduQ2Uxj/6AS9IXgvt3YCVsrxb5Z0ZRfNHlOjyi7SMxX9ZG+EVyvvVWNyZ+QTSJwcXwyvg
WeJqMiSk32srPPZ5Zzy1y8F2vRyDbNU+BTNv0G2TmXcNcN/L2vSUE2VA/1HGWgUvD98aDjK9ANr5
NJdhcGtp47e34dHiZ03acqt1LdsDclLTXquRjfan5eqp4qtb+QQy267618nQMaBYSpQZCbKt05bB
/lqdlJrktXkd4joJiU/pAWpDJUDqna7WaLtprvQlydYb1WuYDk+sEchI19MZE+3yz1lrv7bliAZS
ZfrI8icmImDlglXAjzOyq4zyK4SSPDfKZyi+1bbsHFBSXnGnzUON0yBpXptFlXWcJ+f3ivY0FNEu
CXgIynfqeoC78oFtYnWWkHxTnYDfpuH/kAgFHkQMgxpTP332io0Ea0fZDZ6PGJYxwrrKZ9+76dP6
Yiw6iMi5Vv1mPV27DUwpe+4HVEGW4TDIqdLFKGYHpRM+GHNYbxSl1I8GAo4PAzp95maeULSKDQX3
uCW4DlzODKq/Z0XPn94NltPGQuhxTtrLdazjKtZN4zofBdIkEKY4C9ztQM15mwvkCYGv+Fa65bDC
mgThdJ3zDhZ1Hb4G5ZoyPGuQ7+YH+4qD8A9b9vERWV8UfMcf6rLLj9G4RKSJXMP9iH2IdKzjkr/G
udUc3Rjq+GP4JQ/ccrNcNArnFyUyfphAGo/SGYu2sJxOkZ7eta26uY79bb4TYnlllTluYb8uPMXh
SUNn765xeuUBBxN5Rl35aV1YjZvS8suba0fD6uJYglvYSKxzvPmhSi5yrxewSbDzmp59KrTW2agV
mlr3XOPeXBztMNfu/vUf//v//p/v438GP4vHIuWFn/9H3mWPBeL1zX/9y7b+9R/lGj79+K9/Wbrn
sp1xLF1HTcs1TV2l//vXZxRyGK39L0DRYxEFeXoG253trSiBQufyJV9yo5JBl8y5AUOXdLX+MuL0
0ujp+EHn7X3CNczdY7M+f5UD5Up3T4pCO8V5PX3wrBp5nYXSqmkpCv/ldK/54MPrYUQa14zVr6if
Po9jp9/oyWzDZxugNZzRzzPPCNrdlg55PezLF1cBfMI3WNP7BztXFR2rvzy4Qx3yQEmbMhLuuGuG
Lhh97AIqGOBaHvVgJZZmlCK3pOIU4RRWvCUVEeNYwSGZ0EcHVpYegTskayyaooutcP/LiKKa7fsR
5+PrJBCk2Y1cKE1xnv/nv4ar//2vYaiqhzQ72RrLtQyNv8ff/xppYpB2AXdxThNwPpMV1I+pW9cU
DLVmh9tuuZeYHPCP0C5lE68hdORgbXXAr3WziXdUXNF3SavhAT5Nvx4w5MjBiha8dwFWI+6ShgMo
5U47TtHQRPu2qX6g27t7k/ko3ca9V9ox2IYq2WVEsaA3XtsUGqhgzUHzUC9n0qFX5Ack5uYOQISu
xVtPguvs0mp1FAOOqWX4UJHZMK5bzBzFjLl423AqLe/6VDPeNpzIBcagjuqzDJVJk9mw6Qw74yyv
QDgVzel6yTXGJdPasx+lJZfsijE+SBM9v/gBxaJ1zyrXlUuClTbW/0Yu6emKj8Ybm16dL9DNP/+p
DdX47W+teY7DV440sWGBHFd/++YpimtgNpaHN1GpaucxdcnbN7hD6CkawDgYuLs2nMDz+AXpOmlP
XWrDjXnRp9i678wSw7wG/9wtklb1fm17kdLceQi7OVH315i64a8wxujlGnnp3Iegv29qLRvIpCfe
h8lLvmCTN3835uwDJkrexwmRsoOhdP1prgL7iWc9zzC3U78HbQs3IGz+8EMqhTMZyVusdHyEHxqM
O+dh/o7cXDtM0Xfbt71tVnf5ve6POI1zv0OxsWoohZD8TP63JGjsjWcNyuOc5Cmi9Eh7mF76gjRq
cDYgwz3IQa1JN4R50iBOOrtwaKFvSUx6Rz3qDl1nBNu679vF9pB5YUE2Al+7yxrLx4V52ev6KRjG
fpcMScTbP0Xj2tdb8lDc+vDTUcORg05OobHZ1kprdobxYlvj7VXw2kI6D39lnt7rRUaXMnPDImJ/
vYhVoIEBBCFeL5xWVXUiB5bhJhhrJAdxOuDxrlFGirXyPkvxJRoSvcT2pCrvyyXWwkbnNefaP8M2
im/W0dJjtvGr73TAQmTuMkOmSRNG7oMyAOST0HoROdUK56T1rQFRxeDCEpOreLrxqbCjo9XH8W0/
A1gYfx10u0DSAEV5sMSU0X/rkGYYtLBoKmDF0pQZ13GmrRinDN3a3+LXZofSmePhZvbvpg/2BGss
AwApE5xOn3dhiGTtleal1s7OVcLsNkCOlkK5EMQW2tjS4S8d19BKKrMumcsWUv2iFNn4tYsqa9M0
5figmal5qSu330rHnM33iNPnHx1rrk5xmyboyZXZV4QzpR+D+G6jlcaNiujIPUnI9t4ZHQ6A3/cm
qPyttTRdABEmIvSUtFWAEwcrAFm+kzlqlT8YeGWfTNfVtY0MtyJ25KCclstJYO3zq9o+mXb7uA6S
a+BFkB9gc7obGd3D375hY0z2n4xu/FL2N46O8V7Z6XcNOWaU/F3zKTEQENKitRGTtb8YXXqSrm4Z
ZPd8+Sj0Zbif0ZSYyf6L0iJsZGlKh7koOuOlkZLaZpzEdLIfuNgP+Xo9uWipBSzTFsjO8r/L2CEG
qRa0T7UxWyCRjflSBghP2UBAJrKWoaKj5tBBtcNvdsbCNq6Mh95XjQc5qzJz3ti6Ox0jZOlsoCB0
e2pxaCbHvFtjjhK3dykLeOlcY0NDgQLSLbAh+Q+kq7FGHRIx7g/SfPe/pCRHxqQ+j8t/LPFsHuCN
9osvmwdgZ4mXxUQ+sA9/rDHgnZd/fkXorvfbK0JXXdfDr82xPE5Na1kuvFuc8bzXHZJYxhHjjwXx
ldpaehgbsys/+6d4rIYzMlz+o6kgRtoOVfbdVNVjhbXR59rkVVIV8/sRpHrGz2WGiVleax7PAwro
VT+iwe42cIEXVt4ctt1WekV0WnrnDqawlavGu8Geg6IvX61Hd1baQxMNEW8iFwp4MpXLM9ZFP6Ya
9ad4OYwGgKgYr+4biYVR/Skaav12dO1vCXTOM5LG+tN6UJUjDuzxvbRkuJzJdbSkpYMRCO7Yj6xy
y1tt0Xo3vLCrN3OMVnSlaMs7EdX3ZlIJrqdLO0hh0PzbHlQavVl/P2AZL1eel8vLJGnKmcSk2bH2
3Pt+gGXNr/8BpQzes+/+s//pWpY+PFFCUI/X662fbpnw/sNff44izJub1tBurx9rnXIdIp8rzeKT
ngHxiz3bv7BNMjaj5mR/uHjRbWHbDLcgEp1PkweSnIU96jLTeNAWaoqoLL3TXlpVl3jCoRC8bPGu
B2T9jO1kuRV7fogs0nG9xOihTnH4rcfqG/w3u8DZdvD7H+3e+I6qhX+a9BLXN0gwNUZZurp1lMUF
bjZT8lFZu0H2ry9a9zM5kfJmitXxgGIVwl39z6RTnDXsDkm+syvbP2baYPSbOUtw8g1HxbuLhqo4
9Av5Q5rxEpOzdaRdlv5dq1Ev7OzavJU3S+NUiMuH2nF9zwjf2Op0YOSRrv/0J3V861leNDImsoxm
W3cWkn2su45G6+C3asTpq+06x24qzK+257hbbA+DC1a6wWMVkxUucSH96sMyHVC/eWmtEUsErPL2
EudbGnRD/dXCBGsfVrl1Sg0z+ZAoGX6Jc7Cfa8pDbIMXYnqCVZ4adA0YDaTS1qDLN+u2R/NGYjir
m/et4bN1miLV2/AobGBnEpTuKvbAmHjA8jfm+s8YdcmxrBX/1jWa+JxUBbmJXq2p9OX1AYhp8sQD
v9yB+2g+Fl1mYA+hJ1/srPoEZgmzjzHdYfM33o4h/qidomj3dq5TLx8LlnKeqt+vsYwt6SYa+lPM
0/+27aq3jno5M3NM5CE3cvfJOAnKPCpJ34MI15GqC4P7OL4Th9oAJXHVt8J7PYbrBmZWOUgTGCMU
pbqIjjPP63txrg15U5/8OOiVlzUxr3lmC6SneRSw5Jgo9S6J8+bWYMqHJS7IJYnHTfH4z496zfWW
rd27jThpMM1WHUB9msVmwPp/lJ3XctvKloafCFXI4ZYEs0SRlCVLvkE5IjZyfvr50PSxvPdMnaq5
6UInkKJIdPdaf7D/dfRThyLjkN7r27EjURwA9ztobROSEQJRZJO0/oqQld/0SfbTtpKfqdl2L4kZ
wcquBIJ8RaY9uqDlfcWdhrc5y8+siD/mme0IeoKtP5HO+YwvR7xBXVXsZdV0OEdFJDeIe9JrRKaf
4/z3XGqDdjNB1MvmqDGrB3OwTWTs+K+Wo5gPzfQl1Dr7RXPH/tLFBmLdavkZ49XgYAzIRCRLxDdS
StyWMjXdy96yjz/rynOHYNyzdEHUlKd2HKKbbGmrEtXikW82AnJ5QRrl3qmOldhHIRhvT89SwKT/
KcZy/Fzxw965KaoGYekm904D7TZ+O3/qsltOw3UE4VojdDaVVVgrU/Pmc+415rpxo+JlmIRYi9ly
X4kp6GgnZzMmJOBCSix3vijt8F0FSPitEOpzh5nqDx4cp0gN4l+g17a6OiboITiA4diXJasEQN6o
itdWzeoVfh3DZxcJOiipHZz8QrkhaHWQzVgqRICXlVfVah76vh+KnWXPqBwEQjssbfncEwjVEYBa
WWmRctrZKaUWfEe/nPhrNidXiGXePkHBea+6hIrcylDRteiQBteQAxf/a6g7imRlayY492U87IR/
jXci6PLy1jpkor0etb9v/Y+hqBlZn8LO/R7PtfoQiW7aqADcXpTc+FV4lf3TGl5xvMh/FB0RuyRT
s2coU/2qnOOXMTKIfjm6d2ArmH4qLFQZ49kAbmZm2aceL5oziPEn1cSEC7vQaN8oYXkpgdOtdZB3
u2bsIEUow8MSujrJmqNFk7Uqy/7BFq2xI7f5nmWK+go49auFM/dPG6svt47M73ldcNCuu/jZTCp3
26nCOUYFbmCWDTQpXyZhe/XVWSYBLVyV4/B70hD2tp+16AlLkEKKLCYy8PnjvQar7uBFM16rC/Dh
nyP0FGOrWKkuk6FobE77xzv47k/1js2L2hKmCjhfFWFv8OelrvTnItbKq0kyStt1Si/gA1UOvw3V
fgqQjj31jniQTZnR16QgsmbagBHx1nGn2EQ5KOTg3OEbmokMkcwha5zVoNThUe9gUEP4vsoD7uAW
R9UKSZ4sTYoCQTzi4fNx+DVDdNwal5TwxyRt8sxNHXaGL9vUNvPT0UDCvekeVTOwnvSlkFeV3tr8
9hpjTZxK248aDAn5JIjbkEP06OAAXdbRs6tH1dWIUcdcnhWyyOxM8z2PCKucELpVeQ0Qr/kYIe8h
isLa9AI2m6d9ctGuO1ajjeWNrLateOrH5qnhK9qtvWjTVVb6SfaZdvrSoS1zljWnRjofJ7BDG2jV
pUvKYKOGlebnQ4syLjpDLBRE2g/3epu/W3PqXiZTScD1mPMp6a33e9/HXNmbYRRw+5gv2wBoTU/o
+6xUSDzTxJ54KHjLCTzjW5vG1a7FxO04z8biwkNuOseq9PNcWa/yC4qS+lr9M0kYanULMtD3aII9
VboQZ7tUUOcOzJsshJsU/qzkbM+trj5rXZa+Ri5HMiwInpuxil7BXndT+ioiRX0etHbNATF9zcOp
vc6Y38kJKjiBJ5t1AgIfAsOIaOF1XyIpOCNyJKslseZTXaY/ZG1cRgxWIVAhqcJTYpE3w0t527qg
TEdU469EHZM1horOdys5yGfXmKO6btRWf8tnXdnJoXZnR/ehRVG6371537Uw6M3AeW4WqUJY+xHU
eLfbSZZWDvQIEL7W3UXnZe9HVaCd9PfgZS76Uo8ZZ/VT3XNgF+RN3g0jSNc8gvF8i8v6mTPzRbYr
2jhsajeHjg1W9x3jVvRSk41aFEhyoja1rqao/joWyh5jbv1XhS0gbhDW1yatlFU+Vs5t9Oppa42J
fnIWoFg34v8Xh9k+DqxsL49bphv0PtkasZeHMQhGgz/W0+/ejFy0n5MSgFWup/6U49sIu9Z4GXOR
7pWx/7vqLdVadfWXwmp/935U5dwSX5nnomRxHCKXXY8gY2JHMAQxpniP+2oXVsP0A3z6zynInE+B
F9nbuChIHNQ12JaODKdALOFbMvyUI/UMWcm5IF+Qo0y08xp2/7VZVkeCdliKd3G7LpeqbAvB496v
/ntbSVp8Djmyssuw8V8HgauiFxvu5uXStexqPeQj1vLNGJFAzeJHeSULAWxn40yt7qvDIgOho2ih
5sXbUGGSiFdov2lLrXhzwJqskooUsBB1/GoYaAwvw0J00Y5Z07vrfkrfObm0yvNQldrWQlue44s1
fmljsg0KmKCzXqoFij90SKFvFRwkWnXK7w4oANVKin3Ljo8ZssOziOnMprhGBOBvEEgPbM7cs6wF
cI32Qdgna1mVhdK0r2wdXyce86s6Er+kJDIPSPMsuYWyGNwIUHkXHz7amzi9FA4IClUxlY2iOvon
lKqKVabahB39SSuCn5YViFXcm+4nVenHjRFvTVHYF6/3TKSQIuUNP56b1g3OL2/8UWGt9sO23WxV
81m9KKODw5lLDLgwrPGgY2MH3bA7WiIXj3EYuexJxfwGN+7hjrYfStBlRfoZh6pqrcX20YhKRCSK
Mv8+98W+nUDlsII9luYAysVMh8tUZsGXXtPUVYCd7kuBA7I/sR+5iBGGg97qnxv0fC6yqPsKT4is
qtcfbfJqxlBhFsCZP9pHq9M2OXBVv/ozX/aa8QmHmeEJk+vEW8Ge8BYe+Yrdvr7WlBJFIs/Lvgl1
ME5ogc63IIYWrphE3Ax7vskmdUT529LDfiursqOK9VWHl99FW4bVSWPvLZOgSWNEPXLBPIdEB+Sw
TNSLyvns5AXALRMga9+iT5GV99/iMbZ8xXCdUzRW5WUwUZMdoHB9Uwf7cQxs9VhnTbU1kwCPGqkt
er+E35bs6wmprH+Zskh7lg/F0nu3lDG9y5AaWZjuQyU/dchAbnKgeI9KVDnrKUOLYU7LJVX0pw76
FNiQA+a/AuKxEh45iq6wk89oK2NPmnm33JvU5wZ7B9a+5DNqmeGj02NhJKtOqpGvbbJmk095+hlf
cZLw0Hlxx2KwbhhfMMzsn2SnY5EjHxV2N0l0zWF4rVSMUF/yRh3hASvFJWVztptGHf/WXMuOiHGo
+6wvcb5IbGujqVN7E3Ok4s4oxs+9ClJVnZryu2Lm+2R0CEhnGSmiclikFsWTPmnlV1tk42qMYvMl
bpTCH4reucyWB3NgGNSHeUaFdwjd6MB/rntMCjbxUOHtaxLZzno0vEPVVQ3y6FHzEAqVZMly9VE4
gVNt0WysVo3X4y6HwVtLdifJ/Z7zlrrr2e/e62WnFkAYl0GyscqK3K+XRk4M7UNTZ59CteSzCVTn
pkaefesRN4vFwEGGdP9tdoz+lFrpL1mTRdvUFiwtgI9yfJLH7Tkwsvt4RSmc24CxKjS7Md5B2kaL
wi3HY5NUk69WanHMVbN/s5p9unDCGksvDt7Y5pteMseK+CsSlPnVSUSxbkdr2gb4Ma04OxTv2sh+
r7NhBo6wLt9inKuW5hkhfPxi0Sm7V9X2V9gH/aWfFYOnUv2DGFf5bneC7GaT9IewbYr33toAylbf
cqNGvhoWki+b66AVK7N3NPL26nQt0uEt7VTcw0d3eHARyN7MUa/tBUfxtyDAC4ck/As/Lww7U2LA
djVbb4PjCl93kOBFYMF+mxBtcMPirerV4uRCZEOgjOYmgLnUmTBW4hR60Zgr2SbAZON1ZLF/LdEX
u9pzhQs5TYTWkweds9VKVt05SPZ5VIT3CXETo/zO0r+XvXKcTXZoR8yqBaM9v8VRNJ6SUef7tRRp
la/ysCsupL2cq91hGhmhr/4xoKxBJTkl7MGPtoAY5nZye+FnKVmstQb3CCFPUIjyLnIg7PZfBcqP
R1mT7ZFZ+7mOX1trmplvRPaQ+0FYDPDebKTu4TJrmynLhpVp62OO9VTQP2g5UYctKsp7zZpH3Klo
m7VgUu6Xck6QQJSSPfJu8moAdJoITjCxO3aXUEBPnpRo+GJYgiB0lUfncNCCS66ZOAcvHU7Ml8zR
FEgdTdRfiSr9MpDk+uKKslvrgZI+1m6pXOtY/3a/0SKhq4pnXDqzyJ3PfQ6xwUnwOhDzSG4IxJ2+
kpdJ2b4uAOHDX22hIqyj7oaoxTAXvZrR9vGAjnzL0U1fTguN3t16NdxGKYGqYeymNSJ6kvqpf5pU
ywmfrKZsrrJdJXoqR8mm2Wo00usQnRC/KdiON9pKb2b4EG5WPteqlZ0MHcFm19ESgE1W8aopFuqP
crBDMBkWf7t2oi4tkZrVkaoU/UX2itIJ0Uis0k1ktMWziJLsZpq3+1Dw8t/iafiMNmF5f2Vh1N3Z
jLGhWF5Y3qEuyt9v5n5DLRb3NyOrsiiS+q83VGdhs4eQgZH38pLyTv98U53TPYRt+DhHXnpBij67
JKrJ5oFwFthvaEx/2rtGIxEtgnL70eGSTD/HBcm/ZZhszzI1gS/vLngSHomVrmPVAAeZQwxV0Dni
kaj3rYCtBHCiZttJPCjey16YZsET1rPQ1dtTkQ/1kTwullV4kW4stMXMg6jqcRMlERFgsKx+UETx
VmqhyWIke+ZX2GH81ZZ5Gv4B+IVui8gGUoiJRm2O9bY16ubVbvXnygnjH2asgfONc6IruHkItjtH
z03iC2Bp9tXLiIE/qCzU71pDRNrS2+7J0wlykM6Nt7GtK69FYlzqZECY3nI/W0QlX3qsf7a2qOut
HhuXCqlkSLAl/tn48bzlsXVBhTb4WRv1Vsnb8etgw5/T2VJctawKdlMmpoOclASYbmf6PL9lTJJu
xX1bbmFvTX9NEkYc7IZlUo6m1tMQq1DHl0l/XsmZUA3w28nM3pGA0ja6kqLFp/Nbr6DP4GaRiu9D
iLznfx0xMQJJsv/7HvDDs+9I+N7vAf/cn+0wewyq9zFTxEUWOizvSwVR2C+gKW+Elroua0YXPTEs
mTv2+3KciIS3dhCYShMyt93o+mbRZq9KJuJVrmjazyQ7itw0flma+7m1iuCzNavovZgglTVAentN
qfqDnO38me0ts1U10//M9lzodBNhDx5/+C53trOSvNm8jMFuz0Z20UJrPssOGcYuR5XvLK4mEkqn
dIm1iRxSsK2kwOm3JkZRM9W3kdWke1Vr03fXfZFHlnpkA1PkC01kctJ3++/mf4yW5xg5Ohk0ezU0
1XsXtpZ54HmaP7RLYRaLUKnnsCdtioXm7XFgCnl8sL9Ls5uWNMaO7Ie1q5YT6qwV3x2VJ3hv9voL
opJ/1XRqKXxAMGScdJeRshbV3fg9V549jiLgRrTyxUN1aOYM8TkMUx0zt6m4V7shSzckC8a97EVH
inz5APIIzeZnvct3ve7Zn2NDm46IsZHzzhLilqOtrYfl/UoCv+Tuy0Jt43bfagYyftoi/l4aNhm6
pf7B9NfLvEGjh92rFXYJ4cPMIsDlJRDdC5T2LfNZNtnTVKzqQpQnwAbWsyp6DAf+OQH2oz9Ip3or
qpHMa1K/KpB9NyN1fgiDqIfJjVyp/F634nkwMusr4NnZb7HHRUuo6c98AVgxIvGOw9cC34aQR9gC
2qDhjVsZstTRWbjiwrRKppIV86PXVfV4Y0P+2mmkfzhJdeOua43yreqGT8Da6usoVOXqOsFlNMvy
DcwxSTBFsTZylM7xaNXDujs3ZgpPEC2J0zAZvuy0c0s5qI4L2mm5Y5opJABI9Jxkr3P1uNmx0pbh
RAmPJTnSe1GxecpXH3WtsH/31DDHV/A8xYbDv3P8mJc3kUtEaDzrOYKjKCvbBxTC61vPCejqiVuA
7s9NtmSwifa5UyRrWZUdcxQiDJDH+l62ySIvtpDxMaZJ4Z8Lt5vWg6iKcD2jcnrAEKVcgSqPr7IY
XMRahrx6StywDIkSNcOTrrP5klXUqIst0L9irZqN5RuxhVaJHpvjKim99lEWVZF3j/OShASr9UM2
BeXcPv41zgmS+FRUAK2XsXJIRiznkECOTgrNPXJSnFGJTgP3KAv3z9W/e+TwyJ6yNSqjCGctA2Wb
vLqPnuLO2IWo+xphEZ+gxMUnefV/Vf9fbV7SI03hWIn/cT8Y4lBNIRYoYhoeZUFIYngsFoh5CaaS
56y7+ej0/gyTbZOKzWgGmEWOlzNh1yA/LS/VoUoeBMKAcqycOljhH3w9OXVjMxq1BlDYVB9CYw58
oCoYZ8fQvuwmVruVE/eI+Cm6xrUcQHwwvA8wK1LTvwWt8qB95GAjbrGqpFezuYWoiKdI+aniEKi2
utJNVM0T1v0SE8BdPDXGxu2c6A2xanLVtYcyNoHUz5jYNvww3+pQSx4KfQlWRmX81hdgA1UAGgdZ
DbrxIVPQmOiAhF6HVHu2RCteGxPk3whENCcvY9cArWTVwgLXXgWd8oYap3aQbc7gDk9wxRhslAeF
NMdJ1mQ7hDNxNvABlbaXcVxFp3lELFtWu9p1/VJ1rT0bVYMUpPrJA5J8KfA4KBzV16bMPXd9gZQm
xkcBAhPNrcaxhPAQ1Bo/RvxVXxRy/yJFCdtQT9e07j93vWLBIh3C26wGUAFaYPFueMvjLLxh7xkh
AS5+yP5hGVR1abbtXVjVcoTsiJKzp13LxHkhYlleXH0IX4vxWXJWdKx2z41aZER3SWhOalvsJ2xx
NrLqLYEIcBDWneCy3MKxVbgFEH82eC8WvtmZ2puSjvfdE3oPwCqn/uvYGNXaiufiGoyhQpq9HQ+x
bsRP6Z9JeFnfJxVgM+Qkg7BOzs5rWQDkiiFQN9S9SFxlzcjA4LSQ1MiHsqZYLvRa1cxAFi4TZFte
x39NmMAWt7gfpo+dKV7aMPkuFvnBOg36tQ0y8jE0O+tKKOtHWenTF6SvsRFVUN/oG1O9dpHxU47X
W61ehwbprRmnzWvlYn4uOyIVE89ybMZHLS7LxUQtgh8TmI9R7npbTdqLLUU+hogUd+QZF2exj3ZZ
baxi6BHJyFsfLzIMt/85JgahizbUAKvbFi5KvtxP4FB5+E0VG13t2zS3r+poirdusJe4ETvlSkPR
3O0H9SBiRZxDJ+KQpyXBi+igTrqz2/xsVTbIpvnrn7Od2ozusyPb/Ht234b1ilPH5MsgDDZDxTnG
veIMq05fK5hF+n3XQyyX4ZiqjewNQJ7vLTqE66kKnCfkc6BpC+jebJhIqRsR67TelJ+80TpPmOuB
6iIcO9cPWeRp7/UycW5nEoGO83ti1E39xUs4to6uV5wKfKTXtWSzR1PEO0FqZyAEfbjv/SSbYmnr
lrb7/pBP+F6VnfgNe4fQTIaNnW+AIzsX266BVSR4f37UOtcHVu5e0lE0VzTdmistk9F9boa4fAKK
mzxxthArI6ynN0JzKJrYAwe9pdoFmA4SeX+Ww4KCrGFhmggR4yayDhHElBA1S/DZRsY0PMg0iPHP
quzFH2l4GNM83OhGxwogzNdJLdMX8r3sLEGL79M8iT6VufFdWoiLcX41Kv33AF2xIe/FxkaxwuZa
kcu6TO2zXaPI/tHSR893OQ/ZT012NVoX7IxhUlZu7DDcJjAU91G+z5ZPwlL7321lXOZ7WQ3+jJNt
eqwSvarOCHG7t7jLjkNJ8lvWMMlR9vUYswS2yK2vrcF9nwMhHmSv7jQlMlk64Vy7n+DMsHPu1Uk7
yKrcSMtq5ND7UZW9ub29Y14MQ79YkQ6On5c5OTXI5gXLL5vkVeTVykmE7Z5IbbvIs1Q8qpNoX7LI
7GM7GD95WvGliyIkFTP3PW+9+ZMcoA5RjIIMLBCOefcBmRa8V+7we4C8QzTo6WpxIXz436NGpYr2
nDp/38bhdQzUWb//uc3HAPlGGlF/0Q1RPnOysrd1o1g1sdo5OOHNwMlMt8Br2Gy/TrIxHfVtmVvV
4V/tslO23afJeuDquzlHIXXXCU27agJwOURrZWWMjfNeelC7hI6zrNdjBMbW8m0gJP/fAUK66rn/
ouqYjudpDgwdw4Ikotq6+080KLit3La10jqw1s37CHOGee1pIj82nD6m+2XGv4GcydJK4LQ/lLBq
NL0LtybmDhttrLxPTRQsuZEZhIBqmwT3aIvavHhoxjJfkZHyPgncEYkYWsfOwRJjLVZgu9xPcmQ8
xydHw9hUXwY2rZujtAFtU3YirmeRmXLNvaySO1E2BKWUjRwcj1i7uKH77qDpu4bWYH+y7ImjS0uU
XVYNi7QXnKdt1dekGJcRGm+2LaIMG2xqcZ6+4hFVnGUNe/RoHetmcuy6CU4iofKjGXrjYSSw5UfI
6e67AZSSlxSVz0eElkaLJpGoWbeLOfHuvXro2bD+uvIgB8+lsdZcTNcK9MoOXTu3Lz2i674dl4KE
M1VPxRqb95VB4hXtC/iMcBsNHcLUS6+edcG2EEPFuYeqYijBbgzT0U80NYaRh2YmUb/k0VkK9srJ
42yr3nHyOl/WkEn73S6HfbRxOATml3KccJ3iZ1eoxaMs7Lgo71cfbZqmX8bYcfYfTQSc8DBbCtmG
VCScHp5BBDD+0SF7lSmIUbaI6yNhDOtwbwsQH/VC4K2zlT7HcLwf8ywMAH3DJN4aCdB42fhXz0d9
gCjvOXYIm415H8X9DoZYxJ/N7qKN+u/euXCRMwpxHdFnod4mdJQqs7jJSsrDbjdF5rSWVXUZkNnV
dw3zj5Nsknm3wkqv1mKDIptylCp8SJIk3Ze2to2iS9GXfskXjGjnkw1d4iGMhuFGOApQvIBPIquy
SE0ddFHtxAfUQ4ebbXOgEwJH5WWCLJDVQnaJtRz9J9og/wy3OC5/WuOMg/jSpGMLfa5wTZQ1eZ8R
4YeN4yTFRrYhLkOIuLS8rSjmRweBo0cRl90tqq36AfGIF1krXRWYF/bY8GMR5pJtskAs6tAjA3CW
tRZy7slL629yvGzCzgTcfu28GulA0kh1my+9+UMZOuNtVMIZzz8AtwJ2Nd92HZ5z5aovmTMa/qjp
kd+54otVF8oRL9l85xTpuM5FVyJAF3VrbdYu8cBOQTFmomVtrb73WvyoucJ7jvG8wt1n/goGvNnV
MOB4kWHeoGTS78exiRBuyLF/HNsjMQScb8Zkr+ah/RhaQbIb2VTjsdQ759ozXooaLQa35Yjh8SY8
rckODd5VG2+AMTjUYlfZZvOg5I+4lojluOX1mB5ovKPB3mtZsk2NMt0nlZUAI89Q4winVTnN0FDy
yL6qAa7XhqqMxzyKyUi62mvljO1XJJp5vpSmei6VygJUE7IPcstwZzq1tmnHzHwClbsuJz28yQKR
BPUwA3Lg5v9pA2mZburSqoFg/qdt8HCWj5QsOODkHt3nho1BiCHLLnKYCpTtgez208cktVIGnj1B
hw7yfyalkC/XmuYkO9k2oTr2EETeqTfBaKyMZqqOpEQxv5H1YkFeyLosbAWobDjhuo2iXLa6lzpm
cUcNCYhjqvSaupF1vTfLo7yCcs7Qeelv5CzZ+nuqWo6rQJD/kSuRXKTCJEBbfilk20f1o+1f4xK5
lsnu++VH/8ct+LE6vxe8+6UQPcJ0EGpwTz2OTfu7iEMsONKlSBwrylayLrtlo7z6aPvoSOMa8aKP
7n/f4mP275Hone8qmH3roIpXQ2i5VwX50Oc46w+oRPwAPjg/qT3+MGYf6n4DyAd4ugie50yUK4Uo
zk/L/FmGI6CHAZtZnuLRleeguS+9poQJFpnXfhC4YcZt+iN394mhJT8rMfZoXQXiWWnLZldomXkw
lEyHoIlWnwvQ92syOf6sYp9meUDUQwQNfAttyJMxl9kL7kIHC3eJ9yjr460b1qD+BizUmEC+OEzC
F63jl9k1ybeWPOCL3ouNYwqDdGfWvqdzuhk7U3kZmrnax4q1akdnONn4sJwQ4c9OtbnRRTsdvCxf
Uq5EPAhU5r5h197e0vNDPCfGoQsRegBDVp1K23hbQA/ywZ4scUeXg6AfvLB6TjthtyinKVr8ntQk
7PhAb0lc7iOUx86ETTFBMTMcmeZpl5dDsnPF7E9K22wqsSTGyxZxI8BlOyMMVRJgIKb53qSHSUGQ
x4EWi6iBm+GFntyUWuv25sQOJ0gI9IPBtr8htr9PCpLx0RgND10KFJN1ZS0ULMG0yfk5h8nV9BST
HEKyNof0JUOw4itHrE0Sus2KsHR2LspwOAfISq7RzlO+Fq5yCuIuf7XRFt7n6PjtZocjfA+QzavJ
q7tx970Ek7Aa3bq/QtV0D9mUjNsk0JRXEAdn8P/VA6Ts3BdBbq5xLKlPAOCzN3Xa8BTU1rPgC4Nu
nOdbEQTfSi92TTXmp8wlme1UxRNnRayY2zBbN7ph+hqppKdeMz1/RIPUs0t/aGxj18Wmd7Z19Q3c
HxoULZKKFWYlh4R02ToK9R+OPaZHBMagoJnPLo8xJy3yY5+Ap1ZKdcHUheWhMAwXLdC4IsRUqntb
EUdzqLR1Y5crL85a39Pzyi+QTD47dpwdbTZ00D5WSlutPNUGNza6weeuQvSzFZ7znBxi9pXIhBHn
rz02J5Yg3BsD/VRdYzcl04vRVflzfrCG+Nq3NgbbyNrgLQA+JyLutLXTmq38rLibWrALm/QnDIqV
Y2A0ZHfECLRvIf4JxJMSLyH8qdYPXTJedTuBSX1VcMVaTWKKedyn3QMEljBIDsHPLpm0bYOb6FEW
lVdn/oR93lS4yQpxnPZYlWi8V8JDvitP95Zibmsz0+2NnVbduuztd5UBjo4V0BA9sxNqt5U+FkdZ
6F5c3q9kVSnt4ugthayGONzyGP8z+l/dGRE6cv7DyuBMeawXn0COdlN+rzd58S2yvjmVxfcgctb4
0+nHQmT6cTYjiyM6+9sMmmFbBisAy19wk8LqnacIoGAshCETefNaXoJ6frH1qNxG5Wgch8Q2js4E
TRPSyAj+7RCksbcqop4IyYABWCKUXWyRYl95Lnco6nKdJB2rfg2GuHIRosaBY3KQzfGQhV7zjAdo
xOPdSEhTj+JqDyrfb3Wl6lN6qGs719ZjJl4d4WBptrwDWGm2p5aHqX2pynw8euEwHpWl8FQ/qyJ0
F4s+PwZLIdcaeYUKTgSJhxDmyg4VzR8G1M/UZOiOBIEwgVuueqv/XtbFJxw47FWlpnwC1bLEEpWz
dhMrAsZxNV/zIdjOcXpGulw51ov5oyyCGFkRJTMJ+6eo+zXTwYr5w+T/TzOrVws076YlzHIcpjk/
sgHqlKw/NnpuHkwLgIetCc5oDtm83ujyjal2qKEgK3osPPHFKBprk6vJRDKjaHFRqfLXUPPqI79S
eHZ8sOaonOwEI89ugi7kOTv5h0Uok63zUoD/iPX5GFftfLRaFKMIn6Md5pZH4hXVkb28u3OSmA1J
rh7TxUdO1GV3/5h+34iPSV5ledXfr1L0ng+twbkvQMYDOL4u1mHhgiFV63nb2NbVKASaeaGHiL4S
NUdZuGrVHLsUahaWHWArIWmsyqJYQUxvjiIOvuD2dK0r8IBlWLXrRNd8UGgnt+5WauCeNGs8hrG4
JRUoNAMcyKEP62OVE5bXHOu9tpXgMRn7ed0m+bVIxIirifYN1XjEzpvhJEjXogYfIotp5y5sD8Rl
bSAJqdreqrQJfdtmR1SXWbONkZVew9Ml81qZiGmBmwS8+Drpgdgi8ZL4iAPUm9DCk0KJh5CTHyxh
peQHZ2bbPHC/pgoBcMtun6eiHP2xDF2meMG61vVoZc9tto042UPgGp4jh+zqOPWg0JcA2JJcTS0b
w3QHcSlwdfigOgtvP3FW06IP0Vr6RsM6YYtcDmgrjlU+Pyq4gG5t7cEiq9vGa9kcWG69ibyIRUJc
AX3ikakOsKPD0dpDQHryQl+pyxB2C78JLcjHHXpDBi896qjG8fck0Uy8c9RWIU98jIN1/sqOvQxR
JhFcsjREnjXzlF0YZ5cxsdq9a7cPdqDYpzQqDwlr1jEO4l0nkpaPsneQOcBCNcNKbIUdl9jUczFv
oIngdaaE5zQW5Tqta3XDs9XeYEsNzMvJXvGFVDd2ArkoUSpcjUYUDeIo2wyejmE9koub1A1fhQl7
biDxEzrteGaxe+I3VJ/yCOtpp39YltUVpPt3FSU8Pyals85dA+wIu27fVR2ylZr2pXehyrdtHR0B
bq+t2p6wRW7QqOnjdON0bed7YXWuo/iQRwYIAc98wiAWslDhmbBsMn3tNkDJu6zZ8ftEn7gprnpR
wlComw3/rHlvu8LaZXa/GQe9gQVj1iuSSHyphX2yopj/q5Ikt9ngK6cbh5ng4ZbDxHnZ/T80Mdpp
2TQWh//h7LyW3Ea6rPtEiIA3t/SeLF+lG4SkluB9wj79LCTrU3X3zG8vmkEkElRJzQIyz9l7bc3o
2Bp0Kr1KVuPJNCLdb3nQ09lY9iVoQwta1jFVo9/x2GZo9WdyUgehmrosoYImyWoq+CCkumSeJjz8
vP4aJKOzsJQJUgTq91Pa3pqJaC+15O8vxuQvq6zyteYqxlmxSP2lAvPbM2PYWWn9wmbqODU67G4L
03Lvqtc4BpZQetNWV7yzmYbFMtGEd7A0JO+lBkcmid1NAtX8IrzzEGgBHOkwenLywWf7k1o7V+mc
FTUkC8uPuMWmC9OP/Zlue95Bi6Cdh3Mh2/P9M5ZqgjgokV2qqlauk0VeFtJevajGg5K20xZz9bei
0PSFy7L41vcvRZqS5dCTNs2CT1uzjuqXdW2d7DS0dgDtobxq9c9hZLkCjMM/8jS6xKlV7cbhCjbP
WlhYtbe15cRHO1Vpj4dnx+uaVU5nuO5K9xoOpE4YtYi3okeRZFCDX8R+4pyrSeWuP7U2DmtTI+aL
FVXfZe4q8DJ9KVqjXGgI4DZD6S1gpDmPOI40VPLFqvMyZ35wW5j4nWpZdeQvBRVBlpS2QNyi2cN4
BW60teYfKr6EXX6j4QJnMPAbkCQQXxOP70lm05pUkiig1efY63Y6wErjr4+xeKrccKlM+PMBReYL
3aUsp5ndaiq91zHReUQDgNsGU7khHvObjt1r5U+0ayMNVWhRRum1GNAaoodeBuog+PNyZP65VS77
EDkC6M9k2VO6WY69Mxz6TLvpQVtvMh7P18zLcVVYOIZ4CIS3ICheCLU8gbu7tJSXL5BjR8LFaPSV
/cZ3O+/BtLptOvL8qbLKWNuqCkq0irLrqIzGwhva+e/DUjSv7HFTq8UTwv9m7RpVuyqU9nuSZ2Jj
uyWJTxmKCyMg2y8JQcQZ5oAqkJ0T/yPY7PuT2qNVKmDelVGPTRyvYeK+TIWpPHuxckMnfdShyp8p
fXQbXY3ZANlNf9FCsXGTUjuG81Erov5iZ0Z/UZXAOtiksOB3ZkYUonbmDrFMcXxOmYJBydMvUTjp
lwz32qoBN7SUh9y0D8MYN4SONAO69al6D0z01aKsmvey7PtFa7Tt+4CTf+HZRvdOTbdDOBkM7wHP
7AU+RtyQ7EgWESCYdy0fW+QONDe9KWkRtHbGe9PamLX5Qr+bhNKBDKmdd+RSzQKAoPvO8oPdD87m
1SA0AOgmtZkStf87+x2+UbXQ3uJmQvRqmOHbHCOwMPysey3DEOY/PIGXOlIQdhJ+WrfVi42zeClU
YT2HbW6A2gjK5yjjrjza9M0cz893Q9NAAIKF8ogFjh2gaQYoMM44gyOIdSi0LQ1Z2VQ7+tWz+2oT
6LhBcSMSyBPV49mLI3Mbp2I8FU7d70zioY9U2au9cBrt0CLLh+xJtLCLeAB/levvlDElH8+O093Y
V8ZBIKZcZ5m9rGLL2eMjdFbkLPAj4T6GU9KkaxGpbGOj9iEd1W0RNNkNhXa9EyDhZv+HBXspf64T
Qh3jqXwrsDuvEAmpy8Ikdyw3j3ZknkgW09gFaT+7xnhFtfs7txUKLyz+Vb3aJ6wfEAFnq6HCTTGw
EW9DfsGnsP986RLlkPOzLIzR9VZ0Tk+WFw7b2hlfIRb2K8u35/veYG6iHtBLmWbVkd3JIs6xV2iO
NuxyAGPLAQ7gwjX0YTkS+7t05q1EbBn93uyzR9P7cB1Vf8mV8VfYsTM3+b6Gyq5VgvhapzmbCc95
97EnLkrLal/cAOcXrnjEQ3W1iQNKukqtIztXDDbjjbh0Ue9uAi/XF449EptK/bbTT1jrYRDNMIbY
Td419OOrysv2lkdt3ei4oUZZGG4y0KEgOaPHkXb7QkvD19JpMB4sjH5Cb9MeykjRdqESPfDgWvVm
PCy1EUqQrta/QS9rdl2gDRG/Kcj2PM0FKjc1ihZWYFqHbNK69ZS3ORns9THUnWRb+No7ozdc4w3o
LPFkKcopddKNVaKfVFgE3rs2/bxrTIsXCgBsKUFCUhB0KYHmm7pLo61ufuhFZmy4Pz5XXZ4v9Szu
zy1feNqORrACVL512jo5ZgZC1b7scUna/cuQVvY28H1BdE33TW0KSgpmtp7skHvf4HfniNKA7TcQ
93C9runSf2SWwA9ktC+BP0YoPBbphM+vraE0KBFPJqUs14XQnHXq8OCvWhgMIbkwGHbWGDrC58bd
VCnhkYXaecTbAHbyzMtUtvR1IbzEoTfdClbSdtz9VHQQZJqbQKb0QenYzlOm/xgcimb0wllxDu3H
gxOm7l8enrSYEAOUrBgn8uDgN1qC0Wkg07ufvAeYjvZB6OOvesyNbdLP/yCRW19HB9rfsokoesL1
vQZepG/6fGoODVmFiObA3fZzrSCrmp5SESWKrF6KxB7qq6qrfMEjj31HObLlyEtSwRFUt3sWwt12
lKflmRrTE7mtTcx8OXD/gL+dk5+iZ+rBjLJxazu/k8qv912r0Dep3aWKDeVgkGxPOg/WNK1U7R0B
OcsSd/qyBO2qhbG9NcZ1QhPrEebNJYUhuoxEi4wrh0070H58wbpKRk6HZylP1r3AGq4kOTdL1ELU
b7ZKbjs/g5jePxGlPAiKaWVPBTV8n6SNCMyzShFqkTQG+/yyP5ahWLVde6O9Vi4ItcSDqiEwtY32
oZ0yA3lIaWIkE+sw2IcBnBwjJTV2TMwKDMWcD5kl2XpEEwRGLXwsUp5XMM0UsoFHzxYgiCwDHl/t
r3w/fG4z6LO6cxBdp7206bOKKgfyQlBf2qL/ZdLz3XZTFe8qNaR9pvF8m5A2kW+2xqppLIsBmYOi
jBffA/FT1s1L5Nd05vzffp/nz6rffWd/1wIgbzZj4M9Ea34XyzK52ES57AnJDZaeba9B+nywD4d9
nbXTunV8NruN+4200HQ3KWTbGHFH68jwp0VWOcGC6B2+V/VrYtoB+6fmV90TP+XE07NVJpskf6+K
0PzuV+Js1xVxFnBvs/EtyLJiAXOcaMuxeCQxq904kfNoDOlbkZMCHzUfyaC9+K34laesU9vguxqN
v92ozllReC2dgyCgLxepR1eDfGRF+6Zqt6rdTt+rCC6bT8CvnnYkoFaLQlBKUXKt2miVIdaxlePD
j/4SpKzRuCrEue+gU2ZqGiMWrGB5ev1ai5pmpegH+ghZQlJzZvm/m1mbZTkYCcA+q7eupfLGNzdy
CENO0aBC/cWDzOqjQ7LhTY7D3tr/poreWJXW6C7abPqW8g9D3Dz7kfZWVIa3GbIyvPmDaaGYuxSe
vYrYOL87zbC37N5fmBjntvCPXxQ3i66zjXQb+wqPKOHtKEd7Wx683xWgNoVqBPvc94vHoE5+wnsc
Fq5G1r1uKMcfDjcIlg9OcQho9S1A8xOn7HXp0h24we9YdSf7JDEvvcvKq6CktiyIrKSkkCOOVQ1+
JQiJqIwyX0Vw0Lj9s6GK0N9sJkouK1U3QbgV5nCR7wxBudXBkab2Bb4Sv+6w8NTRA/nl+6ApnZ1t
28qyiEvlYhT8VR3yZixiafgKp8alikbrTFsqX7BAUl69EcGclSbTvF5SXo1Jxa4e2OlOt5rwpsRF
jNE0tMEUe6l2RRbdUFfxKGsH8VSv7VHwJxFVLp5QEsDyTtuTCHx6PMkkQFsUKJE+Y7CyBGl7F57V
jruwOaXpyY1tLDxYWZeFM/lnPPsrYYcwb6s+/qViFGO1HlL700CPknQWmRgKK9IPwpGGFPULhcyJ
2FpIsU4dZPVxTHAzSUdz4bnVsSXZaiGVPWpMofprsjwrD1lQLq2Y+LeUQu7cGO6IHgrqbBWpYb/J
Bt+72lrx+dL78A5QrXwN64ZG6OOEckxMk0x0/5xaKwTfxyO2FYjpcLlbnVYhlUJukPjR8TuM7w04
flpr7nWs8SXWI1iIeVjOsl2WEOSj3We5bLOuU2O5j7rVneUwIKmL49H5S/DIEQVZP0jWTNvDd02T
5Mjqk32nU6tkaaGSlScluUYOzTMoF5EgJA/nzzASfY9lP+RRbTk3+aJnvypCya4Qx3mGqPw/QTEQ
Hb4mZA6MxYlt15olFyIVM3WHbThoASCH+RIaq+SMAZmQl+TlVK7sOKGRZMfvrKrGp1KM9UGl7HJH
u2r+uYZq/s0Jx2ZTwRnea1YwkhHbnfnuTd/DUe0pC6nmOdcacXVE7yzkCUwk727ZnNsBQcfokSqR
Ngn9SQTOW8WL37rOC7dTrNIkGlBM+nmYvxpR/S7D/+IIFd9kdh+FzlILB3F7Sv03bnz4caAKLG27
xZEZ611CO0Bs0tR0LvJsULT12Uqbc6L7bYKZyE+2mqeSbDXzGUyQ/xdUPM+daq8U5JmP1aycKkBY
yyPpK5iPxjrRH6UD4c/MT42VvTLdZFzFwrhCl4bGNada3GMsJkuQDpeB6Bp1Ld99Ds7n/xV9EQ92
tJ/zBGUCOWpd+3hPKCfPrNlSQn+SJ/AfFtQYcUsd74HlxRRhB78HdFe965zunGzNyZdhUxvHT2zw
fw7hVZOxYzubpt45juvdfBIKNoY+aUtvPpQv2NSSw1hkv76GgghML77xJSQOU4HUwlySfddOXWaI
Nf9z5dCo4cLNW2tPJ92/qVT+b5NLpY586XIj58kTkP1c9sKUYb7HBiaQMsyGhySL9HM/dWKVUUFd
6WEdXzVNi6/y3RAZoPDdsVr868RoT/kpsdKNHO+npDPvUxr24FWOnEh+iKi71lz43QR0Uw0iymt8
/NeLYqtiVeIfWbTt8EsS6PNhstal2zXgF2dc/agPiwoHzlmerUJ/aTtK91xMjfrgtvElmmcl1PsP
QVcjjEGxyy7OG9cF/vxN1YO3l+FmIqd0GlkKa74564ygCBLrTSs6y0P+fU56q7YP8mjk8Wj3r1ra
aQ8VshE52Ii6OMcNLAGZr8aGqN8bTRis2iFWX8Mx7yjy0WEzXfun7hFPkjVdxf9Q9CuAprLnJBwz
9DPQwPWSsKw+NN6LAr2unKu6E9WkNnI3cq5lZJ+XdnMoiryUreXnpV1n3S+NhyJ7doRl00J2nM19
LlUTjPA1Tci5aVw5rfZMNEFy9dzhWsxHXhlpz1O2hjgf3Q+yXH3hFpVe5ClemiUAvXovL9ZbJFVj
L9S1PBvlYXLA06gswhYnXkCJ8OoYzaWv+vQ9y7QQ+a9w+YUIxAk5Y70ep6F7K/mmuSA9/vrnVNvV
P6d2qlv9a2o/thcYrFWyi8IS+VwbVDd0dDZyoeIvdc5ssaYxWLMHHvd9ixGs/Q1MLvgoO/BXOWua
lZwkL/YJkb7hcbVvlpn+7WJ8puNeTqvZh1pkpXxdLT9TxwG+kFdbNRW7rkqUpT8gUmugmu60yPdu
bqi0y96nv1xN+tam0v1r0I2LNxXRRw3dYfbWNFeVsL0F2fH0UebUErXrKY5Mvb6Uh2OmRI8WMaDy
iPuI9dQl/UAA1oSPO1Bo4cZOOr0m6RXLWQMq0ah2ZqCmuFZ1CM9yEJsJri4iMxYGaRn3iWNtEt3W
C57hmBwXQZtHp7r3smelT9W1iIWylod5o+FXDlDB6PGQPQOjcZ9c7A/zgZxgllTp6PedxrxpDpZK
Eg+um+ldBCy8m9rUD/IBbWNxboR440lSIcQT+k1ld59rk3JBsG+8xF38ytNKwbnL0XyO0FrlEpFr
ua8IDF8FibXgP/9XNU0f+qD5LO0Nn+p+Z/IES9XD2Ezhlmw689EaCetIlbb5aXCT0fLmVjYysjUe
bqazCrjrJotcX4U9rUkazZRrs/sbBSog4Ty0Qv7bHJXosk0pPBKdnF7ddQ2l92Z2uREOqe7UqsxW
o5eXx/sfZdozF5E8G4MikcwomszgB6654CyHcqi4a8olaPzmX2Tdlohpe8KFzQWzgekRWg9hpOEM
DRffIm22xWdNfvISEdygyZKcVITNj6F1AamE6Wthte6WBru1tYVXvuZZfqam2fxoHGQAuam41yat
q5Ngg7yqTK895h1WAGmUIUKr2zVa+ti1GRVyp/zdW/mu0Ovqt0q97J9v5jlyZOBN72AXVwIweA4J
tasMgPge5OEId2RcVSUIPKHSU0iQiC3k12DsYnsV92G7l4f/nIb97HPa0LzrkffWC6sP1+qQEFCl
TFDBhp5aicIOeKYmSBW/fOeIwFmZmgpyBqTDiu5BvQcc7xFumusP/3rHj/c5ZuR9eXS9ML0FSrCZ
2Hc9Npmuv8xHjaEWj1hLdOzlOtmqLQKbkHWOQliz6Tyz6LHAk6OwKWb3RViPpyxEd2PwfT0L11d2
MkxH08m5jgBAbnjUoVFpMdueKQltZOhOpELUTRTVSM65GhKVA+BxXAj8Zdtm5L4D+QHnU16KCJEF
mj7kGkLdKf3AVid0abFDZc5OgKPiBW1puxxHGJLuiPyNd/KFfc2wsUtoI+afsa+zQ4OnUWVLtpVj
JanI9w8whs4+G9GJCGsdMkkPFSIKosdsKsejsHdmJagW1z3NavTO3YJfT1Kxdd0nkSC3DshrcHkw
JF+6Bowm8pL4UpvTePiaK9+p0zSsxvlpLw+RMnm71imIGihc/yE3mo3WswFs56OIjveFyEUagRzJ
Fwwr5d6wKYR9jaGtysEa8iKvkidcSjYLNc8qmCRcC/ohvTpdvnb7ghpXZ1z5cdXHCczWXsDzpXpV
qNmyaVv2XHWvQDittMfUBPMDkGcn5NkQh/g60xXyDNnGZsv58xI97K4J8u1UcUBhtc4JTe1VGSYH
30LuPKSagi84iRAhzIfyxEBELRf68dpKWxEvldD3SO3DbR8QE04T0/TBlZjDSc725s+yH1I2uPeP
jPLIWOKaSDZYRJVCOJfe7PitsZL/9RFrH8QL1FLksyNSxuhUFKT3bRPFCVdNATSjYU24cgZIDSsH
SA19RaLFMt2v7i9DJpY8Zbvj13hPB6BbleUcS+kZBf80TBbFSEPj6zrfrJ1tmenfvobku/vHxGvb
3IR1HdyE/utrfyZHCDO/b8/aJghuWfY7ldTQKSfOwrIDQp5RbyhirWuwfqywV1YyGQN64p6ao78j
1G+ibq+TcJqIatOYIyDv+TCJfCJ4Iq26lJoevI3uhigM483ANXMC6F1vRwHUQ6K7eGA/328E91jp
wBoEfHj3JSt0+3TPtbOscd+lA6zjOeocxQG/+1SrVpoZRE8TpetVHPTZNpq9vVFtRjeSPNaRNPPa
M6sFV9LnWaOK45vPN1TOTVOoN51ntH9zOCK36jZagElDOhyb2eYo38kXeW+vs48sGJ21Qq37MGiG
fhapq+CzAqSZZeE36VsSaHVYp3U/k76jMhD59mNM3WwLIu4omthfBdzdn0xAkfshQKqWzBboYTau
CWOZIxN8kiPU8fOlze53DwH3EBWB8UpBrw/G4UdsDMBR+fudmxyYT02znrbcbBdhXegE498mdGJS
zmZAt0itR/HYwJ1Y5pZJ3TQIumSfXVrsyNfJNdk8okL4mVBQxvsRfoOqWK6pOXVHzBThShkI6vWB
BbE60eqnkEX9zptsWrujZr+MrfVYTkNycgV78Fjvm6vutN1MFlO35pz+Ll/+pxNyLLOgLNIhtzdu
7sHXNFSxCNVx3iZzKMfkO/mijJN6SgNTRWiec7enmfUaz3p0x/5PPG2iakuljKKbzLQdulYcIgc1
l5whxxzCHpbWLCtXHP8jMI3xm9+ll7oJ+2clyKIjrrVhheFw+gaP+D7uzgKRpFE+x13mi3m+PY9n
83gMPXWfOQKUhRfEC0RgzqUErvtqpm+YZoy3sI8sCAEAWZ1UwR+qd2RNQ+fbWvOhOngPahnk0ys1
D3tFPDd2NBn+qFfBE1GJXgo7qKZyLlocinvUNB7CGGUQAV1d1z5hipuo6pUAay39e0GG+GPdZM7f
xkWm3scjlev7Dl26ndsEmnjekmwo9cNViG6fV9d6L9A6Bv23zKiAw+hFfzNbtduNdq3sCLQndMyx
+NMNKDGJHTdXFF72IXOtC5TjnoS8AWypAfhAjtF4YwFtNCWkCzUhgsEslb8Mvlni2TGE9aj3LNLa
VtzdpQgz1OOoKvFSbk/TzK839dSa/FuxD6X1B3kuT7OTPHQyd6NZtXcmKv5J43fx1JRevJK55CAd
WDnRks0TWkoAFGk0FX3wohbOg5tU0Q9VH+a0gsG6amkRfTrFcHiNu0AXxppNEKE8DhliSzU1ywVM
GGWvqW78KF9q72SpBvKpukgeW88vj7bW/ZCn5JDliLnVgeVERmeHOuAckk5D7jBDdpNjMo0bU80P
TatcvCcgV7wEEG80jFQzoKz0Z5dWRKmSbHsfmwq8AmEUHQoV33OQaNbD17spK91VOJTWQ8ASdkWs
wHSIx+wSaVYGNMUDuK078Qpzdn6L9eTzxcMSUCqBfZHjM5J2qXu1D7CLFWkUJ9rD2AEtCFOj2vim
Z7x5szB+vuN8zUiD4XOGUdTmW1IU9xk6TZZF0ajHLstRW0vHuP23V3bS/UbzsgQpc6ueCP1pHJWq
lU9y+2SMwT5ou496sowLZE3zEuclJ0h6/gU6pt1VkSDmwe1+wYfpzg3xjMI2lGKdKkq3dNlFQSvQ
wVjOIY1CI5BEy2AfxjWOMccwbuRzmzd9fhl9whPjkseyiEjCgVeEcKbVaxwZzJMvkaj8Te6awGDm
K+SYrwwmzvX8kJo+MkhwFGwvfUq9W3dmElJ94qdVHGWRjap/kmMSUSixhWUziDWl6XEpx3RyVszM
NqsfSSe+uxGpekrEv0dKxEEAOwzAV+av5KFCx5pilMm93QoB1E5KcWh0ws5rwHBLDA4kWTbE5Vwj
nzx0GfBJw4KmQNW5u/vpegDxDoovw5+Nl1r31nKNoMRd8/A19lW1LeZ5TTfLSmXZlpSLz+OvtYW8
ritr0nxUzb3Je5fmKRdrnJyzOd/JCq838VKW/D7Ju9lohVd5Vs4Nw9LcCV/AnUWmgD6FBmzp1afQ
xAssX7L5MEGBtwSE2a++Tgx21tynaN0wrbsWOkCv9y1orHHd+l79ECYKLYT7LTOsInrHDWtpg1Cn
A/L0/HkqDHuDh9JZGfN+nLZCdR7r5qOdN/LN/JJV08JqmhKCH/NDjawBVEnbWG8V3Dvo/kPABLdp
Sj/fybF4Hhvmsbi3is2ABPFn1aAJbrwhPFiVFz4RI1qdEKB/ZNUQPjmWuPSWSsJ133PPJJF4PKs0
GrpeCfiq+ShAcRVvqnlrrzmuDWolJCfgn4cSCovF31mPA31NT+C36JRkQXeie2hn0jC7KWBLQHZW
8jDGK/4EMoBORwpgbbbKfyarm6guPJFOLYm+/FJZaN5WNKqI/p0fxPKRTB4Np+n7/2Lp6Syos32P
tMm9VkqYvCBwusMRLLskZHAkHs2b87VbGn9rS9Hods6sBPIv7hcJrf1/umgMcu3Y1fNfsAL4IteW
AVKivTyU4FfyTT4P5dlw/MdhQhDOfXKiKyijgvg1q81qVbowE2Hxj+920SzSqJ5eVcVy8CehO1GG
KNuY2hTsM4XdpVca9WMxUKDRPMirJonIPwq2mDxiyN8s8YQqJtg8q3j0RlYG3nzCw7yqkIkjf8QJ
3vOFHIZ3+RMW3aRenAkTORaFF3jg/z43MjOsB/IQI4dmptXQfSkxJZpljlVfLub7MEDkPnXqXjK4
5JyOxO3/ccydGzlyStjZYtv16BzD1RRp0Jiz6kqNw71acxdKvksiith5jDbvXydIWD+3wEmOX+MF
SrOjOca7DGaGrKXKCqplNAeIu7QV5rJtnKAsg/Ld72ShNtbddoeOx1jKC0al1a7ZaBymPCkPEL37
pZYm4NHtINxbirCecl/X9uxb4MvRcH4qCtt6gnRaqlkFGogRnts/YoR7AVyCH5FNcBcBMmEPIFSN
cu9Mgzs9p3FfrZycPoqQ33+h8288r2XtsorOdDbBdnEkl7JyXCTqfVwODfLX9Z9jcpq86s9nyLk9
yqr7B4HRWaPDuaGuRbkb5T97tuGLwRI1jc8+OPLdnNaZSXDGPKNzjeu9JlZrYo0rbTjLl6ioh3Mw
v8hDat/b2EJ+PqABXZiIyIEgHsomQ5HSj/VDN98PfVRyYT/ezBm4J4cZcTNnvIn59H9GjMrdAmeg
TIzNiRUSgUbLe/1FLUtj52DLXMjyjKzCyJfB8rHqxO3BH703rR/DY2lS0Msj7x5HIbuAupOufJrj
F/n4kC8RNqnUaj6H5KPnz4X37ep82OjNQeg1wrRMGW5DXY03vSmwB6Kp2Mgxu9fGG7YD7DeJYDs3
z7u3bR2UNQYIuIte/xhGsiOikAV7pWrkjETFgX1VtJY1qHlca/PP8cRJozUO6+nbP+fL8YxV/g2N
XLxIQvUk0tB8GoJOOysjunlZ9bYVE0Kf56QnAHD6i8rC8l40r+lhA7sZNrIKPlXUvRQi7kSOnFJU
EM9WXXNArBVe7keWmOuCNkxxZV4LuVX6eL9VN6p4gXqsPoDMJGf16x2VcMDm1XoglZKK5Ngvp0FT
36M0/9BiPf5tdx9qm84SD2RyeRob33sdBUc6WPZz0xbKqiBW5aIoaPWGyYtnpYFBPzWo0KZ3CElc
nK6/+csk7NcKOzk304RUrdOs19CL/Q0xFpji5SEpKiuvdZu9PGv2DqzlzNXPVVlYr7P2vcxq77Fz
Q/25IzhRXoRSNbtmgfVNXoP/aTqoZdcuLXwbFy+E1ehk/oWtbLXqetJyG91HMC8HVQHBPU7qqzyS
L7D8KKPNV7jGcKziTjl8jZtDptOQRidRo5W3kI1vojlpvoos7yrfBaTPRCObvq9xSxjOjmzQeCHH
kId6V21+kR9SuTW9jCC6UZ4eK5aBs/ZESdPdF2o4U4/J6KrHwdWqLTz/97p2AXWNvVmfYiXFUtEp
bX1qA+9+OulpSq7kmBlj2N0EqDlW49iV4ENWva6ah1bxKUTGnZoc72/T+W3feclRvpMvVo+keXk/
DoaJ3+B50n2UdALNqc2DP9n8uJN3rObevnyGIIMjTCl6+O8j90dO+buLxvhhJK4yXDJZHsmnyv/h
coVm/S5KBAENTR1evRQgbTzRuZWHtaKFFBU5gYmmPMQmuhxzsoIdbZHFlAGyz6eeBOD7tUXSIBrS
p+3XZfJEqsKltMNsSZzqgBBdHW7yxQipPvcQosR8n/gat9pgT/PDOQXKrPgIAgiRX5fKyfJSJ05e
5VXjfCuS7/5c6tDBAaGWwImUl7pCG/cFv3Es6zyDkrji0DWI4/39UNGKq09yjzyyhGY+8pMDlPLU
gCZraT4W8wupCW3JKl3OcpHOkYAQ6kt5Ts5CwfeERcA9ySMVBv1R1VskjPPV8qrEGn9nOCQpPZj7
XmL2agdvngBjJPFJlCTTJ/hR8pwcIawCG9D/z/y0630cttGwcxDsrO2+tzb6nMdm++6IqaX8++HX
WTlZnlXnye48+evs17XanOWmuDp6pMqwNtYk9Jd/Xft1+PXnhgFK6Up3tvFcra5SlT2g0BaNLEc7
o5NvhMBqWfTmmCHN90+N17hnd8YpmLFlHYgWSxaGLFaXXhUvwe+Mux767oPp/DCMPN9pLh0pSYzU
xm8wjpT3Ngn+PhyF31vCBt+/ZksaZRB+/9dsOTx033Fe+PfZZugaaxiGfKNnznPsFm94dB6r0pvp
RFH1EuAPkMN2m+hnsK/VQrRl+YY23NmOvtcQPdQWb0oW2sv7Z2TfnJqEZxOoVQxKg2+7MHFaWMKM
L8R1kBjRa9aLObFqBXZf/LLSJ0n5zDX9pQvC+r2KEurdZZ/cFCqwu5qC8N75c7X252q7HPJf7vCU
p4X5e746Bkb2HgeUGafSSW4ZtrVd3zmfVwcaNkdflE+a1ZOX44doGB1/+HA0QphMXf3V4NrjVgsv
fyA0atJq7y/uZN8UuKHvYiDoqFcR+vQWTYyGQtdFM3NlCwXdOwgTTZYTG9M2NA1xVdlmrRqRpM/J
+OYhM1vEmoj/giKwQPSqfHciJVjNVc9L3unmkRDDdp2UYfFuuuLoNj5yQ8KqYFQNzyBtym1FFjbu
ZeJEYtQESCGTeG8js6ZnV4bHOCGOZFY6pVrk3NAE67fhEJE/BwPJEwzr5XPoTMXxPgaWt1tODb8s
8uz9ShOuSdEDD0nkddWAu8gO4FkqZ1eJzG+Bp/2Wb8hTu79Bk/JbU1Xj2/zm/3rOfPk0X/WPz/nv
l/+Zo47ZujPC4NHynQ66WviuxT17ZhiVzw27LBDe8aM8shNcQrFj5wdTj/NnKsgsG7CLrVx/6M4I
zpOVkRDRNGcyFm7XPvkOJs35jhDTtnv6c45m8/2c1OLJcxrXyaM/14HfQJ8yRMXRyqpkm/uUkFBT
mC/21Fzkpmwq/XBZkixxTWivnAswZcsAFuEPFfoItZnmFWTZYprdh2kxoLcoKL7G8zvUs5/v5Jg8
K+eBPfjfnP36FIo6mJfCUexHTOMwObSPznMomOpRvTOjXvtojIcqVsV7GCrm3h/5k+WsamzfyGqP
qEvo3SVIsSHKcRo3DRTLWj/pJGY/C/xZvedFkKJq7dHrCd22i7a5WXqtgB3MVaIN1PIjKDWoIOQ7
NUWnrMH0TmuvLeud7DHT79j3NYXWjlSBa9VV2X+xdl5LjuNaun4iRtCbW3mlpPS2bxhl6b3n058P
YHapunbPmZmIuWESwIJcSiSw1m+WUnQItG4JkxVrEcYy23iabexzagRPlrDZQxw6cbO1qoSGgGEW
+wKt5//67P8f56aaejJ9f+00RrEnl/E/f6RGxb49RKQI2cDmrsFXZN2gtrYr2gZrrRSG4qqZ8LOQ
EIsgzPq9fP962N4rvVI9pkPa3SOu+NXV3PZsVNQ5DbXRznB1v8oCjyziBKp9DDUDyqCo+ZSC2WqA
MNnJcg/ijd0qBGy1h6oAVNNU850ss0m0qjwDfV3cQvOx8cPofh+VbvUyTmvM7dSjLiystDzNImus
WMl4kW1HIQegwhPbpU5BQhT/qgN2zsFFHgp/Di6kStZq4KFI86t/IMF90IyaykbUnGexGK3kurSI
D72i2SfZJQ9a2/ct1udqsHEK7BwdB6gpJm31k6nxmZHGQG+v0st7rQtb6CW181WB/NIrvv29n570
XH+UnyvsYXJjXjwtH3NkaXds57rHogdSBFngW6Xr8yq3O0EDAy/t7a41+CbWhQ+R9lMW3mXRXoX1
r698tU7WlV2AmS3/LuJfYzAVxqO68M6yVI+RX7Px1cTeW37/oneO8TrXtb4F44ifasmlaIgag8K6
rrwDQzvhbJl90VykQ0uYO8g8ZmursJo7d4ic6bl9tqoBVZTQZyFs2mqwb5AcXUvJQCkeKPvSKh/X
/RTuoPl3Z3WaC+uS9BUkUlneQRUByhs7goMxZzVLes+4l4fBr7u72fyWjXD0l350UV9zfXTh0Rfm
EqWKVadRACm79jVt7B4Kit1F9VNq3qn6wNfdSKzwEIZNCZMSgTxDHOSwHIgEnFyFY7UukcrcS1+v
ptO1g24Af58E0lT2lV7P7THSKNNIqCr44/vM8ayzDImwbLsbHKRDxAQchYCeSyAR6nTt3bK9n+Ya
yIY5xPNrFR3rNvGaHb6x03Fu8i0uQz2SjTMblVY7Z5AizjXizOcphUuqdd4zjlnDHjbj2Kxknwyx
Jbwiq/3oMHbO0ySTNLri6DeuMSH7IZSsPSsxbix7uOtFWqbSscKJtQSZmPXoeOFafhLiE/MRml1E
A2WX/KxEv1chPnbt+hX/Z38EetEmHbzGE4NP3e+b+TbxBdWOF/GrJV7DOCrxCh+gATUooDjavczY
xBH12RG7ds3G4vPvFlWAZhsVIjvPkuXOttEjULoMXyjRzLK0PQEsOS3vXPUnCBehf5Sa3Zij3S+w
hUzvLzIH02lwAkJSYYfFSNTz8SzNWqc/fAIGxHirgXGS+Rn+VUjp93UorIGKix22EC3l6RjPycY1
epB8YsQp++Iiz64H2QfwWPVIo4kgFc7z7vNH3oTeh+xcHhNFFdStXTwMZOcfDyebnngKtTPXIQnT
0zVs6qr6GEF/iPaa8ISNNfVmsPVRPwqDim1e6FS673O0r8jH/vo7cCMQ7enz769xF/03xHF4PfqB
VLW7INX7DJRklOXeZgGikxRwDn2gNWQ5WOPJQGT3vYvXmtsFzh6IgQAIzkTZ4xLLFZw3m0JKWcP4
CnXdNS6Y9gZIjT58sfX0r0h3hl2nt/2pHZP+BFuz8pGKy0roQSWuMcOsoYOLfrA8ux4Un8Kq7UyH
a9e/hck+AEA9uLApXpBIEkmkFz6XdgCya9m8HvJ8ark3RNtrl4Quodzg36ZNARWmjpGCAr/UBaZ9
RNIClIPPfyE2PWttVhDq7Mm3nI3eUr9rvZ+LoW841+HWzRR1k3UjJkVI16nGaN/1ato+zkah3qj5
nKzkoOzzEhPyiuuGe9msJvUdDyuX+vTsdcOCUdUDf2v50GwsQ80xHUK3QKbhuhAwWYZK+CU3cAYM
3PIcDkNFYkwBo2zgZucHk7+ybMfayxtygCL0oZqTt+uN+no//ufgtb8a6p1P4eumh5y5MEQMRNsu
Ol4Zn/wRUmoXOSrtyUlz/z7aieZ1rhxFw+hpDsr2i45FBvRJOOdy+cXqm7RZMD2OCuKVQRR/jyeM
aut+GE/ByNbh3A9xcmvhJrhmpXj0Cuw/1caHWBqNH52A37q6Y+B7CAEiaPz2oMbtfI/51kz6NFT/
EpP8oT9pGhlomV8dfGe+jKECy1hkQX6lZkM3/Tr6KCXJLnkIYrGUzmZMbYxyuE28YROV+KtSofyk
pQyUVSwLvxG5Nhh1BROIxi1uDadZwuS7DIY4QCp4/o8wpRy120oALn10KZ3xQd5y4jERhmb+d9mS
h4SU67YrhSKyMKuUfTUuqytH1bObT8dLc1ua2Mf4UNSXVLJ8E3GYv2Vxpt+EMjuUIbC0nV0S2Nf3
GUeGci5MVP/ER2LWk7fxFcfdyHs4DLg7IBKYD/KTX27YuQe9yCX/upMR8q5dmFF4AIVjLLd52Tdo
LAprBB6vKwK9dUu0ETWd6nOtJfO+R67kFnwG9SxhIO7HwLKSqff2aeX+kDeGrp8ONWX2k2wt64A2
Hn/rk8sA2J/1ejDZVDzUEAshQKwMs3bxFBrs42RzR+Ne27+5BebRAhDwbxF42PVvEFd+i2gaoSNq
tSh1iWVNFCvuudDUoxElLGnk28zn+NCkaHBf32aZgVPyOiCd1z64MeHecnzsYMTSJ+Fed5zdGN6w
0n4dhrx+0Scy7DDNKYd0TX1H7RaMH9YPZNGmFfys8fvUuHzD7BZ2EwaupN9c+8BHOj60/MOWEOGY
qebeN/nQg66LooMLN8Gwg1WRRO+ZjqAjXnbtTc0P8saugmbn4CCKNF/WP/dhP54yPLlWVTz3zzXa
249zgAVqEfnt2k/bc6O1011jJR7kfHXa2CbftiA204cajttNpwFOyWO1gmnZHmSdCBn6z4hWRDT/
s4ikyyp0DLrfHsOby3ar4hS3BnOR7F0tTte5DccFsKxf3ynxRzc5MOKSCVqsH8bmYRntYFNvzCrZ
ZXpBGq81jTcFpdB1HNjRWfdS882k+JRNRfcyAU2/I5v2TUYVQentLaNjEm+BtzadcEhkSVcE+AjI
U7tX+Npj8wTHRXgLoJ2x6yPBTRdi42qheJsuKBF+Ec0rflmqkKea5SFwlZjr60DdAXG2SJptfMfL
Nt4AQzhNjaNjDR6AblAkkJ3zgHUjZjiQlIUgCGY4WC4iOZibL4bW9Uc0MlC5d4LybchB3hRTOh3C
vCvf1BhcnBYZ6q0cDS3om/PwCm/RvetN+71zI3xqMD9YqRU+obYSel8sX78xrQwv1Wz4mLw0/dlo
8zsmc9b73EYdK0+zfQzZwOwA0oYXN9fso5ur6iHqhwEKiZFuVFgGMT6XO+mWJU2y9DTnqir60D5g
jZgHzWd7EDU9GSj7bOwmlnmyz7cH9CR0vdtJqESbgknRW4uFtOP65zma/fNU6cEGOq2yRijC7tnt
ZspZDmc6auJIj64n1f0LJTjn7nqorTrZ2AMWLrLP7dhZgV8IzxjDa6drHCrm8ymPW8TmmJ+mdrgq
fHdu9LUfo0oSqH186exyW5GVuUP0yLqTZ8NQJ3t2sa4Qmfvs80q9v6lj6/sUWWsdCekXshm4iMyR
iV6VN753ExKpZm+pR1MIs3uoCCL89fQJ3hGVYlk/loVlI9b3/BSCe9mytEjd4BXj7WRRuR5BjGdK
/FOWpLFw/EJ1zLlo4iDP1FZ99zOvPYTk/9o9O/TwoDbe18hpPyNatZp2SHWx9/Sa4ZCwhWTBOECy
sIuJavag7SMwmZelibY8eduiqDcyJi+d5t6uW5x1Mqyzc9/hDoxA3Rja2Uc+ZRaCB/N4qpPBfi1H
VDSTJvuARDsd5gExH1PHUIPy07iCrtMcZoOpUxNA2kSGtF7aZCr5Gvm68WT62sdkWvrrmM8vTqNj
ud7HJ36AwUeS+PomARxyscbUOc1+rlO9QWVL9QzTw4PUrhSwZGNXbcYQS+aiNW66vDYAYUHrPXOZ
SLZBZ1D2ljGmXttnmDPDnkvhDE1ARQ5JNyOI3sUz68bP7MU1X0HKOUHfD7D02VefJwvlMCfeorDV
H+2U39F+dtQIpESCbY1ZOJelEzoEpuLE7BIoQqsSa5+LNPEY+ImaRv0G7CC6TToy57K7VCGOab3T
72RTTgq1pl5b/eiu5eYpdyrF9VYj/5Md2bbuOKfaU8ol/imt+WAKEzkUAdD9y66Mpwl3yN/6G3Gf
/mf8zE54k/be0j+hVhTnez3xIffLXW4q9sD5rwPq32LrK48wNyC8YLaxg5+G3K7dv3RQVm58NMc2
8qm01j8Ozjy8oFBZ/dYv4kNqIgI73Vzymk274ZsPluOGT6U5HeWVvTU9qHOdA2iUGv4b+tE9e052
GXaZJg+fICu04kERaVYKNwsHmTYCUK2YDmo6aUNBawAsu2D+5LA82GluAZTP9OqrXzr+sUL7YONk
2bD3hMDBHOJTPtUWuNDEgT9VuulDgr9ka3RQ/0RXqlUUyVj7yHgVrWa9Lm9SEgXnP+8xso0wm0YC
qEZt01finao3ynqIav0W/VAkF7WYtLRlADBRuuEAnRZb57G2nlKrHR99l18VjRni/E2i6t9yxwwu
UVc066nGYVA2r4eE4v9FNvG3RdMDbOMeZacBooDLJ2GxNd9VVJKO1GTenDFK+aFU8d4WsLlcCfN7
1XPYyAgMcKHoXzu7U9HFB/IhQaLXQ522IDZq58u1S55hkDNe0N4YL7aRomJomksESiBPoWnj51Zm
x1Zrpo8RVtwGaLF7abqebaaGmn6Uq9mrb6rvmMjZ36lYUdgIz7rSvGmG0jxWY91SWgx+FkGcnmRX
gaXbXTvmu1kEyC7b8tVdnCjZJg87A8m6odkGY5ngKmEFa4mHLWcV17l4so94VDXnCJEDd2Xk3xXE
wrVacx7YejjHKnK63Tw2+DKm5Uki14GTdStbFAeQcOMKG4S3Sd5AEg2Ml1rVEc2jZVCxX1rIO30z
QqR6Rn9CcEsCfhp2s6tRjU9hqOuPUwTM1811gSsGrYYa5rFGQAtgMc1o7KKNlrrRjfwBiEnWZKFW
YbroDQ8hwL3Zs4sTG6rz4hBM1otXGoZnZHmyu05m+AZth1Sk0LXj05OfkO7409rwlHF//VitcgSi
7M73sguxn+AmSJA7nJq4InULaifHeQTktFVth8kpP5Rm/vAUo30Ia02/c7gTrGQ/2onog/the9PG
dv7e9BdnKKsPx33udTyuwzSZ3lODl65AErlA9/VfkMda+q2kMo/UGNBoiJ3NWKj1bT6Cj32Vl5UA
cQqJflCiwmGbhvwFKAjZI5ERsaZ5u3mKw/UfA3mJwlJfq/VBDuieHxx8yzdvdPTVxqB6kfUbK12H
Ew25L2YEvcvqBUnK+VbTgLuIzLdtPmiBi08VP71iPxi4lDRapd03VZUKNd3sR43VQxaYP1VleLH5
5r2P6K0gO6mn9x5aTYfWMI0jHgHx7ZBi+4JJh3I35mhSWShjXCisNudyqF7YHiLKqpihv5mb2tr2
2OI9yoNGVsFOYvuS5R0ima4fHtzI0pMLSA5tb2buA3QN9U5+I+PUfuDrp5Jr5TsoxmQLyJv3OGvz
NhiyXW1x5Z8cBcvhkbWlluT2TY461E43w/wF0tL3wc/s7yJ0MJtsXYSJXX3F4Cc59qTCbgstfrWq
MlhauL4Wt7J/FINWHb761AuPsj8BRqyt7OR7bZhvtTc5pGI4GNxDYVGK0wHQ4hSofM7cQOWgm/bd
DMBJrTY6nqmbAq2a3QJHWmh4TlK/4qZebSKPJZD8Rzrt9HvzOioLegZ2fOt+DM56nvB2//ENQqXb
2ADeRTXonwO5Xt72XlCfrv1N7tYn8RjeVBe7asbUru8s4zKKQ1aXCsqmMQWLFA7Jb31LTONkh2BS
PuSAPCRyhjxFFiJf57FTbru6/3zAaI85Oaig0LDmr05nmQdfKByFfYPCpPg5RqGDOZSnwlpp3PBF
Dae97Cd9T9EKD6+dbKLUdRPnSf2MB0F6kdNrJ3hdBAS8Mriogx46H1PoPXlAlEq8l0+JXxYntugB
0kWuCtC374AisFKPQK8y3pI+KFfy9Lf2MuG3Mc9V9ZVhlMUBSU33zlHae/m9TMLOvQPydq9hwnge
4yFDvA8xuywry0sz5uyE6nrtVpb1jLNm81A6MwrhUDSmKlBvbFJqa8NVyzcfReBti8XDXk7qfuod
4IL5JDHMse5Z91UCGdLvKfF2k3X/ayzwC3tp8QjsSLTwdiihjra1ktwgn26QeNBuQIFb6NyOwWOc
Zbep5KFVznw0fKDKXjc3926FsoM542n3rqB52qAoeOvP1ngf21nPJTz8UMxkupddS3/S7Ru2hJeQ
gtrSz1uNN1ztyQchAHJZajThkN9ovX/A2Et5t+Yk3cZ5XJw9BFEvKNSXG5Ni8xfLRCA3zIAStPDm
PINXym7EPXA71PaGpeAakbkoq5l69N11lQOrK/+4LINax/C2LOb8mzYPn9oJ9b+t3qO+ZJhtefht
qxqRmx3N09yyMbopRx0mqJVbZyNGjFpT41t5iaJGF5/VYnqTlyjZVagaJChyrcuVTLPj6jJ0zbmO
9QMJNuOjnaOOxFUT3LqFV5+YjcEOhMdXzA8/5EbgV2gFehYV9egztPH9YDcaSfiK1vw11Osr5zwb
yQ+5IsKgOliWRY6p3MLCdw7XlZJcLk22Bj1lSmDX/2KslMpzFfjJneSwSNZK7Rj11pm8ApQuvJYy
124VpXUPta8DmXOCCqlmDJm2YeOAmysHpb9B+uivaeC/GoZd/zT5evzkAh/M7B6QQdg/iXvrOp0j
dy+bXqLiLDgFX2RLzmmK5nWKp/giJ3mZ3yI2l8Ubypkq9jGzuiUvHVzaGY4LWQvcO0XJVR7kgDwj
bRee7SyD0TV508q3Yv17vw3EOsuMK0T/esN9KE04rK4HiGpWsaRLU5ZF5pCn26QGpY6r0DMMoeDb
P04w8whlDzuN5cQtK+fNSrN92eHNztXGekjcFnggXuvbwW/DrzU83q7FQcGi7m+xpLjRLcRVO3P8
IcflRBt9rHXZ6OkdQr1Hh7XhoxMM3ZMmpFPl73/mXlhiC7NS7KZ462YB+eoQK5CjRYq8qd1mXADG
KHopVHPb5uCRIOHBPAv3dY9HrjG03oceLt0qMqx7NUk/u4meFR+jNl8bkEF7acSVg71C90xDKiDI
RmSipAlLoo91OSL56H83Ar9GmhKvooeFZ251BUA6G0IONql/uSmCCwk7nFtH51IGABCQLlqbz27T
/kQgefpiaT4ZmPGtwUzpMFM9vBQDaPX9RF/H7Sghef48gU2CMRkWF4lSk010m4uLRKnNNeJicpS9
qb7r4iTbmBb2TYOudicHT9mnLFbuK55TeY7qbmlqiTP+JcMK76s6g4GZSzRmRfKVf9UHFV7tOYp6
rBb1Lj6EtYp4o9+OB9vUxocBPpDcUchD6iXWRq+sclcLfi3C0RNZ3s+I2rTZeIiI3J5KlBrZh4RO
9Yzec/5gmGiTNEbUXFhvxc+2i9SwEAvBYcXcNV3a7psZLEloWzuXVQ9Elb47x1mNfF1vN2gNiYRy
oWu3YNjCp8RkD+D7yHMtRrxTo2yCGlMYORqJ0UBhVHr4poYbPM1NsJ0rO7mf7CY/Jj4571cq9ckh
TBGLMVTcChZIaoHYHzUL2o6kLck28ql/t+fe3HQzKs1wwV0AkHBxg1JB6zRD2Uk2JQTSwu4In4En
2ZN5JYKWIj4W8ZaGLcQ1Xoa47b/GG1merKIQO9BaWLj2jqFvlLyZSVh4U79bMNRFMkSkRUWNV4uU
85zm0xm3QLm/zVUvPZRUttaR2O4arZPDy3DOcgcs97xOPuNKUqX3Mt7CLJAFi2kfbKRtTxSUPxBY
EhhitXqOK7xsvQIELRKNDR6MU1Jvc1Wb13bDWm55CXpmz9AwWKXIDCM6TjDmEADgircJ2MI/YApU
P7iIkNz2qSOgbbxuxY+WphyUYTJCyaxNDVN6Xxs13H2xsBxrDCm8zDS2UeSRm/m1vpRn/Iryk++Z
cNlZdy5LzmXa1Bz1ZLap8DUR8mN8mu0UQBuem3FnoohOOZu+3w7FgApY7jVLyHVgGlG4WvH9N85m
an71M2rdsiZSWEG7wCC6SEO8XwzImr+TQxiFw0mn40fDEi2rJXLYE8VTOeBpmGz9KNy0wukYy5s7
FEDM/WBBfZD/sBZ73du4iO7huzioWzrlDiVBa/nXKSA711k4lcchGYP7KcREZJim76GqILMu1vAR
iv7GRs8zxJrfohis1FcwiRNMCzb5IV+QTaxSRP4jD7CwSOVwQ01xGb4mB2R0lc3q2kVmbNkeTKFS
n3pum/Jpf9sx4MrCiiBC/Ea+FNdcYZ0SYyuPKLCbV8rOtBGWQ1dVbLGd8Ru4Jza7mHtqFhzloLJf
UZwJtmPaxMcBEcJtLHR3JCQrTd3gAuZ2M1QlCgyyqSj1RkakgP1dNxPasZF5Kw9D1f/MSV8crl0q
2KjbYArjI9TKd9mfZxocArsWhr7Bxa2y8CLPEPeat2aGcNS1Tw6YuhWty7KcdmkeZCc96t+v3+km
Q7YOIbj3SPwQInTKIalKTjaEGX69Su+eULZMqKcXFIF8tHdHdvM/bMTFi9H/EVlQ8tTBTV4GI7e2
emE0Z1UDKtqY3ozNOpoAmjEhaOHa8YIZ85CNusxx/SoBZRJG5uOeluWoeUCUHVdpV9q7/AkB/BCs
b9HdZUP01TQjsVQP0yNKGf1GNluQOps8KN2DbDq+8t1xp+hOtvKn2bPwIpRpkblHGKq1EebJDB3z
M6GbNBeFgb7cvWEMSb2uhHZSpvXRjVRWooyYr7tQ36kCOibZCpLRIM+WQ2Xhoq1Ez7L/Gqbofr01
8qqG4FU0t3jab5dCxh/NNKgPg+ll6z5rgicuKPGaksH0F9J5l6kJG0ivQ7hygE39mI3xZ8pP4w3j
9AKiqxJR4GmdPeKm7Y2ReCb+aTil6aWS7eyh/pF2uZce7YzUaWLVX3p9GocvM8B4FKJgRwp0BcvI
z8O1WUQTiWLZzv0JVxF2GP8WJ/v0bouCQnCR1ylbXKygnOtcAEt3JS9M1wuYHJXNwAv0LWYQnyHX
gcZCPUQz74JqKrY+VNkNSrT5wnmWZ3F0p0ROeXft5jL0e6gyE/93aGel1W+hbRrdgwG9xRR1ekh6
Rd0NrpWflXmYbkK19blvY4nQtYW+ocTbv/T90K1mVmRfWy7xC7nIt7SVYeclCrfjNxd/ubd6qMx1
V7u4BZAUxNOhstch+IKvCsIc6UASsgZ8uPOj3j/qhW4+silmTy0i4DN9QyV/eEq8sjt6/owAtN4Z
751JbUQETDGMUzw6ylt08PSLY3MtA06unF0umhdFAI2uh6796JopO1975NlvobC6NviOjetrH1mq
jUNN8D6qm3LXeYBVLDufn3q8He89NDqBM89Pg+pMT2Vj9ew8tfFGNu1SCY86axtQgWFbrY3+VdOH
+lEOmmIvMqZku2WTVRsXuNn6uoT6LTqdCvwjOVg7rMnaLDgB6MW8koTXLRJeCDtHcYs+MP7VcFNJ
eovWrEUcREg8D91hTpLvsn85yFkY5hTreU5MVlVqflOAmVrZBVtAV/e6u45f5AaGTf+GmDUopMD6
mSZrS1Hzn6iQIx7jz6+eZ+okgmrzFpgevu6x2m+X9NdMOjL3N4lwsvKGykWYHbRt7HnTOwV5RONx
5jzFXTS9u/E2E1GTg+X6EiW6TTIl/4xSokr5/bF+Rc09Ut7ysf5+xjoKN34Gz1GZNm6GdO48xuZj
V8TxHr1kKAeiOQMWeuxhquMIO1+ivqflTBiraXa5wrMGtriChzkeuLp+DMRwGAz9rda3N3L+MqNo
MPGBY7dLUbJkxrQZejxwFh71WIB6KXtMc5JxJIcfk+8R0u8Flu5yCQx0H30alLjlcCqGQz/8HCbj
A4tSzHYnjG5ivXrosXLVELproVUOlCT/qAWA9z3Zdmsd/7i1X2sB2Iycyly3jnK9IMOqWBluRhR1
/q1skWjG/dzb6qHGDWxYyRBgL7goyA37r2E5oMdFgc2HqIjIUYQql8kTCeG/Z+C7ihI7O3O0apPT
HKDTvZzKdik65Vn3geukciPPTSVMl15byYm/RsnhP2JkM1B6yG1p8pFlXr28taHPfxgxquDUBz/T
D//2lkWWQk37fJkk38g1XyEnDFmODrQzoQRZBsKdSXVBJQTFsYv08AQg6vOAPQejyD4E4e7aW7uV
hm+tCF0C5JBQjMkcDD+N0to3Agi17ub8VTULG5R26zxMScTBR22cxeLSiPjexq51s4T7Y5AfkalG
017Ex+KgNgapqzbSN3KGHAgCJV874mn6SukPfqkI4xxwC8LxQG9OTt5iEeP2PtLQrtGC8RG9mZ0E
OLUo3vbPEUvGQ7KgBjRs/KQp79rEqMCExNm3mtJ/Hpf6XwOQq+0cZy50BEqnHtDiY2Hoq0r14gcs
TQ1ARthL7T7X98rwBfmC5M1P+vLYCwsTKXGj4jPvBGO2qihz7PLB8cHU1Jlz0Kf0Zi57aqGaa22n
KMF9bsTWrKyxtytsmy+sIxd+bcc3cXCRfeCGbqyEiYhIJLBwTTCJhJZN7iD2dVZn1VbmDuQIjevI
32F/z4EDSAokyQ3KV73ghrbjSmJ3JZ26muCLDhFC5L4p4Bnjrxg5LJnYtp7/xzwkSLAON5onn5Te
sx047/pUZ9+8qUDvvWqes576BRgqb180RbCyChB71L2iGzB62MG1k/s25Rb3HXIEOfoYK9e2hof/
PqKzspemjlssLrvmbtHwGeEv9T2oEFcLATFL6R/Rh6iucv4jThV9OUbt+1Bt2NyD3t/lWhmcQ2Us
ziyqnW2f1MqzYcAjwf7c/2Hh5K0ZP4zRRaVTq9TnVMyZwjk4o8VTnP3BdIBK+/4zbInPOd35jzny
ebwBz8nYjV41LvAXMKraFv0ODD5FEaAbPYoA6OYa5Dppz0P+IxwT9mai5SMwMq3kPDbz+XkqMI/5
FSv7lxDTH25RAT16bn/QtM7+nujWR4EQEJqbWrhrKrU6dcYQ4g0ASoNarfkhQqt8nld+mv2kMuc1
OC87fbtH2XXacrfGbkJDSYerYv0U19aXXHPDryXu8qth1MoHrHaHU4A640am4yLtntKA9VfcGB9R
3JvglrTpoPoIy0TipojrWUkaAycFJJri59wjf6jEzTFQHRNKKuU37lhIwTeaU23ssGIpak/ma9uB
hQb5jTJhEaCrmE4Z4orgDpNNopM1nyMF/V8G2s5KzsKxbT27pXUKNfOpMfzocYDud0caH/cWVPw/
hhDDnsqfuqNs2uWHr5MnC6ocTfQUqUmuKOFHOJDUdC2juUSxazzjk7OX/WjUcR1MPDbR4sHEk7ig
oFaIptuHuuj9kzzYbuojCm1+NqsphuHT6Zhr/QqpQW1EG3ccVwOvfDuVfvfUcOm4aUec5GRTn/We
hRxeMUGi3IJZ6Z+0osywoMNMRw5iF0RSzrLXclBOSno9wFJMKY6+2bGDMauRr9KMQZ7TO49KNSRH
6BXhPqyS5tWu2YJUefPSu/pw0wj3OqFfWIqDa/vRDReMlFuFaz/IgVxVwIh76Flovt7E61CIFCL6
Eu6XduZq35Oic258KWco5iHevDbbWL2Tj4LimX47xMVuULpi10OTvcFN6nsbJdk3HAdeQ7/IX8y+
0vatzZUjjmf/qTaKfwuoxqw75D2ZSc1JdqmJLSw0vx+R74Of9MBCmr0Pkz81vkYD2PcuiPSXocGG
Ncj4QsTct/Zlm+tIf4zxGXl1uCLG0DzMkM0Bq+n6Gzop3xErGG5LUfGR1+Ow77ZG7HWLnqg1Dagn
DN1DPL6gqR9h9aMXIKtT96237aN8UzBR2AmnyCH3Oc4irM7ysypQCC7spEINjXvZyivLO7qRjTi+
GATM0T4i0DCuxzJU99c+zAL/nGUZerOSE2SYNdr4AbF++S9n9TklHQjBjYCTUkC+zlja4jnqqTtx
tfDPgCPDp6Hw5p3lwZhRh5QFI55X/JgcvnrsB0CExOouJJfCAlZAQkZGyeQFD422HUhIvlk9+45Q
HXBK6rxz6CJq1QslqTlVKYoZaYKjJRcIgzAjDcffwmS/DOsyJB+o3k7vFQBZGRZoyeejjb8ezRGP
JpsirARvvpqBF198kz18KiuQ3DDebApGu9FBRAs8HlsBJRQ2vG5wp2Ff8OLr6Vr2W0nfnCYEhdZJ
yCq/bSdto09lcZSjI2+mQq3y0Z5G88H2R2AxPJgeU3eF9BVsZbOcqYcrbu2fZDPof+JZW4Ff4QX5
gbVBBM1e1TFqzHOQxe+oqSHtYNavE8Jqt4hyt0gFVtF7PSJem/fFtEdOInrX3eRDU8z+3sld6kVl
cpTdrVZNx2zEyUVOqoIRLmHpjyc5+s/HVuOCJbt4ziazfn9sZPY/Oqft75O2GP7tsXXxCvpZ8BR/
PXaXv6sDOTbDOM+OEaLQwkFV288zo+Q64hiKFDELb7Mxx7NRBiKC4W9SI0HYT0QjsMqInD26aXOM
uu4B5m10a2ptp23kFDhBK2UIzfNgVtYBIdfXCNVPZD6VlPIhckm9Wlt4C7VlflCKkt2/32obGWN5
lnvRzx1G7NnJ0NwPPLOQexDT5SH5dWbOdroh85Jn5rjLhfRS6LJ26Z3wwTEH7cFMlSd2z+gihQ0y
CSUuSRLSSW3tjyg5WUapqNujg+qY65Rr1o1b1d/zwYq/iJPy7xOTVIHskSdz2H2XJ9rfJyL4fxXz
3z2FfEDQpRc+U5aIClpYylBOBxYA43uRj4c0b6PnLhMVKC0qV7JfhvkGQgM2i6d3bi6H0E/jZ3Bq
/xHmiUeTYWrf/RZW9QqbphBZ6euj/XrSaUKtfvzno7me2m7lk1qUuTalgn1xGGFElkzwG2QhSzYt
s1XOssyVcnlZRqXcwnVUCjlMiv1/Ole+DPlE8pGpiyvn6/NeX+T/o+y8lhvXtTT8RKxiDrfKsiTb
crZvWB2Zc+bTz0fI23R795w5c8MigAVI7ZZEYK0/zK8rRruPtzEEdbuFV2gtI8MGM+E4JyPs9BtZ
MvUbcRdWeKG4kd5j1DINtE1gLQpHlRfpWPdbEaiKzqosVrFZVqd58n+76PRqXhbrN/PCdRphZCte
82PhS9//Z1ExPwZYd3m3nxZVQBLLlv/53foaigOeJl3+BJfYr//8j7+LWNQ25X4r3vj8b/5PC396
/dQ1k7XWrIQAfutHz00eytgWIr8n2Xjoku30t6IJGQ7AR1LiXNlNcnx57Z7zgPrIpMQnIjLV/zQd
u89/TbeL9PP0ysyWYrGP6TiQjIs8rOST15DENCeQc6R9S8Yh+EGVlGMsitRoRtrQCTFw3OZuG917
lJ3/EhqZ1Xtob8LHEaGDUvyKum6pW0H8qGW6vo5HqB94sdoHgH/AT3Grexin3FtZDh0nkkXNj/2v
DD0oepJkW7M9WihTWWOcLlreuku10zEXm+ogRtmiUYQaoI7T670IE/2WZ2CzI6mUTFvsWhpUWQ/i
br5oeCBQc7TfQ+aBL8Gi6dpavkwssIBUgbtT5JYwHjznOwrDFcIo/zRD4NwZ+FULv79WGtcZFQU0
RGIQQ0E6THaQ3RWbR+PeRUkMqBwO3Pok5oaAZHxHUh4y8m80EsMHKMD1Qyk9iWO3aOTSkziQZ6jU
/jkSDZ/Cvs4RaAA+f/+eIzaauq5VD3L1LJY2U8/eOJKF7v3w9P+Z+Nf3hD+YuvR7nDxlucmW4umE
YYG0RNZfvxLPMMQ82ZC1z8DQkqNjD3w6J7aCn+ufoxTlBKe2feb48h4lj+X3uB5TUHBygIBlr+wd
2TXuw859oaDkf29kIFuj1tkonUJmH0bE+4T4bZj96mU7e+unifAxlX2F+MG97dsvYhwky+eJoVeg
hzOt2Ka/xcQOFOwm0J6q0WivqsjFzBxtJXAzCsQqg0dm7z6JT7AUOD/r3IueKBEUa9XuohOnJSw6
/zKn6J+ENcXHnHaaU/tpdOqLLDlYtTZu1GxX6ZK6YdNR4CZkG4c2afVJPgE595LvmE9V7TWWkXKB
guItnHKR55k7fZ5ecvQEXrCZ15et3CRnbQyj7Rjhg6wlk/gqWF7/HpNPZz3qky9k30c3ldUrFMG7
8Eeu7wWSSwricBmE/XDLtt/ZN+jKbhLsnR7N3HkREYqh3mQaSM28+Salg3YbTUy3MceQDSsAire0
RH/mZxgTjDxWc7lmmy7hM7nRY8VdimFxMWWN6n0inUsREobPvYmxN6CI8KRVmbkvWk/eUeoYrg1H
j9e2FVYP1YAtjg9q7xvCQ6esnM5nEed4XZd/59nwZLVR+DoMSrmMQfbfeRr/m3ViY1bStOVGfLfF
JTXzHqFZvupW9t0I0vqYo8C2l9lALDySEvX9MKD679xILam878iTZqjUw9FcCF3bMGy2gWKPB0sw
fVHDyzdWE0r4YI76NWVlBaXWwDuEJeDIoakfSw+IZGSp/S5E0exes5VfCGRkt14UDctMbZdQWynv
/XmX6QMKQF7U4Bk73f05ynaRPg6R76N/xmVyxc+TjV/qNOtrrM+sUMz/c82vr/i/xXn5MbE8ufgO
wDqG6KLLdzzNEdmruh51Y5qmkTQ3fYbPfYwd6NItxnYdsKded1VEG6+0bcUh8EYEd4WHZpdMYrEs
IuUOoa5kqyG0us6psSCM+I3knrPOIq3d+4mfP6qjcYJhU30z7AiBeWSrTiZ8xFv8npqFGIgTfmyH
3mzOKb6ox9zE+lysJFn5HhR4hR55buzqQm83VWxpb7q+qgtAfGjGFNve5JkDie+RDCwSCnHxU0Di
U1+xtllijGvBGDErz5/Od/FR4OenSRWIqcynqods1Mhu7HLn5SX86JC+XvR5YFk/jUZWRd3GVsDZ
qf1aLu0KyA+4dRwJ9uPomveGQREbNjKKM5Vb3ONNhjFO8Ss1I/OH4kmnoqj4hS90vmKtBkphAOIa
xg5bCU/GUyo89FoOCsQ1nSV+kOW1MXpg9klgrRtTK15z3d+mSWj9GFUJyoSVj3fWiGox5yhlGypl
8YCX9y9jDN1by0+QOQ5hdaiq8b3ySvLOTmk/uJ4ar7uiyq9V2Yv3qi15+87sG06mZrA2UjV4NHIN
G1n+JD+k0cWus6OiPa1Uxen4Lv4eYMCBqloVLVWtNUlU9f515g/oYOq9+c3g6Gvzk/lElbzZGWOP
HaJXWS8+5Sh95yQnAb3t+lx7cMyTUAsWDWBsYmREUG0a+RSWnARAt38f+WOOChkThhi/iFGPNkpu
NGtKLeorafWVYGd0ZeEvCyw8b//viDHI0gPI+tKvEY5a4A+LWUiKYbSHVWbH3wRBjI3N0i8DXIhN
1MFrUlK9BsqY9JeIuOgOcuHnzwVm9htSbA07tl65kzQpfo/IzHOd5vYj9uPNNqrJmiql7t7bXvrj
8iLN+Fr7Y/egUMzdVYAUtwijW0tjYg8C8rtNNMu/86y4Otda90DtNn+RFaTESE7wNJ2aCny9RZdG
znVi+8ZDSYJX9GdqYe07SalhkBj5C6oFlJDYox3FqPOSoef30iiAQQoZl3jfdrKXxhBydXW/F3Og
k23UTioeOCbmN5KNpjC21sljpvQ6pMkM2ewzT9F1hocl/qfcjWrHnZ+an/rCqMKOPUcqbi7U4Xud
r5Js4KfiozQmCl+iafaZf2yaBwVq0rFQR5J4afLQ9DmElakLMHNN3WW6nUPmprizJZysG3htqy8D
sZx1aKtjso3RLbyQtMj7AyLW/aGKvP5g2LANL51BmSwLRbX3YmAOETMucWLEElPm8Tkc5KiNpIPX
rT6tLW6dOHIWKC4Oq6BQjAM/KsZB3M2XuS/yw0cSt9QRjTItF38Lmfuqyv0npja8y7yh73/W8Ddf
Siy5CnwN37I4kW9y/RxKPfiaXNP3KVKYF5jW2CQY0EcJ/mBAvOZSrrgTfVOECerqKOq5ol9c3r0D
/hmdB76WjZ3bd9am4WrxnpyQdlG6x+USS57alldzXwN/CNK79E39EMQXg5WycXopuijrix74QhE/
yFW9H9tJQJjM7aayUbGGJtXGW0paxeLSDgY/u1asMrvuP0ZEH2x0T8GlUM2uxZxQx37y0unD8l2H
DRrruMvcuFXjv9hWF67lGqmLvmk63NgiyMNgmJ4N17gVqHX4vjcIKL2H1lGHM4dPQtuCI/qX0FKR
zCVnXXizk6FJqHbVjeEbxtIKcYufhZ4v+s6kvMgVMDAHfxkQC8RZOC6rdogQ3wetKHA+HdCw5diB
u4UbCDJRdM5wRUOt+qXpFQAp/wJwFH3zCvOqAi7UWUN/4Iy40vO42aY9wFPFNtM7eD7pXQTtFv82
yeRZlmR3dtSmd+X4vTI951Y0is4xrooESwvLUJHXVymuA5337XWXN1K0pJJ/byZadxTLBYA7r6HD
bURLLDC/agzcfV20kM5nBX8h7T83nWzC+Dl6uJyl/cVohQplkrjNle+UDmxbwVgvW+MH3hvxvvY0
c+GksbIR2r4N9i4XzV/Dq/Qtskr5Yhb9FXeXuOZkyF10CZ27dbCtC8pT4mHXA1JdRoOCkfZkbCaa
TllXe/GQ1LvxfXRuBlNwlcrG3lKnrZ9bYoHi97/APX2PtTp6CRJLWQ5jop8dpZ5wq6QD3NKur1QX
L2Afq0E0qUwdX7Qmf8TlsFuMQ599H0oMNhWYxIu8pGwQB/j5CCh7CyzAqtqHeMybtdokSIlUXgto
neIDNH1qVNOoAg/utpFKvroMXiaQFG/carhMVwqvo0AJkzPx/eRWleDSFGmBkrPZQ+PLcLYsU3cH
LmdciibwOOWkGsqraDVYfd/XNpkMIr1IUR4yrUXPWFZvLtER8NnUbYerYBpUG79Yl1WvrwMqAkJC
wcAlYZlbdXklmlhCnDXZ8c4YBSWPoTXyHEN3oWjD8dRkVE76bsyeUxylt87ot+uW58dR68rfqQ+E
Sly0zK73fcKxsUVlYO6PPyJEnxhFuBRbTdl11+VY8Lv0MUMMfGnO0wDRkZyH0b/6EidC5heyTJA3
i6RXXl2oANv5vcwvPi8qlro0K9AlaYVM9/SW//NLGNO/toHJhqRpg58daJBKKs2HZEjNZaMNyq6t
JIPEilxuVOxv1jLs1QcvkNR9ym/BUjTh6tsnSTVfRAt3RvMuauWFmFlP02UPFL1nF2cRILkuiCXd
HI7BaKAfmPPXKKShPAFZX2PYh9HikPi3zXSJAFytRt1XVqIpBkSIOrYb3QarN0/wFajXlFoht02L
XC49MmhlndaYoITpTvSJlbJ/XlC1/HV7cTHoo/qIyFSwvJRLHRszNqpK/frSzh2eQuyrnd1cP61k
5QgiHEGzqZpKZiE5IyNwiU8l9OaKUL0XxVkR4FXo55GmR6bUUKVrKEZLzsblUQBb0U2eJL3JflzV
hX0R7xajat2inShuLzHi9iNQQGNLMfkyMIFpvQh/DWv09FXb62G+AXWAckPtXWmah2lulXvDodHH
IN+IW6C7w8GXFEj0iI+RUEOQdAPVc5vZNvSuQeI3AcUVw8RiPkPIpAgXGbTaAKESIOxtjT7m3Ncj
3DiPznf/TVz7l7nTep0HAkNYJHuRitoqxzYvz5TXL3dZFamvvawni7FQ/zXaT33jNPqf48QoCYv3
uC+vMb/u17gADbYMIf4pVyl0QHqjXmFrEFBnJ1+J93q0gtWNduXUrNIK9k9jYW7vN0m5nIKtVPXP
QlVkDhbLQVF+Dxajav3Ghqu5zRV9r+Lr/RSWXX8Nc+NHbg/VU4D33UE2BzSJpsEAF7y9rNgxZE9G
YzOyKMkr1lqMpo6BbV9iIgYwBTf9OGEC/PyKLWX5lIYSCE+59/jZnkbD+k5Hk/dWtLoqheJt9Pe+
Y9WP4HVEb5bW5tlFNacZbAceLVI2klYGGykNmiMF2uSAsRkOSRQq7+Qg40yj1dobOjsHS+v031rT
rlO0ab9DosfaibzTvW40wbry7iaxPCzMvfSYKmiQTC1VQkQFfAH8Y9EOB7WmojuE60tzUlARd10v
WVdVoG0v2SVP6oZVPXQIxnUKzD20o/HUa671YESmc0TXMVjavnbvWJEJQk0p/A3pA7ahYq/lSuPv
RFacK/Y69YJzZnQQDiSGnGWbshvLtWh6tdRiFdr9HnHagNJkHJTEze+Fd8k43JgQtL+ZDluHoMjN
xzDR+lXlaMaNn9c6fE/FuJKyxjsaPlj9WtUzaFmFvawzq38uYvdXh3zuz8rLlrYzWTMoVrd189p8
6Dq21LY9wLsZsr3IozixeouAbX9GuTS/H1N15zfIE4y23UFzADYrcjFiUoozcVQCuy2XfhHj3J5X
MLxr1To1g2ef5mZmFws3MuvjWEj6CK6RuCL0vHVkaN2y9NNuHWWyvcCwrDy6nvxTCzyc+/oR03uX
8/DRFLeDqeYYJ8fFOrZ4H2VvnQD48GrTXVZ67Tj9gXnWOF4FnZpOU4554PgVtHKHDy7iCdbStc03
sy76K78a3XNG5eS6q3TQVoV0Fl1+61i7EerEQvck9ywGrLhxVqpXcd6e+sQlL8xiEbnA4HrqOuFk
mLhKirC88ZDeXiYyn/JyIJHp5b8qPGoXjdmaj0qE1XZR1NG1hlbkPqwMDnA++dmVb4/Fi51bj4Zt
p7/bEvD7XgqhbKIyOKJfIffkU9ESyw3s8hQj9M+VG2JJRTYB6SmAxaDF5lAr9iS+pqG0S6LWx4v0
n1BW1SQ7fgj0cVhEmdttggw/prYvExmKXbBEieTexKINAxO5XKuFMpxqaixInTXGFtCsxlM3Mpau
S6oX0usZHpX+W0J42A2k+mc8UVKiNC+2VaE0K/zJCs7xuNJapV1CgsXyXqRvEsW8ky3+tXOEh8zK
pwhDt+9q/rMe005l64YvyPYTT4iqAHwPTonoPuLbQFr4OVUsDQmiQlrVfownVJ8YD00b8L2aNB6R
SdVOfDyOyaT/KLoqTVJWSKgvfcXx1lAi+zstK4c7X5JIO1jGSXSBrmwOtlb/5IOYJWhaoe5k2k61
FbEiBBV2peaxLhpeOBQ7TUXjXzTFRQK3ikIjxvJiktOW4Y2FLcMckZZwVvUi9C/vQ23s53ACSAAr
bUEDm/G1oUjFdQU7cdkaQfDdc6W9jDbEEzQIc5u1hrrl0ec9xzaQ1ilAzOxcwMG13C8cvvH/UTUV
3SJjOZpusRJx4vJJfJW0qnZU861bm9IG3CbOxGnwyWk0x8sGocCsuRIy1RUCXTsIkPJSMIoq/HTu
QvgWiUcBqAXGh5ITMipIuwDQx5l8q07NHHfStcvvCT9pyKrMo0I7QIyiYkO69iNYNKOkyrYkQ7Hk
tbOTLY/qz+kmBW0rbjwv8e7TyCT3tgg4cJjGKmtG+0nTTWrrmD2cRjsoj6B0wnUbVOFrBR6ik2DX
9yHu6ZZC7bNWXW0LCsXc5WUa3ZktZncihFMpHu2j9ZCq7G00TbVXAbWHZ82xtNXgGcNONIcaMk8D
EfMkmo5er/ndle8zVS3uHb3if0mRnka8H08hvu8L0XT1ttqJJUuNP++7jm2g2d3RhLAAFlBuzmac
1Ieks3FubFCVl1SwsKr0ZiAzsg47KSCTWaT3uuZ8zxFkeInxa0DbunkJcbWn1CTXt910aYwSCUY7
P8z9elqm7J1DFWoFseLS9oF9E2WbuUfc9XGIXGIBx3MeiCmJXKlj/pI26rDij10vVU+xxnQRlwr2
J6UHnB+Pdqw8fD3YZkh5d8MGXKqxEErACKUMB8/KHkVrUMLq/GdXOdnISN14iRKtPyeqIWn25cck
aXIiHPJevk7Cd0drZPXu0kF190JkdtactZ3RXRUJEkFioMpynP1iEzhdbPlfg/PEVK+T8Vvok3DX
5MNFEEA8zADIlcmKLWmEVM0msrvfeKqZB9V2jEM53VUliNXFp1sxFHSdeXCpDu4yvTqJLk8CMmp0
7Gb8SMbeN2iSPeoACMeEND2TR438RFbfvBcdY914aFJiS9f1CRsPvNt6f6WXebbQsVk9RBzeUYX4
4w5r6/c+ADb/Gp1neG6MZKM8gM79S1yX37alHlB6JOA/h4oXnOO+vB3xgp5mvCBs0F9lbiWdxKVw
kC9SpHrAfhVYyTxwafo9O8YoA2D5MeNLHI9TPC7V09yN0bi1LHE64xeiKEMJeEFeUKgdioO4C70x
x/Nwal9u53HMEOqlFhraZY4YsGMSxAtxKy6DGti7IFN29Tg6N3mrl9cwGRY+HM1kHeN6uBmCDm/m
yQ5PhIg7v0fsEwlWbTcPVFFzmdtOK839YpHcKtPll4GkLcFGTYuIAbF60cZkLVC0tkb5tbCwSgyT
Kt9FpZ+vhZHiGEnZsgoD+SCE6RwjWflSbD5oOgz6v0wSUa4F/IVv7/86yTNK/Zyb9i/qKNgU2A7q
JVRzeizI30LYFSvHtIqTKvfasUTXhm+er7xqvbORxyb86Zf8cLQBPgAK4uC7SLYQFIfPcZdrEUhS
xarQCUnGfdNh2dJNP5Flleg3KTrui14dJxmj9tR4Zvwkq7kLDNxRt0bdDk+GYx5EQO0l/jJOguam
8AfzKKtZwiY7Kr4jV7RIedE3yuzSeoDisle63rvn5/KXmGlMVEKjGOW7us1wbu1rA/3qqH3Tke0R
ESS7SrQuGYTpjU5Q5j+EvXFxwEiVoN8pKtYvxQSiG1XctlQbDpbZyf5DE+k70S/CBg0fK2OC6sm2
AuquwX3GNS1PrPYlTEgaK9Nqf4apcfLC5hRTaE4vN9GAsJxc9O0KJzHoFyKpPHeKpLLIRc8DGoB2
xPzIWc9JaifERDopIMPrMqq3fFWGbWaU2raIffM5aLQ16f7xm+Si3tRA2DrKkpSfDT/JFn41yN+o
AiFIkKGQ26g6GsYg4lZixtDg7s538oXiZIG6zVVgGS4KJqb6CKnCuTSFjNfcvChDaZy6HMNxL1rY
fRVWV213X+HutWhCO7k14yG9HSP0rMF0P0ZxOVzN/RouiTsRy38r+nH9H3GXvkbV3mO6pBigkGnB
2u0NcPcyVJyMZ89xboaY7ommE1g8aadL1CfVmQ/3Uo/L5AYitXVmw27s8wGKlBE3sLRiMscbw0mL
lVfHTbgcMyCDOD/k20tbKtRvUocfJuIR1pkNl3VOsODtC9+/FQvCNi+ukU3aijGFX6J15hXuNlPq
rZzl4+/ppo+Ny037z82/h0SP3Grrse+CT+7rid9ne85138QHYhRuCB994tODoSju3bzGpzgR3NUW
HyEn+y/6gaYA+XCs8lK8ELWHQHWnR7FyK2oSl+O3KG3EECv2rjremi0l7kU56TSMUt9tvDZTlm2X
DAvZwtAoNvz40Q9zlNmAsQtD5BK5mIshsqnK6953r8wrcV4psKpctaYln9xGqU8YknA0DRr/R7lH
/q5evD88MlgIuxAAT7ZwgiQ5AP2ZKpNBjQ7J1OlFbXIQFyyd3+9E89Pwp+lzuKn440avgMT5g3RC
oZqHGHaQ0ml0SLt4aS5txIhtYmmwsiYRWC+BsyBiLuFiPHM15UTlXDQuPZq98BBEuXVRqEJSx7oW
BAQfIOrBNJofMyehRL15xd+q2YiI0evzK7tJrtUcjST08tGtmMoYqKD905zIb0kwvjcF2m5uCoTc
p+CPuelkOCWneoraaRCT6YQ6FBcwGvNsHOKVErgZFgF8Bzd44amLqKD0U4NJM/f6kOZHCsERkPjR
czZIWHy/NNVpBH2n2Nyj+4bmgJtuLbuwNoEXGI/W6FIBAoORqM1jW9rWY+j45gY0kbaH+x2fA/73
FuGE50jhNzqgCL55dYUOTq0kJwX6IopMfb/y0DV+q/tqSY/5Ix9qXOtdJT0XXaLuba23NmNu9Puu
hhJSNOmbSeLgp1lnu850zddSQpzCguyE1qicH6qGVBjCmc7jRyhAp0too+t/D9Xc/LKqb7yHVlNo
08nvq+Zm/2nVmFQVZxCQDtnYHy3EfHbsAO4QVXXSVTD1iQFx6eW8P6La2h8TU1srVQ9TZupSvQh6
5dfbIZpcL4OkX4nJf1vrMtHm1LrDDmeJuh228+1isL14MhrUHmP8TTgyNtGxnVyL51FhcCxG80aL
jhwi3oN7Nw9XrYXa3fRFk0A+AhyL9eTgTt9G0ZnqXb+wcg6Bc18kvpxiWFzEyJd5n2LAy7cL/Oz9
Zm/nqrbNJ9hUBIFmayclm8dGl+8uFx2wnlmPR9HCC0I6VFr0dgFlDS0QwEZVhq0YRTk/u0NkUiwm
euI0Qci0SKQl4h1yAgIxfiz/XK1gtQuka15NLJA3A8T0cBkK/FfGwXpT22c76sptmRX1bVyiXREE
dv80aHBzHb/QfoRFva5FEdD0zZVpFN5PxcWItcxV40n2sxhxdlm+TVMr2RqR3B5yzckPlAnKbW2Z
MD/6DANDjho34lLEg4XzbJuu5z4vt/ybzJHsrRkinvxlgE+Tyu8rx+iPRcQE0VSc+N43TXcvWqK/
HvxdBqTmKonMsw8tpVo2hbdTA8A9fYEYyFjHOqcgp9jBRg4eHFUK96Nl5ksx2rhWcVbHmgN7GT4E
0hA8uIP0kgRmBjCU+HDgzWN0Vm7EYGPY/UHNed9Ro1cYofkANJv2/jIIehmOjyvDN2Vqo6veVjWp
OIum1aIgjELfWbRKP3iNJuH2gIrVxo3j8TyQd1ghjou2OCnjhYlIwht75Qc0eMZfluIsgSnBKUr8
YKHEnfs7bsqbPE/Ub2OhF4sMQZwnHNNU8OfucMfes187cqldY8FhImeOyl5pj+NVxz571zmudfKm
Vw41OE5t5HM+lChyam1uXSOZrm8LTW8wtCPlq7eAJvXa0E9JpocbbN/bc+uH8cquGuWxjiL09u2m
eLOy8dGrxuaXm6fI8Hq817r/GTlS4C0kWb8elNz8hj4qGxs18p9DcA/LPFTUO/HKWQLiVVISddWQ
G9NWOTtzJDx4QMpVcyhrx781WorHUhe5FMw171UPMpPMDBz1NK9b4PvjzsAp+TWRMhkdmAytlSks
RRpMlo3iri3T5gZ6MJvMqR+MlrVK1FDeW9Os3uBTrZjP9URq0xQfvFLcaEvBWxsyBK8GpVMPmW+m
LyYuwxPNzXLa7KC0ubYUJDgR1UJEhI6UZi8GBr4fUdTMtKVgs81RYi07uTDowBZm4OeJQo9S3vpN
H/OZBA6SFrKxzEKD/5tpuy0u7bRrMgeydfOACPamGfPAILZiojP/yzIh7OADfP5bcZowjchadBbe
GEAJo6cMORHR7zamta9Mt0M1HMsQRB1rDHu99kF3OK86WnIHo7h96BIfsqssKwcxaKmARz3bUDYC
CoBSW7tH6xKJimlqqSf1jW6mJzHoZZK0QyFHWbK9sy55r1R3m61bWuNapMH6mB/12FWGvWiWkvqr
aCPjWrS0OFtIlZ+wkZOt8whhVyTYuqLxj7mvI7mWmVT3C8tg+5XWfvGohI8u1Tdv0fnDTY1i3ZuC
d/SyrkrlToE4sKn0vDsqSAFeocwrb/kH1rdaPYarku3Bs9Z6P60kSV8s0ls45JBJQsN9STJnrNqF
rcr1qg1hRJneECykzGlQwQuSDeWl7GghAHQgYWttSrwo7kbcd6ig5RKivPmVo+r6b0sNkTS06+8s
aiycJpfW1mjKcKNze5PkpLXFiYWiBDYTfZbsiirUj+J0IgZEnIXiziUuE4eXYUx3vmrA6ZtOMeLc
U/YYf6e+va9bDEmEypglRMhKHgqbv3Y2ZWgvLkEifo7sSj4gjpTWVymEwJsGzcI/bS/UDPEGxFPJ
7k5WGBqScldh2L0G2Kfu7JajXVNoyAWWYXA/jsOxDZz8WnSVivYe4euTMEZQyMdKH95HNd/xdq1q
6gfLDwzcmyLlKWmydlcaGqn9XJOf0qGQ1wFuNVsx2vjk0y1Nb6/EaBLkv1GHqK/FYI7njRdq3r0W
IasbSL8uK2RVwhkju7+0FB7iaEnwajL1OKvEoh05kPZKcpJ4KdLYc1OksS2FVxOjIo39qSmS3H+Z
m4R8/0SS+1OwL7O1npaKplHxQik23luft2IlvnlIJcoTojqX4CKwBr8b7URJTwmTb1FlOTeyXASP
VsmuY9LYt52co58fehtARfpzG1oHALEdRZc+v5P7ybup157dIMdly7PTlUHt59myrQhhft3d12Vw
ha0pVENZ21umUd3BCq/v4tQPN+4YKXBX6RMXU/de5UB2DqIlGyYCy0yKU76EadbcSrY7vD3Uaty/
+VKH0KGmldshiQ+jmeGfjmMI6la18WDiBbQojN75xdMItbMh7tKFkXvWQwDHbh2lY3xE3To6TmqG
9jDeDLHVrJMciEonLPFEO/eRCLocSvPQjbdR7OdL00zPOJE310LksMswQh5qfotF0widep86UrwU
Insptp5n11TXecgTHqXF/Bw5E/VYx3TT/nC4nL0uxwlooQhwhjdqyto2LBSt5k5xSx6LVLG4TdkZ
XoLmNSwZHwEdA23EO7N1H+bas8oP49LN5PEgmkGcrZAUMh66HAVyuc1fjSDSn21Zy3eO5+yGwb6n
KnkVTjwRYW0k7oJx2PphU57m/kQGeOJoZfnJFSnXZXfjlhKctWm+uMCo0I9tmF3ZCVZsfjilcCb9
Sio6+sryTW0jROX0BqnOanB+JLYNVwvtOaxAoCWK0tAcK6bKIwW7KVYMii4fRTnPNrUbRyuG2wu2
Ixpq5yiSCHrimNtxrKrF5b/YN5X3thhuNCB8qDL9FKrx0MziNdWZ4qL5HVsQeBelGd6XPP6vKtWi
6SdxcFSwVRMzisBwbsqshHBX6eWufSmdVILh07lnCizKgSfPS5fZ7hnUmHtukdfcwH01lqJPxAIO
Qo0zM9Ot6BMX9PYePaf2ESxgocGXtbP75nuI714k19GUiZZ+U/CfUiodGwLussHutuF0hzrN+53o
m0fB8oSIUUbWwa05eFVjWa/J+Fu3JTYGtxYuEdS1W5UNPX3U1Bko5ODkFdledCECUks8uPDoblT5
+hIxxWo5TDvbGKv93JfrZY9ZOL/GGPvhrAoZOixPiWYUmDzIJXIJU5vimXrVcpD91CdiChFTeOGD
raJ4KfrKIqv6xSXSy2x9Na9raLhuF0ghyQ1HY12KpRun58RYd0Xyw8WQL2pk4zVPE5yn/hIhddiJ
dIF5iahkPgE+m85z04SvTqBKT4WJZ5sTpshww2q6GlQPOLzaZPeFBs3VyTCMcJAXSQbrV1GonNO6
/ULJdftiSSCU4rWSradU2vBwxOdKdDpyqCwMwxghhCE/Lz5TYuAy+/KRm2eKcRE5z65Uu0V4yC2f
VC9ZFcgqPceKHewrF8PhxgkneSghW8oxJoeu5yNqUwNYXQ2hnh7BV5MxRiNyUaUFcqai89O4iMdu
ipRK4W11U+32IuQSXRlA4iPDB01p1Qdx0Xv4LIvRDPV8IToSGVFlU5tMrEWnKQIuYZd7Lxvqg95F
zeHzmJgccAzJM9Xbf44PsgaVM1Ai9aErOfhOKkcrAdmOgOWgkI60lwWeW4C6Rb8AcVetvE2AtBy+
9IsIRUczaJopBufpdY81hmQ4Pz2nUQ5ahImUuPtbU/RJuUUpV9zmkeOsQp8PiJgnxR0OQ4N7y5O3
PfQ8TQ41kLzLneirpoF59G99imphtZH1my+xMjonKjmsvjDJEMv1LhpBVbO3TG8avdN2KrvGo2G3
9hF1wszd5DWIpQSXr6VRGz7Kl2Y37HHcNMgEpEPwK7HlEPE99X8oO68duZFgTT8RAXpzW950tZW6
Jd0QGklD7z2ffj9G9ah6tLPYczAAwcyMZFWPWGRmxG++CJ2Sd90aK7vshzUvWDB+TM8AumExmvNw
quvZvcBFczfYWuT8jsx8U3pW/Dy32A/5c6Xu5oYV+bosgmelMWa+Qor5IQYnD1UJ13SJlYMWDPYB
vLK1kiYOzO4m7AH3o3DJM3isH0BiGJ8ra3hhc14/6MuiZxmTlozBsPzQ+j0mkcs8s3IufT+mADCN
4XLjLNz4DYjC/ApmdYRXQ4Qcbnp10lwi2hoePklFf5fobnBMneaex4/+uVZVjHOC+r5ekk7RXOaP
v8fKxInvsAeAdkGS1tJxJO5Up6C616K+Kp25kysXvU7K/UjeEpYMzduAJXldFRc2q8nRsGfw2iWn
TRSwoz6KftOgb8rIar938zhtQ9upTx7WHc/KoP6ScS9bBJ6D3H4KYG6e8SSMtuUA2QcXC3PtoEJ4
Hl0XTfG4eZAD1pHNg/SzPTlflblk4HefRNwmVAqcLCROMEhBsDXH+PRLpaHL41V2yw1K03HsYxKp
wNiCTHss0d0YQowNWzXQ9048eihDE4Xa97Jt6rjF9BhitPqNTBrCJHmrn+XSNvLch27s5o21FEiL
3jgDAjHPlenhLLF0eeh3nVzdR8iGLjl0S320DtQezyOFUv7vWDLI6tpkm70CxVps40ABghlFiyVZ
a32dM+NTllrT33X1yoaO8l01WwfWqdZfQ5hR022n9nUcgiUV5rqPhslrYij67K5owvpUOkB/KMJq
93Ltso+i9WSH+fg0OmH7gMymfwgwmNkOPBG/kTFfU1XV3rhH/EOpOGz1dGv8ptAfF3VyQZrtS9di
dNUsBzmTg9Mrqy51lZMYYEnXaHYqiqNUxqZaTXfy14cIkXus4i7yx8v/u9KvhmMUDT+kCz8hFdUJ
K9XWZRIpW+mUg2lN48qOss8GUMCHugk2rpOml2jRUpYurBIAok3+AYVK09n01vAI8ZMNAVtPB2hw
NOwVDdQfKdsad8VdNA4WJsUqWZqsHb561Krwl/yCLkh0akwfzelM6b82RvhTGwflUVVrVCvqjtX9
Eo5SZrpxpiA6o8huvtr2tEY7e/hK/sbcz+g37WR6ETYnvVa7T2alGHeQqKq1TEfGlmca9l+XolOi
F93HeHa5rHwpJXdntNNtnVsMa7BFa3mNKxreXIuCkxxgls7YRz6LqdIY58ohiRJcFH4H/Nek2blO
kig/VnD0cPP3SXIhx5kpN/es6HUvflNwdDw3cV89s4j7lRZZ873rHBzNO019wLHDvXjc9OuGndH3
OOmfU7WpPsERT05lFfVbmWDNPxQf4DIQsGAf9Vp2ADzfvOVdupN5VhiNGxWdiXPYwjWf0XA8iCsl
GtY2JYLYovT1L7vKauWgy/I4xU11dy0Z48eJr+Py8lWXQ+z4Zw8g7Elageo6dw2KWGEes9bxcmc7
DQE+UEuzltV1ltrfO0/VjtLHI8x7cHU9vZhpu5WuaVkmsZ1lkz0bOHopCEDJl5SDpA/sbnp2EkU5
ybe9/gVBUBwSRAMNhALS0PwslJki8IOH3616LsKHqLI/C9lGWngLXFtDNocSOYP+wC+uytF41RuF
ym+hT+iJFOYXSVd1dQWCnQLTneSy/NjTNp6J7KeMWtRwDy0W5tdMV4mtw71dAkdeSDJyIPfYZk7y
knVzcLaLsF+1oIJIvSnsovoChb6StJIMSBMgRPWSON3FNCZe4rNav9hjHVILhRUigxKW7EuEshGx
4wp2ULSb2cMfS8KdIp7uvWa8u11PPrKIKd8p6M0OUZg9GglZ7iE3Z8SyE++Tllj5MY5xp5PmIsd9
h441mfll1Bwr97HRy4O05OCZe8fCM08a1ErvkaWeH6Rl2U6LYVbN6mqZbOlTtPHbDpDk0pQPnsa9
ZX7p3RyZ7llN1H1f4Jux4N4BUdaxuneglm/NMa7XWP+aLLcKG0GcRjnx06Z6ATGpQAAtw/Gma5Bv
aGGJKVUDM7WvMoxBvOI8LPg6XuCPvuq4j47W5q81nO+0UF6LyYIfOVpfpNVnc3EyrF5fS7PrwsUx
lezbNXa5YDTWd8jq9fd9OJf3uYItJuJezba1YyCOcY6lYGiMCOxz8Mqw21lYWSG3Fk2PVhtNF50i
H/UjVjoQAMhtAF7hIUAT+t97U1JFXa38X00z0t6D/5grwTLa57GFoZtZb9naZhf0dNNL41vpxa1r
825SN9ItPbexbgmQPu77ZKdh2r6S0T+ucYsD4JahN9zruz/iBrUBja8M+yxUnJ61sh3PUPimZt9q
FEmk7H/Nv9w6P4BP9NBu9lT45+UB2oVsiZEtEEZH2Tk+3iHbwfLDyzBnLUZ17618VGtpVaqXIKwx
bkukWy8QutyN41jzlyGf76yl3Jrm2ktXNdFb7nrD1q21+K5QsmnTuOavfrFec3Vz2GJvDsdoaYqx
URzXz03uWHfSZUB1uwShcS9jnhtiByRuO03RvTUKWNcOH7TZ8dTXAir/hYJzuur0QX0tq4zMmaKZ
axntGsNa7qtwZwe19lqpBoamjaMcZLQMZ97CszvfjculZi15CLzMe5TBLDl4ae9+/v1xPaxCHumn
zPUCdBGH8q375emD8ppOfv9ARum7uYj2zxamjLHadhtpKpOpwZouQby3WvHmdMMvx1KcI+VsZVuO
qb1xioHS42zmCEJ3ms1ybyr7VYi8LZtO/AhxViQbGwT2Ru+OBnk9oP4ZRKIBE4yzFXXQhYJ4ZG+y
nDpei+lKSybN8zQKZKX+JuasV/NWMK31Fra7TRJj+TwZGpFyZ4GolPiv2os6dmfd7SW34E64PdpF
Gqw/ZA/kVA4T2YMzK++VtAwVvYu9nCZK9dcEuvB6Fen6kJ2guAWM56pbbPPw2bR46D6po2s+dRlm
yJmu6rsybcCN201Ont9LnOO1nTnpqWtn7SLRfVc2MArWQQ3Kee2UE2JmhXO5huYtcJiypY4ssXJA
8qrYeVZeYMrJp9mZ+xfqJd9HryVRE+KLjnLPJfbSjuVfyGtRDTL9oHWJ+yghgWsE24iviJev5TwG
y2EhtByG2sQXdbmKDHTu7C8WlNtbl/RrIQvTrU9l6q2d4moHZyDkz6nmJxw6h5UWoPUb5ulJIrK4
qnb8HoMTAIf5KVExcCG3nv9vIsIMdkKUseG2XI17V3U2qaMBbLkeJzOKjpaivXxAu1xP+SXsi9wI
zle0i8BYUrtHQsqET6YUOx776SfbAI1mIf30q41IcRf+r7awUEhv8u4za1PgPT65e8TKtHNdW8Uu
KOLsE8/s90k24rCt6f/yathrZaZiOs7uahtU5nw3lNr7JF2xsrMFk+TK1EdOq9xlJKhvHP0/efza
Qv8Xvj/+mlm9SpDn5xeo3PFUqzd+WFqvXQ8l2jSU4JeOVDL/k8mTA6C4q8ra/eZ6irKavKB8yXve
FoBwUKdLfST23SE4YIPqPMiV4APhPRK06ikGoHwqQ+17OUz1k7Cb06ULQZVrl1h5S9TSJS0JlS69
w5qq4VaWrinL/8pH3CdhiOwkUZVLsqu3FH2bc39Td2IBd+2ck+hbnLbO8Zb7Gkr+0jZPd4FXnwrb
1wcAgHYE5POqzYG3WnLAzHivpf38nfduhPN6P99Fmak/OgM0VxmIkiiE6O8nz24TkVuqVQPpC2ak
Pk7nEEu/ZAPqZjlE5kM92dFby05BQ4Nq1TZFjPm50T/Wc38U1mm/UE8LnHlIY79Ij11VLymlvHvh
oU4JOiHQqeuTDFYDQgBVZjo7mRh1TnTAbx2w6EKI5enrns0MxTWZixxHvnW8GFu12P3RREp0vKat
f1P+09b60H99DzaGfu274ukEZskT40c7zZ9yBSKT04bhRQ5RpHypqsLa37pYRoWXKdEQPMkLkDPo
AYCpUAsPnfKbXVxhKDura7NTshjKSX/vFL9sn8fZMLvqdi40b4PCSvwsh6zlYZckcXxyluyO9KXG
wWqC9kkaU6Cl53CwftzmTObw2YHeEf6doJKwGsSkSym1Nw2i4Uukp1QIoNcgiFaygDOtEsBjx2PK
VMMXeKgGZrZJR+ZvGU2nCjKJYaMmQdmzFbtb1nIZkMvCRWVlRJ3W6a2fqXFXLYZAY9UHq9bqzM+q
Ew1bUALOnerC5dGLoNtlYQvYMvLv0YzTN2lcTzt97OAfdXXyYM9AyZaWHIo0MVZdR4VDmo4ReycY
juVKmjJLs/VHpUmci3T1Vtjt3coFb79cRGmjGtu14+R38/Os2fWLq1akb0p92wX6tBfXydy1Hv1M
GZ7SOamoNM4HcZ3022Q8aS0FK2lWKVy9epGu/f9OclO4etNSJrpNyqk686rStXWFzj4uueAfxH0a
BbToOOhpDgi+xpvaa5oXSNv2jBLOn7FD00fHGZXEdYBTwksXWhIbxyZpIM/mSYh4q7JRQe1V+SMQ
RXcbo7+4g03R8/DFKyVxMQzZO4t3SmrgJZ7W9vFPvpG0qT9mOwWa58oOWyqNfwbxrU9FQz7Uz6x/
Lnv7LLXGrNNwR1XJtrUCTMBhn3644t2N7HM/h/ZjOSBP6hvJTrott4jPmR+Oa4HBp1Psb+wGssPv
SWqtYyaaY1CnzfGfkyTKTVHNkkmRWWnrVO3Hc+gAoNdGBF+xPSGVXyYv9cLPy/LMOBiUWp96GMes
qQhBdmGlUdj8y1MHY91gJvxQ6BHPb73IdwYMq9e+9z4PStD85N1M7q6b3rwRg9+kbvRzGRmY1IJ/
2sT4FX1fPpiqXHdwSl7oTpbAYfLKbGtp6vg69QnGAxVAbX3MkcizsXjJGrU/yejcowBkRoF/kdFK
DU6Np7tPMmjvy2lskfmuk2fW4kcJMasmuQ9jtLac5fJz1min3GfLJlPkw8NO1deVmR9MNzW+lT5y
6osppWt1vxIKy58LN0fFxXeMU6fgPxVDuN38Dh2m1vnpE+qQNfnPUCdXP1z1d2g8dO9XVfph0cmz
P1w1R/tX15PyGSOLYqe3ubInK4mHNahVPYzKV7BUxhlbdQOjwaH6miUdWd0wTO/RxMleuIkfJP42
PRwIQ43+P6fX9vg+3TCtVKbLZX3PgWuVQAlvik3eju8aIyIc4hmdi5Fn+iKtRvdNAyQLIVFlwNro
hrMMtPYMSWksWjyoJ36BvbTfA3HkQzXh5cNkmfP7Cn98pI4r6SYADXf9LmYG9W+m4r+Kx5lqemS2
qOv9eZqMxbDCitbcyHimKcFZzmZdfz+79X2YLcOei6bA+/sK3OymcvPpPvEDDxtmbSut28ECIn8P
G7fcprYx8YQiFqwwvyE5dSrYk9YUHrmfpvsP02IfYQ93INMMVErew/6IRo2H0sROmjIgqHUM6T8O
XN/LecPexEthGH3Yr0qnG5n+7nZZuYS7XPt/MCDBEU+50cuUc6b71UVJWSGVoX6SlhxytaC8ugzK
oZmCHps01dz8MZCbanWRvoQLH5BUfkEminpsW8C0WcnkvsBqZXJj1BaXqtftcKt/DXZBmevWvsXA
PEVaOozr62SlrpodTG2kYxYrWllNIJ+0mPgsC4ss51+pNkISHrIAkc5ccTL4OnWD7bWW+teZvV8k
J3Pod5BtG8p0+MKIOczVAsaHmhWqWXhyqj7T72T4aiZzHa/L6L6DYo17WKqHQP3zmI1nhGmGQWbz
DFDLs9d+R68MVUiUlDFuD11X+cBBlnAJ1MlVHouxXlnj0No7ya6bSoPaJ1IHO8m4g46eupXTRCqw
5yXxfgtKe5ugMHcKHHvr72mlJMjUGJiVxR674bnVP9+aIm0tzcyDxKgvnJbbqEhb35pXf9coBLWe
k0dBUrPI3Weoremr+2zbQ/OqZU73HLfVvjTj5pU8fIx1tvflOqbayxcxVf4MBmf0E44pNRESV8xs
AgN0wjiySlpGy5GMi6IP/V5Gy8Tl2edMLB2W0dzABCgM/e5ORmGTvCKf2CMwxuAiQS9fLDYK7zjX
yvAuyiU12KhrkNuM/GR7bS7CXO8aXcuIU5rvI2WkgQLlL33v/FPI6zYihV+52n9eSEZmspzrq2eW
EsO8x9Xa1L97qvs02TZQmNotN8aErqQ04SSZj1ljuYcYJZqVsTRlQE3VDm7/D2ncQrFCfQW+6pyk
a5wtzBNtPGYsMnwHoL3+2R5c/6xbJQKKRjwAjyAJBjF9xAh56UP186ha5U/UX9YC5FGVXDmzuUP8
ZQHwpDPinU7P5g6JHuMtt8e/SkszHlq1LT8vk4aqbdb22JYvVqlufHcsvldgldcawm7L4gFYHhXi
nc6e9JMau+EK2x53UeAgZLI7cqa4ueD/2zzD1GFXiShlBLN8W1RDf+gnDOcbBJK6sEzf6l6Jz3Fs
hxvpl+kJDJrciXXEm5tFcTkcA2SoLeTWsL1FzMxJ51ffs+37vtJPsVponAD28wctOWhRAr1d0re/
R31QZS9o9SaHeRmV4MAaG5YeIy1eyGEcQ3F6VeoB/j8n1x6Gwmbp+RgzAJTe9qmCE0mmjI8ka1JK
IL4GPBryCPt6WF/JHH/pQnV8dCs/81c16PTY0OOL9FkVpQvgL+eevNzW8Q2VBcw/VcZrscxE5ZPF
7fHWH/PEuECUxAiYMuSt3/G7zQSWaMaSPeiQ68oSM9m1Abv3NB8r1F/UedUskJb/iFhsFJ98fCxu
EZqJEriehhrCvll16Wu0D34TQ4XwmfiFv0XbSL+yS2/sUCsOfqhROx2FRCr9VO4nYDF5eB+bxc+o
1+fvbFwhUJVV8WgEvXIXxIqzpo41f/eH4Tgm5Yj+MgYvhpF6u9py6q+uPq4kQAmxsy6jOjyTalGf
tSB+6GTPBtIGhHZVdS+aX30XqQLI7A1LfCV7KmPKYL6JFl27aBgMynPihPo33Qy8bdmP3hEp8/3V
xz41qJ9TdhrWSE6kX7MOCL8oM5MtNEvT+9uqsy99ZjZfmhYBiYzszhMSGwmYNguWu97Z51jFLqbz
PPuq8FyOCRqvxYz2IiXnl3zU641iJfYuXPajJtJij5Uqqs3VJY2HdttZ1gEOcxeuvdGfLw4yIlAU
4f5Bt/nPptvqu4HXzOcEsCiCxP68BwCTfMuRkkow4SY9mrK0RvNTurkZQ+o+3/6IXu5RKqwvCgTU
9ZDVD6oV4n8++p0HtIOH+rVtmuzFMMPqDzcARhwUWx0nuAfpakYruCwXyNRYWSWKru69Sc8eg8Xt
E8jaJ7fjJ5tqTX7tSvS+P7gDCnH+mFOR5NeZAJ1AVWd50cekAHGiUbbSvA1IM0IBDo0sT9sNZRM+
xCxuVtgWQT3WKRQYGVAmaboVLtlKok93eFEYb5n5cybb8Orl2ta2A6tBDCjSkHuHPjlOCZAT7HX2
0rTU/r0vX/r8JSRq1K1Orm8zLM637aD4cK/QF3ATy3yRPmRFa6Vxn6WnHlwepAW7RKsIH7W+D+/g
gtUnG7gZkhHl9M2y41MbD+G+ManyvTYDChK6iu8rIIZpj5BthAasrq5nI+6/hnXymGaB+fcYR2s9
9Pwf/tihz9WE5qdKKcetb8M0MRwzWudNi0enWd7Hqo3LGKWJZBX4RnP2nLB/CVrTOgyVWqz9EmT0
egA+OoC2f0ozu3+B+mlsPMuB8RfCRhlCdEKWS/l4ia8GHy7kjTwQ2YG7xY1mWAsxQAauTIPJdraB
M/Jr4h1+ybxxjZI6r60mg3QJ8d0/f2jXqk9ZwU720icHq/Twykq4QfTSf/Bmi8dpZ5Wn0Jq/BVYy
PTp9yQPXHbRdSNrpIhHXsJodS5zmLlazxA12pO9jU8WzWA/6s9OjUr3cj3Ibyu0Zm6xjEj1xSOD/
c2uCOevOWZM/SMSt3401dRWD7L3e2TIwmFZynvSDF2kn8urBpdIX+8lsUacdQeBRjtW74Uie/yR9
ckiW0f8KGagV3oFIZ6kYU65Xi/srh0VDPuoOnN6q78K/IOhouzLSy0URJ/iM7LyHvxEJ2hix5k/9
tLCDcvs1XFpUI9NnF1qSjEm8Pv4w0cJ+acJB+eRM6UOOrv+DDDkNUge5jjqzhKsm9XZ7yD0A/1xL
1aCx2oson4xOdhYe3MwpN8pIJvJdUGSe6hDlpBzDBgUvlk2s9sGmgmp8QfHfuB4QTMHfTnGze3wo
pqMM+I1qXG5xbgho1qjU0zX2Njdoi32bW2cpoKqlShrI8XnwLBVZZ4z3ddaCylAdh0euCeya7jFq
9cvc98VKmjPazIeow2ZAmukIWFMZ8xyQRqbdWzbYGr9qi5Ws71nmIk+TkgecbIjP1+Ztgf+h/WF/
cD2FG4RrsG6dsYxK7uRgptHUrNyxohDUtgieSVuGZt5IVDp719xWsWPuPS2FLIfr31nstsIIxhJo
n3glzcGBB4houXPsT+48zhh7J+Z9nJeBsSpwVAGoxPtGOoOYkZrd/D3QiuJyNc0eSe2wByp9BxM3
5ylcpISnpZYgZ7HUEqR9PZXeWvSBwe2P+2WOTqlu885UjsMQhAXPuxyTz9ca5ZC945feNl2auDCn
G3/KquPEj/gVg/h8qVPNF2n2DV50oKWeSxdRCK/BE3SZNNl19RBE4TcJgmaPFvryASGicMcCpPPO
Aw6E7UiVX/QG5dh11NQWTIDuTZB1ymCVmz7yu0MP6wzVF/+9eRstar07AA4N1nlS8TKYvNo+yMIu
0u/QVNEfrsu6YdCCNT/Aei9ruPeFnNMfrLrrVjKhX5aDMsDU2EoMfk7L6g8cQLAu56SGRVYVyNSw
+j74JHJXjqwYXZ5KD9N0zu2aB1nfUI3FvRynwG5jZVOyFzNzUx9c8iPgEQyxM6f+gf9CEWwdNQ2Y
2keHhb+MQejyEfIt8r9rKLSP1w8xCrLljoWluXxN+cK3WdcvijEoD8sf/C7L698hUUFvWxRgQ/P6
l8t0SmPRwbOap9TsjjFEJF7YiwyeKOKJ5B1+DKsEyttdAc/+H328JZDNvbKJFHdYG2BZDpHTGWRT
SwVRsCgNoKAZSnlsFlzkrSn/XHnnmNdRwUnemjJ6C7Z5hb65vvut8yoHjY5m51sm9hqGlezKYfb/
AsfIeg4YEURy+EO1bTb3KNNGR71y42PRDdW9Hrp4FcSm9yloHaDSuNcddT8FC23DHDcTN74IdNS3
1YQnXJpcBC0qo9KcF+xF4DB6C7YC9QniJLbfjfWAYHv9xDbxm+x6WjIVgDaC7GgPZfV1sE/U8Xi3
oQA6bKSrxHtzZdixfdSV1N1qndMXe/hdmOBmlL3ZtE/M8eEOTjW+NXJjyV2QDhska+P32wBnG5fC
Uz5/uI0VUMBsypim1cE2VAu456Dvs3BjVU5ySCaw8LzGdWS1WL8gHTYPPDQrHTQNakkI4nV3talf
QDu0uwiE/nU3o0YpUEBy6VBM/co/XNtx3kX3YMVJ6IKyvPbJRLhJ52j6ni0CFiJlMRnd29QBKpUW
kOrmKQuqt3yMq/NVDsOpQaItTV/R0iPicCqAHYRmAHe37iZTSnUliIE/wQMgj9DjcTtj3roDKqRR
XR3asAAV7tfYkmS6om57FOyek8ZXnx0Iu5rb4x2ytIaSJ5hi6Cj5FcBF1m1Ydyue1MoxoAjyHOWm
c79cL8eKfuMMA44eG7wTALgljvrI5gDOmNZ/kgMU2F0fq96jtBzT0ldK7KonaQaTam3NtvK30szr
qjvNxsxv2AuHT3rTNLt4aMyTjincA+vfYD2GZLqBhiVgnOmTA4BFfVtE6rDWNC1+aGIbtxWWmcOx
j7o36bsFB4rS3Wc1b3PL5p0+JA/AqsfTdRL5Ae0uwfZOUEX9OJqnwlKCK2tM4EHSvIKMGvvjaPPv
Zrc0SzST17nhlHeJryXzK/VMbYvCHe96xSe3gu7OombkO7ty0Vy6HbpFoCkBY7MDUNbz7mJUUWtK
/HJqDqp9se4/9Ei3zJJrqhN8HW2guAGZGTxQlviXKLS9CxZVOg4mFXVxGZHOVFEIqhOkMCCFnY1y
blV+ToS3UThsgBApwG5673K7joyaKktX3sjokBH74VJyWvlttQodMsTSlLlT2RxsxWj25uTBqHMa
ZCGpI9hmmx0by/Y39WK05A/gdwYUFk662bJnm8bo+qy/PsDTtlvzD9Xdyy9fDmriDfwsynF3fY9F
XtDxeKV6G4X527uMPtsg61KaWrYGk5sfugWkJAdIlSR/5qc079rnpHIKxPZ1+NlLQELF7q7qepeS
6Bweq8lSnq22TZZcUPYjUPTHGXzfq1Xk8b5AODvNPXevRG1zidkHb6fUNsFhWPainNJ/t5vudH1O
6zGeyFnY/GxwYoG9yzXCVl186o3moUv5cQ2JSu3BVrC9d1DFqpIYq2IV6+DU68CHWi4Usjp1TxkF
iX03+OoTXLwW71Yv+zYY0UV2UC0aFoVJXsTSwYWBGfyqDm2zVZKAv83Jpoure8MhMOf6bgaeM3f1
bmozgzUxaPGlYHI9k6YM/NFX+raC9hX/QLeBSql9/uWXK8g8isq0b5e9XXso+VjfTA+3QbmMpg7q
yWn+LgOMjbPF8bhb3I3n3mv32TSgg/uv/j4YWU9KSOFni9xg9smJg+hi9ml/nMlQsySkxCJ9cijY
D17kLI09A8vB4au0PsTdQpSBamqiVmij/HGZ27WswHM2tt4X5O344NvAH01tao115yjl5jagBkO0
NpPM3FCV8EECROio4yOE5oWOaoHumScZkIMKSwEhfDlKh7UEyhlPmOJcIZftTvYanna/tlQ20AX2
4wAFFhWdm0aHnP2/hTpkGNm/d+mP27zbFFLf0boMwaTaVbk2C+71oEEzdKHzBSR/n0znGCsJmq8z
VL3IMvOzFvvfpSX9oa6qOx15v430yWHO0nYNTGQCyMp1pC+DNyiXxpIvWDkuIIVpZ1m+e4JFUJ/9
klKwPrMZYFtn3ovPlQeYB0uRZNhZMkLaPrqbdRXA6rmzsDup4nuzJAVwxRfn6t/j2LGaXVj2qa4P
MKD99opM1nxnPmQ6JiwySim3uNc95TozXjj8UX/RIsvY9GXhbvDr6u9t2+rvUbsc7s3Y/OW4Vn6Q
LnPpvw4uYWm5LW0tuEbeJvYscA7qWH6RK2g+/61kkk/pb2Nnc7K5XUPpXrFOYUW/7KHWk1IiEGJg
WZxb6IXkjX/QJg0MSKE2pF8Nd20YT7KQ7AtzzQY4eZEtg89NKS2/V9yVqQUm/4tHva3WAZrDkF2G
0bueUsdHY0t6r6dNrOtb1atRNL5FUWZsziw9p4PRG8X6BkPvcr3f5dgqrI0MkMNtQM8xVwrL6tKG
3UuvwbeTsuLQOtBsJjiraqhfpdNu/VpleHdKpF37pRgohcTf/dLV1iMKryWQtluptmfd60DVwQ0s
8+9v/VNPNQWozri99UmIjkYN4B7l663fc0kQ4Vyi8bta8LHozOvIpuXJV9vDJzmr3fFSao55NmfF
2PrpOKNSmr6aZBF/LqEL2OdD6OAn1hmI5nsoGmSvZWHYEhqArN7xyyj7Vwz34kor7gRrJog0+DT7
0ansy7+7TIUlgiDPpN9SvWvUrev3xBtIbemSiXOKnUpY9+V2GoGjriZlrI6jqt7fLFAAGo8XURCT
Pi+xq2NnTdzN1Imvs+RUDlUV1cfRH+7rRVPs1p9gj3GGB7hRaj1VV37Rh/czu65Na5Tdx053GXEV
MzxEffrzGo3QzuKivAhz+S18biI8IET3YZQiKCoTlkPrpV80lsGHW3/sZ/2uXLICYxcUl7ktQTcp
xXpqSK9vpM9L4sX0E6jCurGqCFUAAq+dWc0LZ1VMiJqqTAr0PE32Mi6HIQDpDvEGPXV4uZfbwPts
s/IO+eBDvQnWSRQkF/LNyaXsw5HK7+927GIyBkGiWLVemVxkYLRCGApy2nf5IqcFQ+s6sV6CpjzJ
242+/IqQLjj6KZyg6yVdOVWa5e/818ei+1BnRX3qKUSfJ3XOzt0UZmdpypn0sURBD+q/YvDOIH9u
tOCeuUA0GsTJ6e0Kuqu5yLubOcUuG8HyedDOat9090UKx3HI0uSvBnip2/jRTyv3bDR81PKJOklz
JJGb72290D9FTvpTIuzcP5d6lnxBihwlGtZAkvMYF70qZHHw6WJPrf+7qS5NUBjvo57hvgcbdt0f
UQrV+Q1Hrh5vNVDnJxcxrH2ZlwPwvJQqW2QE39TBuVgWKemoVdY2emM/2kQb8Q/Py08VhuXbqUu9
O32qAApcr9cYdbnuVYCqbrrspmI0dEVqV/rYUFXoOCw7zXGJUSraV13eJbCpQQlIXy4xMof0EVbp
V7FVi/LkOvWaUNlQk9RXIAKVnb7sfiK/Ym+0nE3oH24TP3LfAw3kRg+qPv1gkf8eInFq0eiXqM+A
AVq9uZI+OcTsVrO2z8/SimYd+mmT2tu2hVY3gqm666KI9UbRHrGDwdTld5dEyCDGJBll8eeMNc8u
8yxzM4/kGdZmh/KnqY1P5cK6GZtuMUwAUwl1/Bv0I30dOUH1WLV4aQ4qwgd+12BbEkXOOkgj9ysp
VET2Av8XaL1NkEx3+azUOHVDTA2Lerx0fYWCobBYY7S6ojJvlh/dP30SKAdl0F9l7o3xep17vUyG
EMpyZXUuudtgl60FhyGIjSGp3vGf0seOwWH1Dn8ONMcN0nFrypn6MeoDsuMWhvbd7TryGVGCTGo0
6PPWk6LZCJ7/yI7FZrfBH9yp4TohCXiW1u3vAGU7n+A0/4jMu0jXi9em6qNHM2/estgt3hLy5ccA
wMwGhG3xZjejAhI3hyC9NDuriVc6+5J7aTrhhcVRTHnNUVZosiKFZ0XWXrSatMnCMqK2n3mGKw9+
mf0t3T1sxt34OwpZog9R2hB/iLJbssCR501feAFewCS/X6szgr9F/+l6LX1Ud6XhY1ZUGdmnAmPW
jZmF8b71qgwFMj88Rdn/Ie28lttGtrZ9RahCDqfMpEiKirZ8grI9NnLOuPrvQcM2PNrjXfP/+wSF
7l7doCiSQK/1hswGUM5o2xTWg4MJoxj0pq7Yrl9tixxOXnyrgVnssyjt9g1M8OdKH71VOymXD72P
5kyofISsnm/HsfDPmeIFQMZq3iizHz5DW5hDkQpAMTRK9Yeh1YGBNpXLg9r0MGaHbbwqproXbE3A
1D7iuUOMT6udohScfffQWcRZtX3IIt/f9p3z42z8dbaMLmdIFHUPPaj27b+IywZQENyG926i5+oH
uw/XVIUGsIxgv2UkINYhekZvrZI8zjh5p9iPVt9+T7vqUylhxqb6rg2uwrNvOXrv+GZDI8UaIEC3
kHUySS5WejLZ9NaYc6zKFhjvfWM+zUXmlh2yoTc1qqFRdW6cpnpBXmjHkz3GnZ3e7Fu9VHc28Li3
CbRUF473HKBNfTFLl2LX1C/HI3f1oSiA02bdUcM25WEc0rOaFcarZgfyGUX2SWBYI+8+ZN0BXVPQ
wVMTm09YL1Km7UXwUHRUaU0cW8Sol/ePaes3NzGoq7uGf/xr1WbYVdn+M7LS8llvBzvjSaA99q3F
jSh15LOp6WNDiRy071iWUlFvMshLw19e1JdbT5YPWZmqu1qDzRc7WGpBAFNWQWQlz6Zi9I9FmqzE
oJDGgQbz2fDIsIouxQF3WI4eO3Dd27V5VXxM2LrZZTt8AofLo4SrGnfkRqr7qh/Ybtmut9Mgmmxn
Ak4fk2Qmmfq0aIkIek5utJTcf+mLkBjbpQghnn4XDBGBRpt066iNNexzDJBy00HMc2OXZxgKqwa7
dGxMN1lXGc+aqUh3nRHnmFIYxnNaVuMNucCDaEkBXZhPZ0EzPokeOQmfZZxAAY0zpCqIpVimn53E
WkpLOrLEN3AnmuJKtR9Ad8LKjopimJrydqBcvJg0RXh6Jmy4wM5lSTzuoLuVZ2BUNsJpkzoQ3rlT
vXga7+0SlfCpUwSFEhyZnTy1RafahD9i5jlLZBqbJHrGaI+3XnQXt2pbU/HmdPT4PAIKVI5qm4cH
XUppihFxcFJDdw6KrloHmeK8XzTjHRwPDMbFKZRkmH1Ki492mJTH98O/Rc6nXWBJ3B6HYTW33U4b
79BqGKS1OHUL7C8w8Tqmxi/bS61LM3+TxSVgt0pFUW8qeVFlzf3ZSFO0xWGOFKdlC3FNr8ZwJYg2
og/NU7vaIV3wkxDhweKeMWiNFI4He4g+CaTYO+EQtZIHMThjy5bRXwML/GwZ9BN7OMRh+mm2khQL
izhHUjF1SWo+B6hZgQ/isV9u0P8kfyZFW7uK+e5UzUXrFf1erj3jHqZaSvIpv84RqhV5Oyzfh/US
YiuFfr8shdrBGpjFxhgTtvS9Gpx0cgwrZ5DaZ6uz4luYjUcxKLqaPtvajlk9FOHYPjueiUyMA7FK
DA5d0m8z9At2TS9311aFeKabk3yYE/lbUerGPzW7An0lmTCdGfHZ6wNoP2uvT6174bLSOsBiunxw
EApDH0zYr3hOjs6i6qiHOUQMrJyk6U4/bCAGy1eOLWbGQnUsjEioZ15kr0VTM6N+E2ZeOY/KbXxz
zU55yAJJfdDziXtj/dR3dn1EHiYpRr31kTma9J1Fsx3rASM+iKEdZH90tpGC9tOtkIKeQwfoLwDx
h4+2j1SnphguuUjC3q04heGBNHxchKVzBREgLTT5vqGynnRScdENzXjC1iuCZE31SNAs2gZhTFRi
5kFvYlOYdveaN3l5EQEiHgwgANqJloGEgX51xu6CJLPxJLqUgcSJo/irKmNpf8JZ8N0eblAJdTT1
UNFxJySGOOiyYh2bKPi2dIkz9I42ld64F9ESa+RcaW1YE/tiWk0M4L5nHY1K+kt0ibBf07WBxPx8
YUSRMyUvZxgzwk8m+oVwQgUgecYhL2hmOY+K86B++A2ZvACcownqjKANCvpumeznuQvWOUoowOZ8
MIBIkfWN0nOgjMpdljsoksRTWlhx7qKpS4wLL1AnG8HBizaDsl3sjPILtwzlbi6WuXb5/K7ZaJBI
59GiS58bzYqOca+pD1UDCyefwPCitpgXfLoqK/hbs4S3I0qNIliMilJjOQWLuagRuo+yggUy4DYA
FhTUUG0Igk9TCgXmRahf5KpXhs1g1ilPx17BDp4RCbH7YTXPSSp3jQquItIu85yEJ6u1n5SIAB/z
IHsSGaSobSDoxFG4m3nVS1vkokSMOEvNoVyz6wp+BIq2mCiGl8wVNGoAbyJ1ZMZkZ3ObYtAsPyTk
iFzZsM+uYqcnxKJ2kRAs6hz5caL0HjQhS6QbuKvN89BiOwLcO4nUjkjmxFWtwY/Mm8OS7inC/kef
b4RsOxVz+nQ1fnOQ9Kld/RpvFJP2ssb79sxzTBARM31H2+UGD0h5bb+6DT6z4uCTDb9Kkm1dB9W/
r3SlPGFNhw5qAvztOmC0srUV8tMiWPSJsyojuRr0+2W6OJvXrRBvYatY7qKCpCKIFS4mLo062Wvr
NPdJJ+udv6nyXMOozvByEn5xdsd/K7sTZ8uhcB3/x/C7mNIsGfFaJTq1k8jitMISogWYpKlVfBb3
puUG1dTWkyx72fE3Z2QxOg1oJHGOP0DWE3D71wDOcD9nLEtJgCLEDHFfRHcgO5QqwMEuU1xcyaMA
3+UmfhkLNKLIo12tBi3+MZbVR6zo1krrKxjDpccpQ/ssIouK/GA0Jg+iBRLnQ9Ln5TwPQxF0wpGR
uRODGEB1KOug2ShWbQzf2tgtogJiVCoQsHcmXJRoqjrq0JGO4m4mXlBQIHilluwOp6Z4ueWI6rJv
j2g+BekZvhNII+TYwrvG1aAaJO74s8Ou+i8utMLdb0GKK4d3c3uOdFzuuGus0EJyXHKxttRUPxd1
r5/1GGO+gCJONrUUSeHPAj/981TEqODv0Y2ug61oLpOHKg/a1dLphMUasIF3J7rm0SVakoH6SY7C
x39vDSQpHezXzr4lt4jHue18tvTpVQmfyYoxig5TvN7+GCgm6+0dBT4cjKaVOoRGjoNUDaj1NwhL
GcbRJ8k/IAsR4ctgmN18+DXqKtzGqFExEIpAkKB3MNLP/EBo1Q6x0ApWS+Y/2eYXNQuVBwHPzZUm
3ckwNzdiTByc/Ks8BYgG2rA/AkS8p7Qvpk+2t95MHPHV8lfXeLFs9CbBF256O0DZInq8vBUi0J7+
MnE2qvZKRd/gtPTPM5a20nmb0kuix860leHgDG1xrNPxoZUm7ptWXeOhTD7GCc6AgeI5Z8vy6rNd
Z+U2G/GyzBEia9HGWWv4jl9y2zAe28F8QsDZeqPU6oGJGe1jB9//AwZVq2ocrbcka/p9QqUE3AFh
Jrg6J8XspkkU5QRHGpP6KSzIlE+ZgfokerckMlWUjkQ8VM4QpcWou2CfsxkMMOCtG9zN1JrfTpve
8de5hFiO6JyhdeCbw99D514egPpt1MnSQdMxEuzgIey0qWguyfV3W1bde8UvrUdyRBfbacqHykLt
9OLZgQuTJjHPYwK6AbgXDPmhD5+qILVXmiNnW4wRx/Qk4y28m9EJrTtQ/eq1D7K6GiBWfgitKESp
CDdbEq7aB60u7F0DUpXUNU2v07qVqeAO1IUGJTVu7tsh1CbePSldv7GxngoRAsNezsbI3VtFOe/X
4JBeQNBrVRVlyeV0b9s2WnjvWLF3CCndnBTfNu7A70V7F6z4xDIpN4hvWi8IdNQoLpsS3LDU2ECM
NngWacmeFgrZLyRccAQTp+IQVmrBHskNNkufmBNYjrYqCrtZuxhF37pIUa8tv0QLWlacdbLrbzo8
JNnb/4TRtkqhXjtEqkXXApmVhjD4LRZtYP1YgD84CP05L8Mx2fGH8yJYNwSTsp3e4LIzIDWPa31r
yhsxHhQukEjf+v5O40404zFMtslQ4sC6wEEE+MNBUW8NxrvZiqY4zDFD42cTNPBzbVZ6SyIHMIlv
qmt3gm/EBWDpkD20ECgVh/RDnLrybekwgK4MRSuR0UAOVSieIvAwrn1XHuZ5+qSJCtDR3Kl+28Cp
oSn6Ej0u7iJLehJdYip8w0+JHiJLlHigxn1beu2Qod+NQ1PtRLNRwVkXLQoMomlXyouWuMFNtJxH
BJf118gtmluiNE+l0UivYdU7J7EeYimolfmI6kfdw1i18tfpJMu8+aT/j57/EuN1Vf0xIIc22h4a
/GHxagIA3GrQ5c+x0aVnOwrAhwHGeqls/2vnIOOvwV1GCbz40qSUxUfN9bA1aqETeqN6cKsGBeBM
qtY62syfcz7ZfhE134LS/VTaaXPVGlDXg80mPLTV5LML4xtzJ824l0x2UXJgARrBCPCz7JkvLvh5
FK5a9CjsyXynjNPPQ6BveqBkH0yqiwcDjOy+QO3hTTduYsFSkq2tPqbdEbXu/iX0IbdNF8plzUP9
pGzwQCz6B9MBku0gEfUcef2xNjXz4PtmtRrinq1s1YD2aSR9K/6d4jMh/rtsundp2OiX+X89fVaM
oGsQyuvVw9JX+pG31Qeq8LJYrvy1vDGOFHrc4Dj7Dy21xrCD5WWPyl5UDpf+ucw4jXYDiVYx6jX6
PbCrbFN5cn4ZYr/fhnGmP1sZdn6yGnp/JWQY+UHSv49VfPNyp3nTVF1epzw8PVCrAPnMV+TUmHq0
jjRFvdcNN1n5rW4/e6B7tqEzJuekSIIzYjfS1pYt9TmzC6rARWF98zbIGCUvqJ1cnSlp6E7ZxLFG
tyogubi165gcomsnyjyCojptS0Q2kxjKFLRMJE/UwqUs9P0k67OU5gbHjI51L8Naouy21NryMaeU
tcSJkSVGNDGA/VnMWyp8YiSlILcC8PDW9bW3FuALAcNI+AptBjv1+Y4asOvSLMcvHOW5k4gRaI4i
ksFomtFNdPVBVV0GknI45lmYqXC/OXD78fCDyKO9pCvFNc3ktP1LCiX1k5ao7RZLRR821qDdxCGH
t3lRk3RfIiE3d4n+2BpOBU9452BS0xZdpo6RMt4TSJdN08VA4UT1XizJTxnmIfDQvN617FVud1sy
4vUFgavkNky6/t3gVruWXOu6Cfrktgz8PVYMyhrgQBdzlrUIU9oUuqIUjWdEFifOiPlXNqnndJKe
IyontfvUb9ujVvXFLbJJuscoDz7KlvLUdqVzKp1KTVdW4UBqqHrL3cq1/PNUBMy9ImCOrUmGUiAN
243oFEGF65bGGivw7Bgj+1L7EfA9pTDcc24/watyLrijOZfewyt3o03iqoPCTT+1ctwiyr7oDqNW
fBSBDsVpIBjTAn1p33llHWC8N8XFQxdsDY03ScSMECm5f6X9STJSeVdCaZ0eUrq3tA3QBg2Trz1y
WGiCp8nNQg8CP1JPPMbMEQI8Z1rK7xE5mOCVBgzet9rgY2DpzaSo7Vyw7u1ebQdNBrq50aMdrqBv
Z9dO8NFtjWFTOH1zFKOGqh35bBVPTdzIt0YPP2ZZEHzEpUvZ55YNddvAiPGHIKMS3HVW5d2XhRqd
7bK3Nzo74c8tWDshyCRBdWNX7MPz5PdjK7zxyiYArhtaV/5ofJVC70PTgYVVJgaybETvxmqptq7/
bR7eHN1O4VkcB0Aru/q6d197gU3+rs+upppkV9Evzv4+6CWODyxoCpkGkM2xj/U0a5naVYly6Pv4
zUpRoumUHDl30BHOhInwtRBbq+kM0VSYeZXvbN4NiOCgy5o9VkjRapmxrDL9feco+bb08IFoFZLM
8eNY1vkRBbVsk5dudsS5EZHMKBrv/SpV92OVh3f50NZ3kZw3+x5fcDQPEcGV+Ute5BCLbXtou895
mF6wIZnkZF8LzDW8VWlE93kqe58xplNXJgj451aH3wI2mT1xuWpVV7mfD5Ws3uMrN2wktdE37wYi
EOBQKsinBJKjmZDLpmg73God+L25z2td7WyjworCqXpvySM2BZFUBgdxJdE5aMlX8Dj5GvA0EDQp
iJqry+uqU/06d8WujSBHFeebMPBG7FhoIgg/IBaNDhyPx/EAPGwC0yiq+xUouMpv/dTqMnZzyw0P
K4mvWgSWSXSJCcuNMNTjD7YXFXuRtvc19XugYDYsWiQAeS4Wp8vhvbhWmFY/KndW/VhOMkAG1pNZ
HJifE1Mm6yEZ3YNu28Z+QF31aI6NdQUAW7EHtMuPXS094A7lYpXt6kcPMFRade1XCe3saQNUPKsO
BogtJlRn2WnVE/ZSMExit34gyY4aA6KJb16SIguoa99DXAAQ336My169dMJ+og2U1btmVfjp3pHV
hIwCguoh6flDPf2ki9/lcDKlrBT9RfzALz/rS6wYWGJRe3oRraVfxEYBPpJ2gPfSRXGRT0IdAF+a
xB/XVgGNSjQtZQzOleV9E60BFtgT7PXHOpSHS+um7ZNmJOHegh6OsjyDrZn2j6E3j9lwodYjkM+9
FGvmPcZgm0Uf160MGJOD6ayp8csxvJDJ0a+M5FPRl/Xj2L4Ohl9fo9FDbFh3gwNpW3yKfRXQ3NS3
DJg88KzKovzRV09nRaoFBx/H79USzM3CdqP+LKBLTWaYuPh4n2bE0zs4kwA2VaPHf853Z/zTIPBT
JCC2PE+mK1F1l8xIgo05RqshSy2UeJ9zgAlPBnW9Z6/DxtQZQ/lOhPZ65EBWkJSJ7qNusYo1tuKf
Ysrtq2WO7Um0xAEAjHJwTf6q5V88SDunGjwUBAzuHsffAIngUGHRKoC5ZtSiH6GctdImmKLAMipW
b4VHMpQWRhzdeCr0RF7biEHu0YXAO8hCUThRyv4Go7t+lHM9ONWWx7cqkmk6g36fu6hhBDWAqwUY
J76po/geG3VV7KhudNiX/Ppez4+vYkjMNBQkqyMDquBUNJbH5ntv1N1ZVIiRrS23oa1nc4G5jLLo
DnotpKyp3lxmiF8p7l0Wm9EDJaBNgxsaqCArdjdJ6gNZ+oWNXVCy8fDYZ6pxEZBZEkv+vhU6YzzK
agpkrniyJBFk3+SsuvX4JDqkWI7WjV0hczuNu0HA880UrqLuBOV9KkRPtyVrOhS1naJxuY2j3rjo
Q8Y9S3SJQ4yH89QvGh4+zjN0oHT4NuXecLccxjaHOBZq/V1WNlkBdZC22ZWIdufZScSJrmWGOHN6
mUpSfu0qLbhrLL8AB4r4eANiCkuY1P/op8knwGEd7/MP+pRulY+9nnRvvj0x8FwveuzLYdi1io+4
fN0Ed7XTHupC11eYnCM2NB1iSDNXqbXcXRnkyjwg+sRoZtjDtcF5KMCTeSO6ascgM0Ylfp/pTnqA
GoTFllGVD5mr43TcUbeeSyeiHZX5z3ZYdulJtK0CBNU6meJFu5pYSoXe4jRSecVukCmh6EbrvlV2
jpgneoxh3J4cKgif+mrSJUEu+9Zno4KPHYbKkj4Gt79P6iflx2lSQk7v0zhNcv5hUo86N1YJYY0y
KRnwUpXUK5m6dZHjfyKrKWn7kE0kIgzeBeISe8Lp0DgxgG3Tiw5Lnwc8EcGistuIPrGAAUXr2Bqw
uotpPyn6lHSyGLUoIlRYKECk5SDOxMFLNCwbzYI7hiL/GFB6TwbO8LNJTnFSHu4mpxfmigERsqyS
G0m8qnWAnUvfu1XyqkNYJK/h+f9ceFnE8jobGu156RHrLK+1KKXoGGjj7V1/1LH5H/MwPBbTf1Q3
J1AKXJf5/227/e9Njc1M15XNVcQ26rdB6+IHQIntKYcAu5r9Ml0TzbpAby24k/htmmpf3jSpX8/+
lx2cwl2nV9ZmMdCEynVCKDG/spmWH9nLHLUsNo4zREKAJ2YERrHJkCKakRVlV5IqcJTDqARoTCWO
sgqVWsVKth6uy2HstOGaWdvCyYKrCBVjonsEK7QPC8giS3yA9aEK4JzlAicBHzPNX4bFCr2/E8st
3eIsU8rfl3t3sWVJUPk3vhPhaa4shbZjHaVAe3xXnRK1KMCgj7EImKpbS3mqiXRp6/lOsl7KWcvo
XK1a2qI0FkzRWuNKW3EhMWqVa0S/3Ztkul/MuFNOc61tkh+lBP5VdImSnjhMXXWFAdNcoUNAY24u
gG5ow5Kl3BIv9e5HyfJf9I7dKZV+6y5QsuAlKjF21mDIHMWoFY7F1gtLfSeaOLNT++kVYyOClZFC
tmSV2VqMdhDIgGDxcfWmpdqyk8BdGJSTaRV+rDzlxicxNC+Go4ozcs8RrUKvHsWrihXQ7CQoP/R8
uiDxFP5futbJoDWmJh62wXk+xZ6JU5QLz+IMLcrgjBhITR4bwGRmfFF8zTxBJ/5x0KamMTZFCgCX
TtmRTKRe7fxHuyu98j9PReg8Syzwj+3lSiJGAZqyRva5JQnx8yVY4sKibVmDjBVkuaol1ztHFTVr
R+/989IMpr58HCLIgGp/a5XO3r8LoegYV6s5Riwh5li9FuLGgjXItLSYIgbfLS36lgERR6boS6TZ
2m7pz0nWVvOrzJN23NlKgoYoSJpTiBHiSZz9U/N/6Xu38n9fyv/Ty4gr341Wywv878tEScf95J9i
/vhqHDWHdToMNzFrvty8DDSAv13697F/Wu79S/09/rcxMXW+wm+94urzFXERg9krOv7jNf376/5+
dbGMmFpFDX4Gy9rLyNL3/lX9vtL/cP0kBvTw/h/0W/u3y/52Kl7WP7dLdeT3ynILtqRBesqngzjr
DCN53/ynEBE34clO4uyPc5eQJe7d1f641L+Y+26p5ZUuV/vj8u/m/our/b8v9cf3pZGkBwS6ET2f
3vo/vtpl4H9+tRJuKhFMhb/9p//FH/3H9xR3PzJg//Y9WZZZ3pN/mvv/+X78cak/Xu0f34/lVS7v
/B+X/mPIMvDu7V6WMtEkCyIPUZcG2zt7NfAAcR3YPa+NrsJ7FFy5AuyQTn9Cx7QNdPsoS5ytCBR9
y2jXhnAdptFlYF4BJCsjmgHidloGseYfC4qmh1LPGqk93CTGHMeKqtwUWi9fJC/tz1HmSchPWMOb
TYG7TgP1xcFgGPicrN2308EJTPscxhbK97TEIYDGzqY/GfapF06qSpVkzjO8ATBbpDfKHC0CxRRy
EFQls/y0LGBKnXePlPO7dR1tREEtxgfU7R3vtaoUc5V2Y3NXdJr/Sgm4oJ6cmuewL/xX0x6+otaM
p9DUSkPEHKAd3osWOHiUAyEUiVaujWSg0AwSq3rxk9w5wSpDn2CXl8VkNIUY1um3U931SnXdAx/6
0dsupyKW9EeFmFyIYEwArhBwuIFOMyoTG9t0pb370bMb7TXBzJm6UP7UypH3oa9t++T7IT7wpYaQ
kcv2WuuTeidGq7xv10EkKScxqvbBS09B7Wa6JvgLiprKVA7NkHhdJaDbP0Ns+4r4kvLoyyEq6n4w
eSGk3Wcr7deUJoJ9UuKB5Wp9d2+hYHuPCcMpaFP9zpFzNdhqEtICSM1cl4gcYZhrpXwWPSYBJnLO
rXNX1xiiTuvk7aQjTKr7gKWHcyEx+eoCg8BVSu6eXYSBpCx4tsg8YHJ3Jtlg7XRMz+9NRwe7V6Oj
N5KQsfzMfMHoTEWssUswCKRpmqSjkYkCVDQ1C99298DO1Q3S8saLaWCTiUGL+2MUXcn96EUppCCC
tR4d3QQU7lYEpwNcGSSUjB+jw1jswrYPdiI4HaEPKCi07ESwruvaFhUDdR4FhtpsFaf1kISVWVlW
4m2MBMheBGdZ4Wz0QVb24k/QSGrhpyR5B7FyrDrVhm1zdRBzdQ1sdtYa2sGUcO0yCp+MPy8X36Y2
PefkEz44Jq4tNtvMMY2kJ0cysEicun09v4R6T812HMMPWlcFByMq4q0Y9WWs5iXU549iFAm9v2Db
uFc9y7uLU7tXue3DjWUrLgbgUvncQNY82FqH8M7UzLRauaaJfZP6oXzWmrJ6bodk7YVZ9BiW0qsO
1OwOmtq417MoW7e13uNE12FL3qbdKXLMFMux5CtagNFjDUx8n0zg+VjNYe0FQxfuwPijs+IYyoc2
QhtpVJPyLJqNpmPbwC1Rnzx03CF7zuCS5hYA77ySsmdDjlAMRQThFEcws/i+uLsi602gf9p1iEsd
LSJVf9DA+B5bE3El0edDMX6wZK/dFR4a3aJPHLIEPao6ckgITXNFnFqQlac4HiNky1JiQC2d+6pt
5XPghP7kcPY4ah3SFgqsi8g6qU3Ax9k1e5LLTsbRQu3/ThzEUMBXd27WcvJ5qLAl8wEmBSPmiUZY
+E9AtNn9WVXzGvcZpQ9MLz9lTfaGzBJCPYOBA0+V1dva04cdlYUC1sxpOahRVeFfPXXWbvVjxCVP
vYoa9ON6LSuvXvtX47fRBVf3t750kr1Zopw2Bq4OAlTd+MjwKLZ6xvBxvIVGvwkaMz7EQ1Xuraz2
Htj6G2tVyvVbFsvXFN7pxgeXvW9j81TqFTRbcBJrLarGQ2Nnp1ivrQezNKwHKQLOrI7kfUWfkulI
YfKTs6r8IXxQFGsfojN4SXiD+y52j2hISsjhcSh1r9hLlpesUFGQLpZhtrs+bKoVqKu6Rm8bjsp8
mmVUmfO2jbY1yiDnZmK7iDMRY5Mj3tZyGq1bn3ySAugh7fT7JA3km+ghxTAZmvgWaDgCxEDpyD0i
hKhLiz7dUiLKcynmFVNFvNe/pthCXhfbe7PGVywA87IRfeKQpk5606wXfNWje5sy1i3V1ikm4c92
pD+HyCFci7guX7oJBmpASLtIlVe+oKUH0xsOEJJBbM7dzMseHKXMHth27IdQMi82kgZgAZBT5Ev3
OAlAPubWqG6sXJY2/lQNHPM+PUYeGAzdD5pJ7ncFlLDcuqVtrm3P6+7sOjzFRW8/NLbTw5bw1a1b
BfFbK0Uf60LqHvyh5K1EuJQqaJmsFEmiYpRqA4qUw2e9c5u9AVjmkRqwr8ub1hvNb7Zk3rDvQX4j
mSqGpYaMvar3x9gmBaHXYfok+sB2XVq1QA0x5x4YR1l60IJiPMuDpO8pi4SOD5YjMbRbU2bZBm3E
4NWqumqFU10Fcqe6tFanrUpb7SiEDNZZHOQKj8ClKc70zEoOZKWf0qJBBl30tcZU+DO1fhNrhrUb
cCVbQ6gezoON17fnqDhCWkr8EU+mtRNJ6RpBW+sQFabygvdYuOk0BDU8XTIe3FhaYxI1nlpzeodK
3OC2hRQnK6kJXwZ/ylJT3lXLvv9uDPVnzWzUD5nngLer4+CAbEu6MwEMm/09Vqj9vc/z11Gv6x5D
dV/ZZHmkrU3U6y9aUrqnoUKwflTPCPkihmLnT4Gsb1upArcwmJ/0VovPxkim0vWwHbKyPL30kBS3
XduNH6QaOwdlz51ElVZpqjk3axMZvXkT57BinVthKLdM6k1wtLQ8tyQm1J0ViGJ9v/QNpZVvPaVS
NmKWGFDCUT70CuqWSx8KefkG2uNbLrNTzgFmvbhx/C0OGuWb4ZSrMWsqyp+ds4KKkj42ASKnvSPj
9a6SictaCQpf5OCkmqZvKeaduRPqt5ZqyM2OrW+DraRvdaN4W1Vvu6NetlQP8pqfMzeD0Numj7Vl
6M9lY4OtAv1mtXZ9rXmsQHQbNJ3RBfDNozrbiNHUxc3cHwt1L3V1fFGL3li1QDcrHYlNsz0pSl3d
YgSEnscM1qYZGD3YJMs++F3hbW0QIZters37Hh3JvTyGGS7FjolLGySjuq8OSldle6vIkgcfaiFi
bqn3NfHMU5G2zYcoLsnlJXp3lNNkeLQ7fh5FhBwMD4bXOS+yX2P6AqnoECi594w08JfYQVbPStrh
iuV8uI2rJrxTjMp8qG2Lp01E7L4kVffN0TvrscUThqdJRMhL2Sw+p/nOwiFtpeBk+Kx1w8VzOuWj
YqTKZhg148KnPrtDOind2WkAcN5HMs/LsLrKs36dVFb0JYXSMykrVDc7RI3D6su7PK4zkvlhs8tb
pXo0fS1HbKq23gbfvI2VD1EgMS+KmYTfR6P6AvNL/TBatrfpKP3cQhX/eauS5D2KbQhoBOg0+hRf
pCaCzK4pwM+08opqef691SZ5ehkJtcFApSpPnhS5NL8ZkbG1LE35nDldscYxKnmQzTA8yIZVHPNM
jbdN3kTr2uWDqjaGfpgYSLegbLR1raQVVlI94AjAaTzyoVAbl2/8L4NN4Dk1HthleWxaVgNrCEmg
NAq+9A8REmPPsB8t5A8CBOGKOtsqaEHcq9ngouaf2WcvheeY8J87pRDj+cEtQJl23g3tauDqCrul
EHfr+yIyhp0TIB/vuWa5L9zSu1hqnhwweHfunCwKj6bv26ciD76bJrIxci+dJ6wragoqwu95cRQt
0S8O3RSxhDW++TmKtHa/dC1hvtc2WyfquclWlvGcqOm6GJPuMZ1aeE9+1nx1uHRGg5GVr5ZrDRjY
UTTtQb6jnPdlVPXkirdbfsMDxVs3WZXsRTOWmvwWq+BbTZ0U+xQhusQgFX0wg1LjAkqICzDGCBKl
gdduiqGrV1Gl2ecuaLuXVn/qm7D6DgFvzQ0JMEnwpmS2UOFCPoIK3m0M6y9pp4CNcrS/GtSzraRG
6zo07pNquGWd75y87mpAzF/LofmY2R7mgtQF7XWLufwEewOvnEy98ym3imGdeGO+w+u0ORoa8IKs
t4tX1XLQvdBA5oqm06fttq/YM/uq1a8snioeVEgWDzbEulWrGMNx6cvG6EvTW9ZpHNzuQfRHuv9g
mGUGO4Ob9LrrrUOMwuBFDOK9+xdyvQnQ2hTh+a5qX2OEQU49SodrHI4rdvDhS9fGuLS7w4trZenG
9qtPAhqJwpmCWJOEjYRoiwMANTpz39vnvoYpPSGiX2AtsW20j4rTXAq58e80CbS25PLby1NNvzLU
trtaeSo9uv/H2HktyalsW/uJiMCbW6Bsu2qnXtINIbOE956nPx9Z2k3vPjp//DdEOigKMpPMOecY
YzYfGNP517KH+Re5G8Jd1qzTO7uAVWmp30pmHrOaSqb5tMThE1IWxW3k/FvmSXIzJHpxOxnNRUmq
9q4IFQuNUwWsuiK/yo2TPfRl81KZUIaMdnVZxuqfwZqVu9IolTvAr8YukaTG68MoeQxS7amqZeVm
XHPikMwZ/88eziLcykbODCnuNY6ryvqzoagI0holuIXM4n0iSWwZjPguHS8NsvU/lMqO3RDhj4ci
6P/pY83cz0U/0Qcy/W3OWvQUZ+cmMOJiV9fBWdfT6Ziyc7gpDcM6tB0CclOKLcDCf1TltuWHQ350
OucxKUvnNyE+g2wAOQxHMBeAK39OtsbOmjCgNxMkoDfgYzqY/A6RIXDiKoHe/9AL801qoOiCat8t
qhKq3BC9EFXpl+9WID+0TJBPthNALWXwhXVh9yXEc65DbygXsLslRsWVaWIn2WZLiMaMEp0mNzdh
GeAWjWvnn0VDEVfdF2U8/JaGcVew/wxdqfyuZw/gtI0bcRin2LxBp5qJKKkfpxEK86UbI08FXfIz
zTU/DWb1a2hWdyY88+y9ILoH8x8clsw23wiDAYA9NN/NymKnriCZW/ez9jTXzQ+Ao8GRtZxyjMrW
zYIh/oXCxegOcRXuYzXmefb18DxNzbcsbggiJdLyOVhUCf4ppH+Za05gYoIjWlPlPUKs1Y64GCjE
2uSiyTX8AGo0v2k5IYqO1jpf+7r51RH38yNPhsd4scAx1bl6L8fI1zh1LN0PZpdDxZb9KtPO+KrF
ccNmO3DOKToCFyuKXmw4iVHoU740kak8EN73ReTqsW5ZfGSdW6nl6lFsHrZYoliGDDVui2Q/56ya
5Rl1qjySXyp9sl05drqbHvEOvysCA5WaMtgXLRCOEiE7H8avab+6aU/l6uJ0fk1IJz/CehkYmnVf
hqbjptiy9k5hsWhhqm4ftkJjzQZRb/q4RSvXhNIP+TFY9ABOoT7dQ907EL4m1+M3IkfN78RcXBNr
yXtVaS3Gf7eR08n8btEYPprJQ7OhuJ/UKXIZbyWxI6Z1yWv959gH9VdZTqJdqLbTSUhZAdI3G5jM
XH2IdJ+/gIVHIzoKoeshOEVIEzw0EwAhyPuiHxG7wnKunVfTMWtg73p+qGPbecsdEPdtE//AgKZ7
6GoNdw3IjabxBeOwoCEWKcFCLGmjeVuUXz4Vb01ZPHlwpEFxP8SuE616HmqIiWaY2920ipbbuRXT
NbPsNKdyflHzuriksYHablp/Fy3Y4a7Q98gmWhF4YrEPtRB8BsJBl6BWFYyXS32ICmd+DuoG6fqV
tmxCVVDN5/IHC01AoljPx6V8mx0MXI4VY3ezwuotVfPED8JKP4laXe6/SG3H9jPOki/Z+ChKA7Wu
71MbjuGgL4n7gHKjOzkdUWugaAt/yDXAKSuHJjAM/SdRnSwEeaWzxIdLCqTswI2WT+LQaPphHhLl
XuQKNW73SEgfswg5MMcw6YqI731Tw6MkRd33xVAJP9MU5WREgfNSpcMDZOfdd6LXJg9wy3hnz6F1
u8x57Id2l361ynAvAptVBYyVQqAQKn6axeiCnva/WywGXXSMS+MM+PBVlWL1Buyk5pdaG/3IpDcA
AeM3TY+lHQBU8wS9Y7Fr4t5wG+CTbNYKwxuQsX4uoUF8nKGF1aXOeO6tjiW91n7XSoOAQLWpd7lU
AHLmX7qzBtCnyuSKtYANX5cA+bZpu6/b6KzAkHC/OE77pTKjG0JSpke26t2XXH8owqJ+tTByPjPC
AFVQaqpp8LAE83NV8BRCMxt8NZxqROflvHI7RSoPg10bN2gzF+A/kYACjfIkDooDVUWbQJPF2nBI
PRuoph/WU7Y3F8QxRZt6tIlrlOH5Wk8bZ6W/rBeJBuTb0bBEguEdj2XIBEQudh/yiMBoiQNRdck5
SJ2vV0mO3nyQyqQEjhzxyCUjfovTAKkMCFvfRFmhomn9KSVqi9L82E4qwfmUduGqs/RPLFQbtUa/
kZwxeSAc08B2mSa7CCTFXltJC5Yxie7WtkRoJF6ljuneEGiPbc0iwCFWxgIsbnXbExWSrGIqYCkn
TT7RecOTSFlYdq8p5z31t1oYk+8sMUSGUGbpaLkm3IS/8gKjnRyk5jO83flhrtjAVaaO4u0CKYa1
xOWPtS2Ic5194arQIQGB0XqdGHNNI+K6N5cH6IdH5lVYjUYDGit9rWj+u0KcocbyQzIkXyKrI6go
TrTXGO6wg8i2uaq+st9RD3WJNx28oL+gXn2WiKG9SF1UeWWlJL+yf41K038aoCdQk2fb0S2xeo6J
zNvbliZ/CdLlSQqha9KC8bVYmC7aTh/gdenbXZDbr3EtWxUIyQhJc0nW0ruiSKJ7LavaB95Nf5Ka
8NsgB+RE0XoI2SqcYjv+JoryqK6OkY66AP2SgRlWP5EriO9SJdZv1KLssVVeRrOf7mIBtQWSNt2h
eUOe6JEzRL5mzmA7RAhnQeSGLb0BUespHRvEPZPHcp6JlhxWwEisQgKtV079bCnxcFBDFIJywPuX
ZA2qs2fgRaM0F5AWMHkDE1RfK3Ww/LHQlYNQQpuhLPZlC11uoXUmaqe1sbw2btbGbUuIvJpO8YNT
Bu2lDdXjZLUQnayMp/kUoAWbZY9xA50pPXbVrKqts6gk6plw3BbPgajtRqc4L20Fy9Z6qjPgxYGh
1muDQXvNBynbd1mbodjBW4d4Md8vYVPtSiNzUclkvnJ64wasJQqZa1bMYbIU7uHiHi+iKA+H1k8j
m05qrdwzJdAgWUnaR3nQfT526v3GpLcWhWGm3VeWM17SMPVkE2QpppriZWKt9phoSN+KqGMtC75I
nS3f6WvcsU4H9KtWiw4iO5lxehanShPMcwXoWjcCQYS1eElvZU2HXXjL51q3+MTjQH+wVm8VsZZX
AEag0ZYttDraJJlvDAxor4bCJAwnMrYLLUcAFYdnZVXRryX8rVil9G8GeFArJCTiuo6YWC1s7rQ5
Dm8yi0gso42q57xMcZIuZvirHX93bQXv3X/O0fMl36Hp3dzJTamd4vRxCJzmkW1d5aEL0x6uM73I
Kw4Rcd1a7ejWxLJkmXytnXNf1s14LyJQxQGnHfRKrfynTMSWinYjUVf7ZX0dol1QsrVUtdZggOE7
9SSJWNAi6MqXUCf+VKTi99RWK414JfRExrQKlq4be/uhMkqH1VM4/Mh0C2NCq35JOvBTSx+XLKHN
5rVvAkzuNJgshPTgCAwfp3QssQyhizcbscZnby8a6IE6wwxXSGfdeplXWW1Q4Dg4tBNahvk1I4rx
TSRHrdRxMq2ttqadrttuElfZQVTAk49qX4YuZqVZiIdIT2K9Kh40r9O+0QZgqetzFeWiKG6tp+uj
F1mDFqJSXyXBnaCzbgJQDalm3Yq1UOzo0TlwFMcTWdVqy10LkcFRLIK0CQ1pfQYDKmrt/neuh8qr
UjvLZe6N5zyThlPhxCC/sxHWMVAFJdZ2NIOD91TeyTheGu1GlIvD1kxk8ySFAKktam+rgBIyO2jx
krmCCDfsg+EOB6d7FUQVZYITl29ljP8bqmNRtlXYEcY2k4h5byvDaCufxiT5XsLrqTiu3NkPeod1
RYSiiwh1EbAeA9Q7oxd5L4pEpSgXqRFoBfQ9wEA+0D+/nyGa5GoZae7Wul5bi2tpQ7FvVvia4F2c
gqw+a9BFb5SOojwV+lxwrxH/DZqNuE8CZTHu/oJfYDlMaLQeej2c3vR+OVzNkoSce2GcGndF3+j3
ltYT1V4p6BhZ4e1CFNkXOVqSo7MADNQHZ88CSb6J+9I+FvMo30hD+L9SbKHt49/ahUZ424lv9QzV
1PTI4hvOnvJWKuFDEgsSa/VLBMYcnMSCxIwr/RgGSuuJ2lGyYJ9zpgfEt2y4zPhWsJwEFL9mxacD
CGHPHpOs+LBMRTJ4bYvMgpZF8QpBIfxfQnYZLrfkVvyEEcvSPnOYW0St5tTZJZbzg16F+oOBM+zK
gDrrd1HXKrd/CFDJSsQ43IpKNYMCfIZj7YCloH3qnQ5wVeZEsKmRhcGpeyrTRxx7zaMoSbtu/Z7D
bi/qpDyHqNYxoZrLUAXO9K8tPvxyN6jrJsTOw5MA/RfmIu2VuOhBpOIgsdIAJvFO197KOIIFLR5e
alkDYG4Mb11Qa2/WuBIMZlqyC3taNU3XY1EctfrH9ZOOaV2G4iDug8drcaFpD3mtzt9qtql+kDv1
zdIjfx3VyUUujZv6D49rtvIXGItT3CtBLx1qazb3CU7gbzY6kCMa0+ZUaft8vr2qGyYD6jA9xGZJ
kxu3DghVv0wS57XUYT3quQEUwl8EsRJKUfhC9OSaW+tETjU67fW9pSBZ2nL/qVMVQ0ciBhIhocCk
zebkTTlCmrVuIkDZl9Z930BqtTKNi8PIavVPCxCcSFTC/9O3+rWFOGm7hjjBkqDveb/GnOraZVLx
HirABQAMpWcpUZSXJm6XXSBNxR4DiAJbxFyfCA1pPVFrVlN6PwzBa5TSVkYf8UWxdqJKNO+a6kEe
rOzh2lqBm0aDq/ksB14YrbxE6C26nTVlR0vYF2oDaKzSy+3eWAF42nqoVzbrMbKnGxZUnsjVK4X1
NbVWimbY8aYbQPR/WqzlaR33blwghTvHle3VUQ0bvYzU3mARMDDbzXdo5ZY7Iyzk4zw6L/2cyXei
yAKtMPlGlDhQ7SUG880MdKUeVoNB9Yg6zAxUsZLl/E4MgGUupVtWWI+i/4siGN/gLlXx+2yD5i8n
4Ra5jiHRykHychfIU7dTC0yz3v/rhChY2qftV7Zffj/JSsvh2NZMQENeVGcdJOi5NYfqLLKarCI5
XcSthztBR6x5YoHYzsXOpOf5BuppuyqCSQRDrVcCr8x3IyPQtVptOKrTpFoYI+PlXnL+veY0fc5v
7XE4yRjh9qGac/vrF118vcXH34iV3K3zhof9XjGNY38/MGGIFnoGgVJsOsm+x7d1maYp3NPZFG+R
8Wo0cx5dRMWsGRdUWuMbZXbi+zLH7z7M8cVuE+nkyBAixhrL42kta/HmK07ueAMMPF6ttqV9hlsB
31tedvtQhk/WT7RAvstXCElcJjcWiwioHLTCNUL26n4m19ptK0P7C1otGBDjG7+WTE23OuBj3wwz
/McVBD74ECwsuGl9Lw4SApTXVNepBysEY6jO9uSBxG7u58LAohIFQGTiCqJIi+2cD3irue9CNHMA
I0FiPUiLH01N/ay2NTLPgVy9SqqWeKGuN2+lwU6QhW53l2Zx5EUdwgwJYW+EfvR0ZH1G8t2G3hPD
Ec6k4NuMYJA/6kr1RapQU6jbn4ERLBet0+WDDVHGnpA227UXvb9LHes5NQEQt1NVHQpMRH7Rpl4U
ljOYSQ5prkx7OUb0XJQhPDU95cH0kpWJjE8KmdUaIG4sJcQayl3TPrC2r8LEKnbIP/S72JZSv5Y0
dptBnFwPUePsJ2sIbucA7XPDQZ9LhkX9LA4ZAcTwdeblXQjuz5f7fIKJx3C+1JhCXCVt8js1LIIv
iZIfIFoNQTYyBQdO5ItWoY5lZQDt6Gol4o+hMpWnoZzLa60OYAcVpmRi+cA1mlSxXWucajdXM9Wz
lLw4h5DVn+Gb+pPaykRFUq7gbFFtqYTSEcNEc3EQLbcTt7KtiUhBrV8QkmjNu14dvs3aZGJqi7lK
WZv/ncQLxa3YMdG1yxo9LfKiqUiJMmnuAPq+AjnuDqoTV2ennoaT2VUvWuCo++324zSavGaGl6or
CUKcpBtdXSW+CF84j2ugv7aGgpuL8atUzIrgjchwHSOUPCaLbp0xunPd2hj5tnzSmlBSFEV+Ggl1
wMyLgmAj48MW8ABx0XFRk/YfZb00nji8xh0xKOdKme9bPPqEl9a7Ro96SNf65GglrOuSktgPz1gK
MANmWIH8RVqguL4R8ejEIxaHa6OgU3kl17QoFu23puwLzeMkoRqWDkV+bNc45Vkx8vwoHmDJ1NoB
q+QFjD1OX0RN18cOR0SBqlWh1ZdZuxvjHh/BWr49fvEyRdn1FW3VW81WJlLbQbyXLfupXR/LvPMu
MoOjDi0DGha483nBWzNJ9AqR74kqmq83nRH5OXt4dmpYabKBGFbueDts9y7Kwr63/5wo8uLJbK1F
6tMpn7If/vh2njI03DxyhOxc0+kl0TV72Yke0FlqtngDuH4fWg2sUJ0xZTvxujB2F+ftRW9ZUba9
0S0rSRUBadsLFzWfz3Nsxy8qIFNxqJbE1ciVjIu1K6H/4NDgo6M/51K7eKKAmaj7k9RzQptRZnmZ
B8yCU3k2mLvPDe57OueaFAeUZ+uP+TyGErrvoCMV72d7XB+G+TV5fbpFY+4GJ9hZ6s/ZZrE/hHy1
10OyPg9t/Z2/Zf9WJs4QFeK0LSvKsIj9uZQ84hyWpfH3kDq315EqxqQ49OtEIFKWAO2IvBjIf2vz
tzKoJHgtW83nXxA14rLXX5hzYgObOvGItMMKtP7t7Z2KQSxe7KeyLStSn077W9n/eant8p9Oixyr
xmQTDm68zpGxjObkn+SaH9YeJObMDzUVm+oMbguq5jwnKU4V+etFxJXeT58Jt0DN7b1QpNShXg5t
nx3FxWsYQ/1F20nQXV7HsximYuraPgqfyraRvLX7W1mprMgN0RVFw+0yomzLbpcRXXrLitR1xG+F
n35qu8zffmlQVBgDw9dM62BjXr+m19nvc1Kc+6Hw+iX+XCoafGglklujKK6H5TqRj2KO/fBbotXn
q7LyKk5D8HObNIw1KGzLpuvEImYXUSayIvX/206cK05L9cxfErU9XqfV7dav07q4v/+VFO8jFjO5
SIaEOhHA8317EOJTI/p2r6D8ow2A3+UwpDOLKSzDodbdiElC5HPCFtcAyvcprkZppO9et6lVXOuv
0+36od4Gmmjyqd02xkRFEjoS/u1Zvn7kP43jT+cGuYQVSz5fb94sfs6VXJ7WxfviQR4Co92I40Jd
sr2OoYU0Kvb/Wax9WB5EYoEhbmQ7iLu2wgRVcW1n4tzYi4exzfwi+6lMFU+R6DWxOGujSN6JMVuI
pE149FHH+nWQJv3bTGD74onVFipCEnC/ddSL5oHTv4wRrKpxa39Yg17vXrzHdlCkP0vNTCxAr+9U
LEBF8tqZtzfdIssrBb15FJ0Gsr7Ml5Zihjz0/YmIf3x9laLwQ/79NRLPpzXLdNo607WPva95xeXF
z269VaREmaj9W1aU/e1Smdrq0Kb4+rq3FzcnmnZp+U9INCx7htq/TrdazQ4PYgGHKF62cOkwu9Cn
/NuvqzsxE4kUqhEfs2WU5zszV36Hmlqf0x4rJJF59TmAUfMYxFga7obahn0nwgejSAucCUN9/PBJ
Y1XM1237SopP41Qm6eKNZQnIFT+CS/TBz+3BiJQ4tAbR/1rR7Vv1oU9A72/faIlA5j2RiveioTQZ
io9uL/sg4NRcev0qZ0QVHlugTjByEWuMUEIcm0916wAln+qDmHOWJmMpU4Ig3w08MtF7xch2jJ6P
0WKa7PP78KsEax0SnFXu9m1r+KKJ0sLtDw0iH+DrQW/4/W5SfPEkxYG1ENwZ1kncpXgz16lqRiAX
1jz7WZTVSey4mFgupjH/ikDVnDjv04vJRinHJ/5LDPGsjHZKMnTciOPJk3oWw6Rx+mPaYyJalumG
hVKOVU5FfbP8wRcj3WFuhE1+fd3b/UnEPe8gufiOHtIrwR3SrkUyYvE6ZChOiYy5Dk2wzIXK9uvk
ONrOaOf6zEJP39EB/hE3/2FXd11Yfyi9DjWx3N7699ja9RoqgWXhfc22PUXFSvGMdN1RDK/rI1v3
lqJvi4t8moOu41sUfjqlknDbRhX0iOzFZ8SekLwRC9Og2Jc67NCoY+E7RFyKSR70l5uPdr+fp+pR
H3TsQESJAts/GmP+iOPMVeCyycPg1kxSL1+6RzO/lLFj7cSvplB6rh5HF7r0fVix76YH0VnWwQWt
lGsYFcJ96lEqW7YnmX7So0a7blKvu9jrykIMRDHOt8XBpzJN7BZEm2vyU73I/t8LjOs5ohvgvt3L
aRkc2njcgyKzrtul/3P1YWoNvNtFe7hOtBqPMfun6SLjsPXVwtQ9YobGoyjCo873RMwp16QoFXmR
EgczlGgUomDB+nHc6+oC+QZ6Pnpr7LaJ47oMFr33fcmtlmZzSpupRJ8W68e7HUJ0kykxQ7dH2hvU
TPZhAG6zqBiU1/WMs8jJkTkF86LhOXk0HUWPJABmBmqgehBNBAdFyfZi+Ik3jqfNVYfYPoqu1y3D
tYH47Qyjm1+UzXJdKoo7+/S7fyuLemd1zca33cCX2asmU94TxfVwnc6acdjDXXkRty2uZrZheci7
P+YUcUVramVMSNE3NSqUZWdJC9787LDAkyzqP3zhxX1fP5TX0SO+atfhJP6hobTxeXk2G93vGqk8
bpaPfNBUv1+Uwv2wIJZVFDArXS+u3fpDF/yQFDevp0Xph53Wm24LC9yxzC0+EsQc7LOEXii+8WL/
26rY1CS82WEV78FddqdkeK6X2Dxkrb7XCou1qehNVptFAG86qNO7H0GzapDUtQrb/LqzFiNC/DAy
lQuOH4Lxtu4nOtbnLtqO/VNeBj7ytMeliVbk3X+sVh+e4PWJrh9/kRJPUSbQ222nDv3c92lL78vZ
L+uYae99pUA00nnQ8zdmemxBMKytSyKjMOPjREAB+pHMwmIPek2Khd6kRybuhvUaH5JLUGEkqIMY
Ib/4qMNo6YvWogdHYc2jFfkOEvkV9XZd4ojf+zDpbKO+Ybnn51OoXh+SeDRtFHd+VajQW4tdvYEh
Ya7T0wBabvH0RJ32Kg5sMVy1vHs29IRAmOu3f8SEgDbFtw9LrpnwtV3aw/6FzXk2PQdHMKZeteVh
mCiCrf/wz6Pqv3dLA0OuWIOKbikeM3d1juDeXxUFnP6wPX9HwZGUrN+7rey6lu3W/wU5onq1gRRK
/cuAz3uXYWc7FfmD6BKiN0jOvDCsR29cAAkd0W8hGogZSfyyOVnxLrJgevwwakTyeigNN1Nr65iv
PQaLnLOrUb85VdAXrwtYqZEPmgIYaJoxuyM7r1/3/oaVg6aMZFZl6yQnXodIqQ2sjBDWv8+k15sS
dddOo6TyshNJUSgO4q2JlIYv2wv+tbvceqz60scD/hWVJPW6qbNjvSBcTapGgkL1APWt8T82O6vv
pENrVb3qjVBRiidzXdmJ+UivCVw/iuTVUCle/jU52W14NvQfXZCNp22vh+IBCzHdrN1Pm8C5CyBl
XTJYNJXlGfxnvguz2c3MnLA7TEqR/FuPXiYcnsf5YKzvEWofgghEPxHT1vUVW8ThuulNr6/mB7EG
XO2o2Xoo1sMCCd4uDrMvokgc9PpmQA3gJJoX0cVxuOVsXQVP64g0uwaxifxVXr4P0e3UPKhAQP2k
2A+V/jB0GpEtEm5VyyI2olUmTzGBubBYCLP6qBMPDu1m5OoNncfE0bdjs9W7UqOgnUk04YNmm+lD
v2jaCZ7VS7gqccVJsRwCKf5FMJvpF9Ig+U4NG3BIYBLGfKvF1R6WL3CnGl6nN3+yVYUzCy4izYtD
wweXn52T3o6OmqZJBzOIc+C1OCrKxdYe+6qp+F7GOFDXLEo7b7FqNHt1iV1EQoPLMr8sGlp5BXF/
lzwj3El2cgs1HtxvgzRzQQLznH0MZPE5nX+3xE1fqqEyL0ZHX5Gypge6HcPUbMfOlxYIq0/UrcwM
J7lXPdA6DOhSMzhUKQSK2c236FTfFGweWhlyFRUWgFiSdeIUjHs7WRxu1I+dKdotvXaUwib5Vulv
ixbJB2R/TT8dpSclDeGIk8DNaK1fFJX2ZkZfB5BD7boeRkEJqYDVqYmsLY7/3+2YH6C/BOs9NL81
ZOUkL1FY2hJp6RPwufhQmoVenSW1v8x7JVWXs2wnX+J+AtSUI4kEn7vsNkk57k1dT24HBeXqVdOn
kEzGamneF2HoVjOTY2/akPkbSXdQkEb0s6TSEC4Oi1OxKC/cj3aeCCs4OwGuR8ZfGQwgMHNxJBRO
AhdkOAisNfyeACOKw5gRmFwv6uCZ6xXEZSzR2u5+LQVIBSTbs1en/D5VAHNmZ7Re47b+Yqgd+NEu
yR+6cSJCMlrse3OcC0+PjXa3feCv2yhI8FN/Af3g9ZCrWn1V3MPl5o0hDwHl3xt1faXaSlgRWlHm
i+92rweOl5va7Jm9M91nkRJ4AXSRvr1mZU2+gE6oCPFRT1KOFjyqh7i7YnXeIfKjem0KLAvoQk80
caXs1QIOyQXZhvpQOJmb2b2CXmbaH/NqgII+nlI/7FPTt5YGmKkcuyj4hvfboQd7dXaKnCA13m6t
4zNjf7pizu7mwFCQ4YHLbZCaR4QgwPE1k4ZMmQd7d+ypjhG5nW0+On2R3OBdCVzCcomklgbwCFab
Ytt+DDolAd0xJdAh3ncj0bbXw6ybqMWWlyRTDZS24i/dkCGc3VWGW9v5KbVSRABCC11UFEoIq5ei
e7sKu8dFb7rHNml2wwApnchpxaTc5qN2yqsmvU3XQ2ZBi9/Ml6UEzqM7E7G44b/EhhSPy5Iem9Ka
zlOq7P414BQloMw+Jeqg3UCIXx8h23enqS49IMERAswG3yA8N/vZpkPZkGP4elBNrlQvxr3RDAfT
yttTM5YElfHhuxGp7VAFMUghLd2ZPdqp4zS5NmSVl4BcF8i631hGCR+v/VIiFkQkQ3bvGGXjNTbs
usaSOkelllsfCkKgjUYeniNt8MLKln6mpXO2UR6doezo5C74CcF9SghCA2amnDv9kCTJQStLULpG
b/+TpPGzUqKhKS3hgGpdi1PPgmtgRMICguVKdrs6gkp8JcGXiso4osGHqwomP68rixBn3QwBYVyh
VmlK4TnrQ68olm9NpwRulgEuiEaoS2v9WTea6gU8LKB0BxBqxWvMezPcWUGguVXffxuCEjWjLP0m
NclONqcaCo4Ys0Dax/xt57ZK+u96XMYwZgQoywT0JdPE5x4X5mmqIRami5anNFdbZIqcpyjvHuZ+
7o49ID9vROLgFpTbUz3ghJYkx03w89+biiy5eU9ULKjelRaAeRqriewZCMF2qWR5qUlxrOH4bEDk
dv92Su4pbPhApxEulgT2oVvXAS1UwrgWVogEQRBHuwYC5xDvAiseYp56hyRkKmt+FUauk0D5qfQW
oKG1MxIH2rsqpL0eofeOu9ThU63288HJu8Y1S2JZVLRw08IycIrz+JQifyWmPodaHuU7w+/ytEMV
anrE1DrplnnX6gFMhS2AHji1Y1dVjckzdILP2vzO0pLqSyR1PxXgbDcBef2V5S/3igZfzd+tAyaz
ppPgnm2lkShxsFKhGga7tHBxC7iFpBs7oQW9aP/RiB5AKvbqBINC03pDqrMLTCu/HwcMpnnJlJ2W
ltdLwL4lAAFDVquuLivGRQnNN8fRjbPU1sYFtfHfg5y0e8vU0TVMPa2O9WOTY01I4l8jjMzIY+Rv
Zj02R2O+5Lqt7HUUSDzcXwxTIp5dEEfauVIX1evkS1ZVncd0aN9mvfIjHmbYIPqE4LWgzXZlUyav
5hKw38D9jx1DwSGmaNWtYqJfnSn2iTBWbBbaHJ4t0Fi3siLVSMjDdKwMwJUWYC05ZiFVeZpXOpu+
b+6nslaeiilszoTm/k4hiCgNbwJ+dehN6V7Jv9eNKb9CrDuforysfVORxkOqYHw0usG8s9ZDofeP
TV/flEGkntomAtWRqjMxffKPqgotYDyKtusLnO2Qdrpyk+IoJ0juxmihgTCkhNDNJvZqNO+9TIOo
VSsLx2Msg8g1zO+RYf4ogzDbp06h7BzFHvda0h0Xsyo9Y9AjsHjjRLBHV/t2PjmnvKkObcOqrAHE
x07sKEHrfstiNfASdb5k5tShiJ326IUrzk5OYEgBZt3dWozEYy2Zr91Q149mJGEWmlQ/A2azk0bU
vZZOfUsRb+XLNhM7qRPppjVpu6MfNOexM9NjWGg7FcuoFBrqzsnU53IalhsVUSg3Myb5MQvxswal
els0CDwYizTSwxC9y6oxOlvqL+iIpfvOyAL2jTLcG6k88RUY3oDNgumN7TOh5WggvB8Su1oalp4U
zg6cSVwHUPnyUsRfgnEeXK1N5H0ehNqtMaPK2s5j7tnpnRy1zmUZHiudmNwWmAPBtVhtEJ3wh5o3
tExav2dJkRVzB6G9hkYa2sJ7oFf47AxUp4bIfrZZu5YSBtG4hV5G1V6zAcH2fhjt0yp76RNPINGJ
s1OpyfdSYzV+VkuVa6CUw9sJj7HsTQ3DbkEAzVcq7caQI2NHWI8Hvh/Zz8aKDyVer74tJ6AJyu/R
GfV91vfSGXGo2VdiGyrRdp1mEzV3c+cbARJeqxd4StC79/MB/WC5ZkacyuaEVgjoJjS6WB0dU5TE
vMwon5U2mf0cy6zl1D8SRYdGCJCK61TDnYReWKMFYIXN+i3TZZzQRXbbVK19h+SdjbJV2u2jFm4c
dLsIp5THirinXR0S5jaH+Z09NQCsG32szvOovRpNNHAn+gTU36zuF2KMT9FsEUJv5O2zopjNc8q6
V87V5EEUDazXoOdG/lhUDlU6PgUGJD/RAFODk0he2NoTJirONPJ5uZOU5kmf+uaZ2Cdt58whKyoH
kEaoFOm+rCQ0TZChqKc+ODGj8cNEyq/x+NJNP07yfZsEBPXbNfRUvD5fNBZlmuKb0/8wdl5Lrmpr
ln6VHeu6OQUT31GnIhqBXCqNpPQ3RFq89zx9fyJ39Tan4kTfsBYIKWUwc/7/GN9QbcSguNAAJR/V
Vqp3ll7S9W1TvnK9aQFwVHHotkH9Pho5fO3Rzm6MqjdlZ5QDojCK+PSnbct/zTSd92pY7Je15Wmc
5GQ0GdOBWC1aF/3QbzA6yCdDbseT6S7/XxZ60MDRHSjd/bGtUoznLvDjg42G61RF8gh+dHj4Y4eh
bwM3rQFw/bHN6NafRKUjHu/RwFuy7O+FnXwBYghOCKGCU0cq9jrBj+3+sU2tK8xrDcK9XKQRSrDa
2gy+1dwsz5gLdb5hrLVZ1pZF2wxUlSehcbxawcmwLFeYeXTX1+A4hKEmO4HH5VT4qXrdGdPtsrYs
Gh22bYXrYLusynk83Ywzb/KyvxBVcG47TAskMJubZRtugu4WC8OGUfxlD3abKpKU8OAWP3tUSlbf
NRoJZj+vwR4IsDtXG8j6XraluVS5eSb5XtV9l1JnnjCEmie760fPyqKGsHfyZlDkj+TrSOFx2SXK
IPPm3LBXcivQmKO/PTQ5w1wDpdtJNAPNHPLPnGXnn8UwXCDiub8tAzzXRaeeB0HeMoOAfmVeVkcz
i85lvJEHQz0njGfO8lwHK6Iwut2yw8AkahfPEuHdl/2XXaCnJL7NhDcYtV1miOgklXa+VybwB2lS
R6f4sigv0tJaywoqVawuCytkhlohq9xTESsTYmVAaWC472WtWCEo1O5LwltWmSoYMda5es9gbvB0
hQTQ5VG+IHt7sdavCntW74PEKK6LsfxY9iXiaDz5VfjzWDJ8ynwt0xxWRHobySFv4+8EYgMG6Trc
177Z3NLiEucxDjMvxMiaEnyyiqeyOzf6kNxKJhP+y9qysItLaqZfDj/b/EBTMbAy9/AFeWTWZdGK
Yo33O777eRbhSB4X6MlbHpSJ5b2ryHn/4yU7Ozcc9KTKbtlGqte0Dy90/+UJyza/x+Af4uD62cOi
PZATU+ktq6MWlcfRx+12eZc50Zm3mRRtRWfHKwN83q5TNPlctkjiZZWJWW0lypmSl3IebY6tXm2P
yyYjMghan41sszzBH43+0KvjO4Mi5bxsSmP7Wis5MZY1S5gGAiap95bVyODLkqveq4p4W4lauba1
ZjhpwwjpoxQv3ByH07KYrZhkGL1VLjfM37eVtrWaCyW6+9ljKiz6CujsVXoBm9gEQBd2RFQrih9+
qf31QkwpJvkdY7b6yBdguZKWJzdapYP4CxVlgw27PUotKXNFK+zXqQp32jyX3yRX78dciq4HO/7w
Lyxmm2H2wbwsjMr0nQpX8a2q0jepqqI5d2X8MpUSX1ugzhzlOSiOynAlOwrdHGvyTeIsJYKwhuIx
Klm1liWtdjQ9k7ZWvcpHcVP1CjC5OrK35rnrMs+WXtEparfELdY0aDGaj4ZSPDaavePcDNamL1WO
Cdihz5WTaQGoaD+alEinAUoXcGiT8kdoHfMe+ItmqyVo6MDeyk95g3A4kN2J0OQzH31dK0Z0V3B9
nBNxQuA5uZhvbaaO9nitz5XiJZMOKWSOV1aoJq99MhjroY4pNxQ57Vfd9EhVVghxpObajqF2peIV
Vevoa+iEvA9K88Nqkqu5sCNPzDMOGlGlT4GxkS3B2I6wrIIq8MqOK/lRTk1pHcaRSc83S27bSPrE
8QhNpoog/ZloLMMPzg3xWPjjndZVD5qSTfdFk0pkKVbv5ZjJu+QSAsF8kpRNUiR3itmCLAONxmC0
E06cJPFdjmUMzbbsv9nD3jcMUA99mv0sFIKDK2mEKxaVs7MMp1O1zonHoF0YjfP9oME1NAl/TcY8
viFzJ2aEaOSe0irNegtkNPo0gXus5DIybnMgGZcGsMGwrfxUp3B8bCbzlOh68Klk8WOuW8RLZfC/
sJbQedCq8EqpRn9v9nW6rbWxvAHVXtBBAcPJODQ4K5meryIEwC+2KT2YfTl/K4BnzEvyUe6ntJ1h
E5DuPjlDXKYPVjVp7hyFzRaSgOLoTA0IZK2aeg96kKFZIBNKkpRkCoZ+f9f1XXvf+kZ7P10sYkbW
n5a1VORMSUN5vlpWR6GUXinKbr2sDoSH7VIcAk7X5t19YlxuaPhH/3i1KpfWiTD1u2V/JTINImr1
ElYff0rXkmwdDvHoLas2/tEr8jWYO14eDWtu/bo+wS5ibVmQM3ZjaQMltMsm9m/xCACoX1aNdsCS
h6bdXVaJwpkPARX831/NzLTLHWx5bHl/emk+zUYurpf37g9G7PY033/2mLKaWbg9UaW4/KmC+8VN
qucPy1rbT4EbaknqBJMf3vYkq90iWkicLG5zqg5sWxZx7yuuMgVIPmpDcifc9OQaysEt4cAw9yGo
3kqylO/NSrv72/ZlNcSJqvfzdOhbigTOsi3oW0YqCNvXy/MHej9o7O3Y6/rKvpnGSt7UI3XHRjU5
oJeNy4JsOaeXObH/2ESB0L4pENSv2jE2f15geXR5QMUYv0vT/plU+hu5LnsmVqJQ6aCHxk0bTveT
Jc+7P22b8CitmdECHLjskovauFGakKeYiBtMxt2Hn1VmJyQVZUO4vdx+aAI1+gpZR8Xs6/IctSn6
G+r5y8qyAP7DgyBJCJibWhouy/rykJim7CrCkSQyYdxol8XPSyEuzpxBKOZm2djB58Of3vTruErn
G0i3Yo9bjYhT1pZNohbboNfnuzGcdlgsKzg7g/aAZZ9xUCf/rBHnt2HU5x/b0NYeEj1eV7NRnJY9
ayXz5nScf9aiqXKbaLZ/1kqUuKRVFedlT5LAnXqup3Pkl/pDJ5g4ap3981hafwqfyels69YVOKDy
ocyUtRmOyjEdrOJBwovdJXFzuzwGghRGGdnZ13VaZmstod2gWfWpIOu3151IoFNUDQttp5Q0tAFo
UKeB6UZ9eY5nUu2acFZPaNqZMcTypfQ51VtQFfkK3j/HP4deyuRuK3rqKlOvBI5qEXSklkW1s7uJ
W6AqG3c4kJSDPjbX6sU/nUxWsB9G2J3LqlIUAqyMwWBNR+YREy44AqpZQVa03BDp6CYBY7aRptc6
rqOPgPHfCk5Zc2dDFnTw8ydACM1ywwn0aDUwBQspzr1SmbtVnl3MLXl+VeIXh7YEGyQ+V0qnf3B8
7JhU6Q+9Rk0hwB8bpon0hMAfnx9ZpfPY5RE15cmJbyxhaYHTkxBZW0L+SiTp2vbV+iOz4+dqwZBN
5GY1GXF9FFbVLcFYH4SXnPRARFCHqwSNgJLcBqqvXtslB/ZlU3xZLP+z5FjdYASJHR+nF1Ql/4yD
y5HGxt6QZj3fj0V719tV8RbTS8QRkymOClxpZaZSC01PaQ9C1KY7qybQYrOaUA1KEdX5+sk07NvM
3xhZUqOIYRERKoU3yS1ySSJ0S81XYZ+d0wmzS1ESP55q3bpTrNLLuPatgn4YtnIemKvSiAXgkKJe
1yOhtUPuhw95nyhbQ2DfN6Y+ISyj2qRZF3mGuivLob4HLMU9pgNaCWL1uKy1tv/YSWN7Y5hG+jBF
YKFwI2HYvqwmUtitNGWcduNEBbINuHoOqfzkJ726yeesexDAPLxGNXS0kYNxTkDqUuy4zJhrNOr9
MYtEei/GINoEZp96Rtqsf/32H//1nx/j/w6+CtisU1Dkv+XdRRuUt80/f6nar9/Kn827z3/+0hnF
azhRTZVwSVORTXF5/OPtFOUBeyv/iz4zXos4jLadOT2lsrFfUKbVLFt8g2L0HW4uBaG5l/UxCPPD
ZR8RFS+BPnNfKyvlGHDhd4tsln/+t2wrtMxHRsGjIXl7/JKkji77ASuECYzX+Ye2M10YOyX8W6Zm
erZd+DrLgsEDg46sOS17NJbhLB/8P/7yyZvlm/goyol7Hg7av67+1+aruHnLvpr/vDzr/+31t53c
8/+5/+27qH+7Pq/v/77nX57Iy//+59239u0vK/CponY6dl/1dPriBG//+ye67Pn/++BvX8ur3E/l
1z9/fVBbby+vFkRF/uv3hy4/qSIbfzoELq//+4OXj/rPX9si/+zqt+ZfnvL11rT//CVZ6j8UApuZ
9MgmBiPL1H/9Nnz9PGT/Q9Vl09JUWTF1YNHqr99QFbUhf9T8h6aYVP4Vw9J0U1aVX781GGIvD4l/
2BYB6rYhG7aq6rb2678//O/H58/P8j8fr5r9t+NV5/ZlGoYtdEvVDF2W/3q8apbapWFiAFJN803X
Jp5WRa7QnRDQGjrabc6wH4aQF2fmuofNSRbsFQ6OrZZdUQO+beUYWQJdcCW6jaLpMcya1WQzecqP
dmV5kOt1uVgJK77LkskL5uiJmvwLbZiTyjTHTztqEP4rl+IXGmEeF6D3wuo2QJRpFucIR/E35o+R
3m2SMvToP6zJzTqCjPQyVVm34Vc9Xv/p1/sfTmDrX74QTl/NNBFBaoZhqrb51y8kgpQrWgqHmwil
NdUgMz3MPbcdubyJAll8BogiHH3QTlMrB9fL2S3r+DmSrgEdopiuAnnsrCeUBMe+AAZRP47UZl5i
WX9JZ8rxvKKymmDRHKMOStOk46CUaVpDplRuTUAp21oP0EFoVU1fHLBWSg8E372qfKvZ1O8sRblL
4264EhFiPaXR9uNkwyPR/H2dTCPBx5E4wfcGyhqW0o50LqYrDUE+tc47z/tc94pkUF2AWhLF38or
YzKLbJ1Uv0nztVXSgvQKerqmct1FTtsZyikzImYQMSm/S4yvClNRh+R0w3s5NGnSYWho7T1X6hkd
RR25dVXictXqG5MZ/s6PaTlNZl/BaZAuzpcgu52V+S1EAH4QxlRS24wSmHc90ar9/KmP1DcNHx7p
1D4HzwtET6oOEtbQ3b//tTXOo79crgElGYZgBsuhz6Xb4uz88+W6QcaZhXAr10bUlHRKXosQw2kH
id4p5WxeM9t2p6IaV40oXgAm104SZ682YMMWKNzJLjR5lxcMi/DwXtm5BCnDfGjSrrkLGy3mYo+i
parnr/7ynyKyWrJ80WmIxj5bAwRiBeO+YwYCI2RgnCI/kDbdZDPsEy0O5RDSzQzMDo02xXDGZUVW
JxsNfz/B3Mj3DJi3P9fxv1zG/3wDE9a/fiOmrihcfpZ/LleeP38joVUJxvhRuJFiis7WQDkcUUaw
kQALSRYGOvLf7U3PIPoQNeRGCFv7UFE93lTOsI5jM90UneI0Ug5mpyQEsx310Ot10TxpYascOk25
8bP6oZYUqEBZZu8G6wMWqr/Xa45kA5fkv/+JlX85oTWV4pNlA8XRbSHLf/uJDej2KS1+nXYVsKdk
vJJEDaVhwKWXqJqb2ZNKQDUCOUEi86ob5c0Am3JE6YFsMLE8EY/FerKn50axlIPSEj8oA8NWqNys
/v1bFfrl3vLX4xGqlS00WbV5v6Zq/e1ynDeFrcGYgcgQJG6pJuc2CTOU79Utw7h5M5uiB2Nd0HpZ
/osisuTMGkdvvJDos9hK9yGVQu4y7V7CYe4xvS7xn0uNFzP3XAtl2hm14JBrb+V26Jl9qgjEZdOL
CvuoSaLYpoG87UIcxHp+a4rgPBiAuEMQVhvV7E+x/x1ADHPAaJAgimFcQdVZR7GHhMnJKe+3kD4L
8SDUaZ1X6Mji9MGnMkbdiqCLeZT3ZRl1G7yzFnaGdHaov1crislbOxbPwWy9y4Z5pqOHtmKk8pHG
4zmMh4c6qgzij/373vgsM92hXvLs55obdjQYIp9LWnofm+Z1N8SR58fjQ/OFvKWh8iLcCJo1eHEc
8hnD4zgb8m00vKtatUry4MC3FzvhrKHY7cP3AJEBnXQpcOEI3oxy/x42xdrKwCpCyT+CUU8OftDe
daF/jfpO2VptdBEf1A44xTcZovXYR8NOUdOXGVHGqjLARrYXvE6clTFQcGeKx2fYDeLdjwkHkRL1
HTvgd1+Yb4ZP7ozs0zydb8s2m5GoMOM31f42AXSsVfKbL/sIkynOUaKKnEuR37FI3aDtbQFIKdRr
3P+w3dSREFyC/8K0eS1pBTkjwX+WZBtriVASV2vfda3Ndxe4MvnJzK4bR8QmmdjARjyqiGctK92e
q9HVMONO6QSBK3KJFCumOkdkbmAdUH74aytMI7CZZLPOdAtT7i9XiaivtFl+a5vwnPtzvU9yRb2j
0E/+yihfh/F0lAOF7rUh0EsNbi/CY+WjcRwFJLteOfWiaJ2CE7Nt9I2mSdlpMkpmPlScw6M8Ns3a
bnOAPeNdm1UBWHw54XNW4CU79dpKdkOuA0xtScKdxjFyMn3QmaV5BS4qrqPtZxtVycaSK2+MIc10
OhWs0pDMK92ws3UH7ptpNfynqW2p5RjRsTJN06EyM63jKL60zj9z1WjojunKzm+rbz8L1hOsr1W5
K2r/WZdB6+fjc1mW/So3o70hhk0DxMNrfFV2mzwiPTh972vdckG0BYh/2gknA7Q21aqgC9i+4YYG
iS2NjtTHhF022ZvOTt6nXlrTw2zcubXfIFMdkTjBlMmjdWa+KElK3kmLDKtAEuLnBe0sExZ1WHAv
hsQ/h/IxicToKvnaTJvC6c3QvtYv13Q9/cgjErybOo3ZEq+tZinI1pMXKUMFdMlG2AlgemPZ5YrK
ykFK56PWaaVHlgBAz/JOkVLmeLp27s2i2RANk+7IkEBmNXX7oQwdDqAAeF7NzLqxr6ZS8fqq3hPO
miltdDWJzHDwJmkOd+rPaJT5c53y3OeJ4Ul5tqLPDrCyvlNoKMGKRmZKOLHp1mF9ZwwPsi+sVTsx
9/enIyoPah3hrWX2N+E8tCuzLl90P30bacmnFcYp25TNdXxpcs4pkpUp8Ope6baRLfm0STMQr7p0
LZEy3iUoD8hHiajKQxRn0LiGALsu0H5w1IhqbVpwBdQxeNH8+Jyo0WtANC1gi2RXqW25LWb5oRWx
dJO06h0oYsPJOtnTsmmF1AAJTRwcTbWpgLyBfogm2eZXC7o7zSb5JlV9AlZx5tm+n61lVCRrwaDQ
6XMrdXHzyFs7oXBi+cQ2mcE10bU0CjpsK1KqvU7pxtDaJ6g7kVPF3Sfs+pMuSL0a5OBVGcZzpsrD
ptNH2Jm0rAnOyhzmKS3XBppEDEQZbpbCnZjBe6NsXglN7MU0R24RlAjE8haWMvx8GzKTS+JRDnLc
m7XoKIXmZwupyamy1rNdO2golPTDygek5cQyzrWm4YeeR8QpakyOkJRRpW3laz8ydmre125fl7nb
0TuzrXqT6MVHWpGy1HUto+FZPidjeyd11rypZ0Ticl+ALCvgtsYQxelhbjRhK6s8RpvAW3+UB/05
VC2Ntlc1QEfEIppTByns93nUgMZKSu/Qo7NQdlDeV9PmPh05CcFVvw6IHpnhfzaluEpk/xDb/SnI
BbHxhsK5emkY13501LXh4vuPd6U+r/1UUa+l5DUvWqhrDLW90ZUidxj5TgU60opqpB9cSxn6ZF3W
vqVu3Nty6vawO/2Zy+0s228W9QE/a6+pCbwnQy8cxk27PmIPWtNOoJfaqh4Sfc242dW7/qWOvD4I
xB7A/TEo2q1hEueu54OTdOoDoT6DyslXaBCtg77u122pvmtqet+rUF1wxKtmcx8bxaHXpY5zYbhN
jZ4bgjY6vklzhgbMXS8+IUVIKw0YmCG6tzqYvKEJvuuIrDC6BEQcc1qudAOd9EgZ2FHbjh86arfV
VO6Yvo2T/FCZGOTGXjqnbc9F0eg/46yIj32cOxoq+nmgstUr8oOdoeibOxFiLvweUzEgQYbKE9PX
jyM4OGpqO5pBpIpS5uXK8JGEGsmnnkOQj7NzM21Vs3o3K5BUWbTPBfnVnQooWU62kmk8+d/2PBFo
1FqZO1uITW05/5ZRPyDzpSzDrh5qXMCtCMXTUgJMpvt0omOvV5A41ReKlQqRXVKzAdg0AdHGxZEY
rhrywzAekb4gcY9rat1FhHZtBx+qnb6Mrci8zM6yVS1rJBmMlVuJeNj4Q/lt5PEbFYNVyIlM3gP3
4DJZo3zUyHiSZQcw7onUYNcyeQvm9FFM61KyvZZmitSP1EGN4cUCetwk/TkB4OjAQLpGk/pU1TlD
vicbWMyKG2HhYOG4S4qJEUSLpLwY8OJS2J3BBTkChaduJsBkZDt2A6N7ipTp0awo0wbRFKzsdq9o
JAq0mdzfKV0EedS3XWhCA7IVzGLAF1/BXg70eEGty9F8L0+lKwImLfJMFpvUggfQ7KtWTKFXY+iT
6QPUNiPFYm3mXC+7uFJXg5QwvSTCqYj7Hbehk2HMX6hCIyrt3RaQ3EWEf4WzJlxZbRqv6k4YHvPw
NymK05UplPsqqSU3aIJdo/srBYaOU9bygzxIE7fc7olcIi5fiuKWkilup/QJsRzvsuo2vhqczIFu
6jSNHOrFyYL6r+TdtZH46cqwGdy0djEhait2fplvk2h6t+lF2dVcbLoUkbEuzGvRzOfJptgsIIxd
CEE20ijdpbHWuzUqixViqe3lByPN/BZB5Xdj0Fy0mAAOWa0QVPdBUdxCAz1w/I0jIK/4lPvD1dgh
SYpmoDBDNBCz027CZjcrtUkZdFLXVmIj4wQ65+l5cE0P8H7OiBqcxamJ9buibehra6o7lF3l1rhI
8RgwgTXEdYWbkhGd+WgEs8dJl/S+JyUQNrlZXKZsuRdIypWah8w7Kp+hWPtqBc16buJ81Zchp3mk
vmeConed+jTQkvy1NL3Zt1ZxNPdrvS9j+F7Gmy7nlmeZBNNdaJyUW/kZpHt/kA6Z1D/JA6e6NSLO
8M3xnLT+Few8lK7g3pVqD7rxAb/lJ9OlB2LHLmbuyMtDGtMgt7OnJAwZf05c31DCE/eIyrQSd2Uj
rodCK7nzNPZKUZMcOyrW/46SMkLvd1HywTOifRzQJV9oenvNmSPzNRKMD5S1VVZffaNv89jgfjhk
4SJXJ1eyvkPe+J0ayuscxnslrFfBkD93M7I8QSwMmbmQ5KvnBNWlNVElQEl4aBk3RQ03P+wxX4hY
Huly0mgjuIkonU9oGUzgS09SO+6/qXUdm1srD5/zuNlrcajxnWRrdJUfCRgoU8puoDByzaohVQOy
qZDTzpsk3pYdmsHWxhal99abamLGyKPbPGuPlOPORfyKnjBeZd2EtkTZa/1NpkWvZqe+zviuDLv7
NELltWn9Z3o0dA6kdWZJiKZjZ2y0N5IOv0Y+YlbVtxPFIS+DQrklZ2ifVyh6kyladX0Agk1q4k3j
0zKsUv1olZq8mswZBpjAgKC32kqF0k9Ph1581pMMGBrpKsn2yKfExjfDa9msU0et6rsMubrCWMUp
LeU9JVlok1qPjNboNBC8QccTxPbAk2l6vI8JkTHJtPHHkIOSu/JKYm4+Rdwf4P5De+B6gqY9WFmM
gecCex2C3hCBDzHa2SHCGg9xiJ+/z0lwidsQKBW1lZgZlTJDJFNLzRlLs3GlNvpm+veWt1nDdSs5
VMowrOCI3ZiXmB9VC1fZlNwl0hC6aRMzuIzXrcmkasjKBzKhdqpglIkW6x69huFWyfBdmONjl4VP
zLvxnlTc2hX5pLbUiwyEPTDPsNUUZ0RGGyvTLwmaSIGK8KJeuURKdaOn6RMg7bqiUBcrmyRlzF9V
47QmqNhpOsAyeAeQqxjvNDxy5MLFczUlRzsgccXtZ3l2CDdwS1p2MQjtXB7eli+9N+tDDKnV7ZPb
UrSdq1stDK3U+Ig047Gb+g6qOh+MmZnLxeIqNrvJCQQXTyTL+8Io12QFPSLQRMAp6TfCgHsbgReo
wuhIZMR9q5CeUKdiZ7XaOQT8CUo/vCpyxg7IFHlShosdGJsaqDdZN1LYEPuJKiKTPIB1KB7ucfTf
2SK59YX0IJucdHk0MR2P1z6KWez0+W2JvQWSwmNRhKdstj+aQlO8KWxhBcY7TtNb6u3viXQxj8wI
X+Bya9kOoSRTPP8qy9phjdHFcoJLVHp13SpYpAp/pfrKexFr2zm28IjLzNiA4aYrXcqP1szgRh9L
b0qSY342odnNCpQ7RZPIERn3l7/XcxjNiX8a8uC9pjdUBgjYAwmVN5M8BPLfPV1Pl+Y3ZdK2e5oE
2YEDzR5wj59NjSNVlCgHE/yhNpPpzEqYy30Gg8R92c92fZn3e660hyye3/sUURu3JdD9irGKjeyI
2f2xq6rYUUTlqopxFiZh9lrjRvNHMpO0QJ4leaFT9C3NltfNHarmsfiIk/BFDPN9PIzFNtO5XWBp
7TKT4E2fSD6ESHl2oyvWwzCpN2n21qojIjsr/K6CcGMhiizCZGe2haMHTDCiSXsK5/HZHx9IWBiw
I6bHGRgDrgN5fQndyvT10LSH0TL2CRRo7mp6upK/ClF+h53JTKYbDhTbX7jhx06JnIfzlphaENAM
2VqiXwLOvoLNcd8fhBZ5xcAxEyJOdsLE/yK1znLaoTq38XCMM3FWx2gE0jAKD4tPY2jvRlQEqxA1
N3ok0ifM5oikCWUoUxYL8neUq+8FoMmhkQ+11j8qQnz4Fn7PJE/20dPyp6V03KcTcMaOmD87Hl6S
uqd/ynhgfEdnxYlMtGAc9HcQ53TX76bH1lKpSjHG7RBJEF2HNDrsvblttnEzHVqVYLYinLYjIZqA
bC7i8Oww1Eaw6gZtJQfmlyWzS6Ymx9DqGjecSBO1xHNsyi91a72rvYUPH+Yf3nMxDd+U9gnNoVpC
gcTi+wo6d2jVmykrh1WGPpxIDU5DwmSP9stUEHyYCDwheU2FnrACCriq7ky94fo58RiTDlXCLA4B
ff2Z/D814eqspmZKQC9JDnJwLGrlqHmpRc3IpwnXt6RYTjF5tUajQC3ly6sDufH0ILz2VVxqGMoT
vxsccyBFomwAAMzquK6jiOhCi5SWKUf5ra57LUJy61/1BfJEYiJurFa1t7E83fmj03dt7ZWB8oQB
7WD445tWtrZLfx7gUnaoErFpcjxiA/K9upPJJrBvcwZGTTKR8TC8yrJqbDVZPOYkETsKgjK7kORt
ZWQr5hlkq8Z2gtyX5hjpGY8RcQgUFoPM61J8M+A2y3WLlWCVk9jF/E3dz3WOrgH9sDxa2rGj3e5a
s3llm3iIap1svSFVmGrMJrrOSF3jDe3uZ1+5S5TpzSLI+BAFXXvKLIVa0HcJpvicZRg84+Eu1VJ+
FT/hPgB+Z9vbCPt7YgSfCk0DLJbbsdN1SnzAxThh4cthynOR3aqdnW5xAVzmWBFzz7STcBxeagFF
SDVOpsTvhEvWRbwhezR3GfAzDqnU6r6SK0wZLb5NYOwV8tlcIpS39MyxyFatWkl4bLHOhsQmBNx9
lE7TdmgegyuzYZQ8ltf1RdCdRvaERlMyDr0Vny3XT2mMZbpueyMNUcomun6I0Qs4xNMR6TYOX8nU
b3wRi8BJ0OXFVjtth0CJ91MNbtOwy3ebSToVhlY+UWGw1iPXsqswSu1DP03UM9MhfLDIVABREKkH
lTQfL7ytYhpNg4Jk2yyG+Yh+Eq2y3VVbNYmlY4rFCBosyRY+9xtp+tlTqXHHKfMpCMdsR51KWs++
1D1Glowfs8o+ZEvayiPpVkY9UaIxL7jJqjgloZxeyf7A5bwylJU+5eVBS3R731Arp9SSXiuXxfK/
sIIizBwQTB5VxyEobwYLCbbT+OF8oymdsUYNMSMlOalFl90kJDLfLgtT6zOm5N0VCP5s20uic4xs
UE4l/vurpom/o6AQp0SVXrpAzw/92HNdm2PcgRegcsb18VoJlfOytiwmPUTTGHyrA4XkmW+S8wRX
EJUF+oIy+RxVcFk05bkOrGQrD1Zzn0/JmxjKcq0DE9qRMosPxUz9Y9pN4dZMLoc2n8XXMWtQg6Sz
JoexZ+OSIOqmAKmb2wF2zJx8iHbguiBbxHWlE08hMSQmJrvm7IkTcVsn3eBJE3AQWmr9PkGFL20K
ca7zZLjJkkH2qkStgboySGM0V2ONNEcPI6dLPml2J1nMkGYZjf5MGlyeCXudFkX6bBLzHNXhtNZI
pkLpxGH0f9k7jyXHkcVcv4peABPwyNySAD3L+w2iu6obHgnvnv5+ZI+m54xOSKHtDW0YJEGWIYE0
v23rVgtot0kugcS11lhHrzE/4F7WcBfGmblRvxXA2ZbeLjcDnUsrz8RkLGaMT4tnKSQmnTwR7hAe
DEBuL6vE0YlHuc+kw/IqzrcgUi1zGdrA3ll7tBye5hY9bCXB2VRo+kIBUHNhP2jJhBJLFASg5gkN
FzNDZqd14aFbsAN6Y7vNFWNzXANET4ifODdDusq9wDbi7CDjXtw45CIo/a0S1Ge6Ea633pM6J1Ms
fYv09hPbarFr6nlfA4wekR9ghnSqp2sLCKuOlSPb6cZcyBaNCPVa555J55czH1NllbtxDM1dSqfR
MuiCym253Oi2/bMfSHlopzjZeCqOt8MCjtZH1Mk7Rf0z5htDYeYNW8BTlnhpPW8tidWtypLjlBG0
anVA83V3E2ZRfYOXofDpBbUDkvc3VZ0ZD5Fzd73k6mmifa+ZGUwnEHSSi4sDo9ReS4sySKAxVlaR
P7D8p0rqYtT34rrz0c00nHXxdM5ljb18mXdK2PQdlvSCN6NWbTSzTM8TLOsMgnmMmv4gOjN8B8w6
yIQ9aaWNXjCXnuaHLV4/cJvhRqruRTSx9tSOzQ8+a3VcRvXSua6zp5nFu7OYSfaWYNavplNUhfp3
mffvi9eQyO6FhW+QXLaGUdAObdNCwwkwcEG47wkbWXgys3wmhr8hlQu3nNTQgM8JrWbXm8wpPsmh
9haM+LFlpfey4hKgJXqlKtmc0KcGGCl0rBMu89bkYKfGoDUNa4oB3otx6bYA6OkkTcQI2m3aANOi
tz054Wid2pSu4lCIeJc2sCQDGQPbsa2Mu1hPb4upueGqYFAflTibUu+Q/0mbBShD7gTmslR2vZKJ
1d9xdtDIUNQgeLSCBGW6ZFRnjKdxKEZUC4Z9TMjWP1SNJMBjSDYODj8k+OFBN7RgMO35PpnBc+2b
0Syo9Lx17ZauZpK0A7Zraj050aEOy/Agm8E32H9tXcN4ogikYfZnpRmmoRvUI6EwplkZW/ga9ovh
QvxAZ/zsjfqzAjTa2NY4rNlJu4e0sR9NuUqawnzAeqBhl6z3aMbPEA+3mWpimh6pZUK07RtZvGzU
HgLX3UoFf9y1GNW0qbIO5Lqge4ABtTndNp5ZqBs7MTd1K5MHxWRMUDOXoGWcLOEAf1AzvxrgFNg9
WM0mcyv0L0a7GrW6P1i0Xy1y2nsR8I7XOIxUbbJBuBwdF9e447rDdB315maKrfxctcmHAq/YxkNq
blXa3oUOjQAEopKDMXYPRpjd90t+OHSc/j7dHi8UXZLfQSsi7WOPtDPdNl3NtJ52WO1ZZKex5U9F
XfpEabAzg4Di96f7uj4TLrEeuTbHIgOR6atDofXbFEuI5Y5xYOnQyEMy3y8lOtBKBiSKI3YF228H
/TjqfccKt0UOTY2RtICGa+cH7adPaDyzgxnlJxNhyYmN8our6fmqUQOwG3arU7bkULz2WD1MRfGR
XxIlGhoz2yZ9sslbfJUNbUl9OEF6h9mM53Bqdrjt1uPYUf9iuvFDnQMVp1GXnYqhbPzaTneDPTan
ttL7TWuR0G4b5ooyJhenPOhnHeW+kXfZrtMKc5VfcoDGuNdWrWhrtJvCuU0j/aaoMvvHVM2UNtQ+
YXnhU5lP1jGtJKZ9BWrSLJRp2XaUwwhtCbKaYfNk8rYsuyHyxEqzjeyI3+9nlSKzSCpX9x0Cttp+
qH7w774umWG/jJ39gN0T20G8EPZvh0Cn4EZGJc2tYerhnWfF4IvWOAFFL2dg1pqWacaTKY/WRdja
uyRKhr0cMzCDuhvvae8JOqOGPpvq7Dxq2im8+BHdSxCTmA92U5Ssc12HLemwujjHglZ2Qbd4nq/1
2ugndftgedJc6WLofUgFdK+pR5Q8kCNrWPFZ4MjL8o5VZppHKy7nfWFGznaU0xDMU3icY+a1oWCj
MlBGcSCwfp+zzQBv0+6xFNDPhTKmHsYNg3fo0zVb+2HlAhZY8llM4+0gu23TeP1OTmHo08NA1bOl
b6Nurm9VHKZrjc2F0UzD1krFFOgDXoEis5P9PINVG738RjNAoJsWyylLdOswh4/uc2PlTdaXAaHr
gG7usmrZSq/4dHV6Xqg/1hf1KNz2W6ClKmRLRC2Mhng87Jdp55lsqduKKYgQwBGzgssOu42KzaDR
iZZUVb6pI9SZwyVBP2J9xUWUYAXHfWc3bXrvNYKBd2CBZE/lQzIzMuE/7XZAoVyC9G419C3K8dXs
cHQ3dmJsl9g6h+lFka2r9xFcepcaLLeSimwSz7p3Jys7VVITuP4aFN5LgjgGIKCDDKkNr1jjEGVo
Q+TlUkKKM/PQ0+K8Hvvo3E95uUlFUKGo2ZLdFO/ge4JmwaOIyYiu2wisO6rUvtabn0JS1wOE/WF6
ZnuMdXQL6AdY2Tf1o2sn2YrABGbroEfU95I57d5hPbOKIzD9sWJjHAFHMmFH2E7HZ0SgN4VHS69X
CJ+Q/g0jckVeTK9QREPYibo3Hwp93gy5GW8TxOME+8s3bcjmR4/uVTvOdEpOKHe8rIPHL4pU8a0T
jONQ+FfN5YZP50gvX+g3BVADOeSb3KVpYIrT2xk4blVLWoOtBSF8NnYI/pPQ9+ISEZMo3YNHi1TU
LzU/bVfV5edkA7jq+q0NUCyGig/HLeGvCDFyh7bzZ1f8HOoEviC1DjWZsF4V3UEx2ZB8FyUS47gy
+2GtKzGvhgujq9vkaxTTy88ut6N1ZZsOoaFSAQ9Iuo8rXmZIKGQzYxjCP5S9Kyrh4U161ZGZA0e1
WuYcLGTW4LouXRMqR5jp2Uu/c9gsrpUTF77Ik/tWwXG2VZ+TzTHV66ZzSi5j5yOlOdpJkB8AHYZ0
SpUvmk4dO7zFBbxZqZb9Z6brextqbaMX2iZsl3bVj97Pxkwg4nXnhuiroAcsCEG+u+gH49CwZwWK
F9gLO99L7nQBbD0ARhBO+By1g4XwMWFYJWmiMOonkHWgcrP4alnQpB1ay3Fu76nyvSDQYFedZZIl
k8pdCFBBeCoklDJZHKdu9YBBaUeinwOQA8QhxQXji2AP9FjtBcO/l0ZkOWipG1D7MPiZPcATEwY2
Pc8xV66Qm05pZJ1AW9FkHyFepS8lXw9c0fgMF3bIZufXOV6bPPJrhVgwnT6K7GwlzXtFjSlVygNB
QlYVrVWf3rrWtsnCDzDM10QnbW72sI3LCSmHcyz0ipBJVsWPdU6YR+que4NFgTH1+M2K/mmaaE+T
eLicCS9CGuabkWyflZZa7a5JBoqjejmuL1wSLCshUhLUNWL7lBtV/Bx2HerxSRxH0xw2fVF9CeSf
gHmd2vH5vTWiY0abnuoyJ/2Knm/m4cSXYRKf40TZhwVpBAAyhpmhSA+NnC7yCAqrJ0fbsqhr1pdN
K856TlLHIE/XNUX8uFDt7Ybv9CWOZ9Wt6VNkgBhQZhUGfYo1v1Gv95xgMCPED3nuBYnSmMVU9DWJ
6FFLOvbbNBab2N0pywkRLuTv9gCFZtglbGT8Jcpdl29Ku5tuB/tL6sX92MH0ZJl4rcNXM8cCYpPs
EBhaeD8TpApVCNWWxh7BEvLkQeyv2xlWx9anu2wx7uA206DM0a3qUbUvW+tRDYN9l1y+kLxUpk8l
UMle1XjHZzJzAtvvmYqaYEkhQVgM/tQd/LeR3FuRx+IJo/+66imTQO0brXJpY97JJ991HPeIqizq
EbcxfgoYVMtaxS4fK0t5KI5pWDHsHPAUIQYAk4i16MHSJyQoGT3AZX3sI+uO5Jtk5XoReEl6oe9M
CltBmJjgh2w5coLsU6uf9nE17PVaaFsQxSVp9y25hiun8eqbdTQ3UDbu8CCBM0HaQ38QMfNVzzLQ
YgnjVf33vEVxSg/ztK7Td1gMIrPc7hllMCh/Ue+9pX+rC/vJE2JZadanDgCosb0LoNbO6El/JFbI
midjPwrqB4dlbHJSflYU/t5Y8iGXRc5IpL8pFwVSas0IA7suoMoV+XBDnouhW5sKgRuSHCwh6U2r
tSPrBHvvlqyI48U8lNHw4C72Zqzmt7mNi1Xqvc0q+qwXPh5PGT+BkD7G3jADb87zo7zTEaM5yjXf
JqGl/ujlNcorU18ZmuWdE7094CqL1vzIlqDVHs6yrG6yDD60dbNNFqfgIpZDpE0sT4a9PLejmlhe
6qDdOfxz1n7DFKPf1p7GRSIm0POsY0uyhIg0quJLVLq8v4QyrLgckV4DBiHRDC+1ZJ+9zvLcxfOG
h19HsNca6LIN48sbzYcqd0E1bAWQotR8mlho+WbNZJFe6ki7dBnPcabdDk3o7OekZ3U7FMCcqLIN
w+gCDfENbt6uOUc9kFcs7xn+rV1i63RtycF3ctSxcBP8WTZqukTX+IzaivF2Sm+rpvuhjPo9s4yb
DI/ZWZ/sQK/YVWit/WnMbrPuRMPG+t0y6cyBQSdKo9iKMpEksdWtX+lOuhKtMQUSYpKuDgKJmOKp
5KHtuS/Nt9alntQaatRACSF2i8weGkfVt3ly6CHG1nrhqiAOW3fV6Q4isKr7ruJm2apRvs6ebpxw
li64hOm4kWiRFp3Yo94WRCAQjJh21vckhiOLtMZeeTDOh6FXx6QqtbU1y7eM62eDWvwxMYlPWLxs
2UDljkIcKna8jhjmV9Rc6xgHz1X5+6d9hbn04hv6h13mHw//P3XP2P+te+b0o1Wd+hfvzOUNv7wz
pvwDR4qHaBsltG39ds6Y3h+66RA2Z1iuoQtLomH/0zijmeIPx/W8i9z7YuLgzl/OGc3S/3BdFp3C
dS1p67b1v3HOAJJcxNi/vV7CELbh6gw8DoIt4rMt81+l8knTzbi28PM7CZUrUYFqbqJteOW6rDxY
BjWEdbGWKEKn8t1uuouc9D3tIqqRnRh63ydcSN8stfdtMQi3dosa72scP6JjqFbEz3mMMREzeo+i
sNWpz673wjQVoH9I7HUti9XEkhz2yz6RkJDsBze9RT/ubqwKCcVCvhXNHPs4LpBb6uOrnkHKSbDr
YJ7ds6norjWSRLCO9qhcvzTKzzoGEd2I/GjAwEDHe7NS0kQN1hFSF4vcPpjZsPeGcms2U7QS7yPT
CQw0qSlWKamzarHfGjkplgzoxDs9dnjKd0k5uJuk78x1Vj8bsWD1mqO9Y30SBsQDlQURP+1obEb3
GkO7G+fuAcYYrkXs0W+AoqhOW2XUwKJYYdOA6tuGqx/SzVyAdxb6x1x17l0isNg3GeGdnqWZAHcm
5LxWHMAtB9h+uMnBiw6Z1n1fUJVsZ7ywrSBXgoxEYnkf3JIUC1Lp7LHP7htTex+bDI5OF8Qpmc9O
1xenRmn3ZoGmQ5DN0Ey0nS7xjayNV1iinDbmNfJMAtVag5jTpXodKafGiRnU/JWrGspoFWUxQA7q
ZgSSF9xp36AXB1Qd+M1J86yRWU9InDn6GqHtNrXyO6trYmzOkubSoS82ZvVZtUh1XMpn/c53yW2i
7MnHsIFhUMt2o3L7Nf4lEVjscXXiotr44u0ZENIipvfJnul9V498s0rROwDrbb3Sao7QLxRSJNph
HPIblpnZSkfYwWvZZ+LnCu1vjIekWGZJSKpxCl5JrZAzZy/OilSJ+FyhY9fI3aGZDtTTuoj8PRId
i+mYzuIUFct4V6UOPJjKT8PFx6qiwU8hA84jUYogK8RDZF5l38VyCxyBuchim1XYuVijQzi6Vh/o
raNt7Jo2UGMmGXtw2x9xRzYpJYsZelx3dwnnQszavhLYE8mlw9AmPYBne2Vn+OPrwf2Z5TLcC3R0
eqv/nD2J4JRIk6wii4WwVEqJAAAaA/VJnkecCKJkaoo+NWvEP+zVkvw5TfqoEW80fUY8Q5Yq6nsk
LKq4S/r2YMHSkskZEQxCwYdRAh4YBs6ICOUO/6N26EMp/VaDz/c6dglV5rx7rvNEvvAmRQ6yni9i
jQj6pMIBu67mGV4B2P7cEoCjG5dNBuvg0MPOmqXvbVLPGDoTyDzbJaShu1XtsLfGKpia8csx7RZa
sXqWAsx3MUdAd3skrs0EkbTF9E4oDYhOPhdwgwupgkX8UY7Lw2JbXJnLS0oG+roXCO40E2NAcVn7
OYvYp1R7lGYYHzSk3U5/qKPXxcgRUScpYI41ulvXsh+VNT9FVXtslLxxUwegyEOcIpy34uKYyIkZ
U7Hr+mJmW2PZ9nPHGuW4kOi07rzh04wGtWrqPW3s/A+eg3HbdNH0WMgGYlbN1TJpqLrKKWjt6hVj
dQxJsENVeGjsC/HgAWnM6r1zbXS/tfnoYjvIipfZeSS71Nlw4VpdaG0nMo64h+RCxK7vZBUsjKrA
xxl9u4gUd3RDZtO95mI8exOOZ5k4rAbEJSFCN4mFGKjKEB4QVhTvGxPDShOnb8ZY6AfHTT5stVR7
TQ1fruFtdNWCDHXHLtI+vYri70EdqQU7lsSaehoaZqatH8BZ+rCTjX1Tzfa6znAiGYR78TU6jESV
WayRVH70Fa3Ac2smq8rzTjrnETaHS16FFW0mMd0X7fgKKlj6rip2yjR6EkKzbD855lpE4ru0NaRW
yphOMu3v9cQBOrRLk/g6ayK7glJGFZZrLRSb2bS+bMti8+ewFYRivwN6IB20GYl4iVgEx7XtJ9G8
g//jQqjS5jLX3JGxNa7LeCA5iNlqVdvmxrhgGmBdW+/CpDCWvmQlYiE8bps8SbZEwiW4WuYfZi/u
57a7RV5wbw1p8QY1sXAJgzJF1Rj0Hkt/+PAKWQlqY2qble3i8FHsdLxa0wIKS0frq5Fj6hta3G4s
03rQxFW15aoNyTbnZunIEe28Aq5sz/qXa7Cp3/UZyRPR18HY+wNK9NvOyb6HnBSZV7IJw90njC3G
+O/aSJhHGiO6dFEKYWD4rGKrIYkvqS5f0HteSctva6IpzFZ+06gTXEEuQY6HR9hyuWtMb1V22lux
Xoq4As7iGnIqdp1CK/0k3Sq8OH59UUfIQjv3z1YLnKPVdbOt3Cy6SdwlhhmMq02SfzpNnvlGgXnc
ELfapNWBSJzxUh7S7+h9CQTCwnW61HQ9GhOyl3ClUnPcLDRkEvLmEfjhVEE7PdqzevOKtvHJBgof
uRLXxG+7Qd/3b5YxPipmp51MnvTKsgMRlXciXxiWWroyYHpoPjMOnUFrZ/pquPOewTNbtQZqxNGy
x01OmD8ZrE7o1QFiz21EpuUkzJPj9IEH58xON/dQz+kvUOQPeLAMoNjJ9NuJL7kTzg/VIvLDcanW
1cIEaiMDXylB/yZOUG/ylgCOq0Hfmu/JOEI1mLvKx3SDLL+LtmR7toDP6qja+FS3/U6ME/9d2F92
t+qHzaCELCHDFLfUAzjfvB6S7mjogStmF7IgBwhVL2Uvjjaf/Eo5We+jo/rouvnpcil1avzBMuxL
SWzOUlN7Z9TY1pOw4/HzVzZRn+u6ZxeIeiLoTe9brL8D2e0lqsPAmtN3hBOENgHmOKLZW7CWiUdy
wgIak6df2uISmVim9np0FwBilw0e2EhnZPsqJwsRowJNUmNzHI08sForwLS2uVggglI3fgoadRgV
dT4o4wvjYNEDfaF9nhhpaCMlX/ZkL8SMzk2y+A2V3MAPa/xst44ZE6CakOTbLfk3Xa92moXLzGu8
G6Chh7BrU4KzuxZJaf3otPLdSev7FqZpZ5JNtFpG5ipHhCfHbnCFO5+gmCm0NzRA7BUnpHVAW6JJ
+XiJoshH/C9kPUaDGA8EBq0UMsjCA1CoKnZ65Q2JV8lu7uafasnBVlH8nJLReA4Jr9sQ343DtLpV
hB8dvb57aZF21oW1y9OQcWck/GccdheRfQpHHQgH08ogyMardP3OhjchKv5s2Tnp2e7s+fRkvEQJ
CmgPniu193Jb1+xamwKsMSdlfBqORPPKdZYMN3mdPc8pHB38CDUxmhL0aHkbtYk9gcqrTe5TrBqE
R3Ex6BXmJpntkb0fEkkMBUWjC0ntlPkm1lNVwxbIgg4FlMbpxVn4VM0GydUumbNttTG1S9wxH0s5
4EYoKqQUMVLdA9+isVJ5fZ4Secds9xY2nA8eGY5MrebaHoduZS/mN2Sfn8j+z12DKbeaU3+KUVwZ
UhDhNerEPFc7crc3vX6Tju1ZysjezJP5w8yJ0u1ZfjEZnJYWC4xtH4nzA4Iz6letJK3DKj4cJzS3
WiFkMFcNjsh+FTXqpzu9NmE4+Wzdu02tJpJLUj6HpgmyrG9xIfHII8aSWQg9Lfm2WMId8tTWeSle
9Gz6FLrRHuAlfw4UhCMYZpzXjQSHgsG5UzdfMiqAL6V7LMSEqCeFiIo2o8i/xZ0r16ZTfSJX+crV
93pMzPWcWxmxhfo2gUNf9aDFREt1H55Xlv4yiCP9cDWQbIv2ty5+hC2aiIGob+87CU0HorI+yIZM
NlaG2E0cw0rfdYXzzWydYZ0kKdd1b5Hs7pLlZYw6S9bECRBARcEsHyIEJ4EawgYppBPk2niv2nlZ
0c77lSJXb1PLb0gE8ZOScuKi0t6bVL/xqjvMiTM6+sxH4m5vMWTjamqbNeH6FyNQKpBoZyRYTiyj
UOSQ7gam3CnrPdKJda3tSw09ZnMHy1yAmeFs6stdU4POJwp6Eg3jo0OZBAJt+UTcE/Gj1OBs7G6+
G6acaAAy28HKdm57qKJxSwENW5o0XnwAUagZFsYzqOmqWB6xoT1GfaGtqLNtoGyNCm6dBUZ+NgGa
YNCiW9RbTwlyiRGxU4dwYmWFAnUr0BzBinRSFPp3LKJMbIS39+FC9S4Rp/YMxTh0DI0Wk886fxFl
9BlS0LQWgrl6yCkU8NIPz4nPizX81PVs24RaE7y3kumU3iDOXP3M5azWrD2fo7BFsxgxDcph2Oil
edNLwq8r1X3KIvlIDeDb/JbsaGuF/B5qTRtvRlU92iEm65TkGf3BGKK3AiRx7/Q94biYM2e2dD2b
ZU0vv6dpbt9pLksEItaQ/3l8XZnNTjsCBCRWYZVTI46TghHVoCXajt8NvCMBdZm3qpA0ekjz0AHn
nROBOc6sgsQmcCzO8oXY2WIMRKozDgA/uozwW8ze5apJPIX/B8YmHpkLcB5lT2W/kONd9seIqISi
rb/PoafO9jXirsPdiYOReORI+p7S9wtE912yuJtqbI8uKibma/gi0YFKWKiny1jT1vrwo+Kk44Rd
TixV8PuX07RHdTLTEBlXfjrH1bplImPfuSsoWwqaNkxuq3WNP/7OaUL81eAS2+HsaPltFc1HTRPg
tThwfSljd4W+JJgwHp9nhpCu6L6NeYt4hbzADgO3lmmHRXPSQzJgziGMqS6f0OvuWi36rqUZwq1G
7iNWJzgmvJUR9Uji0i8y4+ftOJQ3bowe2TI9Mp5sAqL4+33PiTAtQPPrtmsQFCbRr7E6X7mx90bT
u0e2HzIovlxnC5MRpJb3GhG0v/IBeFnvfUus6CueWKRQX9+trNLewjzf17HZB66brO0ebN8y2jIY
Yvc1L0c8wWBXm8HIk/Nkl1oAQ4j+NmIimmESwEGoprV640GQQKC3X3rNtmTUO0HdBWXp2bALI/eI
4BIDd4EcFVP8IY/rx14n26lFyML1D8WW5D/gOfJgtjzt2IxnQx1FXN5HlnguzeEGhxXJANGwIl6v
QkLpfKKxQV8rtc+a5HM8owV71FicCufCyifklizdLQERbMNDj/Zwm6+jehpdRTItmYzeCF2ISWdT
hpShIcyVaBqakMiT72XvR0WbYiJYiNpW8+sURR+ssD47MbgHdqz+3Kp63SrlDyWnx2hoFMd36hFJ
cxzQSrgqmmnaTibWQk+fPdIoldpbAE+FcM0N2/rPxlz4+TO+33404DQv+gN0bmc9YsC0Iuehadwe
fEHzE4t8LtqijrpZtSeaog/AWls8rvsFI6Q/WTfI8o0t6AzLxZQLmiLjZjPr7Z5qK3YKDYEHoxVy
Zs0O2gbla+3c4AHbhjrI0GCl8Dc9HFYUVs0qlsW3qqJQx7D5pVb1ZRbREb80zGRs2D7R1/avsIj/
g4xNm8ysvzK3/kvgUtB2375U+x/PRGGqf4ldur7xz9gl1/0DJzfpPdKWbIB+Y8eGZ/5hk19KxrFj
SlO64MN/YseeQR4TUU2uZQrDJCbkPxOXxB/SMh34c8P0DOmZ3v8GNyZ85F9gY5tAaJQ30jUYfC4S
ymsCy98iwnIjRRSOjfcHk/LZKXWsujUSJqrfJZIK13we7Qs1ujRyez2KrBjj4uWo2ZTWr6M5evNf
R//de3+/+N+915DfEAPHoLxVfbzeiDy/SLz+eiynuT4C2fx5+Hrg+lwaLdV/vlBrT27ZTbvoIq37
fcMe+O8PE7vQjgrTWC2t1whAFAE2cKZ2eVjPpR6MY0zatVvbr6bXfWVlN95GyGgN6kOU1xDXvYzz
h1Mx3HeGfB0izJG4tXB96B696jmN5Edmh/B4vedWMjyWjJrohi9Hro8JmLcOA6hiNutEQ3hE9nWN
lUaoghfjOOWGV28MWxjH6+PY7W81hSgTCWq6m+moOGHXU6f8chOHk7fOdRb3/zhwfXi9cZNG0fOS
ae3qerfayWjMTtdj+TQxCcQT42000wiAmuQmbXFmowIVN5hVhs0yoaJp6FnxESciqmhfpF5rQC8q
25J/x3q3GtTNcLkJtYwb4vzIYsLz3XX4Zir2caxPKhyoW6sjbShCqkIDmk3BClnf5hAS2Ts1zmMc
VeMZjO65LmB7aS5zhgfSbdvDhBbCddqHnjnugf9j2JVJkvx67nrgcq2g5Eyj/fUhbtPo4b970/UH
5c6wsxoG85GoP3ZyST8fR5H9/eb6XGV6098OXJ+jzfP5z+9cYFZJh51tIHu/qtTDUHO2LdP5urHd
+HFqZ0iPsaWc1By7Lb0U1tEwzB48mr2gMOrk5rJCDEqM0w/mJOi90LL4ldYiCgUmORyrstZ9ZYIT
sB9KX6738r/uIR9Kfj33+55nmcieSSsNjJzeC5Z4zlbGWLnW18cjG7cttb3RDocB8BIZ4eTGj/Gj
x7y4Wy4gYgSF+wCu36BiwTsRT2NA303x0YUztbg2OdIOlP4pslhVht0cblTPtF1UYWSgO0f8wkmP
Gjo31Q1+WHWDm1LdzJcbWAcULLKpNtcDjZgvVQGXIzT4OSu6mj+9fiLTK/8wicVBoyBrDfVsTnj0
AParvEU7WL364PLkH/rrIY1XzX277A0LIQgGT6sGZLeNY4poJPJpL+4C6yK5vj7563jaGt9dojl2
Ho7GgGYMVC3o38TW0T61rpjOmRfi+pvkWpAhtbwM+QWtrpMIvFpEF2Wegw6Biqv5Ti7O9OuG/B/e
kfz9mQhhjyJxa0sBynw3sY+dbHPeYkNJ7hVlHStzborPZIx2U9pPr05LRllZEzLPaHG9YdQLj85l
HLk+JCucweT3Y77A23BhZeE1mGu6wSjOcWMDH3jO8kbfBat0XCNxsjzai5O8sjkeA93B96KWpjgn
ErXT9aVDubCpLtTr3+bCP3nkv8d3GZfQwL+RkrZLMiAMteNiv3eZsPR/BFB6ZB/QmhWLH5mb5Ptf
BcCmTKrDtQS5y0y4pevdfz7+50v/9vi/3P3ne9nXZthvEQPYFrkn/aVAyJmn24I98rMiA6RoIRrU
HAb55Wu+3hgIKxjDCuLyyaq7PoWqH+Hk9S6wLfCb1oTB9XW/3/bXO34/75gLkOD1Hf/z76jL5lyX
Y/k4C7yB7aDG+8RsmlNIdInvuF31jRy6A4mk0UshtQQ9G/6niCLab8OxS+habgvVbrpEiZ2bZ+2L
RrFzAaSBeP5xipaSrSBJskXcn6PZ699mx4lpt3GJevO6/q0carRsTRvfFk4LuRuxWzRI/cXYPcfU
T7XzutD16QSVOD8WWX3nXZ5vBe15xNGF+zpxytel1wm24flept6GPjhc1EUWfxgdObKT9xbOOLOG
vrEJWOPpaLD3rOCT50gKKAh7yfxwjJIPsnX/p6w1caG8f1PinH1Q9Yx4tgUrDzcv/0GJL6kliDZw
k6/UyKzskntwl+rZ8mHrC03e5N6d3Cq0HvpFMJWr+UPPpbvWoq4FZZqthzjSXmcu2I0xqtSf85Ci
NOJ7T9fytOu963OA+nc42qLdP56/vmLqXdSO19f9Ppy69V1jNXzi/+bHXZ/TsbBXcX9PVpgKph67
qQ7Sc8oakQaFWqK3Dnr9aglzKEysXVt/vb7UjO0/X4q15W8vVVjfvpRm3aWEL7+64YxbvTJiKFXK
y2LU3dpSgabTLcoluRlTtOqQ3FQ65/Ylj7mP/7z3r0f/+TptSjYTcUi/3vv7qEJjczCb3l6LUuon
7f9Rdl5djSNduP5FWks53DpgnDCYpoG+0ZpOyjnr15+nyj0YmO/MnHOjpV21JejGlqr2fsM0vz94
JUYQBu7Ln8avuQmVroMMbas4tGPm30bJhHzKNeV6rRyzivykD3i2y0vlpBz/fFnmqWclock9FsmN
TwfyCy/PeIm2Xv1iT22ED407fA/KFm1NSP9o7rfIqykoUWYRjTnLQxUzyuqlgpK6FoNJ0kNVf3qL
Zi8wntDLe9LBJ540EYk5Gem8qa6Z/0/XzeInvN3l+vMCfoKM3uauP0/MXaO33wzWj7NNyqhbxBpo
SgwDTcgqOlI8jhkc5Zg8ux4SOQHdaWkDPL3k/a/kEKT77b+/Rxwhc/rui8zeyTBMl/2JrZme2PQw
/26TAl9L0cPaUH5GsfoIh9B9QIcmPjaJL4BmfKNZEvzocsN9YOkTHau3cZfx5m28nyFTF7gEy3xs
Ebx3+XIcgOSP1P8rqoGMtKnwV3Uz7eC/fWovZ2JMnZtqHUe2CbKrUUkUH2o5LQ/y0ybPZCJvRwTF
MIbvQIzwFbjc3NXoblaooa2UgkVxldL2zTGD2ldiUYxTnLoJVXqeMkS8JH3AIvISFSLD8BHBisYM
0Jj1bW7TpetPFgrwbXMaYD4uW+QnfmAQsoRlBP6XZfL6mmFbP31r1/SuvXUMQ/TObBZZ17g0/mM1
YH2UkzTFX1FsdnXQUjqqwZ//imU3FQ7PIPenEqSapSyA2kF4F7vIApWxTle+yCABOmIB3cB0oniM
pr/6zNn7TRwcbbtmVfgWwlXjF45xU5SzXuTUiEpMK5X3Dere+oF2SoBcMO1xS5wZYkyeybHrbFH6
mBO/5ckzFG7OWj5Hh8Hx2IOYoIHaqm5OaBT8OciJAn0GNoV/j8kUGuSsTsVEaaVY49XiOk0MytvI
bJnoJZO3+Pdviv3Pb4rD5tB0ETq16Gg74m/w7psSWH2kqHCtEKICwNDgZnLo3g52E/FJlXGLkxVv
v2BttBFdBpEih6qcP0waYfMFD8O8U6LEvEsgQsVGCD1o6sw7XRzkeBSbKW5goEE/TcjZEY/VFrT9
Gk6G4DkgbJPeqUUfryI9e6nGSMP8xWpOtFebkyHOxDhNdGiPMjeJzeRkdsm+N3v9aYaaeu84ETXF
0ngyEOW/F3MV1ivXuUZEpjl8gUA70T1QIMcNZbyXZ/Ew/TlL386us9ezYHBilCObevPvfxvwgP94
jAEBhEdouapHOcj8pKcaOqGfxpNa/0zafG7MtVN6NzB8lWPqVvfAbJCbEtFlyNEATlNCn1bUTj3o
rTJ+m0eQatoNDoJhuascjSy0+s3kFe9uIyfkvSJbR8GyQDmL6iCk9WJWXi09PxdljbQWBZIJySKg
88b9iDvKt8Gnh5O2ufqoopKB2ILiH6tSjbd6lIP6s+HzJLw01xqE1UcjoxEEwDn4Ju4YJg6emPUB
J5CEQjJMP1Mp6ZsJQrqpIks2DtMLYH1/DW932Gmp7d/LjLS2h7sUJ9ZFKz+u4uM5mp16cORndkDA
DRwWTo3d28w1EXYKFj6oRC8pczcPHh2EtBrDR9z+ADAOHYw8z21AeDP2ltFCKYNC4Z8rsX/EjofW
u+9HYLgI5ViUQl6DaBOv8DNhxxm8xTk7tQeZKMcUL45XsxY3D3Lieq9MblxzHd2/Rml3WOKsq9bF
xE5QjuWZJF+WVm7toRatP43LDDkprpSp14ssQdusxZVvt5UZclym6dF4ua0c+nT5x9s2XvEf72z3
Hx92S7eRsAbfatk88j/jUVs7AtEOL+BHMsGK0BwbXZG5Yocu+Bo2OmF7GVaWTwujjtHimkty5PSn
xNgNHWd5SZdJo7iHzLymy1vKUN7SLa1TqhuY0MbthI0vggbo06TdXYktOiPzYEx3iRx2UKW9CQZM
LFJe6vriOk/Vtls4TppsAMVOd5fpP3fRqCIt6jqjSxmsS1hxwl62qw9aXFTZSp7KQ6OkaPkEaxmA
pK8P75KvaZOYCVXX2yvpGhoet5NDl1O/i3gBOYYPkSnFWDPPhf7eDLyU2ttRjsmDRWUBiKzIcQfn
UKo0CeywDf+MXRNDr/1zBzlGb8Db/cfjDgTzp1Wb5QFrlvt/nlD/kI+mQRJbXtkq35MmoaOGVyh2
9YDftaIbkaPkzXJ9l7i9N9653+RAlJcCVCPeM1NmVKsEGNElX47JK+doHu/6HzxJxF2v9/p4/8sP
jWLnt8OfPBmz5iETh945h6pZ3V/WDGLhwBb8OhK4WQJG9GBiQT/yd3lI2tR69JQ+AJdU4BDie9Zj
Ptvx3q70aiFnR220HsUFCLA2lwuouHLBMIPCbQRKmYWOgt/4iu9McSvDIKu6lZ5qxa0qZkOsYy+z
svJ+nZWVdzmriuRP12qJmj8VGRDeuRx/+xOiElI0RR6UoP85l4m2lZGc7NwUa0O9/g3hKb9PVX1e
QbI3+Jfg3oW6JZ6O0B2yH3GP/NWkT9apmtQO4RQwWlbjB99o/S5raG2wg/EBQVUE2TP4nbxcwse+
MsJHLRGUilY5ySHEjeDEqGW4Qv+bd1w34GDb4qgQKhggWVrhnSrTc0+OOCtxdFtQTUm314kx8cxj
paBbKtKu4/ImmF317yaoFcIDVDExvEOEfN73dUV1I2E1F5fFvarYP1q61i9TX6A9rFnTxi5h6Phd
cbI7d0AeJfyPB6HzUfLddKiKIS2hmha+GhpbmE81sA7/TqDV8/h9rKn0I6U5Ii5hm6N1ZJ32UFiY
K4KkMn8b+IDv51jtHynbNreJg8msDOWhL7/Y+VydZaBHfG7wjfBvZBhquXUMYutBRp2f94/oZYMw
rrq93islAtWlealzTZOCGNWg7GUN61KrSl0vvAl7cJXXPENWsbwOo06PhmO6k4uwzGOlnJSpupLr
ruJj6E1etmrxCqbtZR2NlE6q2KXIQ5lk98i+lncy8vkTrFMDYZlLNyCu7Ws+lE9j2bMaRXlwNFby
LLNH90s1IRoh6jRy3JwSc4damPuldcvP48agshwCx05XVw38/1rJWXA6PmxINc12TBsvKM81DZP6
5sdltlvpDXhvu/iO7zHUXnxItm3W3cXjBIJ8FBoeQYEbiDxDj7LZ2nVzx36usXYyWYTZ4MfTwjPO
KV6BR6+IslvY+OGuRerx6MQzGPA8Gx95s3hgLKLsLwcIe9KVgB3r1F04faL/RHUuXuSwWXVqgkeK
+DkVLhfhbbbHq4uvj51O+X0Ovtpz5k2XgUYLez2Jfuk5ONh8QgpiFq+e6wFlx+bgisN1rEfEVdWg
WTgC0wdjMGjP6LtsEUW8zUCrPBv4YK2m0rS2VqoYz63tHnzdK88dAg7nGMgpj8Dka+mcHGdODvwq
yUGeyYOLdRjW8X0LODLVbuVY7fV0iHSgUpdtM42nL8j++xhr/b3Rlnvza3jdd7/lyiGZYSvl2rf6
dtsI6Mf1MPfltM/S7Ba1PR09WlyN4Bv/nXKJnZCGle3PWysezNNsD6sOtbcjstEgFMWh5a2zV1s8
JkXEM+bPeF+AZpuEsvt1TKbQw/mmdVOzGajx1t9jQ83XQzsK5WnIOmk5Ba+ZkRtLapfTvgCC9KyB
UpTjhe/jIh9isURlLnwFtkYtyta8Exh0+0Ez2yfAueErZCS6lagObHIFnnqhQxwecEsctWnfj4P9
CE8xemqLG1l4gtInA1k/MkM3FDMySEVagGCbqGvJtCC6qWIvXP/7asGQzhfswqCiCWMj8Zjk2Ygo
i+Pq0K+hRn38So3YTWKmO6PkGvJ9cTDRwDadA/pImNJNYFyuY5h3oMmlUwi/5ORpqh745llvV8nc
T6HMt1RQXSkIlBunah9DZZ52ce9RGBWHyYIDZLISuQ7ZUaMupkrPbyu9MC9poQHl0laR7ZBjUDI0
1DA8nFChcuMU0WRbbay8LxXiIPiLlXR0RViiHnmbCK07GcZTTj+wKNuFDDtQsif8gI8yQryl+BJY
lwvlSGaDwMHS5D7woh/o/+T7zKbo3JnIdMsW2CQ2IJ/GVDGWfMy7jikWnetLr+3TdZ3hTntrgNE9
K8Frl2TJ16bvEZ/SQ14pU+Af7VntV6mVqK/wALagIe2fH1MTh7ePKVKtCuHhaByHDUJEDp2XPrxz
xaFSKeeqagiAJ8XN2cIRAxopEzIe3PGOzZ65VWoo02CByPF6K7yrlaRdGiFom3fXVVBD0GcFB1Dh
VHMy5hZhLE/9GgOHxIOT4pgM63IwN0hM52sZNkiZr1E/QllCJqd+uNTTvt7LEPDaC8i+7mQHtfY1
xHDQNaxfnd/RTLQM63GyquhY2tqLfIvJIXpzgowenZzCcw5BYp6BtNPnlBsyDRu1RalRS7ru1K7b
MjmrV9SNPu3XFF8ttjiWuDtv9nn6tN0U76rI3IYj9N4YHwK6kc0eanSzh/fX0DDkbC6SgqedBwjq
7yF5JtNkhgzlQW2dZg+Rr9nQdY9Qhezcje47xhpT6ugFTgO6MTPCK4hh+l+96RQ6ffSiQtnaz36O
qKQIdcHsd2w128qwaPM9MpP+GVzdKwzZvxINXHOACOLOCwv88sJ0X6f99E2OR2IcJ5r/Oe7w7NlF
ijGj3047dLQ9eNwilD1R2Q2VE9e26XWsm9vbcla3SqOiQoK+wg0vP5WmN+H14L2FyDdkaM+Y0UbO
BtQ+pks25J34OEdgrirjGHtxtUa8Kl8bs+EeR7bhi2AYqlcKB/MyCm0EIalMPpXA+7Uxql6hfZmb
WE/bm2ZWy9dKN48Rb/ZH18T5Ql4+i7RPl2dYrshxlkrm2oriQwRl/h38wShwI8ENzdhJ+AMrAe3U
zBp/B0ATKIG1+AyzSnTxcj053VM0+mj5sCvPcYTqi9UYAVXtYxpYcsyyNToYzpPXFR/ScuslGdj5
LLDwwpdnOs8U94qlhsXUCiokqlhGFz6qXuWLyUpgH/zePv37G0KzPrXzeDdoLhApG6atZVt0lT++
IZxMyas+78tvpW/2EDUae6/2wizEiDSOl3MbQb9975TqUg+RhLfk1CVBTl0OtVVu4gGeK83PatNn
eXopRJcidPlsruWWy0dGeFMgQryWGzKIUn9m4z4rHjy+qhK/IPEM8qxruifkfqLtdfwKhRj+npT5
EhNxTfPU4SmemzOQ58WcJxGqtuPa6bP5RddSvlMRWupGUE8v3jCPC48a713iDZc0ZXb6Izri+lIu
eFhdqDe+hcTrtQtxXQl96mhckz8tpz6F1zvznoouXYzrTfWxRyA2dk8e0uayL5lFw4OmJMOzWVso
vMZpe/CUxDso6JysFYTwXhqjvosaCvydLBDnsGTOaEOh+FC2GAxZrH0HEJ68tacXo8E/EsQj/QIR
yjQdKNOh1Pp8UeDpRFl7zO6vn+Vgyp76EvLn5cNs2OV4a2TscWWKPLTigx/axVM3FOruOn7Nlfe8
fGkUq7jcLy4QGm9m5DnYpCZnKtHaamxQDAVeHZ/lASm4b3NmTnsZobXp3vvJiwzkNaHj61ujRWrx
OvbpPmOeqP+xxLIEavDDrkUHTOiplgfIyBBluU+7lmRMmswPi/JbG+rZjrpceExNLzgCVMpgnsIH
tRoLqzQ5+L+m5URbWq8NZMe93Gi23qmz0bqQQVKj/qT7briRoTJ2Gsp04/myyU0S9VeFXxSsW9e6
xZk0WvrjaMHg87pgZVRlsRrqyb7FJ+YZGsK4LqIQAM88eyfcTYBGd7Px7OZmjMgkY5B9vVM8KfTi
/Gojo3kyO4G1A9s09CVPwKJoTGSZPfPBDee1/KUyncqDmtgh8ijstQWW/4FWNcy9YHiUGTV2z/hr
QcqTYeXY7m4QhR4ZYqaFDE0SDZvUnLE5MsdVy2rpzoYiezdXLXVGLVQH4NVKC0+9y9F/FFONon7z
Ste8nbxgXgZBEOJjnverYBy1c+g0PaYrKRKSCMyu8CzSzrEYK3xXPypy2e7g4sg7MqKVnob3CB/R
NhGHRvSX5DibvnsZzZG6po/t7V07ce5npX+Vj46mCOabvlSyjVbjEIi5jb1FNOqhTcfmKCFrrZ4n
29Cr/QU05/BRHpTMf0gSpznK6JohIW/yqrd7yIwoGNFL4Ru/uD4X5cNOxy0bks/PT8MydHqEWShV
yeD6yJTPRznndz+vD0t5VpnHvnFr+068rEqkWNGBYvvMvhEwTGwNRxWZsZvATUfqfWHEf6oVf+1C
EweBFnfiKmvvoa35v+0WPWzBilawgi9AEP5sWu1bbnv5a5Cgbp3T8NiVOhtqXUixoETgYI/QOsfI
aoptriUPbpJj6RGKMTmRu4/QISJW80LA2B4Rgc97PdhcS3Njnt7AJznyKXhwg9D88XaCv9RlJP77
RExB1jgpYZ/sbRVzBuik3bwYakqLnYXTiRz0NBCcqwoS1U0+ONFDFFvWrlTHCEpMq6bLBtecFexe
70YuDnj61A/xdEoVd1MBYjtcn38O/xs3rPey5eXR1zfnNnRxPMcmCg0WvO3If9F8s/veRfDksNFO
zpbpNTsHYua6qukhQeJcyAz8F6NVW9fJMes65872zRLpBUffKm7BSxeBjH3JznWPlJ8NqYvweqjx
fh+MNNxehzo7GTaGIAp+1eqmwy4GEK2phnc63cj7kU72PfI5Nluq2dn0jonAWOHG/U1Y2epSTpsi
MUJIjZ1HQCOzijcu8swLFLE8BCLreadlOU7ISavddEjzPfSmaS5xcnGeK8f6Mc5W/qtE49DxgPEJ
r7RbpapHVPzBUsCA8BGugLbu9kX9WChooiILKcQdKuwvcJtWuyS5kZNG1DonX0HtV0zKIfQVFUG2
K7cyVFDA2FtosC2yIWlL6jTpUxojozlXSGGXFnhcxNTUbB1ltEMQUs/2cEnoochTOSgPiZi+nKFk
gtBrTvPlmiNDHrf2xjVHZZf4IcTgEeO9HW5cL2Mxeie/yrwT/gEUavUILk5STms5MSTFeOvXgYJM
0+wsEz/iseKO04uOnKg3Os9ljzZ6MCICl1PiQZIpnr/OOYZCnaXHZ3kIlKfOr/x72DnJGYG3ca9N
9bfrvFGb7nooYeLKMV1t/nKLMWah4AzTuEnxHpyQ+fqrtTJ75eFZAStTFTqzE9JtAl/5PzJK5KJv
htJ8MdienQPqn4YocMgoRizrGok5Vhq0nEVmgerrNRJzk20nvzKKuPsUKTUI59Py8n2rUor+iM2i
o/yGYM6bfu8j4MSXFAuVVlO+Wm6zrOu5/+IrTX9WtXybpoXy1cyt8VAZCD0OIgt2p7OJK+TN5SwU
OOT1UbtdUL3yFhLTrBdpeq+13bvNQT/0BWy0+M9vEAdGtsGmHPnHxDUOI7LTXeYgG5fD/0HDglav
hm72WR7ol96NZWGtW785WRK4Ujd0yMKopXgvICyXwXTCs6nXaaVifMErzFaExlaS35cGpC4P88JT
HG7lyHX4mhpqFnIVIh9xklGkqo6CoWsJN+I2KlR9TY28WYAuTX+hKztqhf/LyaC1anbbPlmpB2Rf
g2s2lpq2d5TF2C1ZJCqrC5gHmSbPnvsnvAnqHaLC78bN0YiPxVx8z4LMwOYxXKqp4X2RlZYCBywv
GsqzjGLfedF637/UZXSKoMu+q4qdnOxxGl7RiEs3MowQIdvEEKdX8m72VE87ZKnhP7p+A/UK/y5d
x9pq9msL3hedlRq1N6FcGn7nu/fQa0nwZBq8wEo9M9BfK6rjJDpc7KY3DfTjnw7GAQsewd2jPwt7
3nCabkEh9ed0hswsU2L4mGDU1G/poPAX6UPAa3rW/0cN3Pwfi0ncCR3NNUw+wFh1fNyNGeA6A80r
028RDHe7r7p7zVCac9Lqya5skgq2U92e5RjGNRoP/bTbyFBOzAZUt49XjYp2OxVeqzxaNlJsM3Kc
HuoFZnc9AVuRPRhqoK+pRgEJcIy22cuDn1nVTWGpf82K0uzzwBnLhe7ozV4VB5kiQzNvuU6eXi9+
d428zzjVr/+xe5XgjuJdfVN3eA/B/gEHDTL1H/9fTa024ZAZw6uOVwiOujDaDLGekPpu8qwMU17r
KDCeoVTGWzkWiUXFUFlM0AdoNo6CYJoc7JLIPWa64RySHkVtX5haOrYGA/3DWa+n+mVsfDv7/88b
9PqmtYJ5I/uUFoDgRWhSWJPbYhkiupDsZWNShok5xu9COXtNvl6LJJWLu/iH5GsYNDU/KEXdXR01
5+AWRXFyJ5w6BZJDHqjXG8sMOawNBdjwMZ09LM0cAx6xWn2vE0RxwCi3D/A09FskbrLb0DUT9gUI
G8Yj7r2Jv2j4a/+0kdRbZOkY70qNR7JdIjKHLHH+Ekw88pVw1DYyzEfni1I4+UOOTgNNZAO5QCN7
idKiuQ2VDqqBDON5XuDfNx2HuJ++GvmvOJvzlyHN871huuKTza1hGuBj6SLtJ2cnPHo8HNoBjKoj
2wl+A3kzNYuCG/kbXELT+1K4ff7QeXl1bnrrLgtgdOOVGm3RbNJW9ShkO9PSv49igZFNqug7X45X
KOfGo6HGxtaOtPCmseL6m+t8x10g/P7pQr/Tnv/986/bH/XJYLI5to2Zj61buqqbrgRHvUOmwY7u
Kkx/s6/2yFrkq4mgGeoDmGvcIGDd9RgeKbbh78O+eggR8dzISI7TWXPqxTWGTUPlHRgYKv/4JU12
zB4vNNEIcnSEBRzcERDts8YzDhflvVChCup0OsuhHGUmpI5zoe9Nhpwwde/RrjsAg2LIgZxzaML5
SUbyMPpaCbmLqkoP5HcdozV448yNsyngiWPdC1SSRSaSO2qbHizACM9jBCrBzaYnkHTBtoqdeBn2
vYUtqFA80U3HRV6Db/blKy+/ylFbbEyMBYNOxT6N19Im9ubmhLHKnwMK3vrCxNf43UQoUuQVjrhC
JmOI+l1DwAP+TAk/rkfPc696SYXez99ntZyRMY1eF+ll1/kxlh6Ab5GojOpdq9q4ulAcuNYBZHgd
i3AfBcV2kCMFr6N3qS12hnTZEGwN4bFjCeoqX4PY/2by7D/JqGtPqMq5T5nuZw+qE55oOylf9S4c
96qK4rT0o4GkFG1sSq1IsvGOg4CTn3lWxw8NfxAklK1HJeZQhSh6eGVc7eVYVnqbos0wY0ONYa/g
ioKU8tTvvVR3y8U1lmfXHFdky5Bt311IkVnvtfH2sokLKV7scBJ6kjAKCZyQZ2bYYUpceCDN8VpC
xpdS8jXPKmCANUo8szzQzJMWIW1m16ygDBHKg4p38yk3yweB6MVFxoqcRdsn/rHu/cWntLjC6+vC
jlORvt0nTR3ixs0hH+vkzp3uZUA1kLIzleWvRafP23weMnMhZ5xINJ9MjbKtuMrjw7R32/jIEyc+
jxDX02JI72WExk9G/yIST6P4LA8ZvhQ3M/wqlhd/j5llyFq+dJdZ0odHzJl+Nn5vPKGg6cqoRJbi
CQb2u4ie2yVqMl1/ShL/3VwPKWpF6TVbBaU976wwVnfyrB3G+XImx+BhGgt1wIc2wqt5B0u/xIpA
82m3OR0WrJdzzYSnmMUIPDv0vDFWm6btmHWo97s49FbK5N91QzavFVqd5yIr0TbNw/Yptypn4Q/0
LXBP/xWzn/xh5Rof5xFKPb7bCxPnACQz6hrVzgClnyntDlmluN/tsPnt2637knsF7rCllj2hrc/a
2IWM9O8P1H8wdzHjclU2jzxUeZgy/QlNmuCznA9V4zyFrY/8nwAQDWVXLdMhTneyfD0qMFURmEl3
8tUrZ7Oo+TOraumf2eu1cla3xm2nF+XD/7pe3k5eEOogjK261qc9nmLgWtoQAZWP9AHE9NBRdvte
RzlK9J7d2BsOph41S/bLwxNUfTTJPXt4Mtm0o5+/UhT9ZJpR+Ty70bxDa190ZAmpFKpIPhkTD0lC
O3CA0ldtdZxbrXjGxAfhiSrFSbr11kEb2rdwf6qN1ev2E2pDZ7kRnFokq1wAz4/xYKGVi0YJUvyx
86T0xjmCKnUbWCH2oGO1U5sif7UUoPkRy9yjaeT6PvTwk/EKu/+aNfZXWeV+S82a/E+q0/vaJdX1
xudiKJUVjEnnaLrQknFqgDsVF90eP07WdN0UYFBCC/ZotIP7Xc/QfuRL+V01ql9OONqvRpl1Cy/z
52dYa1Aibbt/Gh1IGJmnd49pnE+rqqNIoSptv3ar0DzludLfAAwO7/y6VJHfNtuDPZjOra6M3s5z
nWxnYOu6dYZB3WNKU9xONmRALyqiTTeWzh3iiMoa1an5XgcWTAtw6M55XKSrOHLbL02ts5fX8+Er
Dy5jgbmt9hI5yLg15aB8c+b5hX9J/YMFwNFBTfSXNWQ3ZleEu4CmzW018M/pzTw9YQRWPeRl9X2M
De1VC0zs6AOMVpMGIqSGmokcz8bW2dRg227GwFFfw8C6DVM3/DJ0p5Ev93b2EPwooUrDlGqiJU0t
oTDULUIs4n9NlRssOrsrnyI/DW50SzH2LaKNRzewsjUq38FzMthfEenofilJfNN1lnljI0yGhw0q
ooWRdOes8I0bo1P7vQOalQdiUN50dVg+Nhl2CWloZN+tasbiom73SYELoyNMlWj8O5eDDHGoaFiD
WCFyakxojoYpqzxVs5hTmXQ59cTlRjvnezyHrreRZ27UDkjXF+lWV7xmNQ5qfeerkb7rbDTzcDnL
vgB4zHnhmPkvI3wdsOr9kfNiXo51rj7o1ZzfKjGqhKYS6PdK6PLVqzCpbgL0fMQ1uev+7nS1eCoz
M7np+OjtLQNmtqLlDhDecKQcXau8FmPsUsvxMZKrD3EwxCpFjtfd/Ajy88/QdZyu5KOMMGaCFJFG
zeUe/9cxeRP5E8Y+fcEmPlzakWutoJkEX7q+au7azL3XkU3/Iodsq901NJPB3zDkIm4FgTJSN3Iy
ttwMOBnNABl6+kQ9zt6Yjho3aPr1a+h1d0aK1IiN68NjG0b7IE0oY2l9eltpqNX0oqoFdRpzcN1r
TpVhdI96F7xLw5L055x5z1gRTbclZbrMG0Dx6pVbH9An/XOQYZYgFjpamBlQPjLufbTl7+NoBzWX
eqUcUgbrm6FieH0Zm1GhR/+1qNZyllVGuf/39wl1ho/dIaw/XReUJ61Vvpyapn4C4FRGns1FnOtP
9D9pxtzwrMVhcnY3NnW3h0q8yGfP20Db/BOJuWsk5mRmK17r44fMf14nMxtxz7ef8HZdlCj1Zqhx
XvN7hAzxLRlor3gHtenBTLr2dCdH5GECFLVBoRYpgo8TDf7O20uh2HUzdeXV+S5MLJgMok3HFxzP
r9q/lZE8mE1kbXhQ4G2AJ1oCAtHtlr3nTpswx3THdlw4gJ13ws/P30VG/BDlsXeSQ/JMiWjXdMGM
1svbBNUtlGmyYLqLvWZtZrN+H4hV65RViDAnSgXsJLceQy1W96wfEgw+9e81dd4vkeb+mls9fKo1
3GWm3NeECJl1Z5pGCGI4aLYlIuNrqlGwt1rr7JRZ+YhD4iZBkvzZzof4YHXUBmU4glfkqWW1N/WY
l8/TrEdLRdvZRYl6bJpnK2pSOvj7wuZrPljFnfAO0Bogo42ibFlKtOs+gwS7meb5L0svMM5M+nZN
Zdp96kr9bNBs/YF0DTqYBZQQoEH2bWrQSf8fGVQ3C/RBNX0DkUfDq7OlqaFn2ZE9cLnOSjX7yrvs
J0QR/5euv3Yt4s8pzGLz1newkNdNVGx0J7Xuh7TQ8MOKnDWkC+tFLZWbcBSOY0r6J4PfHrMYSGdr
x6Z91ZSo0IZZwhJcQH4pqXfLtGavjA139ALmNFLcYX+ByPlhFxyiaUTQPkAVuaGL0ioNfFCszFHu
GPTfgYbnl+ok3/EcT1Cl8vxn/LrzJYvS5MvUR9rK5x9zj8Fke5MDHT9iaYJ3aguUZYr6cO+PVoG/
G/5klBvTm7hGEoC/mND8pKE8BZnd3LAGn49GNcGN0AtjG6jK9JKMvAPK0aNm7tfHEf7BQo6bOJys
jHAkTTy4xmp8l6YmlbVoxRNMmfDeLFrrT1qSQPFOvN+82pNnk/9CRBTq1wC5g3Vqu+Ghjav6LtUS
H/JLp3/XUB4JVByYVexa5jahCYuH4a5pEaUrbb16TorsLrMT+0eWpr9yZai/OFVV/tfS1/rELOBR
5WmGqWuU01Scs81Pj6p2TDQnxTDiCbSOd67Nry5Oos8Gchk7q/dgDKRJ9ZpFcbmwlbY79UNlPIy6
hrQG48mcrPtpWIXwMJZGOSZbuRGRYdRY70M5axftvorKBw+3nYOvRZgm1WN5TuukXo5UO16NbH6I
JC7Xc7cl4sy/G7v8CwFm9xlPDn+J8yWa2l30u20bda+oDc2brpy+hU5+RudUf6zFeAgYfxWYxvSt
P1SxX5wGldK73NEXyazeDLOwBBZvVlkXoME1HiO9tLZ26iDCaxWIo1WWEW8c1Lnx1EayHSmzvP5T
THcGbQVauj84cR6wQFLHARYqsR8UwyEYrY6uxIiq3scJmWKXNpfIxNarxzVSh0+tad9LJKHEHsJy
Tw9iSIE08BCWTorEhDugbqmrR0yyqjVuCGyGkPBEAiQaf7YRzFU9sH47bnWOfRcZ2tm3lklca/cz
ZHWe/5iqXi+PfDBj8nL+5y6X21Zg/sZi5jwbU3DqTH+4daIxPzXQCtDcsvOXuo5aLLrsbKPUTf4S
OvZr56MaHFVz9OhBm5XDk5e7t4gnIPEjLkIF2VmYeu0fzFBtn6Pi1jT87MUrSntPlxh9XBGOyvQI
/+aEwcX0La/9Oye2qi/B0KZIoBpCT5zxIEd1UGuqL0Y7rXJv1hZqWqJu2LIEZyV/ADz+/nAdU512
WJsFGvIy5TohQ5CiwxrOEmbpA3qBo56lD16Ve2uWGyovyqjfRHFWHYJqKrb4ICM7D3Jhb/AFvTXi
rkMjBMcqNejhUsS4IE1ZPJ5T5MiXpZs3T0lb+ItR07oXNWySRRZPxl+6L3rAZfGrLvHLS3w/XMz4
wVtgURfG5C+6JEAmUC1owvhO+6MLokejn/P4dw+YYis7ZmNDX8BHz14V3bTCjXbo1SUPco6OzmXO
EKT4tznZhfvndR6Weqt+yP8Pbee13DqOte0rYhVzOFWWLNly3u4T1o7MOYDk1f8PIfeWxzPd01Nf
/ScsAlgAaVkigYU36Bf2gIcgLqBSdJklAhNurHEoyhBy1sw+aINZiVakJVBXvpHdo6fiKJIEwS+Y
ivsQofk3ciEaD4ohuU09bEBUpG02WYzjkVuzix0hzfITHUd+/c6PWqvUxaTnygNOrsW2ZTJwGALk
koKK+Walp+NbUQU3kZe2p0ZNsEQkk7cg8Rn8AnKa5abxSynbt4LN5VenS8pV5XbTneGUmOAYeonu
bmduEiUNb5I4jTBgaLQbo9aik4oW8hrQV/JqiPQFHYDuJyiXTZeY4dcxQbejtMfwDDGCJ02VI1Fd
98a9E6IDXo269c0RfzBlhm6A3544RZKmYA+luJn3J4X0HJ0bQAQNJxliauOAvkExLdTRss+9aN/q
0hu+9JjJbpzcJNc4A7Fa5OTUTvGeRtRzj/Ca8ERpzehLV8TA1fh67GQRF8hTh8nRQ43j070okkd9
jvIKlHqzFq1rGUXyjsynEn7PLdHdsp/AR1FCRrqCpKYIVV80Zcjl/wZbjV2/UpCcupNVDoLLuzrF
9L0ojJs0wVWUvSBva5YNTwY1VVY4InRPmGPbC7XuxR9tUN7HfDsQ4VTWSZIU4SKPy5vR6INv7YTI
qxJE5rM63V4mBkrynQf1Cyq/xmvZatOuy3LEAuei5/XdUlH4pV1aZwnvPLBv/36ebv/buw+XSxLE
Ogh+zVP/jeGNcS8UabtSngSmFmCbsKYbq6m/U3G6PDSi9jfQJYsnv2BaYuqZ86MEF4jhoPH1GjvC
a9yPyS3TAsJxnEH6N0yRITXsa3iG2cllaDRD48Mldh7amtkkDebJywtRO586IPWYGLVkfH/WiHAP
XZH80Ta9uYzaOD+bSa3vCtYdu6DQ4nMAa3RpK0XwRwYjO2BSLjv12C+QBQWnMYGb0OcnQWll0ZMT
xAt93p0PEbx6SgSbv/MTRLb9Lo3J9Llt7gfKxfkvsjJA5j4vlGCcGGgYqMDpVKRVPsHoSN/4JnBC
58lga3eVdGNSvuKVtABilmwBijXItAq4mfK07tiObOfDpSU3R28pK9EXZSdyGjEtySyQpPZ0kjgX
CYeRZ58wMZ+KQlgj6hGtbe4gS6EN1PU9E/DefXQ0xOxzt+9uNKVyjm1i9+sGaY1npEpmMVc+8Kw8
IsZg/ZCdMiWikxN3+Hmz5pedmiTgZxm6xrODtXtgpXc41IY/OoEGrN7wK6kCJG1HwDCw+746rT19
8TSUuOGyWA/qmECLTSL71MamsoN/qO4TNQlPFnCBjTkJDItD8yX0SailgGyOpOi8G/Ch8UbBn+Mp
hxPHu1KMP7H8iluTLwh4PPAeffwsMKteo1393olEeHTpxLK1+t1plEiBevbQSPXo0imerzQvmy5X
8nVFPKm+FOKO0m1vetk6B9gZvUxt8FWzXO0o8F8/TCVS5zLL2PjMZZthCHYyB1kZarGwqtG75CCR
l1rMwKTnMrVWQgW/qSia/aXsfzUzzr3tWmTCyafsXAsvMKorIy7OgZl8yZzMRx4Nrm7T6K/IGPqo
8VMlD7LoZemGxHuM9O2/1JuNri+7TNTrfHzADR0z5lkAkR0QyMTz2fUg65JgtgvNjzyh3J51m/qY
JzPgOPWtozZnkB0bPC22HPZR7239WbaOnWoda+8xqIdmr2eJ8ZpM3oZNOvtRHZzwvg7FYzqTwAqz
8XZaluBIM+nGWunQAyrKGjdu8u8r+avV3DHfeaPbXYqyNbPLva+NW6tsf1nz0mwAqL8hjWNTRVGJ
tVMF/vPBL34Yo6McG290TnKCG+K86ajV6TLn1V0bE0iz13usVlumMwnqbkh8o57WhKCrmZKxygzQ
fQ3DI6Yz2aM1xR/rJ1Z9Q25lj3O81WXem6kf0xGEf9bCsU26cG3KO4qycs/U312hVKzu7MniH5CF
0yJrW/fUJmHxrLTBWq4zR4Ru9xn54aVI9O5xHLDdKV0j3siNQj/JjNnx1cM5WDde8/hcqtr4Avrs
6QKCAetl4JGoqBvmxs4h8zvl5PYty0s8kL9YbXIO5lxnH5cHO8utN5EMMUBxL7qr/Mjfe0rTbKPA
Mx/SPNUXLliVH62+MZPmVw7X4S0vHkgGY+D++0RRPtd8bELDFyfWjzF51TpvKuQ+ueUA9mXeI3JI
t85fJ0xPq40eacFGtvbQJKti/IZRST6yVvf5dy6hErS3aeQkx84qIrTXGuetyzCywH77e1Z02Blo
yXSfMkkCCGi72HQI7zlr+ycZUWcRC9YofW7LtNp2uLvttbSrHro5+SYjHIQnSqsfTyXPtFU7643U
80GokGnUMNNWrhZib5PYMZWObSzTzomfsyG6NfS0OsuXD7YgrPfZT5Zf47ntWmqN4EPpdz/f54v4
929/T3X+/f0/w23Y+cFOEs7cZxUdw1LQnFaH8WnCYkbRRLePMjBJnmf2q76IEaIfIUbIs6DzWQCZ
cJxWceMrYMl6f9PlyP5AToGHT27ipjLRKMxD9SlxEm9t86ja4v4Xb2w/Jys8Q4slyDieNW5afPjy
CsJahKjRjc2T9cUxvRdMj/Q7WVJRGTfy+CnBgeis2fie89yuV0HuWG8wrn84AOXuS69RbpOpHxYZ
DLPb0VMqchDDfdj2DeS/7oeFUu1bTWYN7AImd7HRRcuoTs/JGIjbIoaFHrlucVt7jo+VsGj2NavT
jDXkeuyq/nFAY/6YRt0f2qT3j2OV69iP9sHGxmJhUfKu++HZeO3w2e0SLVZ2ld9+G2t04DIzK/k8
AmMlNK/+qvFrz/XSeTVH099CB863dlV296FdnlKgvG9phk36DDBUW3SJRlGEZyeu7oWCwS82OPaN
n8NFkQdenyAUiwq5tZknNPOq+l9C533LDk1UeV8wukFo01DrG9cZ2zu2xHiVdtG4NvC93eDOat7V
PJ2Wwq/cjStAFCxgbaPa1CXOg+urdwYwuK8agJlFgbvLwnfKkgXPuClU9zW08v6b60bYBou6WcdT
F2/tWsWKW7XEq4dc+KI2w/57AB2+DrCjX3TGU5+b3i+rV+5ZFO9aduexhYWxMCb6sm21diGy0N0m
ZuvdFEMz7GxXOfhTka+1ERZ72vQLFXT165R3wwYHD3tT+B0r8Ly900vwew2gw29dIs4um60/2XIi
Z+N4y8AP3Q1yQe0hBRYj2X4E/EkLzMeph7aQHocgjO/loapU7UZJgPDNVYmi4Fefuda6tAoNP68R
/oEosdQsz5Wdl0+gcp+02kvvEFFSnwtFeykCzbnV47I5jVZ9hggApD+LY5ZwP2O1y49qFDx48Lr3
gYNfFETswjwqJKC99RTa2ZuwyRqXnVpvZFEZ7Tu3ZHlo67247fDZw90xz99MJY5WtdqFN7rXnYBp
uuCfs3dlMeS6NViLxo+kDINtNor3ekmvSUhikq6ZQ2QZtbE/FKfIV70/PrMzkt9VafzMHmhzOw4x
v6RJaAchmv5FdWfPbDXNtiRJfvDeFfeZ2xunYXB2Vmqi9o6gFgk9Ewj63KiOvrjvB8c5lFPyjT1G
IgQKCViDoEt2KeMDjLk5rMmFP+T9uiSz/MI0plsDvee1NhdtA98LjAq7fY4+8ybyynEp2kZB/sU2
8pvLqWN2LJOYceF8P9cmAS8oV1eWobgtRegd8mY8V2Ns3blZu2X1uTY940ch8LNV4/abMK3+PLVZ
udQLt97U0dtU8zuMWemMXdz8EuajcB3x3CSI5Vf+BHcYUy8s4zpIJDGPdCT8/J0qMPAp+TmfM6Ur
z/l85pjaOeOhfyOrZGNfNNlWCAOrwDkCcFN2q2j1t4Qt4aJxrKc6Ufu9aLAblUUnCiYyb8nXWMnt
J7SFxUOGL3g6l8piNmQN+m49qINynOYDaLL3szQx+i1y/V+vVdewa6wHo5itDa7+u6djNzegeH9V
fukehqqJsZH2PSihQ7bD5Sw4iShqtmGN+whbiePGKI3qbnJrZ+1lSHsIEZw93sy7IiuyG/SI20PI
z3/XRYV7NFBK3eijOt0NOEiufcAfD92UID1tCvWpTO/r2gJ14E7ZPbrW8a4363qPt0N7h+ErXlpe
Wr/pfn5SK37pCfb0nZY3f8R1ZyxB6mVng23XHUAqddeXXbKsCh26HVnUvWYzmrCU+ZWBN4/rGNpX
m4WFrtb2T7fMHjXmEOj3q+pZGMoacZHylwmpLORZ+Bb03KEIk+Js5VG3q8f21uWntE10V2wHC6yM
6rjkFuxQf1Wt5ptuZ/Gv3D6B0kRggR/z2Wbv+c0JDSwkeq15QO6l21RpWxzdob7xYvYE/UBpzjCM
cHVo2AmoCowpizr9qYYss7ycOQl2ePkGemFxM02GddLBkeDfILQvphhP5EBcNio9jUf2plHt6muE
G89auGp1IE3pPOSN+Am3ggclu/asiBsbQ7UuvjGiACW/rB9vM29evljWt1grA2gZ7bjTQlzF7IAp
EpJF9x0o3e8eMLmFlmfjw5iZAoR5rW7qvO9eSU+wQUJENE+c3arI7nXRFOAAmp3qBCk+yp6916a4
OPK/TLaj2tp3nll5q0jMclVD7O1GPRqPeQkcf4g8/8kyzebs1MMhgZkqDLEwKrZ7g6FNTxECfFt2
kNu1BHcFfJYrW0TVXkK/OoTNQYq4LaJWnfLSdO6iQ9P0SVX7/EH1C1KmrXVj1X26NMxe7LtOC9Z4
oeVvEDF+susynCsPakdhhD+i+ZlrJd6i7JVyiZFhcDd6qr3vI3xFhj7JHwJdeOQru+a77dWIeXba
T4Uti0qNnOdKNae1piVv7liXqyLHbC6bDxDsxUKP+aL6tqJjNaM12mqqnRIL4No7y0DPs82tG5ve
4lqHshv8FosHyzyKDEutwT67l7Evg6W2tg1ANfRieh0VDCjcosxPSkACEM4g8+feSHHJ8/5wEsM7
RVjKF2HzOGGJt9QnHcFaD5Z77R8cz9VOJQSV5YS+NtATRPG9tNH3eZ+Od+V8iHb5mOUbFsfRrmSl
sDLtTn9F7vSrUQ/DL/bnJpDKTFRYbdcYciya1ivWgtw3j8s0mA5KyoPaVKz7gefITh3xq07xLnm2
48DZ+YmSI9KY83vV0i9gZtLV5OLbY6jleJx80COZYTmb2MbiT1hJsXFnb42i6roeJaXu0SqcbCfr
rgetcf8MaVydvJoD/IvZCIqETfPqNgLvJseMXnpE3Vd9ZhnnxAtZooKFAM+9jY0JigCEBPA9CEEK
vcKaLmpPojZYApKheszYZ1pAyh72sk7LDDwesaVewOA6x0bk/GQvChcEzPMC9yEwmCVHuvpVVZTx
APJ0OpgKE8GFj3ZyNM6piQqDJaEkX5QmSt+EGgJYBw40A5ddEuDhAVR6jwCaYS+Twa3XNhh6K4zY
kAyy6KiWQ76PppzfQ6kqq8rBwMQIPf9hdMRDYAcnuNFBiDiQQoIl6ba+Vhf35NOgJCtVDo+thTZu
M2uCUls/28UYnwbyGqRC2vo5KQv31kvMJ74/9tM0wuaBDv4nQ9yZ1WKuVLCKVdyq6tkAlgRx2RBX
jX/blt9lwQ5DdV04Ilk5Tj2dE6SxcJ1pB5gJxnS+1KH2sdVTF+zFHCIbWC2gkaKgAUNNKeJkqVo5
E+BZQG3wnOrYden7WWqUCcZV7LsqkWha9mGJuZzyJOJ7lar9Bsl8dBMtJCcVFWp3pnn+SR74Gnj7
DqaVgbbIyaptXgBZfN9W+FWpBY9FZrDOvTYNiKPwyeyt2nLuZR2OmzgMN9OuiF0dgSmYXV1qsws/
oAan4tdVVOMtu07GWcUbdWn4YXAfcteYIo3pTmFpWenBBBttnFMIdyBYV72lmrymQW56pQ4XJzbf
ekh9p7D/MRoFG63dWG48l8Qt1sLOofEb5mLzmZYgn3OplGV5aJ1bdnnHTd9F7Zq0KVsUJUxIoaRv
ePMkf2AmMCuiKO0Lz3sN2xw/eASLEq3NuPbvbJUvRZR8ZXHFBnxXA97vLF4tc1EehKeDqrU8sgPw
2mjSB8fGI32liFQ/G81DZDYQG1Ub6RUcytiVjFFOVr063fu2LuBvaEqEUyL5ADOx0lU0Kca9PFQh
lEBmW91GC9T3urrtOjZsdIxW09q8xAlNu2VDzz4mheVtynjGiTuaeWgjMi0eGtZPWmg3D6LBJxoR
3CcTrzQvUZX7eaLud432aoBYPZIg8C9Fq8yyJXY98SbDc7hGaxcHjBL5/y0STCl7scV318eiMc6F
OPBbi1gxm8O9hZLGcvTSaWt5vnuT1MpLGBfJg4AhaXZ18xSMY/1UgEYqjVa7LQOlfvIMTG57NKp5
wlLEhcXfaj2pGb/1b60CUBXULf82j20MEaf4NchwLI1UjKwqL0hebdgya1M00U62wohAuzM0S9Ar
tGIzgcptojyqrqk+8P4AxkL14PTwFsPCXtgsNG8cZQIw2FvGzjKadIWKiA1jKmkQbAI9Bg/cfs5I
JeBfgf8eeX1aR1XblgWvdyVxLFIsIfqdwETXsq/u9cG21MpufenbzUatpkmebw5mhtdsiglkvGxN
enJ/5jhVlyIwLV5Y46BuZHCOUdjaHEzkDOfrqkGSr+uOxNil74APncOG9lYGG32rr+rQ9S+tqY1r
Inu61e7SNxJsvPVsCck/IZlCZckOa7LFjGdnOV5/1yN9v8miqTy6yQ3ok+hJwVRSU8WTojn9U1YP
L7CovFNh5sOu6iFvKsYg7roWCbqo9+AOKZF9qWu1r9WEntqlqkes4NZks9lXS3RuY1bMAM3Dgytc
cSfHyOsoRfMkj7ZuPiwzJ8e2K4ycFfDp9AZLNu0B1tv3nOQUfk2hvgDlYd3h0B7vosE9tO2Eg62V
PHdqErzCR9YP+FrMzptD8Fonbbsh1z5uZCvggWbJHqF3kK2FWT9mTdGfMZE0XrqvTZUFOz0s1FUp
8A2OMxuLVXir2yZmkxNPC2SQvBJ3kHVsOX+epvMpnm3VbNb7O+DDqZlp5SYZSR8E1oMPCfPF5s97
9ExgvIMXvBh82+79tDjIkmIJ8y4OxgdZiqccCdRcfJelmj8a+nZUsd1ahS9TjXaQO7BHJ0eN28nY
+CBTVrGtGHejr74fTGXvKCK4u1Yz4S8PqR88y6BrfWp22joc2Sn+1FAE+KVWPmyBa7AMIR/BWgcd
M/H7cn7PgtGqNe0ZPvwmEu345k62v5paQM2jlqsnVSfdBXZ65aL1Av+9DpfR7IIiD/gqvZ+lhuXy
8855hzv4n8hW7fcZbtfeeughlHxqkMGyVXRK8KEVsk/AFrZoyEqQe72M2jTuIm0mgHsdpGISLOOU
H5ALez/ETBUO6XyQZ9eGa9y14VPcPwi5Dj8BiMdje77wtZ8sXmOuV/oHIZ+Guvb9y7v8y6td7+Aa
8mn4JpiBeZ+aP13pOsz1Zj4Ncw353z6Pvxzm768ku8m71Pqx2nRh9HD9E2T9tfiXl/jLkGvDpw/i
fx/q+md8Gur6gf1PV/t0B/9T37//XP5yqL+/U+Qd8JX3DVyjx5GpXTT/DOXhb8ofmtiKoleeuu+9
LuUOX+zLKJfypcOHbv/xCrJSDvWx11/f0fWq1xiVfedpfW35ONL/9fosZlh6CzNmdn694mXUy3Wu
1/1Y+3+97uWKH/8SefUWDoRViX5zver1rj7VXYufb/Qvu8iGD7d+HUK2pPO//FOdbPgHdf8g5H8f
Ckx9txpx+MH6fGxuuyF01jWI+KUshv0sGWDmDcgdWsFoWUu1cv2V4jaFvk0bTP2a2mNGOTfLwGEM
wMQBXjlCUq8PeoFn00o2B/3aNFPvBOYXBp2s6icvvak8ZoGlXupbHYPRlcmm0hLe35JtBqCXs13b
xcxN+rpJSzc4e0h6ylNrmBJleTV60533jteqqxWc7xsxKsdN+tWPGmVvIvm8zLMs2bInRT5KzYoH
UJk7s8rbW8SW8geF7MvR8tqzbJNRFb/cjWfXwwpaeP4gw/QEK7GQZMtBhui+yhQpZ2rKqDIgLQsw
XGYMWHC+iGz4h1fX3f7sWLpPEvU/XNkbUV7S/W9BbpCBy11xmkBijQsb7Y+TLGM2GWL37r03XxvM
3yG2qRBSDIQU4r2b7CsPMs77PYpVJeGmMCHvaiWMFqOO2QWQp/JAlhCR0mv5Q1DiuifQl+P2Qx+Q
p3+Gf6hFXBFn8MFQ8T9u0PDH5c2+7bXIuZVnKd4VfZ93p0/1TIgw8U4TvkOfOgxteOyTALWGP8eQ
EfJQsrxFBcrut9c6eRamTr+DBvnzU70cpGzcm7qc7INslFVOKjaZOop9Bd4ezCT7hBg5WXxEzjK3
sRKW9fIg669FeQa8zr6RZ5MUwJOnLpspfh2/95XdGjPC0duoWzzPsmEDBACj8HjSvQX6es15UWkk
STA1UvjWAqEmbWcPm9gr2rMI1PZca6VzcHr3SVZd65HferKy1mWtQag8ZMCRN7YZ9Mtx7inrLteQ
I10r5XVcJxgv15ENajl9yQosbiVNV56hA3X/ztf9RN1FhM8rF5e2y7nk7Er2LrKwoB3alYcuZ8ge
7kFtDSNF17zKmoNSKTbnvqLW/3LeakatLmW439b9cNNqur0Imj5bNbHxzp1OlM5zyW7Ajr4ejLJB
rJNsvqz6EPKZeS3bg9iFjv0h1FB8IbtLIjbyBYsInX+M08hZmwZE6SZ17ZtwBkXgEKn+kRWoA81O
GteI0NY0RINFttT3n0A/SQb4fCMrndktFP6rRQJkVfzGBqFpdJPbATtHcwaQX8pDxC4qwpXI4skD
guwZvnJtfxHNKycVhvMc17IbdokDaiHWqJ40SMeVzf2sULCJ2jpehUi9h0uQgjlwkCxeCd+r70sx
1veyTpvrOkjdWA6Ro93Ismz+NM6gxndN5wf73m7EsVet/ugJdogXshyjQn/j6rdFVwz56tJA8gk8
wOB030LMbdi413v0l4NydR2hy+P3sT7VhfN4vn77qdpWI2Wr6MN999sl9MN75d1FtMYznhyC9uEN
c3ntsAV4c4mR5Q89Ly8Z4UfqMgD0tIThhz6uwo5plkavAl7YNi9rPAnnQ/r7bJSmcteybO5Fcunx
qV4WWUH3W5D/XxrRudOCxCesKQ8Sc2ZGyul6wEX7vWgG7aIDJnKUjbL+0hfL+3gZTPW0vnYjq+6v
+rLSlhe1WxPCITQogRigaUQRIGCtWitO82aMXRYc2twRxzzOWZhGTbWPp7TaJwbm5g/CInegDm6+
lDH1HJhIRsLogYzu2HUjD3krq9xQxwRcWAJ5kEZTs6WnY549Dc604zWn3UFm1e/kWYYPqD5F3ela
r2Pddsx0C+0iQj0VUO1CG0pr63DbUPyovB5I6/GXgPpeRQoi1pfmyPSQqvx9NRndzJccCoUtGa52
vYGwzptj35iXq32oz9MKdAy+eGLS91MaVVvy1Oqj12UIVSq+/UPHziPsMvHNbXOxrCH1n/3fsZHh
TJ9ihfOl5jJphZ5yoLEF0DWIo6VeQzopD3YGek3i0lzZERlJkA7vdQXEqmKocNiZe1w6y3FEOCf1
qtBdNHNLjY6ZtpIj2kO4kyGfu8xjQ62NUH2nh2wtrGqV6o4z2Hdg1vO12yA0zL/O/mGH8ES0pPoa
2jG6HlaT3lV1gvcvZoYbC57Lk4yVci3/Gqv2E5bmE9AHRa+VhaPxSpKcgQbXA8gwCcUZRqwa6KrJ
Vsk2kK2OC9BBtsq+Rcc+pOoZplcvfcZZmuyTL+rZT4p8PRn4CvzUtShbq9mJSrZmBa4ytQmgCQ/3
GIjHwvRTiDpspt7Js2vDtS6cW0FwaFs7hq0g4+RBoMZ8aYC78WNih28Sgk3Uawd5iU8jyUuMqJ2g
CM3AMvh67XS+KdBXzakC1mQ4Zrm2R+B4kT3Eb/CgsINR3wI+ADYLI6SGRae9VZYGyKocH8dCwM9T
kpSd8EB7c3LVYfNT9U9BOqkYIPKFnbvLUfM2r/cD+d5/Nqo/6GhjKAr+Pkwe95Zwra3m9zCzwWct
0A/rj5EeBa9hOe2Dimx/68bTU1EVy2EWRoM/V9zqHbZRwRwFaZG5s43HjGz1Er3iT2FI2SqHhJUn
jrI1MtUPQ+ZjzkYxY7ht8YMthZQdBq8AQe90DyqC4/vODe0NZlf2izJFt/I9fI1IAX7uy8ixNmFj
Ibpsok4lFvVkVVs5T57iyLgxnXz5aa4MqZIZ+KSqxo0Vv7e+18mWqKk/tIwDr5/FZarOhs/OKJrH
ZLZvNNIUFR2zObSqUMTt7yKbosFJHqbc2UOOLk+2gp8dAxW7RnOjB3nwAHiUCVg8WULbQj9VZntj
9CYGMNmYDdusEz0PWTpM/P4fnCxtl7P/1rZAig6TmFY9lG3nnGTIqPvi1nan7bWDbk/JjicorHrZ
ASqztWyRT7/EXK47JXdlUYSXQQzkHe/CkY1PeRcOMHxs231rIWPlASh0ugLbJDbmPPykuOVywBXh
UUlXaoy2a9E14nEMan0ZCYxvZd0A4vYIKuqHN+u9yqqqMJEKytSTM1cJ0OmbpLaZRc7FkkXfg2F9
kW0y3IzhkXoZlJ1W9c3DmPlvaIeIGy8IxM3oD6DQ5ak88HhXFHwtfgd8jqp+t8gYWfSLNqgWsozU
WbTWram/jHmNyYp49JfX3nJcqx7f7+MyhCyXmfOkijrYfgqxG5U3auA9h1aNk0rnmQe3VyKwg5PK
qTxcy7JdRspmB6ms90hZtq+RlyYZyobEuNQCdEZkkBxDnl0viTeBYiz/49VkJGvUENVBkImq3gx3
DgKDq3jQkrUs9l5IXW8Md707OQuBBsXmU4Mv0h8h+y37z/XFcAjLTLup8zq1sVNhkMF91MdS3AZ6
0AJOypyNx8ryHlH7euHXk9jLojwknfugmn18lKUqjrX7zhpWOQZCd8Vc8swguIeYee1SocJx6jpr
54/NFC29rkVlwMu+atC/oyUaLxM/ER2xP9l9vvBghmLTRBk4papeAu8R97Wjho8QAcBV+o/yYMR2
C4LI8g/pXOc2AFWnScHcZS6yW9/d5YF+qEzvvYPeA2GwMBqUVVDRsrUz9cjGzvFgb/NjXzi/rvFQ
A4F32bjbzQFVX43LoA/HnSxObdkBRrOjpSwqbmo85OVLlqTvV0MVqSJ9aTt7I20TUDeFQdLGnX3L
0BKN+cviYIXEOo5lc11UWICIr2Vzb0CUQ6ufAH8OkFGyKA9GZMfgaIpg9anhWsS7xdyElg1G8MXQ
XHxyRiPAKsVls2lAx94C+LhqRTNt2IVHut6Nwns1chfxWGb/1ir7mljyyNjUcINH2R9y/+f+MiJE
nPYScb3C7+vLxusYgILR8gWE7iH1v7FCNLySGgu9hQ155+Qq7RpmRoCQgCW+120cHOIZY72Q0Z0d
OcsxNIazPLSopp5Kv0HWvh3PuQ3JI4v9bCvvCYlpLBms+ngpuWyjNYo1LBL5cfxulXeX/YfWlJTY
h77d3FfMH12uJtaOveoAhlMK9SYp6wNwQbSlAMA+DOEyjeYN/7mmUGPvYA/5L9l0Car9bp1WbrS+
9glEkS7GPngfRzYgZvz/cZzrtYf/fj9dP6lLw0KhrEot41g0+raPdWvf+gbzrbTvjeNYMQxTr9Q4
prYRHwYowNhCGkdZJWTrJUaGV5By1lrrwSWZu8hIObYsKgPuEasqQPCpTapxLStl8+WKMnyAhLSG
fFUvIjdK3p/S5QjOZ1GaxrjDE2ON+11kLklqmIeoyiyg2zzz24BXHhYTlD35fJft5HJGd11Wbbt7
n9f4Q7Qny6fc8gMJ7twudTdD0RpoHf9Zp84N+N/BzKn1S32O8g5myXMIDuZfet0q97K/rJIdNL4+
K74pyKLM/WWD6DP3aOujsomzAT6HKI9gJarjpFnl8T8VZYMMGVG1tusJau1/j5UjpVHw1bFRRKvt
x1IxlKU8MwGtXM7yua5MFcz/frf+fRx+sAqoYJKZbrr+pI0lizowXiWPAMzO8zhZJQ912AcfbLhT
oAWpbyDblgUnzQnKV7jGC9PMwDgPpgGAOX405mo/65LDyFp6KYtWBfUejSQFAPNUvOoaSXiyQM5J
tjKjv4wxMac5x074GEBWeuWQ8LM1mcfgcGFn+L1ti9J5aHwbN8lrEXLIvg8QNNkqjXdpDRAru49t
0zoiET6cJ2RSrNHobhBBG8++yaGJFFSwq0hfOX3Jw2uI7eQ4ue8dZC95cI300lWWZP/BSuK1A5Rm
VbpVSq6zG7eFFhn3JUSrdVeSJzMtC0u9uc5XzHZZFnZzCZENIwMsUGbLD6U+/uwCSzuQGjbuETU9
qHGonrSudaNl8TrCFbtv56axa5WTZg+71nC8CCPtbDwkiv7rEmlC1gKdbhZLec3rzaQBWt8xsJgS
DPuNrE9br11WWHxsL0Ndb0Y2yxuMnfRyI9fhilfNS5x9HusBggks7Ix5ZelGSr8D6g9vS2FJv7hW
auME7lauF2U4mG8iEa2/xFyHuDZc667D4PYTLyZ+p3jdDy+k0F4hVCpPbTFa26Izy12b1ekTSn7f
dICP3/81YIgwvKgD0jJSCmhU4ckYCHlJMUA1tI2VXWUfi+ZclMGyVQZfi7L1U9/CBp7egrFeis4y
TlkCHmjw3S/gWzX/EGjIpUPiQeWrLpWRNE1snsjtGicZ3QztKqkNcVO0v9LCMg8hEk83MEn5V1UK
PpUwQ4saETFq8TEfbkgJydZxDpFn8lA3kKQuLZ/LdtQaB7v/jqXZ/2Pty5rbxoGtfxGrSHB/lUTt
i+U18QsrmWQI7gu4gb/+HjQ9luNk5vtu1X1hEY0GKMsUCXSfPsdBXbTyo+mojSBSh1Loep/ICHTt
UdrnKIPGwZwMrm3HGgH7Ce+RZW/Xhfd3lln5AWjgCqHPOM8PAoioZeqGxpIGCS/zg7jrYqytClez
TtBqRtX6IFEBqBTSVROsUfLi8xAqxtC5mnttvW+uE6QBTijAe8Gus/zS5cm0MMo4fOk6wJGMvpQv
YR3bC78VxUvoQnawLCMfKgpCW2g2anY7ExVNSBv4ewPqtHOdtpUk4dw0iOoBbDUfmrdeqqv7/x2b
ZVG8dAdsyVtV/Wl2gMeYTWxgreC7J0exnSB9BhS7RM7wMER1QLYRkMtpNXerIXlfGkGjZrBQ0BX4
BmsCr9GqLehTvCBF2e5XlibPAiUGV72v2WXI62xB9iLvrVWuA0buK1Avyp+xNDO+hFPd7vEFCCiV
5OlXVLeJhYj88Aws4HRfae2V7BHL63UWWjYCY7hILNp1ZwFO1IJn8yV+NXky/himCHIFeKxd+6qd
tlA/qbe6lUf32A4CQ+8Uzo/4lbXgPyFP0JvJq5OAFuZtZQ2+SVQ+QdNxBQqLDDVQ7/LzZESpQRZI
6WYnoPHcS1Fr2lKLbLzN3s+iAqFSssXvZ7fe+SwZy1NXgBwrjpwrx+p1h3vRPNMBRezW2U5CqDZC
OXDxqYOaMgmvVZV7O/K9eYDnHZEwG5jTPovuQe5XPBhNlgShDth/KVA4lmhVtbR7N/urHZPlZMnx
NYK6WDA16UcPoVIk/+lBPFFZEi/zmENNNNJQ8FGAanMDdpscvyJN55dQbTgE992VrYMTbBZR5rQ5
cdU2hPrDCPUNWmwffHCGditfdVCvn3n40WTNSWpVg6IQtaf5MEzNjRzweBDNqVVSu6xHwNes/epe
Api4GzyNrcep0p4RwZo9TBT9LHIJ4iEnQUlUgfywofjWoQL+Daln4wBm3fYePIryDO7zrVngYy/1
UpZrW7JhRb50MPXsGyjsjAO16i6eUFPZb8HnLu6wuVz2U4O0ZAgxNxLKbQXicKWJ6MgkWvnksmJF
JdCgR8V2GHIqK6py9phrLDzH0U8oUFxm3Oi1hziUMgDrfumgUga0uHTgjq7vNVsdgDXP8RTBKbC1
FkNJQfc9x7MRmQLVQ+6qpv3fTosIIpANymFR91rL8Rqr5zXIvmzkcDIb23oULhQ/p7At1jdJzwm4
W6j71dAKlO6W7J9VP8mlSMzxkEluLSawcKzIkTpuU9FZlIpN8j7VJ7fUu2i+kYt4A8oVlqza3F61
rVPc2VWGjaaVJpuGtdlKsBg7TT1D4XynQ2fUar4PVe6vWa9PkCKAPjVpV5Ot9ftpOWqjuFLHv9p0
NRYVfihNvfnQkKwRw7KTo7GixOONIHpOW37IY3KoF63DYXiirOXcPXNH/34+pzctE5J0M+d0V3bO
ui+7Jy9egfxyYbMxOw2y73mQaij1dIvfmqmqMi4GROiyvt1Q6921VbXIjTq822lGapGdPN79yW4p
gaR3f7okufqvTg0CpkqxVtOhrEInEH0zLW42OlP8mSdW+qCxJR/bAy8h6vXfxrXegKIg8hzSGlJa
Q+oGZZ1+9LnN2IJ4bYNs1A8oHzj7urbP8/dBTbBeoSwaX8DtL0KWbXYjk1e4yAK8D52b1PPJhojv
tzBq6oXBBj0QLZ5sxC5QCfMHAPX9JQK0GBhWY0EcBCKq86NlgSeUvGiQG/VgX1BU5r8PakV6ekuV
GLEBpW+rQLlblUpoSEGeeZFWzniidgR5nHUvkUokm6Z8Pjqi6jrA08qdR1M3YsIGMouIvwF7bYJ4
KPlpIfO20wpp3tFhant35Q4iCm62BuV1SCHq0SIvdAvbYki1D0okjA6IVoNvtUHMuxhDMDgq4TDu
pCbEqF/J4YO564016GzzJdlucyAmB9yTcN15DupwCsM/sQhLTXWp7v16QAFl62myhs8dWHP8hdRr
v7tNXvv4GVRWh5vPZ1swKIESRom2gtSwuZqsRJ21a11EARV6iEM2V+VAJnKgQ+J+NJGrGgiwsj0P
/HWu2/S/ziXL9osfJ8beY3zhOra4p0NilFC8N8LuTdemLUGKxCbf2nV61t73fe7f9TlXMSpoyQwR
9FVDHd5zG4Er5OIL483bRTnOXYmtzGfv2/VohK7mJ5u0Rv9uxPzU6irjJc75y5jG7nUcsNyrU5Pv
qEmlO/7kHlCFJk5Uw5MnfnRNjAM1yImDmR61jNZjrOp+yA7vcJP2QE01NorBlh2k81aGwC+HRpAP
KpDfLnWbSl3KRRAXstv4MEZb8mvYoM5PzaGj8uo44DK5rzJbelisI50DZAGc/h3P+3MzZfJAJjpU
YHXaQBSbgcwRbog8AmmRwE+3AR5INbfe16OVuFAShuz2lrYSKb3i6JQO4HAMV61hGAvappCNtiV0
drPdRnyy0QQWsn4L3Su7gKMAFJAh0IJ9IA1Dsai7a/TsMNOJodz1jTCslE1g2wwUmT3EBdca6ifX
jUqQTmmVr1FmkK5rlU299cqI/TUaQNAgpRcvUafkBp9g8tSk3gopx7n3BpMnOD2ytHwe+6ljnkr1
phPuZGgbIrqFKiJoGj1PFZi6QgOM/l5v2M9hx14hyFRcqLNr2QIkeeyxzhv/XjK+ITPPIcRnDqjD
HVnsPI+lLnaFXqUr6rUjoQWRnyCPpi4QQvt4vsA85eh+ugCSiR8uEHvCW4PKFKhXlLm0R5unSzQR
dqFmbgPQJw22zNJ+r8nCO3ahjFfCjuPvNQo5Jgb+UwjBWeuBlQ5ILcr0adSaKzkAQOmC7CIyL7eR
kAfk32sDm2A/tL5kU26vIe6C28oGa3025uCHUZiVXoFdbgeyFRBeAb1tsbnZ/bgZ1jWAkohzQRzs
01BqagSmVGNRpwu9qPeJ5X0S42ayu6ipFp3Sp6CDU3YIVNFpkwCC1arDrZtscor4ahoQCKKOz1PM
81QNEsWIQq9M1jjH22HoerHvK0CX3u0R0EhHcwTR3uqfU5Qc9pP44FO28bhJW/97H43lGVzJ7NRo
a2qAGhoyzw6W47O9zjdkJwudtWrMkAp2wtrmZo4gKAlOOyRZf5n0w3w3+y+TRhDE6gsRe+6SoXJK
7SloA2KHnrMZx/R13qJQ4kQdPu0/UCj8BaJfwNOqTuDL2DpORkSLf/V11Ww1j1/nHRD1zvuZvh5W
ADR5h8TMa4R0iuZBZCjg07UJxSh57YJHuHYfpYPKdBDW/A0JO+/JwPMTMTwjPE5J0xyYCSAk9IvM
B3znw4Jrrf5Day+k86XG2DV7GxMaWngUUQxp7rSUgTHIpcxL7IoR0X5t8Xxe9CBxuTSiB52HHmH3
xfPpVbjgfgBfpFxmAlyO7iDLFTIqyQXQ43HneFLbMFeUV8/wa+x8UIdl+qBbVuRhMh7uxl6wL58G
GW2jgW3VKq9tA94DTzJ3Zw2+zKE6gQUk6oMad53ahfmcNuM5k172V2qmqKTE6u0e/JoNakzhwTXd
fG6G/kzxsz95vM/xrx4oYvOWBaqAV16XPoGXIr8joEMX6MhuPdtSNCgA448EqCi57uxHcGzNMIe8
MgH1hBrG2hzBXtWBb3dTmUW/LEsLatsKCZEU8TwpjW9XNKkEWpImJQwFCjvdedLOkF2QQLQE0GIs
U3R3uIv0ujhC2wA7EIiTzU0SqSfeWAMmxE7AsKKWO2RXpibRiyNN8T4PmSDouXQTzcDXDPp+B6BH
FF6B5CM6Tg5LL0IJ6XWcF391HIip1vdf5aSHqwwbrdnDbvV+wQHS8YG0WzsiQQHVezwVdADiUlaZ
gQ7IyEmKn96MNniwIXOpYetCo5G0qRcMnA/qhRw5q3KcEF6TeX7JK3CJkq55VycjAFW/dzSOhr2E
6ogQUZtHpL2Pu1h1REllHZkJHuLTiFBVXgpdPLzFdwbTzdcjEtSkd7cKe6l/a9MXKIWCg6jn+jL2
5XQ2gG86ooAdFGFvDkUfB02mAc+nJd5Gtt3a1lv34MjQdlcIl6TrAkSKQBlBY566Y425hxh/D+iH
oFeZofRulzEUsdNfBph1YAL9/9KNYPq42cGNE1hZyl/+4O8oO4v9EshGAS6yEvQeWdrgV6piktTW
vahZIG1sQ9AOsQu/MsaF5eQtJGNr80Ug89K0CEIiOHDmTVctiGUTPCugtNLAd0hNy7H+e1BtWADn
FfKEIFUJ+lt10MBTCXgh9DPa6R+b6kggUwZFmAGwJ90JJNiNK8Orj4mQ8srVoRjtQFQl2N1Viw4A
/FuxwKJTWfy80y8dcsXUAqUj+DiA7IMkcnS4mZKxyQ9Dr38lEx2czi93ns7aeaSIG74rGvsnJHq6
A7g/IWPUjWkPcdCyW4II3UaOaagQb1dG6iFPOpvdqW1F+c8i03XgZdLxiC2TEdRTPywIa2kMqL7B
uhw91CYfOqMDWNLAW5Aeb2bQ9wLAWXXd24BGQGK7nvRLylxIGWmt7+KZrDF8c10TBrKOvFWSmvJR
9BxxVNu/Mh1YLj5WYA91DO1AndOg6yiohNA69Xqgf9pCtDpcUq+HV83Jke43VBbLRxtc0A+QAyib
pumWZaNd6gHcYuRZ2qjOrmWh72ge1uCnI+xBBtTLRDfsDdS7gg0Tnwg4juQuYdWepiUPICFB2KfV
99SKCxBRYstZH2k2xKw6kNjXEjRaDvRGLejh2UaPbdjE2VOIYlYkPGLQREGJdDvgRt6ZoNE9oSob
j+Ymqh5rkGMs9AHKbCW+tBABnwhyQWKlR8m47aICgAsVU8V22ljGMa/BiodmzkpuLoBmSE94KYGv
pbJQbKNZ7ippE2OZhfkvjtyFCEBY52u9qKECrFJwmkrBhSo1lyEG5PdjeyYTdToCBDa6bw1r8qAO
pwORE40n220Sw+6A0c27M9l1oQ2QpIFmFur1jWPT1cW24uE1nDQL1F9EaRXlDERWBjhSpzD5K8e7
HOQqqocLH6fQgknXDrSDF2QEdzPc6XR2BXVlEXQd0lKQp175/gsvW3m5hQCkZqEsIIy1LQUOqCMW
1gghbNGs8IA176gjYwI579J4AUFGtnfLssCDz2cbK+/8c9VC1yC3YwgqhNO01Bs3eWkHr1y4Ux5+
q736PAwIyC/G6bXChg/fatmigqSvf6ZW/mwPafHaafjXon5ZPmE/kK94kYlr15cICFi2cfL4OG1l
5Hb7WvcHqPKy365cjtbHK9vqyhqvzpUsEWcps1ck7T9eue/S56TK9WVSWP1lios1SMzAxj1Z2sYq
pfbNHHCf+13KQIbdeAEo/v0jav77PfLoxsYcEv0uBaHZ0hV19cUW3YsCbWP836A2QqZzSr9phqa/
RL2brhh+9HdRFmob1G8n+zhNxGlskymw/al8dHkIwmhuGd8hpPH2MQx8DC2Mou+diSDgp48hJ/+3
jxFbXvnLx2iwsDmZWCcvuxG/53qAfAWSEPkjqGDLq9nisaJalq/jACxf4criTCastsTKF2a3oSYN
5xOwStRszXEejrpuVyzVUBQGoMYcpMjuZMWr3uQ2BOKN/IqtFoAJrf0APQH7oY9UEAYiSAeyNVGk
UL+K6wokxw9AGOVXJ3wbDkkw5BNjG9EEq9OPXWu9HYQ6SwF/d7Qe6FLVcuJ+QmwlMxE4VT0g54Fq
j6HvdLBUrkjXwTIQXUAKZDqCDRaaevpfZIa6KKRilBfp1JBXMUl5rGr9inVLuIyrCnyYcrCaY68Y
VOjA2r7H+hhk0DHoH3e3DkgjwFt/95ZjE5RtuIVcZ7c0ET/bUfIuS8F9BYYJD2SowFlTLziv/R0l
/nI2QY7XA72sE4bBDByYBs4XYTh4mzI2GnNFeu+GMkJTwduQsDuJxdMZ9TKwuC1a1Vu3wM50QwvV
dZCEXSZuPjJiqVUt6eiPRGFLfap161Oe+rvnr+MgMDx7VmZjopAMsLBwsGWQtuBQoiXgvBok4xhX
0AlRi0VKldNh9rZaE1W+SM3fDr7UZCArrH4H7mwTSzMBUojlK4Bdqyrz0xcZNxVK/WAnbto09sFk
UWez3ZOKYcwL5auy3/wNZv3E8m3AMwyxl1ExttOhTRmqRYYuRrgNtltvpPxyt50AdqDdYpHl/BwZ
eHG17YBKC+mOX3w/jFajmbM9ZXfc8m6apHj55DW4icot7jPs4K8a/mmd6SBx4cWutfIKjgSnEmYd
TDFea4l/KaU1eoY9G6XXRlNzr5mlmw9g2Qk0vG+gmWJ3Ry3Dfo2UalhmYDnHOIqIlI4NZF8KQNO5
OFBvm9l7CdqK+yjiFs1B5h7SokeeYw6a0kQcDHikNF/kvEyhYNXxh0rWNeh3AFSqzZg/lCDuB1mL
t5xGsM8ua7OHpmEYuuvact56U2yraSiZ/jReeVCniwK7wIYmDWoHGret1J8iZgJzt7TqI/4UMXOW
6zZvjtQ7qcw49SI7DmcOfvNbL/2aqMld9nHsn5zpt4anWnocDkXsjsvC8bVHLZK/ncmRvdmG97NP
floCLfdRNONGFKl54KMH0h110wIHcS+rUT7YfWseqk5mUDXEzdmA7tvE7uWDnW7m8B//IQEX6NSX
g6MHleMiQAQSk8MkODtI1jorSMKbC7LdOv7URCyB1Qsad+s2i8lZtRwK2Z86DDV/hjfuqvVMSHxp
Br/QIS+zR9SvukA8/mOiM/C6+UtwymdBSXqZZKwSAdoUxwMF2q/eMQfYPXO+38ymjOLbFXK3fLuC
awO7pVjj/CWLeBbQiJuzo+UP0ZDvNA0sm6heShZ1PibrFiqf0JLz2K6d9Pqsq0yvxnP/oHeAGKhM
L9604l4g5gSZhRq6rcqDOnJh7QzUkM2DUF7crQTEzaQxhWfIkbYLLfOrr22FdKTNcn7Iw756gR7Z
bG8kVIogSGQFddrUXyusVQ2jLO/NIgRbUS6BNFb2Xg1HBVR0G15DcvUhcrpniFyUK2jvpQ+DjnAL
nZFtUDapbHT2f+OnlQgvFDq4pseRG0vfnEC3r55o9mbqZfvFYlwepA7MMlnTLDeW44AnSsVN6FcE
3QQSbB8iPBoI8taNSIwNCV1Mrnm2jVK/T/MxvYsF+0Fm8vJiT98UliW/KC/ddzdmDjxMqVkPWGsW
B8PGQwD5ePuBbCXnqxFFjlfTNu2HBELNKxeo6w150ABLItypBGAfyKYG9A7YW+c4gMeiGCC+NABr
N38BXLrZhX3DAq5CXy7sdmt/tJfYFr0q/z/ZhymD+mwdLvjIu3NaDN46ZX0ZlAXPn0BjaG6hS+kv
edjmTwNvULTsRu5C89FMphBBiQr0mORsmODz6fPhTJ1plUz3KUjIIiydBuhsrfKoZI+sG+Lr4LbD
tk8dT0cYzmn3FV6W2WIwonBnmRvDFqL/QR1aCbqrQ87Gdj+7Q7YPejMQoQJ6qgYLy1SNZysuu5d2
5YzW8KJrooXg1JgtqBlVnWKY1CADq3qhSlpBXAGlLNTMRyiYRfbwgMy0f/U650RmfLtgKIoAcq/S
BlN6UEHLIQSzpV7XkK+hJdt1mmF/d3vdIjqSyUWMCAm0AD68hulte3v5hmOgino/OFAfJwUWdE6Q
eZnf1TSQIQYdgwzpaIHdHXtIY1j3KsuWd2N7H0/huu14dCFTp3vQO+bND+oj023QzfbroHac6oPR
DT/I/387KO6AFgPbAz5aJzzESd3x4icRoB6VGMz6u2yig5ZgtflQhG35WKTh34ZaddVuEy88LCZP
oBM056bza5N6b86IWInTrTmkqDgzsqhe+doutFRl8Wh60x1aEdUZ939smW5RLIbMqe8BCWFLO+fs
6jFDriEr3RxBBNfvBwGxHN/1xAXxZXOlATDxNNUQ0pBl3Xz3ar4TBvC2ixJwbvATQCg0N79DeYd/
cZjLlinSbfOUvaZoH93ibcphAmCpG+y3KVFSfoxw78atGL5oJetBzYgziRq8BXQOhi+FwDXpbFC2
P/qV5gSaWB+EpcuxzfmatMFChFVOjguKixrEyQE1m66BUDgUOUkpjDTDqpy5p3c7SYs5CGDgZZwm
WAuevAKywQucWCHePwtIdcwnH7v+w0cH4GffT7G5jjqzW/HJDXex78svLuSsu6GsnoVRJqcMDNGL
EboeX8gtjlNtB45g6Gxa7qJivb9NUhZuOIoVVyhMtoJ4qPC/rrKpW5llBt0PasvW6kArYlnBCFEh
6II6U2Dq7gZYph+hLaMd8dYDdNVe6OzdfjORfbKN2Z8o7slkK8DICDveqtGO7GSizv+n/dP8uMc/
fJ5f56fP6ROi433ugdlrH1Vta0NzLNyQ/xx6ENlK1l26IgXvez14SF0UyffGdMM0ALYd8Z+mA8mI
GjD7mFMCoZfEhSpMgqf071PdLO/TzcMTUPo6Yw6FcKWGYJW2uotEtfQNL1uTjbQTOjCfnodMX5g9
Ay82XqWmFRk7pEb1GTc2eJm1sIXXnVywzD/Ftfn2Ak6qN7cZRqbc/LbsTmANcZ7Sf9ymdvxttl/d
aHgZRvgXO7j7zQkbYygwXdrKhia9WbvXWMTWFWjPAfXDuNFL/Zi1YLYgT2GZ7dZxTA9ciQybEuXf
TDGoDnkDrlvykZrtLBoBNB1DjmX2UVcA+7L94Qr6anbPhnA6gjbijrxp2tHHc8uck0O6GPejC9SK
FWr5NoMO5rNeISURumF0oiao/jZN3sYPGhTpHnJprqSqcU0zk6HqSZQLak6TYW5BxqzPvdnIAYQZ
i2JLvTQlh+DGiZpqSpmBk4+mLECvk3VRe7KjELQomo9gBV8yipuog2hywMQhB3ekWEoXVRM08eJo
TU0j5cOB6dAs6mtePEbIGz1Y2RxKIYemBuXzbbgQtb703S4wWhMqhVHiX8capWpMqYVWQw/aCbcF
0Ljrwf7wu8fgtYdmxKv+kweQUwiLq5THH+ZwsX9fjbEJfXisWXIWAImDkIpjWjhOina/T7Q1EenP
trkfpPog2a8bsMDahWZs7NpCVoKB1RR5sProUhMpk7lJCBvC1PDBnk03TM37IELrkNe7iVrk+j6Q
oRzhyCOUUiesvHRZeoD8oPsAaLD74DL2jDKu5gSSWBeS5bUXIL49BtTZupp/kghZtaqTTEWRnUs3
Y2Clxeg0tpMAJfXNmoZ7ujCwE22+z6PVIEhpbADvj+/IpHs9FlUgft7QJxh7rztw6AEvqJfmYMjB
FTrrr2QaKg0VRIObbukjQF273tvM0QEA+ecTgfQHql/aPVlaPYfq0/Q9TOJ+RwE4AYLczVR31RzA
G2KzPeNFe6VOusmQjYXoe8KvdIPxtEXZx6/DRV5VK+4w0DcXqbeL8R4AdtfbtX6dP9osKR5zrJPM
MR0vUW3iHreZtbQZF1vqBEJ62pogSljSgPfheF7lIHGVbuA5ZXI2zQcCTTC8hFaA9E5g3wHffVoj
qdwMY/wdNLjfnA76PiAa8Xc5hxqjm2XGKwZSPw2Uleat7ASgmWKl6Qnb2QqCb2i13CItbijohbgi
L2wvwqrJ1h5YCwbIIH3p0tgE22mGDEamlKSUlIuyA1nLPth/9UfO8MT8hnc7lC6PgLCmQCqoyN+n
GGDlxtXSjJHQuHV8CBY2FAl0B7BqFjGe4X1fgktjCK9Q8QqvjoEsC5bH/qaHjO0VHAGI+Tso/Ro8
/0geLEyMu7H7NknbTpaZzx1FH/4zdAcnWdqKHbhRU5IvzUFT2nUDzT51hbpnCN52UO8OexS9qZ0d
nksOZPyidkfNhukrDlbYpxg7DyxbfnejV0VvQ0Hbz9s/utVqNgIyv7upfcw8G9npolpnidtFabau
B6Nynw4ATkCYbNNOaXqALlh2yA3N2kigEC58KAFjLw3voQsRuq6ZXX5lMf8a86H6WSfQu0vdkS/M
ERDohpc/O7/+KjVefM3rIoE0Tuo+SIYfc6Xx7AKBirer1Mb48SqOFScB8mAN6I9fa1N/Y42B0vRw
AGaLOGI+mKENOdPK/MlGgxQFhxcZkNjwvSBD7O0BIjHl3kbKBsI8tvVAtkh8aQervx8MvA58G7LD
zQQurJs/pK8AaRQ6VqmN0Vznw0vfThAtLa07W47O3lSLVQfYjbWRygRp7ElckGwfgXb91TiLx5PR
VJ5JYO1H4Xk/ylQ/6mA5uZ24jjFb/H9OfvEpE18+x239SmtkWi3TQln2EJsXob4j++B7F256wD5k
09cuguzALbxLYWBltxjEzi0nWlPlgRyeqwhKFZCKMFYx8oyQnEumsxkKfUkOtv+ctrW15AWK1RsR
ZUsx6dF6im3rrAFxOx8Mn/GjL6ygz0OEt6iDXAbILS0L/MjWZOtR/7fS7TiCMF0nLv0AupDWTsd1
WQh8f3WpIQAp5B6LRvkF7LkuJCptbd+pJmPr2h/dlwrkNQfbg3ofV9rRRj65y06Awn9ytQJMWNXP
Spraqzrx0urtxAA/biogCGIbyC4WRmY8117brngnrMtgQFsgbeJ8j4QBGB3CyQ8qBlWExAiLZVaB
fCdS8nSFOus8oL0B5EFbN5D0S0bdCP7dhxzpkCRgO+HK+zYZnfH8W1G0PrZb5pG2nH3JpzumTUeS
IUsTJu9UH+0wqa9huFvU5vS977/GgQ8FLPej9dpAlmEB4iP+wM3QW0sPGJsBNIYnlvhx0NXCeC61
7ltejlAzj8GDh1XdX6B7NhejGqSxfwYBfDueUNCTgFlT05+ncZwHQVZ1HtSUCGgBbqKFfXqIa1tb
ZtOQLBFzSg9ROIKknXraMJFvp9Q1pToCKHY+7c0RCbRClVWWGgrBYwPC69ACi49+CAYNLRfNvWYl
1bKsBH+V+XBxbdR6LfrhWy+89idKpv7mnu09u5kJHmZvtC6pq6fQfRJ8j2+2OqXSZIGwPPeBJeIl
DqPNpPJHdBhK6QNbw1E3Tu3MRLo4tce9QRmoDz7v3dzjck+tVofifCv9aUOQoHKETnnfIKI3I4QU
fAiULH+2CQcMFCRKTc7kN76PJdQRzUd+/zqf3WCN7qXtEfwbKE/RXW11i7D0lv4IlnRgblSQprAA
CixtB1RlCh2tDjQohLZTcLNNiX82tNca2+597PkVdsm6NuI7jFZzcxxy5yKHPEHlbuwjXADipFgd
qANMduHCtAu++eCN1fKqkVl/ujnbruLtTquHD24Qco+D0c4bcIG/gCDGP4myss1Fi3jAzjfDl4qx
8CwF9i0rwO/XjgnysdkFNVfTIolDDU8Xma+AJ4Kowe35NLKsApl1QA+mluyW7KxzkbX5alDO1BNm
yMAtdAGAYCJm508PP5o9Z6YBskWUpSu2Q0fRI0asQF0mnepEfHjrIuNgJBZQfcBmqCGkgffBj/dG
yVfkaMcGyoPMyjV3zBpm2zyDKattA5k2iy/yKofchGFYd3E61Vs7brNdYdryMkEIEhpxSf11hNyj
q0XaT2+ot07J3NfWzcclDcqdpN4OmQHmEb+TFxNTzoNy3TnRE8Eq2i1iRM48KASu7c5PZMCg0LfI
VaWCoyoV6FCN9RJBK/9kWoMBXI3a2oNrg4P+CqUHIGR888OuCcwloqqBN0fIZ/E+WC/jYQN9NMgb
I51zAWZ4vOTpUJ+YA4V6wXIH4jugQNHjRu5LX79Sy1EmOgNvSbbtHFWeoIbSJNRRaFG61ivA79yw
Kd5m8bOsXbEOkdTY8MI4KCxsNMeUgZDwdinklvBpgKDZ0myjTLZhkoizAKlC4HlDHNAvqlQ/Kz0u
HqDkxo7UakK/PRV1B94/9NHBr/UhcIC4CJLSf7OhcvUalpo3/xZRVVucqsm8kD/9FEEeL4KID3Vw
m2gIxZ0J2eITzYPgMOg3pJsgyARKlUrxXxlp/LcYEvfO7iHeLUKw1pNdOLa7NBqDHZqoGJ9Ywjet
9Iyv2WBAybpo5IbcUqTQMwMb+2bq2f7fpp2YVi2cATRcNG0eDsXeJFhgo3XmFlWDYZDbU7smFjJq
Joitf2hy1STKMr2pw+DWGw4ISujF3xFeC089NIX2IsVfSU2LI1peOh4KEVRvYiuOSF4Bl6iaegLs
oVA0/dREyiA+pVWbzs1IDvopqrSf80zIeJyTqPhGrUjY9rlv9Wd3mqanthDtRYOOGPVxw+R3Teaf
qW8EcvGukSY4A3BFMGrUVyywtiEIVp5ibdKAKZJr6st7Ztw7IAykcZ3dNQ+yjZfUV01R/Ojkf1e4
8zZDAqx7Fxb9w5AXKWi5sv7gKHInwIbNbcKsClo64IuaXVBNU5u2faVWUmQMGMDYWFOzN4DhLlL/
TC0aVGCBvkCAoD9Qk6Z0ve7qpsmjVLQnWd+k95qK2hYVtzZYYPSQu+HVbkTt/plckJThZ2hQ7G4D
2lzoGxQCAEGhJqFDl8diniTK635nArq8AMOEj1R25SyS2geaubIsbcE0m0NkS/grq5vCuyorwztU
S2bbGPJGC518aoYyu6LqztRLB3KW+8KPnLvZKW3wcGlwD8zzpj6YknQ7jba3QbdrFeoyRgIKWz8t
7BUKroAh8SOdHWx8Oe9rgXyIgdam9oe3/xjLLOhcBMGrVt8kXdZvHVQLPUTc/sGTKf+r0H1kDtzy
KQdd2p8c0sZ98mVZzQ548fbbSmLTpWbIsFm6d8Ejs4gdaNoXRlSd3EwzX5hYT2Eev1T1WJ/HOAJO
W5m7YuCbFMDxNZJR5stt0FsTq/UEkaxpKg/zm3FkPn4jMS9R3gd5pA+HLgTgjfcSKr/oaNS7lc4g
8+6eseGJzdFfkcVnDOuctCw3YVZADc+2fMi6ZiKwBUueRI6lYNxG7Y8SsSqNWdbfAmmsypXJV7tF
UCMDPhs77Q7bQyy//4e1L9uRW1e2/JWD89xCa6KGRt9+yHmurNnlF8HlsjVTI0VJX9+LodqlsrfP
3WigAUMQg0EqK52SyIgVax2MskaxnRoeQOxmGj56ev2IlEe3TjKs9muFhXAUPqKpbbwuXXGhlquD
TWFs02ZpDAbwHapXePK9NwxRLl+xAogpNfRjvO/1fKP7YDCNQWGNWAAK4TtVo5JZoFXBDXKPvL0H
rijsBTrX1L8K+UD9AbjdVqblj0camKmBLRW3jP1DlcXDwVVlFVXr8QtTZ9QMnQD3adCdjBFa22Dh
AD9jVcgTuZHHqIXFthUgi90DfCSWHssrZDwHbaoNCLKkWMSGLq9G55UXYF80oFmROnVkWeD3WSpx
0r9GWGHq34IQEBzmmf3dbbzmSC8nUcf+BTJo2zbCm35Zm2G3AZNevZqXemqAI7P2SCYJmr6N7lkA
SSM82iRO/zXIyj2Id7QfBjNOEC4dXxowCyxd1PvfgDdL2zGhdzuUlwK1qQa5DHWLiV7txz4qbsbA
5ot04NE5U1WpaQx4tIQk0NT6sLOG8WaVy/zALXApziQzgIVC10cTLthVdX6gjgw/r3WR2cjxmwGU
XIU+nCswpD2Ln6U0xHNo9iE4csGK5le+9dyA/2uTGLLfkBNYW9/HmE5lPxvf7TDbyYrHt6Kyonsz
twCMz3TQV9VJfJ81RX3CE+eFOscoKs+gqD7z3slO1pBmKyjjQmBRNX2BN+CCTukQaAkeYapn6FP0
uBDuVEI9zpqMHXsFJC67tQe3umTAjy7azte/RHWvrYrK5HtqpshYQB1TPqaG2oIBZ7uIwAzzJUiq
HtgK3du7kZccUXXqLLEcWoi0aZ7GPIzOujb4INAFDABCsu1KK7zwUKimcmuUmx5W0RnxSmiihTWS
YUBhrUBlEx2o+eFmqNkAFgM3GoEKxvoVlR1g2CqLb76DmLqKmCd6LYG0Et6l93lxQkWcs/rwQEoC
JQCJlEtHeQQtKOXJA5pExbewep+DPDQozoGLCBzJeCDpdy2SaeuxQg1IX1TGHUrpjbus8Tc1opQ3
5JHHiQXEgd8vEJ0Cz66bOOMCT5thT862hZrsZqiBucJQGlGrORGOrNd2Icd8WTrapu/YiwlNrX0K
OqZFq5hh2BiUR2pCpMZ6ZKJ5b4b9EG9ilCqv+qpxdiWHYBjt1R381bumkPGKNvLUS03arc/OdiuD
I4I6yYKyWq3dgio44d0mrj0NIOVcHBrb8o46UFtTdiwNQMnVI8NKA8hOqbN66OPtAAzQNNM84Pc5
ESmCKuEqjbDsMTMA3aK8S69+ijdaP7q3VcBhAobg2Jve19nUJQ4kEexcLsM2E8nSjfJmlWhtupna
ZTgqzvLY2k9tI8DLtyr4haYocie9Dr3A/lANBt5umj9DiS1I6vpDFh/zUKYnrHbeD6OXAOzzezsq
yu6Y10ey04g28C3QqOpENWNdXAU2H7sAgsEuaimtQDMXZGOqA//9xZIDFLWeaUDoDGF0pFGBtIvi
/H5kA3voG8BkhvhGNBp7IIuljXvQR4hro0ydpVeLpBTukTw4MhKruoESWq3VDlZUKJVsKnBI0dAI
UrIHFGP5C2qiJNa4/MOVXKsS1xgQlxpZeF9kDJXSY5UfW3WIewttMUQ5MENjfqQz6i5s0YOc2OrB
2/gxJiR36ifPcizB5/P7KfVrdVetIaUVb+0sTFekG77PVXVYid/Jyqx1eRYA4J9ZlqWrTDetY+8U
P5ogFSdDivdDmNjiRDbHA78es7MjdY7KQ4CtAXG0Dxfq6VFBB0pn8Krl2u2cpho7NzrqQ/XSfFSW
20gzkInSVHTQWlBUKi9qkSsNHKN2GjhltP6aa57+17nI/nHFeS7zryvSzCbn1hG12Hh84mFUpai8
JQSv99HEdsd8TFo8VuZeLCc+N6kXCfEoM+uzzTR57s0m2OPVdmjNBIgdsk2nHgAq+8QwDmSjA3dK
1DOrA8oMQFL6HLXYQYC3q3GHRw3wey/Rnsu2Kl655T17+CG8ggp6OgGedDr5pUsPevcJUhkH1c3V
yH+Y4v+7DyTAUOUF/u41E4ydqt6xF0T0kEdZtKmhUzuxQ1gulF3KUmeXFn/yk+k9xKNpPf9pUOCZ
9cQO8fdBfVJaz6FlxyfJUXwpcq2/0qGN3QxamcvZMiIQd3VitSBPIyX6qis2S14aWyPGHtWRxvBp
aCaWWlAVwTRlZ4CrQ+9VUEJdQcX0rlUQGds0ABEs2WxkKBd163JQg/Jy3aGmfh+4TfY0aOOWVyZA
rcquW6k/22VYvNtdMLbtK+DrnliBPeSHffb/1V5UqF+j7NWU+FLZK1BeQpN5mJJlFWhrT8KvH+b8
WdaZ1bZjXr+c82cSKUxEYWNvMyfFhB2+ZKHdH8k02aNlEaCijHJuoxakp8gqH+ZLCzxwtlUVDct5
mjroPk9NHYORTVPTRDqonK/CMZejgQrBxhkRGMwASblkpeMstbrJUQfQB5epB0+oYY+6lsdc2civ
NgMoKAJBsqUZprE0wccsEuw+KGhSk34csDydZppN85xVnG7xvnGP1Akc2F3CMnHqUMa/6nMXK261
kJlWHnjxlYON1KwyeeCZ3hXZAKou1aTlCuMhcm0ySI9kczwQHAAUfkOdk5ua10EqfDPbuPlznlYb
vM/T0iBfQzArkU2KfRSWQTRtB0Zr6qRD+zFt0GCrMJRYVfWtxvZli5UdrWe8EDgIatJ6hpqO10kU
IiE1MTepF7VsuF/Skxdi19Ohgngb9OM3v8WWKHT17gRCcazxqO0qI53RIQ44JGLTektDA7Cs47Wh
hlB7niEoQPBvdfXdb/Zp5k8XGTI/XrgelxuEOLp974b3pt3pX10IsfoBi7/nIumWdZ94Fwj+tifQ
eKCccCj8b0Z1JgcGVeJl4YJTvurL8syhI7KiDmdrQWPqFcrO1cqpZHz2ozC/RCOwB0htxd8d86Er
jfGbhaL0FXRsuVo2B1ukiBF7aCDciXfu8DXX7WYRp1Z45dyxL9SBLQBqK1SHhhK7qaPUwL8cmKij
6KuDa0SgVmQKAtU38o5ssmVA2Q3dcFchMrixQk3eBFlk3hi1ftuoRW2CVBK1ZKtFGw2M+VAEhshj
6LrmAVGVPRW1zIUu1IS6MzuA/HzqJH+y02FAaunAYmf3u11NC3Zo7VAY7e6Tv7LTBdJRi44oyJk6
fxuO6l3kj3U5fby53obcAInkx7HMtvO0JjD158STy0pr+rPjIKHTA5N/0wV4XaPQLL5rUh+w3wKK
DX3t86VhG+Wz29Qo45N19tXzgAKQkn/3U5AncUf8FDZfpWnuQj/0DsmgBLuUrFmWvhX8ROoMMO4s
fe3jN9ToVY+2EMM6wqPxVOm8OBrIrm5Gz8aiEuQDizD32u+WGS61Mct/goP7SbDBfva1HsF9RN4v
jqbr+8JG6b6LPdltwr1uKVvd+DrY3V46RvZTd8eDGPzqK0CbEOgC+6ErmkUku/FeN3myDewqPVRu
k97YXhSuDL+TX4Gk3w5lmv3Qh+iLyJLhqZP9gN2nwU++IewT7uxi7XZu8ewKhAOVq9WO+9j1omNV
x2xZhokABTZrjrFnjPdtY9yDp4N9hUYz1JwCuz1BP6y8A03bK9nxxyAq01XyzEFbd1s3EYDUsbfS
fBTXgQAzvGg5j8+VEWGzb1nda83WThLz7wDXQCZLOZiNM2xRQxmtEzPlVxS/8GsRoMALAYcS8XqW
Xw1or3mLMscnHrMbMqGGS0NmWvpWtOi1YhdqbbKRCvSB/2rt1vSyeIGwsTxY6r03dQSoFhiD4kqt
yAmKc25G53lQVuCtP0QxSDw/JuJIGK9wMyUbjSAiWFC/T0w+bmQ0i9yrvxPZ26j4OMtUDMc2X3Cm
KN8m4rfpSD50+NQu+3A8NsC6CsM7QMJmwRyweBSZdZkwCyOkMRAcSDaEcQi52ZxRoPFEnWRyIuNs
Wt27fwOEO9JkITtqtceWREdhF/WXIraNOxNBs9Mf7F3FP9sTs/3CsubdvwIAaEnsFfjdfPGDxLzr
Q1RTTZEsHnTNO78rkiAn1wE3KGESqFQtB/9CW7fgngjsK76Y4rGDJNOuRQn3ph0s48uIB28o3OgV
rzDQpzSpdhoEG2+gUu2BKAMFyWokcrrFY69GNgUCQ6FTTiPJgQUoAqORFhAVNyKB6Lj710i6pu4C
okgjWeTpXxqAj8gBKz3UXoTrPKztOyDEkw3+M/yTTGPwDUO8emc1Vom8QGRBLVzo0KO2QK9qmel3
SBdthtIdQ9QkRmtwdBnfExuVhUDMJk9s1OXKN6V5U8hQ23Zj1x6cqh1OyLNDfNwtqrsKj3mU53X8
BcuIhyAFuHcR3Y2iBmNY6ZZKVcR+aTSdL//02UZh/e2zhaX+6bPFmgaRXVX7RaVbUd/ky8aK2sNU
nKWaQM23Byr7akztDnUkzb6UaSoXiKyCQo7CdV7tVmsrBmPAZHSQtl17faQtkMbm2LW27qaHmNky
6gN862Rsihjv6JCdRqXi1asDF7q7aUKInbtlv7V6lx80QELO0hH9mc7oIJICDGWB46zmjqoKXuNG
DxZ57fYbKwmtveeW0Z03qJK2AVS/QJ6cUOJZPpPHYFsm8pvWI6p/5BJ67OGhx6PEmtP6n2L80yk5
jXCiFICbxGwj+wjbfrDRDQjuMtdDDUqQrSsFK26spl0YLZCBHWBBDw4DRNpOxy/kFuigOWVliQhc
h71GHLftpVVuXYhaPjX8T2497vwtBxQRMlaueKzzfItSbuT1cOdtTBaN21w1ZVYuE+iGPKe80g+p
6UB2XBv1F531P4bE965INPc3YNNGxbrytwzfWTbCReZKTZsLviX/IXHfpy0QN96NOSrbQa0Nht2N
B8zYEtnFeE9bW2qWepLsp42v6kXFRvypiVhmvE8qHZnoCtWlHgFXw5h1C8Po2Nrnvn5ihHbFS6Jz
NijPuL5fEeo0x7BFnCYbzfaEIhPQS+Qgqj5BoDMwN2GJovLC7eWG+umgufG3xCnNbc9NgRoWHGIe
dueiqQqU8mcMDDKe0y/IGBfNu4/lCLEsmwbZX+VNHcINe/BfQmkhLZG8hda6OAsZAEwIfallW0Ci
UaZA8yN1j1OsvNoNGN/ahYfQZL8gY6166MwDUmZfVO7NbC8NE9QfU6+wVkYJoGGPlQHDa/zY0I2G
Wyg6t6mNe45OI+++tLIECmeIm9MBOapMIqT7V7sFvxAHrz9ZPo2k9pjGBjTLlzTXPAZCQgjFq4OZ
u9ba7jMnu4AerN3o4AK/lEZgnXXxaCi4Fx3ITGdjJK2lkwx8HWOl4mIPEninMcyX5JKSbfB5Df2e
yF7PM9Sx/ojdSQSaPk/whQZVsoOvDnQWpqzlYFJwYMR+zl+TtR1rG/Bd5cVcG0rnzbAjHzLZrPhr
NE05t8mHmkWRM3s59ziGW6wMB4KStUTCSPL4/ZAgGlmjXh7trPcqEA6FPyZbRj3kzmq32HS59pMi
kJ+ClGkcQ+UnAnl6CzT7CXvHz9HM34KbNNhj4aMWa09AQVtnUwM/oLSiAUrxQ3KuhoyDe0lotyhC
M5dVG5mI8WThAoyR/K0P0zVAihzYjxjCNSyIfoikei1Cp/1SD8jba06k32HB44F7stHx/1ike7y0
OrDg1Kjmd9O1g5cr7gfG8V0kcjhNp5oltINRY03F0wqVRKqHDo4EMmsALV6P3WAbmyjaAx3GC4CX
txDrrO+9sfRPKBasl2TXBMgXizqqbtLAGq8+67F+UQMicAUgY1Swo4364gevgJyu1PljWIz1ogcj
34kOg9Tyk64Os42aQopmyTJzU4wAhEvenBsnLB59oGDvGi9Y6mYdAdeyqh2ePbK+LR4ReQW8sRR3
5BgW2QUoKe+GWnVSv/W8GqZJoFcHWtUswn2o5izUhhYPIrmnZjaycQUskL2lZuuVSA8iwL2h5hAH
DXZjtbey1EXBFRrvkd2wltSLTLx2qArQW1Cv53TxuW2xQqVevTfrG4QMbqkTS9d4UbJB3+WaZo1g
W05rFGTUhxaLA4SS8jQ447cVnOlMk+UX8GXLnWkUbFyYVdAhAD+ACd7IsTHMocyszugQQhXgEMQ4
zM0/+c3DaAS50LC5+f8+1XzJ36b67RPM1/jNjzrcRop9Z9wHEUSWNaiEFAs6nQ8g/mCrwir7BYQS
suPc4cagpK+K/K8h1J67PTXj3KSz3y+QtchIGi5YDv/7aaLq44PRVeiTTMb5qmR06souFo5t3I4i
xt5NfYh5CDUnFzqlIWWZPEN5s9prVlxcW0hDMqSCTlwxdtKhHBhQIFpQLgfTerdJOkvSjQZRo/Og
7gBgo0WzqUWKWomPsTSiSICW613zPNtHHbXbY4YnEV117hhAryMdmV64F2FlLqLOWadl7C+nK35M
jCgVCrfB4S3p2png2CVXRrKapqLBkXjJXBndTFNlwijXUaxVk4uv+RcLJERbMEyIgyN0cZjO3Kx7
P/uDjVx6z3Yz3NgYRwf+cTbbHDXNPCt1zLYKLKHLxMYdD3o3/67sXHBTRWBSp2bAUv9OmJDQlql5
EymPCvJqu6hl3ZI6K9vz7wrEW/JK6udpkBRQCkQRDyJfgIhy0fAbz7IuoEmp3sqRXTRHL99s4V4i
FyccFi9ImpMbZ+Bm8vVg79b9IwHSCYYeKiw6IgGTfTaRB9nzarxBlflCH7AhyFhyBYGefZvEiXvB
A2lNLTpoI9icM6t964YwRaavBSKv9Ktm6TkBWAzcPDzWma3285Xz0n6cpYnxbqOzLrOdlygasoVe
5O7L1BtudcO/T4VIbxlj6S14r51T045HMkEcIr1tAcS/CfAsg2peHy7JretuI5AxXcmLDm3d7FKr
kGdq9XGS3ta8eC5cDiYNNTOZ+gacFY5mhvvZ1hVWvfQSPd2SC3VkIkfRRYEiHrLRnFEFOdGwtdPV
fNXQFdY27cFAPc8XWpm5d40eeC3DwwdOitE72k57S8PoTwIuooJSaflpdqMCDW8yfYT5T0ixo5Rg
/7rMJh7U1953o9P8yYQbxAsDNImoScUXRr6NUwcLTXPcT39VZQaAkZqgqyIXOvgjOEAaozGmv4om
dTsfont5LpbzZfWWezutAm59/ku7utMOuie/zF8cAqTg/RfZfv50PWf+TRG+0FzT/6HflyrqOtxM
zbG0D2DYkKqYRu5dEyIJWpH335KmfTCzPH1IINl4cHUdCF1lh56dpRXtZcQ6HOBPr9m0oDLae3lp
PwoQ3ZGT7pjGsnX0+hxbTFtprMgXAgJ8911vPMl24GepWk7pjxtgRcCcXPnGfe309dUD6VXrpcY9
mToD1F5hHsZHsvVdWO7yuNCX0wBmhve9sQmEMMDECYge1tVdsqfJwYmbHhAVMRbUpAE+fiyaY/S3
ZOpGhBKzvqu3NDmqTfJTYvEf1EkfV4uNI1K44c109daSQJvFzpom89xUXnS7vJA/Hfwk+VakrnGi
Vo/l4TZwzQ50IviDRq0Pb4FUWVEnmQpIZC7sOugP1EzH0tq5MYJ15EIfQaIyTh/vyaC50Hjxq1Hf
0QcArYd+CEWPrST2VDJ+1mOrux1tV1zLUb4F0ve/QNp9WEMRcNiFPZqR0FYg3QJGM/H9U1nnUOBD
BfUX8BTaoMTN22PZxYCumbeTuYMCn6gq8IUgRrN833GDQm034fRmbH6K1Mex4+XiE1DPShqIiRvW
nYaPXYbBM+WvQ52/ikYUDyWSbDvRQOIHUVr/QTlQahtrwFe7+aohyPmaMAAgU2n/TK3sps0G80Uk
7QA9UJPfOlbcbb3K7A9B5aSIU6Q6WAPt/iEdoIzLIdD5XQ2HRqn9M8ZwN0cwGD/RYBNYGX4amY6S
BFVHHnsamC2MFMVnWdQ/QaMCXM6wz25SVZ9nvos0IgJqk5uD2ntyQ3XE+2yDcptni5PvAREdQPJ4
AM03yju0RT685W4EdKlvPkN2uAIo0ch3Td+mT1Vnn9zSiF5Rz5MtS8CjL8I19XNhDEitWUP8+jFS
ZhCjoJGFEwK2bVn6SksSJIhCnj3RGQ+ddDqTf7D9yS/UDR3PzTL7lGfTHGs4ghls9ymrN+XY2HCv
sdHZU3pt6nWRJVszrUKZyUeOjpxplqxqdmTvk2zBRyR2L2VXllsH9APPZl5OfFZO5hnr1PLqPVBI
EOfNionPCmtp2JMWBNqmrz0pfw9xMlSpAabAhgI8ymYpzbXCzi8jxwcPdhWl/6Etl4lYBLEIjn4K
2RFAZdLiko8MCRdDrqgDecLiEkND0FolY78Chio4zm7BwKLNEGbusrdRzSkB1DiKvOseImnyNVjK
+s3UHEHEZjs1PpLpdg9CGiMIXLMTddJBuiAMQ1HXLbVotj413mezDfk+W2hp4aYTvEXEyzPTBXFm
QX7oJD2jvlCr0bNml/h5vaQmHRDkBTFn2FzsygdgU3k0IBBb2kpKhGx/mGPyUAN+neNPV7EqaL+W
Hbgno8Eu77XUOBI3QwB10l2KWqt1r24KaPTFKhYtbyqIdt/bcjzqEH9d4+HoHqMmjJatN9qnJi2s
Jx106RNtneDFASyU5SoEau4LuQVZZZ8MPdx6ZtGhqN55pTumaSBcUSFmcdvqentsw85b6WEav4r8
XFSW/7VLQbs6tmN80POM36uB1F+nBTR0TMCFrDh19mmGeZzGdN5CBHyiqJWvyJbKZWf70TX1DANi
riNYRq1ihIhy+u7LoMgiIMfIVwaSpx0YesH9Yeurns4sbFUlFx7CBTibetWZFX1jbQ8Vdw9lQuoA
UkwRbhsAerestZGUFXgStVhGgN/fHbc+njO3lYvUuuJLm/4zonZYNQ6CrvR/mUVdcgtlOaXBdWW+
zr5m4NqFmKL8ao69vhRpIqGlF8pd63TaTkem80aiJHyJvNz4UvX9iTi0fQ72zriQX/Uqgxwk6i80
meQPHKX3KN3GWViXkA3FI/lBS8S7be6lM67rzVryGsxANh6UKNHID/SRAyfLTk5Vf5s+sfpTnBJk
X+SRR2IHxYLk0c/LU1Fo/kMCwqcDnijqLpTDV2XPdLwtzCiyD44LqpRf7SMSGYvCaKodHn/9GQv+
/jwyR0If2i62qVnGi0rvk2FBPW4Uj4u2YtG2kAN0zTToIHi+Cmqp5mxz02zYAdtW33bq0IBYH9kL
2KhJHbOtaNxmUwVmtySUG+HdsAe+dW0n2BO+bbZrbjJudWCHFxnRtM7KVr5V3yK31qy5wNMj1Azz
hqdMW8fqLHSG9zOy/akXwFLQ5wAruU3w6zl4SB1smtEtH+uav1mIMr7FVbNBIE5+NfIgXQE/NVyE
5yGyZxTNhmeuszT5qC0CLzdOHjEiUKCY2gwROaxzwgOZ6OCqKDKdIU0BLddyhBAtwKubxBWoVlYF
dwTiIhsIAKB/YzlnBHKKi68ev1yYL+bY6rvEZngkl1qf7m1dw1uiSqGB3jWhDTEdI3kLcFd4psO+
lX6UrAzG8ouf6t4xGotm3QsuUOuNenGoeb7ZTf5zKLr2wYvidhsERb4PcwalNDUZeYwWFNfjhn1D
aD9ZBe7IV67uDTtQCBJGnQ4+59U6cJm5pqZE8d6d8+5gW2zr5Dng4kN7P/IApf1pnO+R00CBIRQe
bqEM8m6r3LMWJHseOes/aVYEFl61qnNUqXiXR/oKkEWp3SO6hm9BxmG5otr/FKmrHXK9Jl5hUHkC
kWJ9GyEYM9moSR1At7c7a6m5IEDo7M58RBl4d7DNUnFTewgf1pCGmJsOCBTxvVrnxAqBkPYcf5kq
hnFItT45TR3eu6zNTt2QBkti9Hb+sovCyk6FpeSZEIFfg8s3gyhhucBta7yCb0MA829mV1c4A7he
8B+Rsbi7170ahEPqUTtE775dBEZjyxTRXWSAvFoESGRhbzh+tXUo8/RieIZczLudgBjgyJzs5D/y
JFiH2ogag7ZNd7aMow2SHMjreSOei8iVg90GRSFplu2MNG+/kEfUxvY2gTjfAoutfDlRz7ea3m//
2CbieeTLUCXDPH9nOqCGi5wG6mf0lYr6c5N6EfGXe/r+q1j+rfe3sbNzp6aqPE1sx3A8yAFJV0ih
V8ceEYANrw3rngMSBpljPr4VwU3Zy+CHNVY/LeZ5jyIzsLMM++AEFHg9jRF5qa35gEolut/0wa63
iRYViD2pNZBQCx6pDpk/Wktd/zbXTM911SXIJPZ5BXEfG5XX0skbCBQP4r0Se/aDJgPW5l3+aOuN
jt+prMFNk1ubjAFcHKdVeUYRPF8D9lQ91a7xnUobNec7Hlvp2zxGj8dopQXsRTj4z6SqNSCMq83c
9Ju+2kAeOdpkbhie2IDSK9Y/E/q9KDpI00XBcPFsT55MgY1MXAXGtyadHKz+Xu+NBbIFFRAiuCUK
rDARFrbLE8nQ5KrJVJN6rQ61ndSLvaL5SL1/Gps6ETIXOQeBqsYvWCZgXQkBWrPqvWMldCw1lV3W
DggDhvalEl5h/RSp691Bj3YFhtswv41CVcAg4hOYupn9naOGeAVaDftGK6H6N2hu+hhmRb2GktR4
RslXdnDK1NmOZWFdraRky4450Utn8rs8K+yfKOwHvtEXb1H113A3EoBvdKkJIn+8K8CP4CMU4+cn
1nYB0AP9E93+ZDdt7mzdsp7Uh/zBzK+o7T5yDmGkWZAoL6N2y0QEMtwRgkRzh1HaEPzQrmCwARNV
CdQ+giuLisXySM12KN6bVHqIt8Pn3uHXJvUmOsrD/uPYYgRGp+L5CtS2J9a4fO+rBRbQiFBk86o8
OlObDsolKEa+T1I3PhlYfBKfQSLkj4AV0dWRvX2nj+mFyBAsLq0tYKPJhryGfPyBKr3wirXt5EVm
c7Dg1WfwUivXj7nAXzF58aZ0NsJrrDUilAAI97X+HFvghsN9HdzyqAEfNx7+Z9TIIAcVdBGCLtI6
j4CKQxyxse7aommXhcH7L4lvfet8N/1hVi2GqzwUyypslfT0zfEhtNqHTIcgW4h7OmzAjSIHpEk6
Iz4HhvYt0wJ7WlB2qZGfiiT6Rss02iB4qHJdeFaXHmix5tv4DaIYvlwTmxfxeok+yM5ajVeFYv4i
e9sLlHYouy295exKdsh0Zngx+NUChL3jFkUz+bMLeXFueNFrHqAM2gUX2yXJInnxUEANqEEbvSaQ
BmA6uDdMNw62v45MjXi88tx65ljZnEHBxM9Y9fIzdiDJjvXak2fF8dFK4k1o5tV9liXd1UldAFok
lEF7xFyWdaDrO+rVOtaewtD7OvXqg/PWoPjjiMURdi2OrUHyEhEy8qUDiOs2THLthlpx5Turf//r
f/6f//29/1/hj+IKGGlY8H9xkV+LmLfNf/3b0f/9r3Iy79/+69+271keYzY4LJgP9hHH8dD//dsd
kuDwNv5H1IJvDGpE5r3dFM19a64gQJC/JTwIUZsWVgjd+vbO8hWrAirp79p0QBmuEO4bUudIn/Pv
nbaa9rGhjNIjKla2Ka2wJGPdDlAzll2cMcq3HvHKQS7VXkRDFW8nlcE0bn9po474EgEIMy8zkpQl
K2RjcgiEgJmIDmEafLaRc5VnKx2/8QPkiYGeVQfG8/5sqUOftPWmwEMPjEx/9Wa1+AIy/XzHOh0r
dpY7NfBIXje50FhypgmgpqAv/vuv3jb//tU7ju3gl8UYctCO/etXD3q8QpON69y3Mh52SAKHQE0Z
4zq3teqlTpE0UcsJOaIOuvLs+koeDmqeUKqtAyb2Z6+aB9ohj7xP80hd0WxYvYBYsXZgrIlesrg2
V4mVyrMLScxjVYInY0Bu6mkE6TO+XudNuYJ/Ghhv5aoHUBoJs+FEt5lRDzciSqyDbZt45qKkwf2H
36Vv/f7l2Dqivvh2bEBDHOawX78c6aWVB+g8v58W6U7JUJdf2E/IUBS3UJTtblGq/0iPw7jh2oYe
edRUXoBr8duhhFaxGfnfEAMWa4flHKxpeDBFvIFYA2PtF1PUZ1etEfFSvOOJXjwzrYRkUCnhOhT2
sXGvkVbUVwDtN0jYs/tCselX4LYF3UEaHMkGyrB025bgf6ReGlDH/YYpXn5EzaBaW8c26vasfIng
VLIfXQ7W/oCj5LEPwJlhybReNgGqCKP2Htr17P43X9u4No6596Dc8dvSnhTmTMH8g+ok+bmxC1Gd
JBH0wPJXPxl2/KOWfv7QqgMihWXNEhCAoZHHTrfoUHp4yP2SP5jCqDeaMRZr6qXRUmbT6ALkvTdT
vNEuTX1t2m36iVy+a131VDbaDXVUph79wy/C9n/5RTBd9wz8Y1DMdlGG7Frqdvr0pMKTxRxAJRPe
M7yiIB+n9xdpgF6Z6gzj6snwG/MbLcJsretPIQv6ixb5WKJpNaQgk/RMqrKTSiyJx07ysHRa+2VZ
Llql9hYDBAjtnSqBuExaHWkQdVDzP9qmyUI9DbZN4wFlM1hetnPlaBx12zOOdGb3qVUteDwAbYVE
kb6zvWQ/d//NZzLYtdj+w7Pn18e++jJBAOX8X8bOa8ltY1vDT4SqRgZuSTAOyckajW5Qkm0h54yn
Px+aY3Msu7yPLlDoCIhDAt1r/cEQluNqCNG51t8/zCSshZpmwn+yx2YiFZu5KxX+woMWKS6g70zd
9KmbvxfC3Mi1ruxR1yEsvcEYULhFeJY0YunAPe7LfUOeYXnO1svT9dMBktG57/Byo4OsxuODoJMa
Ek4L5nxdJyryrprIHlU3iVYy2CIbRKZ8NJCdiYgSIOuuGF2+jssSLRvfTR8tcC7//am49j++Yrph
C9NWNSR3haH/8qmwojKCvE2tJ4Fd7llfDDOQNkmAsC0ut1ITNbDi2BvLx8iaU++T9HKBoYGUS5Z1
6OdBjHWQkpfSyr49gYMbrdZr6lhBiztr1hIKWJjIc2CFHNyZC2IwDnZ2V9pvt16NBTrNFlg3Dkto
qPRjRDEiJdjLYrfUDQ4MpXDS/1En+5VLqOnaeekn66bGYaltKO/1Iu+9soPZeOYxjK+IFsQodVnV
QbZEFR5bfo0Nl2z91Ns1mgaDXMM9hZ22fAWmb3ydym2sNfM+NwGqLPWiGC2eEQQVUU1hx49gvwMY
33RWfeOOz9pCICkhIpO6Zae0lJa2YcJBKW0Jy2ERFgY58s6D6h8w9y4vXRshMz+3/p2T2V/TvGuf
ZFXBq8tLyWFsZVE2qCkUKqF+/+/viGb+46fj4rfhqpgLuKbBLnxp//QcmlzB627Sq6cwVJeoc/4W
N3X0Ix8AHfqjJR7I/ETA8wAAo68X/ihRxCC/77+XpJW2+KaikmFb0cvfR7p1L9jATCc3UyI4rmix
WENcE5NCrlYWnWjehGU3P/ehjapIkG+jxRGvLJTijEwsUNOlyA6j3Tv2onKzFLMa8dHKMce9LEI0
+phSFrFC3kRAzTaOzrdcMoIiX2s20Wy1n6jXsMVZGdX1lThEoGo+pAZUtyv12swQksAJTL1Sr3Gb
K+593fxEvS6Dsdl0Q9ZdLyGvM0HMAfetJfa7ptndo6W5wX3Sw38dIfG8652GU7gQ2QmEgv2iBtXB
D0v1HVWRdssz1d/JbnGM/nlJrmtoHfBOPTsIWW8Z7ffbtHowEwFehstpy64ICMWXp6YzZnCjWDdO
VR++oLlugM8hWlfbzWFqyAhAK7DXqF9Ev7N8ylfZXPmvST9rnq+M6X0ONnTfFb12kDOZLRnA20yD
yIIntxwhJ+OT1fvjWsM0juA03GRnOch6s26nTWPq3Vq15o862SD7jYzShdCvczjRDhOr5t4JiKDk
Rpd9QwD+KJ0h27i9M8fZfQfEaK1jewrhT2Cfare1uh8jAvaqpuvcgZN9c6Lm2Pj5K2SG5F7wOHyc
2BjheYHBtVn0L+S5AuzsguKlyOYGm4Cy38miVaXdoekBjssiJsz6Q9OIbdzpxSMRdtUrRGo/aVWR
3ovK3qnTaD/JqjHyW8/X/HmrL3WaUTU4d1y7+0OaX7QyP8hgLaZBqBum1kEGjEKZIVvq2tEGG90L
COEslhyk296VXH2MapOgXtEcdL+ufvZa8l2PZwfOa+Ov2aYbD5WqNzsjbRTwQDNyDbA4t2XUFU//
Nk+aHMasrHYELPpN1WOJl0flU7mwUYBB4pK8EFFypcC0sUlzflLUyYOJcYDsa808pZyoIic/Tl+d
ovDmqZhe4wSChlNZKrkWduysbg0IGgUv0kXc0ExLD2LReBzqtiYDN/RDcm7iolo3qnAf0ScNd7pT
RjjOFNMp0YjOA0m0ny2NRIFVhM4POFWbNAuMn0Hn3vUtGRk5HDiA+2gEYbQD0DRv//tJqP/6tmTV
YAhd8GKwVFXlmfL3ByFhqKrVRqXHMF4lxDr4pJckZQC5qQc37NQ9UmFERGRdj3dU2PYvc2tVGN6g
km/ZpfoY9znrgaHKfiv4VgIuM95uPcDwBySq/WhvLxIrUmelQ2SV/U/vbqSoSrcY2MozLBwxxl0H
TZNd1xE66ON1Z0zJpQtb7UE2CDIgD//9Mai/rkuXj8EUrBuWf5Yld9if3gf2OILzdkR3+cC02+7C
JOUnL3A+RsSLMICuzehl3n70aaB7xqhXvz4M5IgyBeQvf/1hiZ4dmbJ4/d+3bKi/rHNs1VEdh7+c
w8PD+MfOE6apitFgFF+uC/rZt2uU0IPoGzHhdAnKo7aT7CrXF7s/q+U7vlaBUv2zOkC38Vot9C76
htXGrXcTt7ZnRlWORtNGhjkz241eNRMtlyLdTGGDcDApDy9P1PBJCaqPM4wQDG/ooHnkgWp403J2
65djkfc/tuNy/3CLhJi809kGG2wsdMs1BOW/f52HaR6jejaT/eRD9TLXOqYs/YzVts1CkwCS/TTM
A4a6C+Fk6JIHQG/1l1sPXzFm8kPauBoCH9dGDSpDNI5YOYUITKe8c2CBFuGzKbLqOCytsigPAYng
yRqDU2gIvKr+Gp8PZgJPWFV/iOHuv78D2hJd+Pt/lx+vY6MSYmi2DSfr7/9dqBbZRCYr2F85XHq5
vkZkiO27Zy3ISVyioVIvh2QOGnTAqe+nHE4bAtWrxELFMeh6hPmETdg60PTdhJZzyH4B6u6n8q1d
csKc+n98m/kj6Us04NN/xhQa/xPX1TUiPIbj/BrFErj6FnYUNru0S4xjh134GqQQCLbBDL5GmYsE
HsBzx65hShpjtJL1IIDsLVqMJKCjPPzqiiLF7Mi0Lio5h9eMvKjslhdmfheEhF1ksTCRpW7iQSDq
GLFaHtvySMbsB2Cr+GdWXlg08kbKA52MlO+8L1LDayKD3ZPhp+02E1V1atPePpJEHnZtbcwPcLMD
j0e59rbM07d+9HOeP+bRFJQeLZKJZXlRg5AXCAqS/QWg/dkJkuKo8etWl/BQhwJV0J1n5bVGd+Mi
e8lqWZy6at7Dfv4u62WVbJSHqa98T2XZv75eQVY2y5SNOvarLs+Dnaz7dDHHbnfdFDd3n+qyPs9O
rag8c6jwm5RD5KVMyF87La2zz3Wyj2LWxeKB1hOw+OddY0XNntAR7o6VVnUIBCqIKcwxXBxV+JlO
mnuw/TTzFJca4fpE9ZHJ65T+TpYLpwjWbaBGrG6nTeo3Fq5qczKtEVDmjWK12bPdhfZ5Nvx7ywgp
LVVd6qurphUmXiFmRv4mMO4UI/t56zGY4ici2DaPdiNhvchIEnH2obWxWZZzuMtECKcjWtCZZ9nD
SKtkT2ycAPTSKOv0xNgQugofrlfK3GmbTdPsXeeIWPHGc3xv17uoSVCKW8ZpjZNvVFe1N9cZCr96
1PG3vE1qq3PkQfQsd3JWYy79S5QGR8cUZrGGDogjRelP+1Rcr9MGvnHCuuVNdpfzjKT1Vy1CmkdZ
9EPHWFg74DqXW5CHKkBPI7W0kxwVOIGyr0v+JvKuZJ2uQUcg132R/SMjQpzDV0NPfjbT6H/TiyY6
OWjD8Yzpt1poGE8IPRpP+owUFn4S7qa1zDBfj0qywrEle5RdwBjoUNhwI400rdhosdHu3B414Sb9
ng5puh1nIzoYilZ+SWefBYidfgcB2XhWW2h3uI6OT0rf/1ArP/kOLoqlRN6qFydwk3tWp9ZKNuTW
+LOvbOUx8ovkNDdt6skLEBm/cxY4Y9FPF6T6kLEf+VPIi6T+S1G6OuqrY7pLy8HdNYZSfsV6ez2J
2t9qaQO11CWNo7R3Q1yRe+gIBq55usQHNbEFHGs+MiKPYlWOkajWPg8xXw3yR9mqWlHvWez8d7IY
Ki54JoxXr1PVfIcrYjQXx+3EM4YY0dbXCOTJYpXX4h5K4/7atx3hZ2MVUGz9Rv9NzmaXtrLDZNdc
swtXnzVlNJ4y/U62XWtymBAZiLfrrTpKmx/Zs2C1sty5nrK/QkQE2lDDS5N47Mc9LzHRmGTdTt5H
VwjjpBv5xz0PlnMPnDi/3vPyddiibVBs5FVTEwT7bNtk0pcLLAd538Sbh+t9/dc9y0Fjo/zjnoOk
RrCfvNt9m4/bQUnMXVe7h5LcHBy0rgTYofQsLeTplHY1sFVyImVkm3tXtjhKAVsxT7F1u/ZsIXXE
phPg2rbgQpY5BhDVWz9y3hI9xEha1gnkRcOTPL3Wlr0mVkDt/FxJvDDiBaAnz3FTweeoUXljCZI+
w7tMn6sMR8rBfZQdAA3oGwGVaiOLpUi0JwbLjnIIDmCON4RDvpV1jUOyuIvWWKFOh6JP1x/DmLcJ
W3A5XYXuttanzyIw2/tJtXa3Hlk1dfw3u2Iv5+rm1j3zieT9uirLO9lPDq2DETs2MTYHWZePYjhN
Rvw+V3N3cPQq9YjsxjujHc2jSPLsHIw1K/XR8/Py4CQF9lYiz1ZpWE5/hPM2ze3m55TOv7GD1r44
BcmFuPZzMOEI382NwcZSa4PH0UdHJu+17JumOuSKGQRglp1Oq32PTR0h/nbOnuSVx6kwj3E8Wgek
AXelYyEvpM32XRuHf+iDVpEmVRC3tBzzHPHW2BploMKmwzJ7Sip3LXwwD0qzqQyEOVJQFt+dQFyQ
0F7Sn0RtnJEPOQYoEEZa8bvSBb9VOLt+tUaRrI1h8p8b9Ck9bBgEtI/549qw+MvjL9eNusB5hA8B
bS4Mhy+ghCE4qyAK/nY9LLrh8xVNuXWnEgVz1M+3NRognp9ioZP3KgvuqVe/Q8xb+b3WvLsNVPsQ
1bi9IJbxxTWsY5Uts9auunZmjI70sVfv8yghlyNHEov0w2p69l21PNqYSW/kgCzfzVrsfINakmKQ
MzQHYPrOy+xaD7J9tmJiumo1XMKS8DzsRvzOlytlboDQl2G/8LNrD6MIk22l1f43v95eB+pOv9G6
uTiqgggXJn9frzcCanal5HxwCRuCs0b+Zl0sEwJcOhZRl3+ZnXDaa1DBt1nbde9JOa1kB0WHn4d3
X3aH+FL15DqYT8lLNSbk7YZVw0MABuJkoYDpyQbFbLYuT823ztGNnYNU6S5MRuWtMPjLL9dE4q7y
5tBJSeGC+MEjubp+XAXG6ivwLsGTpeBQ4y8mwnJEHYP4IZD03s5WsBvnst7jQjJ9mQt8VpYPOsnQ
VUAAMztbs+ICwYu11cwr6ZVk1Ws14eARgSfYF0GCbdg18U3220Q7gXiWRepyEYKRDWpgPysj5pzL
27RWYvOpXA5Oytqu0mNlI1+fkdvT4PwWWmNzfaGWWTTvCnR/1nKQ7NWD3p1YTp5lyRo7F9eNgddw
UWg7lrnqEQbVygYV85oaivKYBOWd6vfB22gXfDiQPa+xyLpWgTmJbNzIVisLUk8hdXeQwUeQpD/T
0hEXWVpm1EBRvObLjMjTIaxO/NKsuO6fZPE0xG8SUsgJ7Klz6sye1Wlfjdp+sLt7bWmA6waJ7FOz
MpZ7HvrWYS5jPOzAZTkn39T+PJ1CC5edefw9UL8NRoDYd9dnBMFcPVmHdtiuHd6Ru0oXRrLGjnGn
9Y5+aeCbPM21CM96Ju4/OucKCb+xy7xrWSNeCEOzanG6WSZrcnxIRfyYRm76RGqcgH/o/tFZKW1a
52QbrW34mskLNUbxW1e26gYkutiAd9ZR4rLitzRQrE2muAXGNhSrAUl2P0zKkyyOurYHg8YqqvDN
53wuN8WUJ29BWJPJWEy9WEgnb7glOLta+B+tcTomHopN00G29sL+bhRhfS+HKsFm1gWMhbQqHwi+
vMrrZLlRHeVNZcv8UMb//aZka0b0Ud6UgsIni4Wk2vnTLE4S5XnFey7FnAT4ymcncxULkF2uMgKf
kKGB4hNgXzrZUkzgNtG1k5wzWjqZWTZ7VRts2NKvgSXFz+BA5lcdtHvSwg6WJTEULNFQY5clR9UP
+iySayktp5MeFMODbPNb9x69LudelrRAPFdIS15LoCrfutFWL7ItD7IfamhGV9VwgcM8uRFjOF8v
Iep0xW/DP0ltcARW61XuTgBClpvzuwLNAjV17mRrznt+pWYGeRrZiv87v6kUpG0XiFfLdtN1Js6t
VScHUmPFy2zZ8S5RhOrJYpCK9uzU/ldbWBHfYnxKgwm1MdkoWi5V6I17zBuleBmTvtjmMSF62Tr4
enZqJp5o17EtOilO+iK7ZjlS5QTqWbgvFw27od/g+JCSfWciFwWGI+j/tB6aS6pjLZAmmeqRX28u
ZoXPL6AcTuMQjMWEY8P2WlmFLk1Voz7EWW8cCD1MWMItcwiAIJmefa2H8DDOYNQRR8yfVXfILlUU
XoSiKgVg0ZkNm6pjJ7S0mlHT3vkTiDM/q4pnWYfR1Tcz0wBiLVWRO2Aav2yEJjnBpMJa0IqGpy/j
RxXolB9i7iiLcoRWbsOkF0+yRg1Z601mmmxlWzglwwNhkGt32WMYMbzuSiJJsugQ9kS4v3+a7fEb
UjntSVa3CrBGvqD9URaDpjJgGkEXkEV5GGrtRW/T9Cyv5M7QKyLeXlCWuFF5EKaH94bHFyV9GIxR
bHTR9RueNNU2bwvbkwP7QlWehj+u/9umcmdvgmwOLI9Z5ljX7pM03mnhlD/L7mZOYlYTs/Zx+05g
sAcy39wEv6k1fFH4+MEaZyeUvW1df0jsBZmtOMdblTxLRnsLkm88y9K1CsMN0objuINQ+zEcnX8d
6PjUr1E6OITlaG9SA57DBAr2oY+d7HrwG2cxXPCPblcgM5M1yN2NY/7RT3e7YdvZGPu5YRl5QxKo
Z/LZ7RkkYOYlYxr+5h9kmPnWLoz+P9vleF7NGZu/tNiS5bK9ihTRXdfCzZfu6LeiFNG5FaEOIT+z
dIamSGeW36+3Vjm2AZbp1a4YDw4ZrPtGV3/KlLDlhEi01bW1kylhVm3nCSOCp5ZVqOzlx/brNKBX
HGSDu716KGnqa99F7aNruNVjqqdfJBKmjANna5elu+14dZKSXU0WtEpIxsXuprOVKnV2Ctm2JEkU
lqCA/uwiNbaSMaw8pHDGzTQUybSy3fwB3cP4IAFS1zoJk7LGtvGu5m54fgMQKUcU0C3h8KEhpBzO
BpDdHOIMun/6q2zFYgyDY3wd0mQItmNAnK5UBtQ0Va0Q5zBxNyrZsQd9OUyoXzwEWflj0urkKEuy
3um0j6GyTh6EpYzexKbt3tTROo4Qp76b7KZ/MZOu2bRV2GyHpWgoqn2w4iBay9bCiN37qjaOslFW
lX3vubpQH2UJvxzkeaesuMOD/fNsQt1GQW094pTdPinJudPy4VFd7M+HjBS667diJdtknRUo2FhF
AwGhpb+sc5NzW3faqY+zy22gNY1iJYu/DNRzk7Q4g+CDDYQp5o8ryQFxlvv7QnOc9JKzTkB0QSWE
Fdh7Rcm1u9wfrH+cscLfqrYP+qslekQkjSjFwkIAHjBUvXmSpW5UzDuMMb7LkjwA+Z/WMU7nOz0b
EOruneCpJ566DJbT+FGrLL/uyOubBNXtZcY2NM3TMCjhkxUCkkpzPCDnL5r8L8XIWntGaDlIoPLx
yUNc13epritnWZoGeLTjoH6Rpdoe+lNdOPMuJXN2ioIQR8nlkPx1ZkZut2uT6l32SNXqo4csTmm6
No0yxpbQaJGghQQ0Y1m7clHLvgxV6t6LpSFbGgoDMCuCsND0i8G9h2z8MQK268+51KDrmOmhXyAK
ujobjwbql7PWPGULTMHm0b5vSsIosoOsGxYxIAUs7HVQUyjGo+1uc/tsmePaSrQIsHRuXORhcEds
2PDQ3fYYKrGhpyF0FqDztLQY8BdHnZCa7CdbARe+9Liy7aWyVu5aWKJYzp0U1nJVNPZXskGWl1bF
D34D8wn/PsRLKHcH7fl2FihT6JVLnRLQaiTu59Zbv7EwT5jd/AiHoXonOEs6hD//hbyr9lSRjZT1
NR70hM2aci/GqHoP2SZlY2l96TsWPEhwsuVe6m/Dc1xq7mqg2Q+thmLNjI/TGxsJBNCXs3qpk2ey
TrbKfkNfh7+2Ou7wMbao/XrtDqG2U2YdklwbIpKEEv8RAMpGVt3q5VlhtcG5c4xm55rJ/GKk/lnB
pOP35QTI5CBPMIW/1tg1Tr5XK3Kfv0QXd+FRqdWH1GcPEcm/nDxt3BmzHmcaCJDwN7WWg2zQZy08
un+OcPifXq5UIBvjFjAe+uxpxdjuBqdSX/hTKrshDXJPFtMGpLFJ2GYli82YsE1jpRDUkdatdUXb
DkMcgx1iqAvCcVXxy7tTWl19kRPXcUVgdSmGFhO7ObF2nwgvOsGT84DA2KYMtfHiLuSgZMQiVJiB
18N6IpXtt4b+hmIYkoZJVq5VNzXeFCsnWqvkFTy3Sn+ry+Z9MvX0ISD++fIvgxR1El5eaNY5x1Zb
UeKEtZIXBKAu+cV4kTwZZo83lrW3dMvcZoqW7yYw3sTHefnKot4Y7KyWl68stviprucsrB6nKTWO
Wuoqa2Sgpq8C0aR135nZiZBL/wYmLTfwTJC9wtJQoJu541fXQbQXwafspPeK7CUH/1svXYELkqtW
SDQk6d8M5SxnKNvu47Ky+Mtl6dWkQ7GtlEH1yB9ml9sh1tGDK8X5VpOpvMdXYLLWdW2WJ9mAu0h+
gfzenQTCvl/zjN8y75lXXMKsfTZV5jYh8/m1rxsvXTBLsY2JQVC2zilGCfZ+7LE8v4KZGOnXcfKa
Vu3HSNXPriNlh/SvkZWW6deREu2ExeTjVLT7CK+K702+GxGs+lnjRLmqyt56NVHp2BT9EJ3rSknu
amXUtq5pFc9EWsht2b3xWzd3KzkqKab3Lpyjt5ZgvAeqLLyEBqlV1SR+Bwk2eYobP1wHWVr9iAYH
lQcyZ4nPG1Upm69z5FZotjThPXKR/cGpi3cW/ZlXjQaxKIyX0HuanG8sOMHUdtHPxegkgfX2nmeq
vfYLM3pQW1/bO05i7QtdJUkE/h6b3mF8N6wCGxverariv3e8EDrVdC9+pRYvPRSCdYlHyF51i+JF
kKqC7unO69IIy5dhGsR9i1siv7viRfYwR2cfzFP6IKus2m3WseOEB9l/DnpzV2Vq6slWgvjtBXm0
R3kpWeWEo4fVTvcoS22ou/CN8DGRc0dRrWwtPJWRhuVmrEAvAMGW32TfscjqSxaZML4jRcdMJ8pe
CF1d+jQvvukRGGkDSZ9j7Thga2dIHY1afJv8CTXPzuBLgZfH11L8kN0VFWzS6LCwl0V0GeyiHd4L
vav2OOs1W1mNj6nXGnEGlyLTDoUWVhs5aa+Yx4If44uVt1DydOMAhix5SgoD3x4DcHdj9/hTFb3P
q7DiXU00+alsQRmFUw/JKx+StRXU3R4VL4UE6VL+fw6+TrVc7V8nUANcQOO2QH1lUWxoYfajZ/Ea
q4iRdWpprmR9ro6zVwaDfu1W5+Onbq2Tfu5msVg6CNbJ5ymSluAkEX+PktZdNbaKX0I7G28C590c
PegvQrjhvWVV4WpeHqKsD/qdCzdjI4tWZZKHJ1BwkkVff+0Dq/0S6rVxGbMgIY3JZL1lQibukDiM
+5VFzv832Oye0HKCEwCb7mLVdb8ZOm5yWCeKJ8Ra+u2YtMqd71bdHeRuZ6tHpfIYTwi+hXC8v5l9
d9Hk+DlBBmqI6t/LHIuK0W4HFFrxHi59N7/Y5dQdkLGe9rHftPfZpKAqjBXJFxJEf2RxH/4MxN7U
dO6jUrVXJ3VG3Gj47SkLySyOK3UHM6A7tuGMW2ufm5sI7c8XsTwo2L2PPxSrQcuamBh+kf0+0YW/
n5Q68NpG01/zqHX2ZUUQQhYnIGX7REniaxGTU32vuU1yLQ4Bv9IM6zNPFLHxmoqRbLme57xfKbZm
PFK0imtnm3T1vsJI8dpq1UG7t4kIXceGhc06Lw2xGlzGlhbZk2ZSsX9c7gp6T4ZtnNJfWzMTImnn
CFQol1bXLaN9oCrTtTV1fWUX9Kq4ts5p7O9IsUPGWGaubRIhWILr11ZTxenZ1BAcl1OFkdB3okVH
VRZ5t6m7uWuQLVjG5uMw7zTTxzRlua7aa+MO+zaoWlNzaJyy3ftT/or30DiuYFk2Z3ngz/txFuv3
djOPp197yG4hlNcVibx0J4tNiclwHpqYJi32kZmhOWd3bsEZlf49L1/dRhzFirZVgPiprJT95CEo
4h92BLJUlmSjpaA/2WXDNl7G37rGKbGoNCYXdquTZ60mXrQcS9Pb3A3OrHdOaB6byOeNJ7v5MZzb
Cq0cT06sZjx8VhHs8QyW9d3tYn6B/UilFA8JG/JP14fC0SBylMcb2fd2MVtLDqbTlKdbfRco2RHt
6i/yyre5o1xz1gTG1Osc9rNvq1BFF7sVeVAinFZCF5fsaWGV/VmdpqHZrmRZwyrjr1OTVBr6LUgO
6ErmCQAWp+up7NqWqbIKW/z4ZMt/TNem0U7zA1ILyyWnZR4r6NgVybIxKQ4SI662UWOHtRk6uO6g
uocq4Fsui5aZ2OybwuIsTDf4UuPhJuvV0dEPVS1YxgK++qo2UMGsBrgzKGfjNSMaIOuTzB0PczhC
DpSTY8tDjgRcITEQFrQqqQB5KNvYPdXLQRbb1qy2wocoLuuGqiJJTY6/XAlNGESmYvsc2619TtLG
61x9vuMlbBAbWxos3+43BL54ryQ562zZUbaoEbaNS+9wGXurl2eur34Mk8Xr2Dowj0aB5uqPKm12
06QpJyANqWNkZ3mYjAjBquUgz2RdRMLIAwddr39pQGocAuIyVnaOlX43ibI4/lIve8ihpMn9bc1y
+XrFf7uYHKvW7g8CiEtkjtBvOvjTViz2iNNyANf1cSilgWIKreRgBWJTy+Ktz6AHYi1cZdhpjR2v
TNWMMJSug4NdZuluCIP0S+Qnj5JSMjd+zNei/dzDBYz+3z18pWq9aW6Rh3VREHW7luBVG+QnTdgb
Q8dr91ZlpzHiCLfybUStJd1eL6oz9JjsJOuvne1J2F6f4Whndl37gNY8zBYDx46R2IlLuq+299hS
FatqMtuHa2WZNzsAfYuQK3XFcmjqNNqwxxaenObaoNr4xySoac9isXFavJ1GZRLrNPW79a0udkLb
vpYL6d10a1JV5FRXcqSs/NQuy02DFsYv0/1rx3G5A9kiD3JGS3U+6m5FfnW82GUfJ69whNkmENA8
l4zLuCqDqTyPuDGS2SkqcVfBTRF6SFG2dH6jdV7Q1nAr+StvZaVVW4spyKTHXlKjfaoPzVMVCZ4l
WmQfHDchXDLUyaPmfJVtsgbEaby3iTyub3WWiY9HlMOmUxOzfgrBCjwVT7K7PKS6y7JdOPb1GrLO
CEWMaEjY7LXCGfZqJsDAZFl6JhiXnhtiH/sQFYjKL9SB767DUbbIPmA5W/DYPTrOS2/ZAHdS3Ra9
jmRYlmrHwkz65sXPMPw1K6zwXCd4zsxofFczMOu1mbXkoStM6dIAgETeTMepglTPwjF4QEgTg0YF
BmbC1nk1ZMb0O0T7NSSUIVil3QDWSHfBLBkICqRR96L4JPF6vUa6w0Z6W6RJfFCWdRfcpWKjj9P4
UjaAySMLZX3VSQ7XmTA6JbjiI/jY8fNLs/zizxkiqm15p5saeVx7SkuyQ3+W5Zk8NFFT7I1GR+wp
CM7WXwdCa3DfRx5rWeRoO+E077LxVv9L33mswgXb9q9z3IaGidMf8eTbyLlv9fLsVjeXTnSKkM1e
7uCXK93q5M0kM9LLDi6Ef3V1ciPaVVaO0FZgNmeEYTGqtwN9OzpZs6njGfx+9ujaEDmVonVeylx7
KLFfuhckUl+aTp1Xs92md/2QuS+z3zUecRebz4BWoxmsrc7yf6MtRXfx0p0VIDhyprivVXxjwu+y
0UQq6Mnn58Ka+1QnZokNW8BPHe91jv4iZ0sGCiyDLMtTZNKHI4jWhfcxuq+Zj893Og4XWYLK+Zzl
Yri/lkKDwJYzPlxLlr3P5kI8ypKbECGx0A3IdfsN/Dm04aGd7+VBAwi7yX1dAFGgLq+Mj4YaRCWW
K46zaYXZWTD8lxZEVVYBT6j9bYYKnYD7OAh3eRphRv/XzJDj3U2ug750MeGE7pQZG7THrIcW0M2D
UdjxfjJsmGV9CbRkOehERc4Z1vOaz26EVSl1nR7s9HoeWZ5Skn3jyNBWtRVBV8fe56HDNClWxpOI
psHLiGz9QIWnUq0fNUp7nkgy7aQrpX2ZetJqsqGCbY5vp3jvBxMO59z+ASHL2U1NWxwzzBoQAbyd
xsCzj6R1m3kdB1pxbFUL765R8Q9YOhBzhlBpmXX5EvbAwHnD1weCe+VLxgJnV2OF7cnWDHLhuR6y
LwSj03bdDfPK6aLmqVySqqjMzCvTxsWxD1xMAWBIYSvS5eLYqP58PST58Ln4Q5mtDKFfJbgjKgQv
ZTnz5yL8VJQNv9SlS7/SybGglUPUud3wbDH3NXCgMQzJeExZuLFDUcOKjeJH1axhwlRN9aPprRd3
FPpL0o3GPrENf5uWvf+mQCMYgdL8qGYkR/N+ai+xyPTzSLZzXdVjfj9GoWh2QQATLQflhR7G4B/U
JsErstH8B205sGuqLsNCZIsJ92/AwLJIbwZcY2iU3XhF/0H4Oj7KOeQhtCJA4MEWWiq4tNCY8TZH
ytDQp296WaK0SSIdV6gu3kU9iHC/N8NLjI7DpahCNF//j7Lz2G2dSbv1FRFgDlNSVLQl27K9vb8J
sSOLOcerPw/L3e1G45+cCaEqUrIsiRXWu0IX2SARNL9OiK1ZmD3UJ4MQpq8Tim01jwrETacpcc4t
O+fDiCO8lkXrXGyExd+m4ae9dUdkQJ2GDRykStD4MJjjo4bWFQesSSEd1VYeEA+b4RQXFH62E7JP
nrU0trmYtXMNdNgmwIPQV4rVuXk9DHHXMZOf6pK/dE2jvNZQu47daur7vCmVj9JSAnnBQsL2bmgy
80E+Myqh6sjoFWJGXgpNpb77ryiI3sqZ7TLjltqWfgORnPZxoZAg8p8++ahNRRNscMZ+8ZYRDSE7
o3GZXX6YPFcerDbXr171KhtGxQDhF5D+TnPl/HbaZchC1t15aKLg2309q9meHxv16HdL5BzkCflW
IrgPRPjEmMxvqdgOUnxl6MT7Qub7bay12KegD+DcrsvBaTonlJe5ESUC2/SYd7ez/9/PssakeRsI
X1IMfXzCnGh8Qo2A1YdBTjKVpIev/iEpKRSvq8t2kMvkiSxX1Qcg1pN8kuzn/8X0oZ82iMsxblS7
Qdgn1/6mWuqHNNVJvQO+A84fJe6w79fc+t3pFHs3evDrjFj0p47EqCPMLONm1d2/ns0n+gF7+K8R
D394ufjx0+dPOgA6mzWNsEhxSiICPb+sAeWJfpxvZZ6pOz3XIAN37uOi4aomHanSUT/EauI+ypbs
37rkVd4qosNn4VcvKwh/pi3u9aJHz0rxAkkYyct2WIlk2qXNnOxlE7roFqPcLIcmXTG2dIeHTuuX
m7UWGFlSdQ+QVK0neTJx5mVPCnMZyrPk3c6XoiSHR55tCxy9Fnhc8qTsQmkB1dZcbrJlRWAMUfcQ
sb0p9d2WN51vcRojhNJdDiE9kM2vvOrPoBvZnrdrukbpA5lprTrujDZaW+6ui22nrhBkypJ3vSuo
ethMzG/L1pJdqq6/YxObP8rrO36yB2LimXW2K1xoRM+jMAHweTEPMQUmGzDFdGJ09ORKPBZLwJnR
p86fF9Vm9Wgmj9Sl1B1vaHrG1k5nYeszbj7P7VhDrtSzYCkW8vaUkZSA4SPuLe8pO9sMNs8O2u58
Wai25oVzMEHX967j2Xuzyj/qtFYg6dtKIChPHinHnjACTp69iMFdQ6P4jwvQbfY4NGu6aeBxYc5X
+UixoBs1NQaOus3XmipTQXx7vZkeewH4E7M0UCzIGVPypEakHXeRuXMrHRQ325jkR2d+XrxtReRh
7Rvz97HAWKqzobdr8KYnqLyxzzhz/88+NLZfFRZ7L7VqxKfYLb57Y/xDpLF3iBLNO2aRArbFdphZ
MuFXtL5ZyZIf7I3N4HbzKW1r/lf8c9yEmGLT8hfspJ5qlIh7ge1BFsE+b7TXwdD+8TTd9VUYYTtz
iEA7FcdvDQpE6gLxZ4qHYJy4e0AJSjKnemK78AxRnzxPxf6cOqGvrwIBEIWIENKzg/C0nrsdlY5w
mgbmZTVPLzO0RV9U/eMAHB+D2P/OrBKL2cbow7jSmn3dK4U/mRBM9XwM8JWE6JR81+xh/dE3w4H8
wlO3WjejbtWL18FtZXIaQy9pS19Llr/R8KMtcV9m7/sHK2w+i+47LoOH1Cu/jQVkEr0ekOJWLzps
NX9qCZfXlW9xmQVW2zCtND3xY8L8kZcf+H7tDT6Z0iM0b3a6PyrLhJ1lvqMGaM5QjtmdEPbim+kI
ZKAoU6CvZQ7ByvpHT/QVwjdrSi+pRMAF3xGThnXJBLsUhE01dXZNbJjVa0zdzsrIKJir4QBb9Icy
leXrEP1tsNA9IEJ7U0BHWSes13oGQCqSzXBqzpk8VmenavoVPib/ydrgygS8AEVy+pOncXvVFoMw
tPx1GEftzXDOIwzKQInEq4YuZFfhbLCbGQNAPM0T8eJXc53PlVBJ4sqK69ST+aQhkQnXjC+DQu94
SOCTnpP45DV96OiEJ0ZVS0SOOT0PWtKy+OybQ2JjOjiOwxPUj53ZLhMsZPOsVa7iq0lSwLQb7s5a
UbBcqnU3RGV7Ful0age4uVgtUZqFvq4M6nGa0JhVZgnxFV4XtvVU+xOHCJWaMlE/kBY3ksqQRPbV
daA5k5ojhsY+9EOCd2aiBjYMSIH1wnFd0TGYRAD5WlRqZ7blbjANCkv3qD2BYftm0y+wONRz6gn0
4U2T6GGzNN15yDBOv8mHDbq33P+vc6uu0lFW9njo1OFU1QBdsCN5lnwVTZ7+fIGYjKA00v1iXqcD
Yo8StbPZ+kS9z/horN1ZeIm+twb1pup1c4ZIvnKHJS5xKeyPd90CyWTQlz/MVTYymdV77sTmJs/K
wGf2i8+2jrlCGQdR7ZBBlbu/X8hz+p66bOAWp0n8Uv+p285dRIOvU9M7xWhVQycdf9UdX4/w1qfa
tDHwrfFupgJflZtJ9ujd2jxL8A8meNUWr2WyNmE+QERuhz+Fg2cJRF0H29S6DlclcW9jG52K1VXu
EQa/0ZJcNGN4K62+2uNc8r0vcyV0oo4vD2NH3H/GR9UWIyV8CtVaV927ZPwnbs0eJ8PEPmQ2BZV6
GvbR2JYB7ze7FMV88BI+kKLGs0UvrPGxqfiwtFy8FhN1fb1h6xKJQ5YW+xVA+WiL7qEoKqx9supt
qtVAbNkw5FQSE0VmGhXNbN9X0UNb4yqRcTOq2vhUR9pHojtANV17UdlvBMM6jiHKReus6IoAs8/M
Uy4wuWj75q/Qqsonk9pQ27+49KT+bKZEk3c5ganxc18a2hGH3jYerB0OyJXT3dVcvDemmvieMbP1
dYtr4tjxvjUm/IVjuKmtV5x0jUVC5mYffeut/pC5S+B0D3Wf+6692L7wSgLfi9rdV5R7rgOUxTbu
+mtpDaC52JFgpoYOqxcqnpTd8Aamn/pitD6MKkaRBeR0E6p3nHI8T9zuXCnLH8/B/8ryvltTQfyn
MZ1KKk9+IigXMznPwWJB56t0zw2AoecjO6+c6hpuNnnRXNKpZwx2Z3NPeIbuD1vSp5Fr7wi6Z7ir
7YO5uN4urUeyMzLEqWJKL/IwCiu9UB295EVrIx22C2i8493NEFiALPmFrfhD3/5NDevdmpZfrd5T
A0vMB8jYlxoVorOAI5q22+zwQfjWETYaOmX+iq24dZ2Z7v2+zdtjHXfFU7HAw1OS4VkMq28ORR4W
LOp2OsIsTLFSEr60CS5tYQeDRrJyowsDQyA3O7aFGz8QSxPh9mMkl9UrrFPESu0skkw7p5OBQjMp
10uVZtOxxAT5AWq4cdCEWB7HpIhZzCJrhR7T7MeJYERqTVpYp5nzVPRxEsbtYzMg6zGFTTGVAEi8
M1gSlw05hwnmv8HGggz6TKVubkKJt4SwXm3DIy5wFc1b1x1HxSZvoEzdt56ifdA61oDbfoLH8AAN
yFiIZMIiX/22NuyctGasPpSGmqiX9fOptkxrh+S183uGy4/ZQumToGv5QFbcQ06G+wBPldS/QRgf
TGAkKyLV+pjtYSDDV6hka1rkZ4CLfMQYovgM69MHeDobtqwZPzQvGv0CltSHZ2GFZK1u+xFXDBH4
GDYfSMhmTLWxeIsV40zgoH7Ff9IDkHCinWymYtWvpYKKaE4+1j6rA3RJJpzuuN835swka5rnxGZP
HMXmeO0xcb12/K+X2W33EM7YKzMB7WqvQGqZO9Yja20QJe9JWVvltc/4yCYzGG3eJRZDGVbe84RH
MqYwQ2xsKChuPlCjoP3GJOjZs6kFNpTxvaoqHcEp3Q93zCkx4w2Cxr+6U9NZ9iN+IjuYQnZAGpbh
j5qR3xprcvxFZEaYAQH7hjUe9CrzyCRPp/1aX8esWY5Dl0bXlf9FSe0HOItveRKJJ4DUwceTiimr
VdQbVug4+pXrk20uTNhVuwQACbDrcO6mMMVOVh3TIUDM0O+NLQR1KNMARXx2s6ehOnkrSatYO5LB
Uq//VENFzki1HhpS+cKl9t4hB++GdkoRvnD/RyuM36VxBf+KDTeEwOF+ha3t2GGUJbEf5QCtXYsP
juDhPk2RDIkIjy9typ9sJbvq29Ad5wBXdjG0uwHvUAUfNiZugfABQAAv1sgKBq9wfLWoKEQyPfRp
ZL9MtQeobhX7bjBqf6oANSovdncZAXB+R2U57JLa3i1uO54x6rAfU6Gl/OhWeAsdcJlmMqCWLKFv
TpU+lEYDSdd4WLCmC0drSS9oO5oDC3+Ld3bDN605ajhmCKWLLj23KuZQ9S/TWQeC2IR1HLGiSZIU
CHlxtLDvo+pQxSIPzPSts7XmKV5m3QdR+4fRmwrzJJZzafnjMtZ+0sXKza674Trbs+KXlOsfOzGJ
AM9m/nHVOydEb5QVME/Wt0+g3ZAbBog/VYsDZWkRoO1oGs70eF76mNK6qpZdkTfu+UnM176j2kiM
oneOI5fE1MJ9xMj9MMZK7o+uejMBdELDXhZf65Vz71VvQtjOQ9krf9qZL2q2NOPRrJsy7Jbsd2fA
32kxFSc556ka2vQhH6fZV9LF8WdSBnrmfVwhmFZUuzgT5B2FS0R6kBhRSg9RROga1h3CUf6Yszld
zAj61lwnQTLMVtAJfidDrRdnRYxIQA2A0WWuTu4ykgziVs0DnmNXtWVLZUAVMYhE1IncgCzLikwU
9qWdPRJdZhZPWjt2B0S2YTIrSNYasR4LK++gVtavfVc9KyqENwy2u4PTdd81keuB0Womd1jOzeeZ
t3WYUcmt8cmNSS3aMNFhTLIQO2hW8LG27FR2H7WXiDMaJZXq1fpP1xlw5VgW7Lgp0FCQsx6s80z6
0OB9z6PS9HtnBOvApmnO8Ybu7Bul0vk6QzLEs6jb52787mBWE86eTpqpyMN1jm02wyMf0DiKvR1H
aiic/J1AoHnXAJmFWK6qYZ7AJqyUGKMVvX4oZ/ywuogpqrBNw3ewhNsr6egEfZH2gYiSAxhcfs6w
3rVV3b6wxn8g7LLHxjx9MjRNOdTcSH60POUQOKYiFc8d+9nYotBsuNRNBLqSvunYsaqtzkqfnV1t
xPOhqG1tl0Kw8YWLnWx6i8VssbzpxqCAIbmznOw58cTFttw27LHIpW5dqPsROd5xdVQPxS8mJ4zh
SGnGrNgPGL+vg11h55WSxYCf+j5a1LBz3NZHrpzvI89iJIlEHOLy9F3Ddydshm66awWwUIH6ptF1
or48j8xSA+OvJkrnHeGPd74qF4zF/QH8me+FQtLFYuycHI5MDCgHW99pSTRpMbTTowKazyzeE/AZ
dK6BAjcQUnvfBiNLin1j4WDe4AQBO7zqX5ocCZdBIdCj5t/OMOjz2Vx8lZW0ORANxvjzE5uF6SLS
/FmJmjUYVS16FJ3x3Tapw69jfU6HTJzKheHaVKBzVVQzaufisMtEenohe3enkUIXNI2GI1IVIZ2L
4Cll3bnXS0hec46nY9z4EQarB1VhzzI2Vvt5sFZYEGZVEI1kW8+Rl617NJqEYWQIUodVYac+FylE
AK85EXk5nOdJjGf56OsQ2+ZwLlKoU2hqmKkd4Hb47YelzN0DX259NnK1PtvgXft+ra4LZr9nLJHW
c1qwafPQJQXy1dyeYsCQz4eGAiM2NBfQC9cH6r8KzWvPWVO+t24BgFKaU3tck4Itsoeq2c0XbImH
5TwZA17mTkcWrq0VhW9ZuLPopXkalS0Qrz7My1qemUVKNkFzFFpD9W4nsAL6Ma54faCWjpzdwqwC
JakS9lJudJYHlq+sQ5PsagG77yNFbc/r0OKXNVmHluHw3KoZ3MWEZanftNVrmvW/ur4cPj8r+Uh+
TMlq4X2+RKuL88sgDtGWRin3GfKRuzW3aD6+711blzNvmoM9R9PZjt8QNdUMdKGG1T+7C6qynpO+
G2VcakGnNtmp71cK7utOm7JnTfFS0uz5xyi+WdhQ4gTBCr7roihgkNreQHMbq+6aKQwXWOgGSbZE
hZ+oUXRY8+Y4dQ3GCiWpiGlymnp0iQqLNWiws3GW7wAzD+rCzvpG2a4mr8Jw10A+7LSkZvsbGX7S
Q6LEKgT592tVemytJhO8hkCqM0QH/SzQmAe1g46t+emu+U9wF5dPNsJDbtQtl90xbTKwiEFNxEl+
V7U+V+d2O8imPJiYefAz377K/+t0RBD9f109OV63XyYBuFgetHoKCFv+zuZkCDoTV7jQVkwMRsrs
ODaFR1GHC+Ka/O/KTTFLX/zWa+FnCqeBcsdhhPG3X34LMiWoAM6a0j9E+ZCccqXAzv02EBO4H5Lx
uYzqh4xx4IxLNglpdfEDO7kYoLxDpjWQMbvqtw5veOBwxQ2drFV8iNGUE+J0fYmaomTsXou9NsXP
DlWxqLiTu/7Wqq5xGDeYQLWs4jzH2ES2rX5ZNKJtDggRnPvQcg97owtfsqhePSmDJH6gjBFSjtNJ
qeyMW8ddrmLBkM1ylI5VEzijh3lDM+bnSBX4cvcKyyrEWBc+mhNeMIrlr1SdfWWGpOUaup95sXnH
8ais6+zsVetvvmzyaSCtnsypJFtTT/tdQolMn3rvOonVOAAq16jGgpQtxM5qu+qmFogaR7ZRgcjr
1B/yuLpZKRVnjKww7S8PCO3XHVUYj6swfDZmnG3JuNHdNfuA9d9eojI1AyKRy12nrM1DhnGGoVXK
e80wu3fm1j3l5BI9k51JTdpa+19zJg7O2pM935t3xxHVgVugPEbg6O9VGeGYkCo/hsisA+xpRxij
Ir8qKvuezhvDOk/Ej7hO3kCSAhK4ze9jLJ4xRHX+FAI8jXlBLxX7lkcsX8o4bfxWJbbN7OyfIPMu
WABjlKP2wxGw5IXSIBqXoUFoBVqyq+IuO+k4zu+cwlyPuJiuh5XSwQ6WprFblb4LWT7uqnpKD2qz
4R0eiFQJ0tqLwb5C9CeuUIwvJXoSI62S75FS2yjBKSbo96xWq028koSqYa8v3aR+7zvto5z6Bndy
BJNU+6nDkNWSuqmHD9BU7vBczp5FmhWIW7OFQSrslyK/NEU9XawNvVug+k5G2xy9sVXeiL4OhWcA
qaLY20VDHs5xGr/BFPwpCJp6NFtdeTVUSyE+Q51CdyhgNlpVss/b2f3egl+3ngu3vouWC8BnvMtN
7JRGKshHHPl3Lk7uPzpvMgInc7QbOwDj1NZJd+jQnt0Ts0f1TiX8T4t9sOWlv1sCiVlPa8azV+X1
lj1iHj1jFM9GEwFtKKL8ldd/sBVIqJEmtb+2tneHbRzt48RBMNysZGyt2XoDYvi96P1pXUR/n7re
fR4wtkhK+MwETbcHnMAZjmT9O+fNnmXNO6OWlvtf7c/T8krZKdvyIC//evZX3//5EvK0vUZynMes
TDnFIJ+oP7ZQ48+H1UTcsWzLR3K+GROVi2T7vx5+nf+6XPbJw//0ydeRfYvWlztDrWefvV2O91tZ
1kyq20PVYQkDnPrvXmM0WRBs53MFym5IHtu/2p9P/TyKhTKgYin7OBPNWR7qbZqdzArzMdk2u+Xf
bdyrWUWO6UO16PGLpancDm5hBJCI4hfZVxc2o3tqTgfZJw8q2nQ1maKHz67Czp5ihrGvJ/UkN55M
3Pw/++SJsltb6jub1/H24p99qdL5mjaqp68+dpwBZvbGrTJzLUzcOj5YNVbjldJYV7U21WtUeAlT
39z/aF3tvYCIfNdVZT6vkShCmwCi52pZ2T7Fi4/FW/U9gXFxSAmAPFIYQbWMOpGQvZ2me+NubHOw
lKh8tKuxezDT/OAyx15I8mSJtGb5CeXYIWPLfymxbD1g7vJWtrlzRX6ohgrbLoaV2H6c+jllha8+
ZnN/xgyluJDeK4jUgcgNi2oNDU+zCT0p8I+r1h/CwXaSD9q7A+g/ln2rfsdvrdyJyS5DddWeKDcP
bDEHbBqrbA463A0PZltR6VExZNJ0hHIsvXfZOKpvjTNBGO2zTU0BkpSTD0UEVWx8pPVvoxs6dsoQ
GofYel8ns94VaOde8gSTgnqufoLlLxfZ1cb6cPXy4iRb8oBQON53SL938nrZ1w/6m2eN7YNsjUm1
UmGaH/t+8eCp9WJXFdn0UoqoRAabTKEST9OL7EsqFruQo66y5ZHKeUma4g82NP+6YJ2xqgaVhIOy
vYY8FPrfZLLEs3wZr16Tk0p0of91wTgQ92AqbX6SfQ337UOvRFevo4a/VDv8EuMnbS1UQjyzZe+4
8QZPMGzLvthKnouSCqrssqoR1m1e/ZLjuuxKpnUJ1FrTD7KZLl31soCKf75CSQS2DlFJcl4lyRU6
6FNap84x7RhfsWz5N+n285JuZX2uRd+++v/3OiD+Ejqkoe/l631dOGrJfaYax86mmAIcnKpHLAPN
kzFv/jlNMvuyTx7GSq0e++0Qpwp0Tn1ZN88npDn/OfF1sZatzrHW1aevLvloyaPq8avPTYs/qtey
+mkTz3fbLn2sdErGgrDez0dffbbSQyJovbO8QqHC9HlZGTf5UdEhw/Q6ruNpbRKGohb9WwwQFEas
GfayqYmqIA1hQHftWN2biKKN5LNhhdvFySSKYyoEpOqtOYmhJjEYnglWTey9hP1meDn8tsoEYd6a
JkX1o97B3O+nwX6by3Y6CoUVmzybz1127Nt62cUmWvmxt51z1LIosTPQOVXRBCZpuf3qjCVbME+8
y5ZVaNl9qxPIVuJG9qthWrgk9cWz7KqGmNVEUa8PsgljygzIcPze4POw0+fGe7WSUcESLFFCy/Pc
V42l0VEtWdTJZoXVC/5rLHLkxQbDxRMKhos8GcHoeP2m87Meg2kxuK/q+kndXjTrWe72nlc+yAuJ
JWZNtwwkIxFc6Mu+iZknFB0uVB77ey+pR0Q0THmznNjk3OTqTgTcuZVx+hG5SGDY+np08m4vnDGH
+xknhxK3kNd4eq7rtth7CsHQ+bT5Xk72HZDAovirDWEFK+tNyUbQqVz9NsQZs/tSFm+WNi+s8xnl
CI3JWYsbzmVNkDvjI5q/jcpMscWL3rGDJoJjxvzZG8yDbDX11L46xonRMQltsiwdWEFnR9c95FsZ
VtRlJN66GSQrbyhJIaPRj1oZO4GgJrChfE4wwnQJk9wc9sBYGzbmspwv7stglIGpF/HR03eYj7pP
9pYHIw96fjRM5WaU7bdBV4jicZvlxpvGhqOawatz9i6KgSwypXgcxHaN1FDHQxDXrOpHX45PUdSo
ryQZSsaN35pedC/AtbKGtbqqNHw+iwa7aDvIR2JbY9iV+RiXcf7Zpc1RclaM8SXt8l+17RrHjhiL
q7Dwh1tY4l6Kpvhg7d39ck1xHedC+0PMxj7zOovN0q1bVp8FeUkNu++hS1iZ72Gu/C3e+NeibP2Y
bIw3M+1OCUTeX1qBMZzylBNj8qLb1QVn3nJfaeC0pZKWoTulNUXv5BuLvuYwuggZRO8J/Omz/skc
qxYgwE5+teKHGq/2weu0jZ1furtFBSMsU1ERnO0C2qowY+1Vf17TqXydhnRTF+biLJt5g98opIkH
lPf2UzQs1KGGqUGrYcxPSWtu+rK028MKTo9dg0eIpZRH4p4Iccjt9gjo14bmJitnZ268sPTnz6/U
IClQ7CBBhalCoZ+iVu6nep8A3ti+qT+TOvgSr4xABkPtPo70irTvEtaXotVvutPjWVuUzxa7tbdx
dbXnvtP38hzWp95lIEPbn+3fA4Pzmykc717U2PMTkfE2WsZCijYhzNu5GSM4sGZSTbeWit/iSzOC
3G+tkWLxS0kSr2zhB1y/dF62F1FtvfVVQ9huWRzkucGz1Gcnao+frdpsnvtpPZlqpmJroR+zJl+v
xXbo1emypr0OXEOrHrpxP7qKjZeRbl9nXXPY8y6FD6KDZ4DsNLYzqcUcsyzFpdBb+6pOGmejpV9D
M0lGDGu3tjwlDxQwiXkar7Lx+VJF01kUVStg1GISx2ksgCU7QWCaa7UCwRDOYbJZbX+AIoDNszfa
M1UL6EQ0517n6tVV19MgltfPpjyjtfV4TqzsWuTjh1ml1akA8bqOY/OvAw6YTkiuXBP8z4lJ9eZH
nbfydW1vOJrhd7PW+BDIsRbZXiXpAYNmPcUwwIzim5G5816MiCm1XI1v3EmIBOxxXR62DCPZJ69z
iQa6yabbmE8o7kAZtud/9a9Nh31Rayv4MsYtS7lI24klEihOOZRpX0IwRmI55TVF5K0vMRk9MQKK
oXPY/WthlW911IirbHneEm3UShLJt5NTnyoHZbJTNtLl8Krapf5ok/sBY6SH9MIVDbRUNsd32RAt
NSb86tcH2dR6qByI8fKDbNZLmZ6iyYM5vD0TG8/itk7J5x+WXba1BEmbxy+yZRUTEOuEJ4psJmS/
h7a5AdHb04Vt1We0GLYvm7nuWE8tElzZku+vj/Vjbhftk3zvxcbzmq1UIU9ze98bsWjRtTqUzZpw
eX6aJWk38r3ZBTZIKUZQW0u+WhKNT3kNxEthmdKapZVqoDRde7YpFgAkLw1jtVl1R9WmMhQT/vnm
zNXip3Hs/IBAfGl5RCYd91NnrX/BLd4XkNDv9YBchKK8uJPzzVTP0tAno7O+wuDIj3VlR+feWMUl
ipTkSB2yPFaYeN70In3PsWf73S/Oi7mQ1+649e+yqGwil7P5rNWEGrsp7Buwn+T3iUJ8B4LPxkCL
3fSaz2UKEyeOL5RID+m8vtprafjYcULfqHP7sV+HavWLRuPnzZ065sVNHhTbzm+goVhkRz8cHB6D
MUOB7k4N9bS4GSFcQT1HQ6fisTmgYvH6+QJZfj21XfOT2EzlZGnF8moNDT+7+UkjD/6d3LVf5eoG
FOhx7q6jvbDFn2YosluSJvjW5o6yR6avvtdWqrFo7feaq9tvwj5QEsu/Ges67Q0lSUNXyS+x4v1i
ua6ezTb5YybVz2EWJuWdxjlqMEapsrkEZ2E0NrdpjgMT4gdPGNk/E0WifLFcqEgNxUqHGztrZm+n
C8pLDUSAl6o6gMinlPwIPe/LlPAX3ImpEmjfmjX2jpZH5RPiex42AntM04GsNMGF77oxerD+cVF9
X6dSezHU7owQvfGpQsV7tQIRs7C7BHiZwXtV1uatY9zm+R+dxBPjuept97gUA/aHMwTlNgBnVI6a
Ql0NTVOzRzuvYw8SGedfUD3Uaw4CtsNfyd6VdrnlyK4npkcsNu34e1O47X3VmbTp0m8OhXvI3Y4A
MeWgmLN4mL3011ISujhPeOcStfh3RQZT97pHGmDcBdYo+meKt9rBaixxjq0SVD6p3V1cqsY7zM+f
k5XWf01cMKkF/UmGoUH8LQDrqxpziKkffBWTuhPJfdOLWmnJUwNLRbbkobF6bY9wHnBsu0IeolqH
6TJ7lwixygs2Khq0v/QINyJMyWK4jZqp3hdKq6GnU+uWTQsjxWuR4gW/nRxhF94nAzH2bI8PsstA
fXBwErvZdW6m3b3R6GF5QiDaWrJLMywM3/o8O8snbLPPyWBmZu2SHCst2tw+6+G+RFBazaR+li0y
qeIwdyMidLaTMzsb6tX9WbY8XRvuiZLDEHCwpJd9Ohkhp9ErbVQ0PEEeWJTsuTWIF92eELvKEmZN
psJG4ApW1enToFN92E4q22GeAP4URAMneQVQ93SOKlygvl4ydvMz5qvZ53sukqkKEm+5Lylwx2Jp
+r2LiEYrW3HOC8FMV/XpX7u38ZVm7fTiCPsln37XZOK+gmkGi2HNRJOUxms9179EhtGEPAdEqwaY
U3pHGKPmq62RZ6iM3hTKa0tDj88NMTWBPDupVHqIX7cOkfnEfF9DhmmX4uwJVhBI0ZIXecAcpQqb
LKrC7D99+pIUftx4mHfbevKyxDMsr8jD+9s85CIx7m41GPdsVRj04bScZDNVvOGkrdBD5CXaZBt3
JrDFKZLP68uOMvKMS+vR3p7exO0eunuEITratkYZnBd5yNKO0a6b5pMTp85Ljzf6dU4VZOY6BLTK
jFFHk0hzkBeDCIpnvOTY00R9GcD67UI+oDmE2Pyv12uHv1WhRCHKfohRxKa8oKXTibjrhs+m7OvN
dtdqzGeyRYhpdVgbCHafTT3iWWtxiCBu3GTXbKyU84ZUJdajie+yb1mjs1ZyY8hW2yvjsbfaiiv4
o/Iw2suthhzy+NmFCpJEq8nzDadMnhyX27zHO8te/h9j57Vcqa626yuiihxOR872cGp3n1AdyTlz
9f+DmHPh5T3nrnWikoRg2CCE9OkNqr5ib5edYq3znkTiyP5ezrTxJkq9a1e3oLT3mRoH0Xqspihw
WVgrcTQL+MrHhkrorIrC3VKnOdFvR5b56LV5dVcCWGW/LbxF+0p+Egn9CAWPlt3qpc7Vu9cykPsL
ij7yU+u54aVUzPelQcQ6BeWNqtovdTZ2ZXU/X7RqOwQrkBFaG705XNQgfKx7J7nxDUxubKGfWkgQ
J1HCKNOUVyLrxP6TUuv18UOdOM2osh9l7XobJS8SQD6pdReJXRIltCAEwFCnLpclQLrsxZTdJoKj
+lyGbv7sRjnhNScM9qIuCVJilSEQcz/N8vVQuPKKvu8eRWNdw6M1Q6VY04H/5DJ2WDHD7NZrgvK5
HPOnmkDhFb3X8jmLELnVfcldy9BB8Xrozlajt9wADvrApzZspIKUUszyWR7K8KEK7aM4KKrwGVMI
3lfOURm6/Dbo/dks/Zbn2Wmvld7lJ6cvG1BBg5dcSy/fpvlWkrt8U1VWuVEMbwR45FY7XdKsaxtB
0QhbN5rsx7b4uH2pNDeDD99e3Ly9Gq2HYrvPnhS8hB9uE+4MH8GDyGClkzEDcHKlOPSB+Wu0UxBs
5VFuPZgTkg+mW27VTc0cZF0x+0gd/IXUZDWCEl73gQSR1OVrLnb7wMfArtfBoMtSdwIx8aqUVrD3
+CAQ4JaBpANSblv1LI9ozdWKpLG5ADvJlvZxr76x7mKwAb2wyTX5ljTxETNq6VI0OfTYtrOPSQsB
TtNew6oLWf7ZrJNBeyatbz+PiaGcBna0iXfUBBO1bJWkQw1naiX3OOmiTsz27YAbgJO30aoe+Uay
GL7K7V3xK+dxEuEbIDGYQ6HDe/S0i16F8k7CGGWVBW/jOL6wI7QJaiXfZWZtn9sENxgCAWSXZOhQ
gDe14oxo2RcQFj0udHW7yy0fH1dVdW9t+ovL+CfkVrQVus/d2tI1dm4zSbkkzFUTo5fvWsyVuyIZ
zwaCs54PSCSRsFyMVDh5Q3SolK48lY1bbrGP7DaVZXmX2C7HjVyrX7we/wAQU83WG6FoyGN+N4B/
3AtVf5XCoDgkqDVekEkEV8I3ZRtXVn3Js4woidrB3xrdtVcM7QUgwaEpEWSsy2idlvneSXrnmGpD
sYmZN7C00v2VhpvWumybg1FMiECvUbZ6Z0Y7AMI/kGr6PpmJHnR2ydfcrXYNHK5Zo85GBI9+Y1YS
cL2ors8KKToJwLXQkmDF3mh87TUTto38o4jUAV6dXp47gAZHaQp4aNVdzKiVaVrNFIVu1LAPEvsI
s6QRkhFBV8uvavK9NaVbHMPzRRxlHYd30Mt/RlsrTuy/yXwJoxLNNfk0ZIXypMPw0On2bPeaZReB
v7GKtZb6waVJC+/k9cwwEoX3d/Dx5YmbHLm9buq9eULIymrRpLCCV4x6mWBGxFDNoiz3vjn8sHXZ
vvR2VK8JBdY+odAZ7IC3GntLpnX0Wh9HCA8yjZJiWpaVU6TkC0SAdN2Fwa8qyXHJDvQD3/I2ArGC
vFW544b+KWMsYnrC8Ow+YMpRF8YjgRF1FYIu27hh9ezYFRwzu8L9Tdayo18yDoaSvh67tlrnDTGB
Mn1E01S+tEGgXOopsXQMKy1ImHG68lXP3eoNSD1fUVmhSFbD2GtUWy+K7DWgrF2Qeb8kdh5QYghQ
FCKU8bM1uvytRtacj/ahSbGxs2w4TarHHojcQ091mB5fvQogz3hnRVKv2fcscv2GrXmywg3gNQ5l
n5+3jAlCvRkgFz/0DgH2Um0GdoW9J4RV+HzWBQglV27A4evhpQd5ucI2i1kFi8ImkuHw6DXB6zH2
dqYzqc8W7S/PdhMEyjTgjbYaA2LQU4CH7t4fsWpUIcyvGgUqU/27gzQYAPvdVg5wvtK0iDpbKz2t
5TVC09lWzhoQyo2EAYsiS8hHohfjeS4bC7n9PBTDU++b1YVQY7IemwFRtKR+gL38RKS5WhnoyR+d
QQUFqrrG0TLtk+S2zkmKXPtkTDidImy+V7ZzyQOGWb2SGMbiojiMKCxhofqtA4i6L5rmG94HGpxg
09tKeTRcO7yKLhbB42wiEHux+hxb9hn8w8Asu3e5g923nlU70Q0P+FIYblWtcVdVBokiCQsCFbWn
s+uWG4fCLrKVEZn1Huh6BijOMQDd8DHYQWY+WSmbUmqG5hbSsc+50dhEeTJlE4XhPh9qfd+WhfMe
Oy9wmRq5dn+OZrmB88631JkgMtLPQGvXqZF4J7X38Ecs5GrDSt05tADP9gY4UHAnbElJLou3BsK9
ZWQEPWR9w5zx6vRG9xh3aBRZlBCTiba17r2kiWSel6ToMmsumsz8j2YJRQybr5vhMnd0OgMco50A
9CwcZ+d6rrP2HdTXFIa+NUvmlSp7vIqurp3HMmTblNnHrzhVt6kXDSd5RL4Joai7Enq/jckhCqrO
Bd1i0RlZnfEhnpJJPEdPe+Ui62V979p6uNXhNHJTcnKvvpcBU92ijPe5Z8n+OrZ4jGDCjlLN+qNp
Y2YeRvAWxSo6h3r2aGi9uevTgPX3lLj2dXQaeGi1Em6r5h5bVXTyWR6cYtcKNloGAQA2dnA2TP2u
ehrsDaenR2H32IG4Ir4XbjupvI8YVBLYY3HWTAJnSnIQGDBz2pGGKgwsUTcmrysQmP9JpIb9ohZt
08zBLkPzkdRyc5AafeLUhFnwa7CQPZ82AqRR3aoutq4YbsGRwAzUgWPttaCxBq8bWHG6nEto5IKg
9JGOmp0rfXiU/bGH2uGamx5VmvUwFZEpGNatzsPSYxugmeXH8EoapCdHBXSRo2dnEBmHboCRAlzp
1ujNXarxf0r1MNqomGiOa4GZ8ycCvwH+bGt1QwqnYLRvfawoTAWb5MFha+4UVsXbCNzoFa8N0IbZ
d78L4lc5xSXGqX/ZmUvnFlECawoVlKPKSiemQ1mOrVxFMvAJA2DlSBtXtEYDHHu1XKQSYE8XpMBQ
pvpJXAbXypeg9NJjEuYM2X1jbTDsBh7ClgIguGxcZyimBVZm8l6Ya50h79opUHpLgAL4r3W7qOL3
kBxxryEB1kM0+m8+UnCIj+4GrOU2ltVDcJ/wRgC0N5HC00X/N5bWcVv+YV1Tn+su2Zd9yWcSVGBk
YWktR5CEanicZXm0/K9ZmmtfkJBHkbN/UiPPOMSd9DQSBJjorfK+0CfjgfCb3GiH0Ol9dus3Tjg6
Rz8wbiFbaetYRVapllOE/zQQ4+bZ1tXhosThSy+zSvULDxlFH8rwZNJUuOjaRBW/BxTobVaA8JKy
2ZlseIPlys1ZOCIe/jSdpTwD27WRxpYGFgI647Qy4erTuK02WWw6j7AArAd5eBlB8D1qgBHM1Kt2
RRh9yZkYIF8ZAK3M2UwVxTFWE+Z8eQJAU5L2UWP7zJ+0GPiLsUm9RlsXedYeYEdkL41eVocetsha
FNXIqsAblwZ+oVJ1ZbrM/1M35kbNvV+DKQ37LIzHM8Ifj+0I2Fu3zejBQ8rlwauUkp1hpDCt1oq3
RmkW+xwauObBzpAiJOYS/ryJqWF3SAVbPpuMmbeyxj7Zsop+0IhzMIpvkuSh8QGLfU/NF0zL6mMy
YWbyCVfng7A46tZDMOFGS22QjwAj/AlJKpJBDd4kSXO34X+qRL1onkyvXXnKPe6rU0OnWyVZTCqA
npUKclopC2/j7gYcIQ+G/xJWIAXc577y4p0HndesNbhFXf+MUDnqhnjezboaAiMkcEOJzoLBDi2U
vCfBDXGgcWNIkv2Pwa68E7gsY9wyWeUvEVnxRhsFXLKDyEYjESRYWPx7XZmB9rVrFQWhXNoPE6SQ
uWxyylrg1l6F14O7iiRliiNQ64HF2rKr8tWS0k0kezjk/tLbDhTzdOOq6Yoit+ATTSWSx62AKorK
fkyG5CBaBlbNnUEW0fvr/Hq6iGil+PKwMq0k3oi/MkJrmg1YhM8mV7+9V8l7oTBiOWtI7t0RDOfP
Znp+vR5YhxQ1arEHLJJI3H+RDVkis6WF8Z0oJkmx93NJxX9m+ptScJ8e3hkH8ZPiz8B52Q+KDnGS
ttg6ef5LnBf3Hhzz6THOT1hUCrxU6rLrYkyk0aWuz9Vmj9QKnkyAPmbsr+gN0G7Zoe6HuN/Kavld
4IFF0gGjbkr4dcRTkRxJis7EjKiwYsZ4u9qKTe8Z5+XL3rcW5uLWqXyeqImE6K6Oqmfx7M3IfuiI
++zGUmNYN7oAvT2m7mxvZafYYvlX+2i2LQ8N7LAKhLryNuJxiachcjken9FKZEUvMHzVZV+5WTlZ
m57wdXRAn4nslEBEoG9I+wKvd8aWLhoBIgBzxmoYI9APWXG2hSMFSGRbS09zdoxb0FBmcBC/11cV
MepqE9bRl7FXT+LOzXcJaukqM+JhI+61uCtRnbH+rxXEVyYMgHgm4gyRE3VzdxBlkWgxjiFV4wPR
RPSxa57Eg5+7prg1S28QR0oin6sCDPtG3ArxR6ptyf2pvUxdE0FnlmsUP+rJNgS5y/n+6qnVjgCv
tF3CbIBe96wUaQ3T1t+lI0TnWh2e1GnoEJ/tJDSt/eiNIIGx41vJ0DlRwq3QEzKiNPt/fvjD3yCy
2F5Bdld9dW45Pz3UZHAobTV1I4YA8X1vkBs/mACy+qcYLu98c2c4xYe35gOo4vMd1NjGywJYk2O1
0/xUGbeh7X+TmkTeLneYQfCkWjaU7mVwkdvHBBPLnfhbWrd4iM1R3qHR2I7rKvEvdadKwDymcWh6
rcWZIvevdU6TjwgH+NFG9IQ2jHdMYVi6TB1B7ZF20uFYL91namAWIw10dd0hwXYQPbhvjO4wpAbL
kmKbWh3GR/YErvzX3zWz+Oj6YIWdVAOuMAFSlr43hldbnQCMWmaWk7wNw9s0LIueJIpLXUb0ZxqR
DHW0tq5VdGBW4kfLkxgjRXuRLG/rhy46Z8XxsXC6g1Ppa9ET5lOwFdhLb3XFBoEYC1mwV3sUuo/L
G770ZVEnit7UC+W23VWA9Pa+FezEMV10dtFiOf9zFxRl8dREbj5HlOfsp+Oi+Klu7rZ5YZp/DT3Y
yrHBH+tHD67cKgYek8WA3FoThPP04VAdiKaeykJ1UHf4ULBPz7xAPPHOVDEGtR7Ssb5bzA1YH15U
IhajnOGxHd1TQCld2ZyNCas69vk97exmp+sjU4lKlTeylxG7aRGYWbHBuxO8gyGd7CL1sSs3XpA/
WJgXLw9e/Koozq/TUhaVSzf5dErWxfWhxX5QdEaRlNNwLXJqBH1JD+E8ibsvLpKBZxzArNDtWhda
/Vq8JbDaqRXZD7Wdrb2nBiJKYt0y4Bq8hVT31RRcCp8b1oRSfCQODjUknPANfaS+Bi1wd2RMtuIe
i0Q89nCaniCUyxp5iH+kg3pyQi3ZyWN/jvQcgTKnOYhBRmHUruHs5qjnbvzMm78AWv0LUn5yFBcU
T17kGOnriQ1jBt2vsXMeMYuzZ8yyG5nPLp5nu1T0iGUwkBXZOnLe8vepda9s2gHi/XIX88RiJI2m
z0xiJ8bGNaALCVIJvIB3cMkaM3EH+VHRhL01KCcauii9YmxnHTMx2QKvW+wH2zoOAHPYz91Dj0Sj
ODDXCY5h8+xqXkUFipex56Yq8yAMl/pWapG2E9cXf5drBv2xVh9GLa13sq7dxVNdHq3IpU3zM9SG
YNVnGUr/UMj/WqAtA4ckvv2iPE/sWJ7mONKwfADjv1USM4WdX6fdFUF2/QA0rTgJ1k4XNMWJvvAn
95Nkfr7iSSxjzPJg+ED/jqFn6oNTbgwI0shiWBoOJxkvgc0IvkEhcJtzy8STEd3ak4k9GsCD3Qzf
kP8M5qLBMqIvT3Lu0NN4v9yE5ajIiSb//0sxV+thL12XoV78MaI4z8WXssjNlWOA7QcTWoQZxERX
asyDjMeiaCJ+dp5yiSwOm7xqc5Z97b9g9fOHUvydH2YZ87l5aq+BBVzYEMQegw+9mL+yOULoWrwm
Y4YczNob9G9orRBP9tvokFW+L29F8znrTl/QADBI48XzPE70VDGjW5KlbhgTthwUlCIVYGLTJEz8
O0syoyRF+cNcdv7r87GHiXPtM3TdWvIV8PSdyS7VuEavN2MT6oct/hC9PKm2Kh/FtExM6kROJPOl
p2mhKLIRhOa1BwFkaSyaLEWRW5LlMS51y298OjdIXxuEOhjDGDPFwNkABEgPoizePO54xDJ+Oj7/
8WOuZKtA6uQP00jxCOeeN373INofRXcNUNIFND09A79pkNwQPeWfs+LseagClFMd7DzefKaCeDBF
liXcJ06IIHiIo8uBZQ0oDohkaSeKnfuzU8r0OP/1U0+eyR7LOzPPZ+bOLGodNW3YP/nPeydycyuR
/VwWJ81X/dDq8w98PktS2NiozRdlRGpWjCvL7EGc+091SxNxdJ5ni+ySiOexFEVOnPevV/2wnBGt
RcNPP/VPdZ+u+umXvGnAx2iubHwYfdMrjoczexXFOK9VxQsvEkIpkDOhEbF4n8JsS7LUjQmeoNDv
aFPUGtm5kRhuxcWXph+OiKyreyCE2IKfe7R4WcR7srwsy0v1r3XLaeK9E+3+qe5/vZQ7phO5PwtB
+/UbG4c2prXTXFh8uJZkXsku5Q+xin9q/qluXk9Ml51/QVznU5v5F7rIuShS90duHH8thgaxBhW5
5RstxpClKHLLhGxp/KnuU1G0c1sEA9qfSokkQpSZEPl4Odl7Z3oruvCcFbWiPBLKZlmdFMlOdbLn
ZXgHTAVtfClL40QjF2Ux8jMX8ogoGYlhz6Ej1zPqcS2GB6L/SLJWKAP/RVebBw1TJoYgRpcsHyFh
Iv62+afhdukKllj0L22WbrDUfeouoiiO9l4VE7KwYXp18qhvGkuNx7VY/0YADAgXRf2LV3fBbn7j
xU1ZknlYXcridv1rURxYXl1R9Aik/DV8i/KnK4i6MYnATigRr9Ey2M8T6/m4eD7LmRVeJSzekqNB
YESbIiQfVo5LM3GuSMTEYCmK3Kd2YhBd6j784+LIp1M6p5C2o3YFFfhYQqXANUC0IFKuKSA5pg9X
jiNe/SyGLjeJkuQg7kwetWlyGGVrVSWWcRAv+/JE53f/QzDzw1RhaSpy4vEGWUtEb240B7lSC9ET
LQyQSVHRyu5GJ2c7BjUXZbiJV3SOU4oe0I9qWL2LF/mvqFYpe1uss9k6qdgcTNPkGCERDEsc0ppI
yordytVSdg1PQv/MN1b5pDtsjQYGZAzIS+TDUBVvr6vuWXC2DTYAAhntGnFXxXMpE6hMapG95CE8
E8EnV6cHPNaI7tRzPPPT7Rc39cMjmpeu810XaxaRnV/zgM3J0dGHrbjL4meXRPwBS1Hc2E9186pO
HPlM5lxaisPLv6T6vro2sdZbYWOIVZyXum9NFvZ7DSHArQpjliLUMwRIsyM+kxw1VPbONAuZnumo
4wDzVKMI76bSew6UZK9M15CjMrnmXlmvRKuxSfqDNOb6Rm4TQHpdl62qgFddJE5i62vTAeCpgCm6
xJG9kwPfSLdIBmG4zMp+S1QS1PBgHSvVqx7gZLHXjGgsxPPEwr0olC+x279MiPYnDxnYJ/g35QbV
uB5VDoqiLkHwKInYnih7VCBCs4ifQsdCWVBvrkOIFoIFbGGnsre/dwx3fIyL6id8x0OrK/lbn+q4
asXutzRnSl7iA39yPRmkeFK9tM5ofHeI1rOz63psOCg16jhdt/KqsvxSjmB6WZLnr6ocm2sUdYBX
Bch2ydlkC6ATSh5To0C/SZY3BRLBKEPl4LgxYixu/XSEUBJmAh2OAn6k7KvMzG/jEBU3kRNJkmUW
umdpirAwQXgjC71NXiA/5A7dV53Ns30tT1J+iVxo2JGgxLGZAsAr22XlFmYhqtcyhE/NxUhURsFw
UycZmCCn7lgPV5l9AqnB9ppDsL1G9Wtoh+CxmxKILsGjK0ffkNWUjqIqTzDpRncRVa4M4TPNYLfG
8h4r1LAfZXZCH2NJUdZD33usIDgQmg7QqtjkXqZYiuIhuxq6rrkpUeM8jFNSJsD2TPoW7GpaLAd8
NYnXSm7hitaxO6MPmM31vYoujPt7iILxNpdAc6D8a9HnlvOLwHAeUJkJ1oVfr9A91baWYuibYahS
NN4A02eaop9MC6gzsFZlo5pqVK+wgkcGAwfw3PHzSwHV7lJNyVKkf+6jjBhqh7SRCTctV0/pqMfa
WtE15SSSbPD+rszaQloPDix3x48JNiNq8NK6AEZts2+/Rl36rrGVDi4cuj/vlg6fGWQiaIWsQCWm
HX+z3fnFTyP161BFoBUQxHnx+gTYNTpYD6PCXrIxRMa5sNP2pLZhfYjjMLvxCBQo/7X8VPUSnSuJ
9austS8lqkFXO4geOrOooL5K5VPYsnFkIfa4FUVxgK3QV+TX023Zr1qMO1bD1DxUYkz5QrBc03ns
YFNlSdBuGTM2H0420m9WPOpncamy0pWb5fgHyGE4dSbIou344BSb5S+oveiP74/RfN1SG+uHqqm3
qYyszdrFYrn1kmeMCkeC9lnFWtnUzxAtqie45+2N0PFRlDDarZ8wrYMMlfSINU0tRJ2l5Z9PiuwX
2UaPC9dAgNrQfohYTFkJBt0F/bT2UnaElfMYtRNxwELJ4ogMZgSajVuh6lK9R2xTWYuiuD1JLE+f
KgtM2HR/zL4H6FJME71wb/Z/5n8njlJ3b2YlnLPp/qE6DSIvGRz86ekzfaejnCKyIim8EYb7Uha9
ra+RkPxQKQ6LIw3kjk33AHAGBJ7XrcB1YamQFwxKavlelp5/aM3OQ+PdL77l+U4cDzu/3MUqqk3F
KFkErCUbt3DigcfKC7xLMyVdhO6Jrbn7DwfaNsZO5s1zzXALhSE8532Ch+GUiJyo01llY9lgoqgW
KkGF3+C/NBSnzK2Xs5sec8D/5ZTY7sBXyMr+82XqJkPk9t7fcplo4PrTXydaix8ZslytLnE98SjY
dtSNGgYsipTXYEpSBCauoji4LoqFgdtBXpdDguvT4VxGuXy1NBI5HPTOfPga9pE5ObSJqvh54eCJ
MUjSyXozgOKjLCWOfjpVFMUP16iOHiyEwOdTxa99OCNR9W2TA9D4fGD6q4Y8hOx4HzPzPcaeFOTS
aMfneijis90HAE4UlDebhH1Gmd2KbZT5yrOc+93FVssfqa/Iz52Zyc+qX94aBtgbe9MwXRAd5OvX
auh/WWWtnk2gJW92wqXYzMmvMWoGb0EhfYGP7D2Ig3ruXd0sNB/FMZDC2xhC3VM6tezLt6hT9BfF
DbJXJTqKJnxzkme5qqBf3vwyHi6tp8TXfkoQ91O7lR6VZM1qXDFmg8abiqINRFM2clz7txx1uJfa
xC5hLsVviVOio61o9VoUtbbqDhquqZtcN1DEX5lG0z5hY4V0kdGr2wBC5VvVYosgw9fbT/zKN6Bg
+cZMXP3QY5n5mJv9CxCa5quRfx/tyv5iSHZ9SvIA6SRTbb5WI0AK2TLSR0R00NL12z+eZdZfgWyp
mzHERdys3BcF8BkatnUH3pNc6NfbEWtY+MJ/V0GL/OvgpzrVsEDFJuMl75xyi19bjsKclb0kkmGe
qrgZ0NxusxcVxvQT1u8rcVACxvYCAuMLTF75KqpMt2J/we7yvSj2qEkcFWeI1qJYhrb+OLJLJ0ri
ik0nX2W03lQY0WdvGMElZIavnUu0YqBFly4qbGZ6JegeNhuweMh6Ii27LdzOOokjbe06W13pDPod
biejy8iDYEzw1spFu4bjE5xE0QpkE5hC0J5F0cSICB9I1b2I4igN322++TdRGtrkkfE6fdRC8D1u
7x38oJPucVLL18CFRuy72FV1afEI0GeL7ER7z536NQpr+QxYoburas2rEqIqX0T2RTQQ9egi7nKp
TG6iSiQ6KkeBCYGhbFQMVzPcYxPTu4vmIXS0x1S/V1W2sxu7wLCw3CJjnp/NwcrOQQNZbhILzs+S
TFI1hY3MrDxsQqdFdNwMqgdfsbACH4wXFMLir7JROFt0M/ODKMLRAVKvZm+53iNJqbVgCaZmSju4
KzT9QNWkPe7Kcg1QvIi/gqJO9tDxrZ3K3sdX09DOqS0Zz7qfWNc8MgBYTM3qQf49gJY88mlTrkzr
FNyIyNlTMiqxuyaCV4Hf/btuaSJyhlT/LlpV2f/T+WoNAKYxw4eyH6tbLxXApTMb6TtQXTpfot+p
7L7qfWe+VVaPPlCqZpfE10yUjYsYRFw3fmkL+y6a9lp8KQPNeS+rVN7YZWhc49zBgKUsUUtBF/YV
OtJPCfGrbZitbWBDFznnpbL78HujABAzNLt6cPTGO0mmFe2D2JefUVUpV+Ly1vgu5071s2HfCBiR
HqLDOGgHYrY5qru5cXdMNMd53S2ELZV0FSVlhjIuGlWXnDH1Yub+pnXV8FQiTv7XgbmNOJwvtfBI
AD8j47+RR08ON+K4D+7xIq4WWjaVZgGdsLD041wUh1VHifodr3Ywt/QU9W7okbGXzQ7u9nIJw9LP
JvDyk+Ub0jZWMhVbqs46GOB9j3jdVBdF062dGSXD44CPy6at5eqVt1EG+mNb35g739Hmkf5Uzovd
RUxJ+8zY3Z/NOtN/wklELFJnnKf38dImkQVJxRu3ZVGUt1Cty4OuFd0psGsDd183x5agsdDHAqzK
wAczU82RxXJb92vo9a9RoEu/JZCW8w8lqYJUXGb8GuLuuy9J1rtiVglqx8r47JtogzNF8R6gUNv7
ZBIVlyU3PrdxaOwJB8QPNlQgMM6VQfyMgcx0R/8rA/A3yIfSL9XDBxl0EjNsJuGRZ+u/E5SR1aZ9
8bDmqOqntgGzjE5x9eLUrAmbtlAewG00wHNwWIJ3ZW0IrrnuQVU1PKh6a5I0kGPc4pQmOYucZZVs
ASKBcG0iZF3wr3lSrM55SWPnXRlC6aq3jsM9QL639OPyJIqNhvJcaoXNUQ1bhKkU5mXHJgfqllW2
8+pBSF8VnS9f2yJ3X4Ny/KoannoTpXFCgFuq8SCaOop1DhTDfRQlv/X2dZzHT3qmuq/uyF5iZlTP
uWZZr+6+dxPra8incl/3cr236s77lqn7sivNbzmILCxzivLQeV32js3dujUC+4l15AWTh+xWuhLi
+R7kjab1ldVcNx0IMnaccdadmCz9HrGjgZcI4TUt0H4Lu0MDMTXf8prXpUGlldqmMBtj12EpeGum
hI4xbCq8kTeiKA6wYZvdqhG3LSyrz4Cd+GWvKUA3YDi6InaX3bQpMZHiPduSdk2tYnwiCvDe5MHw
bQgmoEcNnwMdKCT3YvU9HLvhW18Gxrqf6oOp/r/b20guLe1d2+U6wNPWlWcj+Pb39Zf6f7v+f7cX
v6sWHcxtR9/qqRGuOxbs97wbyrtq6erenOqQyyjv4kDK4neuE00Qiqzu+VT36Vy+nMhZSc4+VPkm
isSY2JZOUck7ekbyV52MfbST6rulmTjYh46zKkv4Bl7+ICW1AWESzlevlJ23tXjXNy06NpukV7IH
kfQ6zytr39SVUhVb1Y/ki1dAxGOQEgUU2uVLPSWiaGoSpPu5nBSbluUaWo9/HxX1S1GcIerQtjun
AYC2pWq+0lKOGfTG3n7IuV3fW+w/UCRzvkbwmehUeXp0XLikam89DWbrfNcQoCNa6HQPhm1jOBqh
t5LFcsDuK2xiiMfHKpd2muqMX1Bk6PYNVxWCp2/Qso7iN/wEOF9b1MYVJ2zn5jYKG13TtTGveFC5
a6/gRgxcBzRtp1Z1f1JLH83uyXBHOOrM5jqGn0HOZfElDoikRat7awOygoneWkc91nPEdWr3nliR
dEcgutmoBwcbsWgc0XTR0I5BhNzSV0xB4MWEfbmXiqTds/hDFl/7U+j1NyRGui9BiBN81NTtQ1C1
ykEO6+To9rF+8z0VTwwpH99iP/4D6DD5w8k+dvAnSddRx8L6946fzF7rG+9WZFV1z6ZEk5ke+hly
iVMDTZ2oSBWQDaPOb0oMLx7JZHnbOVlzE+1FMwyetphGDhigIU4TTZ7sQObxkm2ju4dYB75qVfyI
6BAGEQbGaFoj9zt80Mqb4TXRvoBac40SSBVar48XywZZDDvePFtJFxwzpIzPjh4YR8Ie2ckZxu6U
FH1/lOQgPydahrGP2waXqHKReOos+xLlA16vJUGSoIncXVjXMg4McrmznayH6IroMgJQ7SP7E/k2
Dq3m7qL2hG4w2EFGHNBARds+jw1WP5g79y+BgTxyo6/axico5WXya8Ue9NrvZe2tt220vNE9/YL3
TLsqgqG/uvhQIUGdxpti8AOUsNCP49sE4cONxx9RZW9d/Mje2b2u0LUJJq79GDyDJf0TmPL4Q4q0
HwR+oZcbHoFyz1Z3Sc3H2e30fTtdwQ7x7wAHlmPx0LOgMgdEOoGY/MjAJaqN/t0Ba8ASMOnOaKP2
jyVG6pMa/4joWnl1jKFBCpk3gJVRfkgqBSEZxPv6W4haC5Py/pDqUvDiSo51sxTYtMII3tdbKHeG
2x3auBvedZO1k6J4L3bGm6IMaYZsgNy/BwAAt17etQdxlhpGx1LrlFNqKd2GWGJ2ghEUslSdkMGG
gyGHW6/mKn1AEFE0EbkPleZ0RFR+PrI07xOhT8gPLNcRdUVhw0NjA2+d4Bh4M/IaK8daat4aDCxP
vSsnyFdwSxL0tolbdjA9piKKds52qDN8Lqeiqg+QlnQjO4qiG5fKCnZiuMLkAZKcabEomBI19fF7
yvUhP/dOVOBgQU4kSxuRE3U4jdO6UoEodSlorP/hvBHBqByC+n9dWxQ//LSFj8CRmdDqQ91yivj9
PsjHUxK/V4PvvzDmuqsstIyj6sKtaFPtWXYsd691vrQeUx6z5WTho1lkB1ESJ+ma81w3iXM1DOmA
dNF4c5oKSmGd1l/a3ipWWmd532tPeoFQ5PzSFWWX2gwH6ICvPSVVAxogytsk4R+CGQ+og4Q/iqAM
+exU9ftkd7+OjCa//h9b57XcKNRt6yeiirBIt4CSJTm0s28ot91NzrAIT78/6P9s/3Vq36iULNmY
MNecY3yDPvdZBeJ+xSjQXEutiffgTBcvE2pz/Xlhe5UC6z/vE0TyVL3tq8MLEhmSm9dP2H5ke+PP
Q2lNtmePLTPL//2S/++jlSnDL6SHLzkaVYCZ65f8fMD2MB/VI8Ov9CZwRsW+DFNEABHRoSS+KDLG
QqLb9wKS431urWdfrUJhIGLn33M4fYlUyp2jTavgaqsEl6QqqP9/D9fnSOoer8l6sz2HBFPbkYvG
FGR99eeF7X3bc02rFnsxkgqwPewto9wlYGGCIZ1p7zft7wTjglup7bsWzdjfZD2/2DWL9nbuwsdy
KWWAVEw+6EMKDdOeijvHAKqSAnG7zqYcjxWqWgiOCZp9YqtOZu7CBFnP4qOtJrdlrjb7grXuvQpr
l44B3evcbBUa61XxzG8X+/S8ndfMgoBiLkJ8kCn6Fna59VWb4Y1KIzOChIOvKWszSunnqu4t8H00
GRhoDH+n2b2EZVl9GV36qQi61JwtEdCjGjJNSRqWALVggvQslmJ8Dtuxg2nOAmJ7dbLj+hwXWAG3
V0siPC+hXDpvezXN44LMS5hy26tzb+W3rSI+svWTmHiUd3nbPG6vpcKh5wRoiZo8uat7VblNSRLi
fmQuyd12b7tRi+h90dXm9PPUdo801DhIyfH591M/r6p2YR9SBlHe9pzdxeAmnQ7fKXBQ/+d9P9+j
jsW1E5V1Ey46711SUqlwIj1OmVszIgoZnmi5dnadQTur+KjwrCfaIV9AxWwvbDeTAzXIV9b3tIoy
N/ufn9FC5ateash2//sx//UW007xkG0f/vNpkpgOX9pzHfz73O3lME/5iv9652Ipik8clggMy8UI
tn68MrZYBHGw/tcPbi/8+8rtF4wLNdy7Qrz8e87YfoOfL5/djF0wtAf11MV98H/+TT/v/s/nat9F
BLfh3++wboXt3n/9susv9+932l7596VDXdylgF2xih/M3lHP1fq27Q2haGnzbHe3V7abedv8213h
DKAbxt8uE6GrMox7qg3i1Kbu2mVJ47cEWEQJVrOoKz/Nqpth6KFplOrJisPlYLvDH2S5c5ADVlST
L6lnREcKizwKFz6YOw6nOO+/2yJ099RMZweEadLoSaBZ84qydb8shYjsdPCUlhM5oFkBDt9x6TF2
pFs5bfbCOvOICe9ZdNL1JIcdXI/5qQ0bxMXDsxZNfBg2P4jY2a1Uu4ud4r9sUD3R0NnldLcqoX/G
1XhRmHrOFZGIMwiGeh34VQpDhwy/7xEfMctUNzsnivbQ9plyr6YseWvyjO6b8CyoRYiXW58aJ4lN
Ks+u/57TCHHxlmosTj8/FdHJC4oW5BK5qcr99gIetM9+wXHV9BIr5/LYNY9dLsb7kUKot1tY6CVL
8nFBMgK8LOUXiZ6VmpAVEnKIPWgGG7JDP3kTVlPhojc081upTSSArTdzHj60Iz7+ojrb0Wii+uem
olvs4zGb9noFa2x7roTAcFhIWaNh+v+eGxYKCZCm+qEhRa9yzPCuWG/AUbi13dz3FrimvIeLM1HD
3C/rTZIb9dGZ7dnbHnIGMe5TaBQYhrp/T/0831niNTF742Z7ylEaHS7ZtBAX2lW77bntxtBDnTER
zMbtLf/1AsQ8Y+7+ffH2tKlXzHfnqjxtX7w9F8ajZ7m9EfRzy8R6/SW3F5NMLc+mBYBwfcqkrX5r
20owRnH6UNW7CkPwfa9pyQMz879T0oSnUTOugMjzy0RY1f124yyw/sFamfuf5/JZloS4QebPVCVV
sDSGBpnXw01mZuY9zX7z388OibVbqpD0o7jvSNFyWLSFORlDi1k7h3+PSUhq9m2VCx+dL6/Htamf
1+I57Zy7xaU6kEvDrKgZxL3rZsqdmZyj9YGRpP+5mcz2faBreTOLfF0W4vch/Q9hxs/7pgzKUb5w
6t0+yFYri+yK5J7Au+G2rubg3x611EmE1rj3oCJ3d1VbRA+CJtmDnlaPdRhN5+1t2w0lme4RC1Qf
t4fbezUo64HZoBzffmp7DkdFjiUhu7KGm3xXjdz7vDTce7jcy41hDB9R2EIJWZ/X7UKSJJV6Yerg
/N/eBgHzxOQ+vm7voPK7VxPNOCcL+181J/1RiVzrHrOofU+CWLPTYocsg2mx77cXtB64p1oznNke
bi8ATBG3TU7BSPKGAjk27hklG4YvE86/mTQvP++N6Z0SZtbZh1xv0r0zo5gAZxk/1LghAuJZsp1h
Q0bz7b4J94ZrQA6H3/IA6jl5EH2HN9TI6B9M9EMdIydUaM0y2W6oXRbSskjz1JeJaqOOiMNTCAsJ
V1JfCHj4P/fWh/D1XsueLD+yNVz0d2u0Skg49M12j7jmgvn1Tb+6hIZVwrjd227GTSi53rCoRTi5
PQm6dji4OhPvKQX4Us1P8T/h1arzVim72zdVX2iz9KxiV+PDzw01MlaH7XGxuR6kKF7FajwaVidN
u/4KZBPhPLI2/5HZAHaDBklTAO7uzXajN/20EHDUrvyN/72r5+5XkukwMLoS7OP2spQLDtHtbgp2
BuR/ljLmAJzP0A7K3r8t5sxEkGRwRlLHYoS4bcV/LwN7Oa9dmQPsE+IOcJhhXxA7ZTYULHbDn3kQ
3yG0iLxqDhPxX4GpPUbkOt5Ug3yz2aznhDiwfa+Jj3gW7m5aVbUZH1O5Z844xW77e3+29nZv+w8w
w4p3ImJbKaSkndVBD9osEseeoLYby6jqk8UiIWvS1lPU4TAK6znnrzbNCYc+pg6V/zC7gNZSkzsA
6RfFDNIWE/NqSitXxbW9/rO2ewXQhl0DFoTrrtRuOsgWUWMx6DJqSHxZPl3+a8NgUWa7WW4HQtHW
fEUpQvr9NNya2PwSRazsDPNSje1008XW+O/GEMl0E+rrlivmj0LTmxssv82NWzZAx7e7peNKbbfd
3aJXt3vbTWaHDWonFxrGqp2v1jiW2mgw6FB0/J87Vu3a5SkpAAGsHtH1z9xutj/45+FQGJBlNHIz
w9XDtKwaxW1zVJvndLvbLzS8ysKeg5//zLaf/jzc7rnaSLwVBl5O3hWcQG6MVfb3c2MOIj4Mwjxn
q/Z+2w+2m2R9ODLi2C9Jd9meqkOTcIfIoRrZYg3klmhgKZL/r6yqX7nWtaSPGiUesNU19u+uPejj
KQPyhUmebbryIRpBjMF2sz1MEyjEWqL8bSkpxzPBkL23dLYkFUVJp7PtVIFBTFdfTbMXFUTrxuRT
B6rTsIrR1fBA7+fbzacnrV7ButQj5MZWBM5hpZ8Zne/0QuIbza5F1cQejDIGpUsdXyy0MNcoHHzm
7Z03zsVtoXGJKN3GDFwoq2e16X1OGTUjdDqLdTOcwA2sS9tFfcB9rx+XkQQhyyGT1n7t277cC4Yw
qNgHSRZLF+2TniBKUXqKLJiPIBMMuOBy0kjvhK5Z/qzNyi5UemJhpL6H/Q+ebnk2RH4q65r+HZFE
SSfem7Ehs3DO9+CXkp2J0a/qh0sctarHxRFnclxVQYchIx4ugF/Rk6SMdBWV0WuU0lTBS+UDZUv2
Y7NmRPcGKlxaFAyn/aXWR/KNnS6oQVR0Dr1GOf3tbDaMI12iUvj5RbqXaM5SPyFgKyxTFa4pEaWJ
RrtaqoBvjRQ6PqGZjfybhjiyVZRU/rSYziGEdaPU/bHXYzYCHLpEWGxpEeMV70aBLmZ8cZ21dUkQ
JPVY921z6V7PLZoGO8a2TmV2MJQZI7CC3n8YlQMVxeIzf/ygeI53zox/v1asDDYRMh1nofYUeHMc
8GjIN/nDo9Kdj5nzMIFAOjLxVC+IaUnPcEhgUEv+0TUuXTzzQwQw2IkclaytQcCcwvUUK3/7kGyZ
drque5CeWv01j5c/Ji/6ZceFsmGRrdjhbaUPX00BHUnnEPW1URLWNI/MG2ObxBw1FQEN0UuVdSTg
WvjEcHAHOe0EQ2AKXzI1961+RYrAWvYmvX8NuV4EUF49cpnJBy0Y4Th8l9W4CUyIRfqocmaIXuZ1
aJR9EXXhwwxxfWmc33VOql6kRp+zVPa9w0Jw1GSwFoDSMuIzWrm96cbfChxWr5rIJtam5c1taFjQ
gNSUPzYRiXCNjORkaHTy3FR9gLjg+MacB2Esn2bN2ROEi3wkRoqlCJVpKyskJfvKGm3YL800BHOc
13vFeYmVsvTMtAh3bV7Sn5Hl3rSU6rLEfODY0xlMNO0umtIeNOV8GtRPVv6x78623A3tY5cR1dqS
10U/f2e59bvWS/AsAJIcg9DjXr6gyDWAHaWxT4pn4VENav4Cf9VzCUz1+nkqvNSOj6ZQVE+C7LJS
8QJIrBGIJMF85dRHjRqUKekrDsRQVRuOmhGZvDa/Rq78DKOmBepUfafL26JnwNfy+AtxbhF0+jMR
is8SvSRTF2ip49kFmbrONvppcAJ6bdM82LTMEAFbof6X9g0IE+s9Hc3bamJon7sXofO2Qhuvhkr1
zzk93UlSh/u6u4TLQIBsOR+I57VIly3j4/yb5Gz61U9ZOXxoA4Hyaj/fi5TKf1hWXG9FI5BodAZ9
gjN0CWRyQDMM2DBin/DbagAIln5KNpLX1oQCK4ZyqieKrFhojd8f2PZqkNs0/IkUOBv1vi3M8IFs
w37HaCf1p8Z+tqYiMMqBE4EChjbP38i4zwPNZeDdtX3idV3xil4Uk2PPGnrKEvKSUG9aLUHCa04s
yuhp1yn5CzD/B9Bpjte9SgsCXZNk+O7Hk5Po35WSfReJ/tU1BmGBLWR+lTUUHe5DOQ7z3ikYFiQa
WnYnR0cUz9GbRhd0KoD9jXP1qKbNbbM2qsp5HcT+MTqb6IWRXzhGKttJ4cG9a3eTYq125/pOxqmX
VBbdklWo20TTqdK4KBRohCzgfbBeOGtakZ9qp7ZI7myEGF6dV7dFVv0tDPvUNNZnl7DwmsR97ORF
INT8iFCFflDYk9cyhvjqnfGmJ80sAlUdNCjQd4ORQuQZZRZYCmn0utLPnmKWUxAaypcD2SgOJUL0
xNgJQqX03rYO89Q+EfPGGLoQB7oAB3OhkxmXz+Wk7gWp3nsnttAPo1lJTHYzpXpz1Sq9kX4UOytD
7Jc0Ymjj+cu89HkAf+YpbpevarJe9Wp+kJavF1azt6LpuoDmzCzIcx35k5plXSsw1k7VwRmsdCZq
ojtlYYhM2zqMiRI4CVn373NSf7hR/mTVw2Wy0DSq40vc58cODU42sU+kfbcHyQaaRl5iwIEI2gCj
tbkZZDUrcKUNjJbjE6q8mR+brhpp4s4w4+BDAw0guyIyP+Z++iCbuvDsXHnuHEA2faK/d0X2NYLT
M5rpHX/ZH2S76GKNwyKT0yCKpxkbuZ+r1a96AF6ewGGSGYpqtsejIETsUDEGQPNn0DvqlgMDSGBq
3SkahgcyjcgQdOiPj739pxMdaAqusGRsE/VeCpC/AJQ9RYxEXqol2Kb8ovflQwaax9OW0dwJ1z1M
lnt6LzoAfdCGTtVk9vD2M8TyM/KImBxN0tjPhGJUt/iGkfDZYNN1jsg6pLNDV7g3v9Siv2Tq+Dbw
S7H0e00QYUD6zF/cVjlz5ntEXFZ7w2Cz6aNbjWT6ytQPfToepyrcd8duLPcdm4WTBCt/ZoeTx2wv
of4fQQHb9W1Cl+rYk6emdgSLTe4lq2B9DkbGPKXcjwlH7+iEf/KcCOUMfVo5ta/W0F90t78fnNwn
z+Gh7qMPs2DdiIWM6IYxf7fx1MMnraTPaIaUB0H058K+wUQAbHxJ2dBqIxXNtHMMFYHxcBCsM04u
q+WquCV6tKUOSFR6VRwuw6vV01Recmfy4PDc5enUeY0NEVAVCI6MInqqrPxP3U+tV/T5GDTuQGIk
psM2Vk9SdX/ZBkXkHEPOLiN5Njqq7HoIP4ae424Z9L0FzNvu5NWgewc5JQtA3FlKzjS0CUGJop0C
ufsKgxChU0QLzaB32EqDjWyzGYk8WTiha0Uw6LaL4d9xPJmORVA8dgWMKJkp6l43YDZ0bfKLAPg+
hG3PBY5K8sH9VqdhuGiAyFiNmUcn7J8UMYPddIcP0UMan5UE3cvw0XbuPpIgRbuEjGI3c4OcFkHL
gCNHGB+UqsLBQxHWiNRvIjoCg6oWdKyzY7FI50TI5KudAO/hCj7I+lvrqY3nkcOzgq+TJhehVCTM
jTAUU3aXJvmlcfoJcCehaiK/Z0maS5RUfwkZjT2hDYyVjOewcwgqKX9rkOucpcUloZEIFiYO+Zzl
dYias0WxGPXlrXQZGpIvAurqioHohVr7xWFo4ZvRmhWhT1+zyQogc+R067hcaqw5yJxhTRjkam4R
IJV2cFSb10xvODpG32oX9c6UxUQxnmeecKjBrBzdRpT8lfSz+7NZrYQsc4L3No3PZjXuNN2cKKwI
zUhs2A7WcK+MU31KlOzeiCjIyaQtdbM8GHSmmmYZKWhjecCkbXRWEdAQerbi6Dd8K9ipGZq9WGs4
AthplL80/T6TKjuFljGRDNwzrbwtajBmIO6Fl6O2PS5m1AYdREx3TP10Ma/t4KJNHf6Yyg1Ry5eE
YNaSJjTAR7R3Wb3DynifSiH2atm8A1m4GcoF4nO1Ipo/GkFw9eRqmPWr+LkWNpUQGiiHJoHXqBF1
Z5WAmUSCXjoHREsm0ZD26KcW5h5rxhVifqYDCEg5zmS2W/peGPOTrlqXJuUIjNnCmSBUgqnkH9MO
ZZD3EIeLXaxZh8SaPpbpBuXMc44i1SMXpNkVGtuJKPFbnBjIRhbW6xZepX5eW/DmqwKZb9W2+dBD
3vTurGh7i8AjzzWVR1GJvQRwu56kKg8OKlaoGQH1YaXLkf6RcWJTjDPowHcZG791S5n3oS6BJWMh
hWjI8jTPwdtREZoue3+l4B2gMCE2Mca/Qo3fJzGMpMz4a1h96VkT7X4TahLnTVqIJnhBXX1IHFWH
KmcHGSmnnuKyl9im/knD5Q8ZyvVZZkytdQb3M1FFma79AthXBEhlMFAaWqBmlbn+wC6hRxzoOoN9
JzsIEy6tNk1HW5MOdUBa+6DmOugp/VuqNeCo+7OSsLdVrfC6vH5O8xI7knUDGDNYKurnsXdJ9aVJ
4Vl5fBhJHIfaudxaSNhr8T1r7lddLGmAkK1mNx0e7HJ8t7vxC5LocZln39K1j2pKTGjJI4hezBfh
1JrwScbSZw6i1uJRZvbD0DnYMtLiKp2BAUqjMsh231OzJ9G+MJ7C/tcgVFDdMERJECNxR7XDYIrL
a26Ki9AsDt2oJ8+JOUar2nc1qw5ZlWMQJ+o9gSPPuiQV0x3KfRTPv+LQlGgB7QcGKgS4pCHM5uXN
cX85loJIRF9ZfEU/+X2fUmBTYIKvi4JUr4IZii0x555sB+YN8UGpy2uZP4PNcxl2hkf2Sb+tY2M3
pRorManxVj0pd4puGb5z00UAO2n6oV0gG9wd0JyU9m5s1Dclzxm1DPohnGDuTSFheDkYtMYe/Ej2
X3GD9N40TtQXXZlTYIy2Z1JVsvoa79TsRCVtQh3OSalKXF+rpMXXkIeQu4ofos0tG0PzHSf9nu34
LWZOOc9D4SsSNmDq6vPJnl8rkeS7UD/kgoF0iQ8VD2q0s8iBqcTwlpXR2qFm5R+m/Ndcq/W5IDAr
aTU6reTVKYcUE+lsZc/TxNXbJNV7X4+UHNLqGRN2jIdjQqJd24Wh/F2HZGRkcX3bR/HeIEhk787T
uc7037mCYTdOIb+vvKGm/0KR9MxAvNoraFS8hiN+5yo2a0OXQ2kcu9ty3rtQgOeZdjt6riYIswg6
W4UtsMGJkDPVSju8f3lILyRJvqswv6i2AtQ8rUkWCk1GT0l3jAFseIiWbK+t9O/RADuVP2uWXR6i
SvuwNeVoLxP9Exc1j1F/VxWoU3jd3/BmPqmox32jx7cLyGHIvlnmkwYLhWC5a2MiXO8nrqYcihgO
y08kMUi/5V/yLW9Dl4jlhHOURtB5Ie0XV5vOcwuMBM4cWfJGeydb8VnyzwKJ8pBkrn5Q1sjluJ4v
ualCfU/KYZ8krNNUav+6Hl84RpGBIKpfT4fWro3mAz/HFHyIAN/GJ2KFnjNNVwISsA4vGElDb2xC
1EPf7vTaOMYrve0nuxioNhGmmguKM6KrsU6c88xlmcopKjQoeDk2EdnS621a5DXvqqV/NBpaqgLN
BA3bXxUbzytH40HJM1qGwniTzC21aJQB6T8rT8WNLrEpnqLFOmo5BbqICOXj7EQFAGmPNayjw25t
BgOhMSRhGlb3bhw91H848YZMfkaclVMsH3LBSs1q8dOkI7EoQn2LW4IaZr0iD2p8AkCa79Fw3ae2
vDBWwOin5Lcij/qAReBlXMmts/GofUal82kP3UunsmNm5gvZF4+6VQYiIqeQCGAo4ATJzjddy9GC
rQuF+LEz1LehN38rtqSvjNKtM8iuS1WaMSnXf3tJDBwT8tQMt1kDB5wTADK4Fd6svYfr4tVRossC
qRCk9iXTrYXGXfdVN9O+sZWXnEhiz46N0R8rCm/VRM0QsrdQxQxl5WIVF6pnivymCvvfpcBCEQ8L
UErkT+3waOfibBRW5+vKQE1VIr9XAVRPqaIEYs3nHVxthxWcKPq0+oqL+Ai44qZN4r2amd+x09Kn
apkCkqRKlGJy0Of6NrMIFG2b/FRLIlMHtd6hCv/MtA65qE5Ct5ns0ozBc9qjfwtLwMHmjl/hPMR3
dlIiEh4vpaLBd7K02MP0GI7Gr7DHQhGGf5dSedKJEpqsKn5Ssg+YiaW56L4SqaixRv12hj0WGL32
ZQ/9SXeTx2pkso4D8LsP140d5x+zJl+zEl81aQvQryr+5mS8nbPxWqXI88LokxLik2DV2LMruTfr
+WOoV1+eyoVcKVwUgUsFe1xHbUdtvnYqpwNTvDgwZlqzaqITAK/TTYg/XJNEiqwrL0VOnFJl/iqc
UTBBV96XaLyoDQhpt7zqnMKF7Rz6qnL8YgRyV/a7ZEzekrwV/t/GrL9MI/8d1jVaS716KKA19nbB
ycVqSVsye/B456UcdyH58aic8Gpr9Rmf0aOuSMTpOH9xWRznESxhTDZomqo09YZSsjeiOV+EEajM
VGFwRXhBytFX/X6ZUpISk2y/RPYZB+WnJZqPfFnuJJwvxmrWlSPk1cqgtSlD4JYVGkwnOuht6tvj
gOBYIS0qXW4xL91ArV0OjWnsTPAGXH808ihz39E5uuSiyiOZDlD0kYFPzgBknT+qNtxfk03zxqaf
4hlUdOzF5dXIXwaRBQSo3rdx/xZLRuDrLrjMREwhLFH3kcWOgn/idsnDAx3xt9Dub+nc3oWA8lkl
4EPLG21HCtE5F8VjH+vvxWQJFnoxZS1+KseF8iR6Loxl8rhJBSKVpgzN4/rIauyRUO23uk+/WP0+
4QLtT2DzyVRewgDfy5tZX9o6fKc8QI8RU6KENOovCoOcViNsZZjNbOcU+hGVEW29dDYoGZqIfEjl
Utm1csta83Uq6O0ug70nL7sMKtMaWdNP7r5YQNEsIs+OZXstK4UBAR+wczLli3WvN+OFEEnoHKdF
wTdZgKwkJCuanOhGJiOLRsgJzPYVv05NYotn8zB3hXaj5EywGpwITCJsFmpOrGLP0A7z7DYn7HGJ
185kME2aUfxS5g5ovJ11h+3hv+fA0Kccl10eBjYWDkD8tc61qids3C4qsgzW9KfpzREJMG4CLCx7
mv3GnU+VjSUdk9OHRR9ZE+hPbWNQjvw9+0WjUB1ESKcPiD1Lm5clb7uDpEJvR65hsqUBmfSP5At/
Dn2+Oru4+izKeBKadA92+Ncms9Ofc+0THRnXmg65W6qKiJzj/F0ZAKpWBqW9NWp/wtLhoKHCLsLw
t5GKwadF5ARgA4RrAHFWS/4mi9OS09wk41qyxco5ttHwhfZX7OpfskO+PXMSDofwBIkZQDodq97V
X90M6Le5r2fl2qxfl6wTGMNCPjVCvnedF/h5YA9LkiWW0pdzellU61dR39WpkF6aj49lxPQ5d5xT
WwtamvZdpuMmt53vdjKB+EfN/WzmD+k6OnCVgrbh1J6FGo1+1xocES4p8LjKbsjHKIMmaiZm+H1A
cT1yWBunUgoCdUxWb0cjigWwCZQdqgWRQLNrmKiZYUNojNpdatZ3bSrfpmINWpxSeQiN4u+YLN21
h7QR0d5WTVbKRuRygZ0N5gOGsXNj9S2Z7asb/dU7g5lsSx6aw4KzTpyS02P6WIwvoZFAF3JYo8WR
EXlYrL2ph+UwVZPvuClrZ9scPWaqhzRRtdfM5WwNO5bVLS2WqSAfSkvOYqD7Yklxyxr7yVKL165w
8p3SigShRfQGYwQLu6MfcDOpPkIPToOr6NAmdojOIU2qwV/bnjupY1bX+R/r67R1UQiGNLPsQJAp
P6WfDWZhe9WxPhec/MVIqzKUDFdAqGBxZ+I+9hNrOIXcJafMHT+zLA1Hk3zScoCAqgHyRVY1sioa
Vmb9naUN7JdyPOYzfWYtN92TLk590Q/eHDGY6haaT7adfQ40+bjaVIpXInro8io+RalcC2j93cTi
4tGtjMCdTO29WhQMVnTzd7WOnsKPhg6Lr2UKtWt/6ehZIpNtbyKsgQPFyENosVeWFc3OQcV3Im8l
/jofjUq9c0sTSvrM2MNaE2uGho5fsgwj8zJ2GMgI2aGNoVRQ3nlTmw0PDZnpQUe80QrkP9OXv0Zm
4+cDfZsJooY20taklqpPqWwgfnBFiBsR+s2QqNd+VPcFNaU32zink4XEcqHeubUwDkIdmj2EyNPS
pLZnZeUu1glsWSIuDlEkuvNIvz1zELin2fRilYhM1f6ZqRn//3JB+kNHNky69CavaKuzboVTm1pE
r8g9LAYoEk2ZXHqb+WnT0rSvjUnBFAsPMneL3dIbXIzH7g1Ez6401/qzwhq3yJOZcSbNk+qltBbj
aOsVamZRzTeiW2dCLXIa4jfQ8NlZS12bkyeOd2MnYnYLZRQYsDsagRxoLLMs86XI28K3tTL0Qa6U
aDlxvdapT2RbCQBqPSTv8omvyGYOYSNvTV8IseYpNBdTpK+9xbYNtd46pkmGgInDHpvPS2vxFzcm
X4mfiE5MZHFaYyRjOfLVdE2ExVlxAfU5naPqQaWFwh5VeiH/lV2cdeC+u5blHt+t1fOeoBHJ1Jkq
y2bWs7OcuvLTSB4FC3fihQsiVgdRHhgWGzBi9q68VjHhLXhlP1VL9L8KPdzJdH41RlyX0pbPXYjX
ExlQeygJouEU3d9NycKblL+ClCDaOtHv2rCGwHaGm4gZKo1DVweMEs20za36G34zm2hO76U6KIRP
OzhgpEPsRokxoanR0+p06HTCRgYSNkv2ZDMEt8aBhOu/voq553QzlfoJUEm1UFaY7HOi1r6nyPxU
9b9yWr5BzxBuASjcbO6XzlIh44T0ocNP4Fv8tNCtvZrjoGBkCL2mw2RC30MZ5e3IjNkixSeN5a6L
lXe3Fc5u0FoC15KsujL5s3f54pCOJ5jpMPbyVY1Kh3UO5l4qVta1B8A+woeJkQVctk+pEc43Vqgy
22DpI0okOXZUTXsFFjw65MdeydV969zDuKAwVOcXOWnHpVPpCk/tcy+ZiFhj7+tR2fnT6GoUivnC
bx9d465/zy1GZMZfXSb3Dqt9FsFcFaWckBqxHBgmBtCxq1CzH1t843cReSRKRZg14U7B2CnfbSXf
jYhcrzy8ZgPaSjF8jw4N/TqlBY+68qmnKUDemwv3t7RofhjPMmR5mEJv2GHQ+VRW91psz+fJJrqg
SNMHRdTQ882ZXW6pK69CihJokjWfvTLxu7r8oxrj716qVCzWeNQ49xxW6PZY5b/RbpBeCf2UeS8r
Y91uf/EXpexVcUr7xcwPMQhcxIZBpqTHQiXQuQ2N+6Zz05uqY982miBiI3tz7SIPZAiuNa65i/tx
vK2dnYF6NnAmQdrG8DnP1R1X2JQq2PBEjX2urUp0IPV+TlfDbs+6g9A2BPJL/Z1ismKpkD7qqhv6
cUPrNa7MhHs0TvKoGu5KC2eu8kWvffxQoiPTVxW0k7iVHWO2ZSq/bHtlswiWRm2HsE7yX9HU5RC5
S3eXrDcm3bcCJe3N9pSVN0QZ0XmoM4u/tlsjaMLpWCB/RJOrcy4lWN1RXCj+rZyDuuE8HNbaUzok
KfuB+tqBlwg0Xbf9yDg6lmUGYnFfoyQWuNzoaVddMe7akIVMMeKDSL12qppTM3VP0q6Xg54ayU62
+e2EZIzZMdM5o82bAwcPwcbOkMERnpjVMomjhOMci0sfTAXd4Z3RdsOtrJ1feckGLZfcK2qtve3d
vibDe+9w0XdqmCw94w2oY3dtONPkp834P4yd15LcSJamX6Wsrhc9cGisTbfZho4MmZrkDSzJTEJr
jaffD56sSpLdO7Y3sHABDwU43M/5RRMMX/tWoCJuk5aPWvGkWyALi/pLUaLkAqOLpVC6div7kpIR
WxWTUS9ZtK49qIMdKVY0c2ajjf4tqsaVZ3UN9oU3cdUOG4S/QS56Z3fyT77FXoVt2SbWimDZKzHx
GNHfCPwHWOQMb0y5iEfZzlXo1W3ZxoRhLP8pGcl/GjyXfBSkK2X8PuAfHHm6OIem3q2aLPU3SoIz
Qimc77YJRjNtnoam8xYGMshLe1SXdj0yP+vTqzE4u0rHJjv6bltcoFOafCsHuLWq3bD2UzAxykb/
0OvFYxUDpmi4uLT6AR7Hwa1A+PhesPbCChWPVlvYrvFtZpywEEedpHY1felp9lEDeZ2Qf1l3vrV3
gfzcQFR8FLPNuF8oZNtzfgDbeK0TyJbwiHKCr5vBcxC1iZIH1yJPrdl4FKEFcmPl46XTyR6Yhvc5
uIJAYVZZev20bjWg+111Gts42QLL2I+dd8EuBOoLsYhYDEB1bMb0x/E5zcy3ahpOhtFeWKUiWxwc
Yo8eXJ0KgKB6ExstV/e8OiOPcrGiwGA5W6dETvRdaTZ7MeCDng73yjiJUwsWSAMHvMnDXVqxxG1c
/U2L9XaRWfWzkjcTca6YhwG/mwYzswT0VDnBoSGXRsztRTOa5igwi40CZ9woTeOu6ilfukbA1RLe
JigzLH3m+rzaIqu0BzPJozxWNfj9xZfEwk7MG3Qcp5U332xfYiP+2lTBxNWvbfuS/8UIMS/Eb31j
TfUXXycIGUUznT4ig6bj8aTljr80kCgjwkDG1uRn7qpuA/CJGfYmaqJH/v87+2tVVO7KJ15AmJag
f+2qC6VnW2X6b0M93NWa/VYkzbMz1vdkIbylFino5NsYZ7koSpUe2wFDzOgd8qgKrsGWASQbywNn
0aZTyZZfJetse/oBobSvwuudZZmBE5uzWVkDPZ+dWrLCdmffDRbiDzejPm5t7qDMz7cpE7dnKZ/0
NvyOuFlG5LkctrkKrA36e1C9ZXb9jM8U0egsv5TGRng8OZnTUVd2d6nRoX6cfdViB2z6sG6dEEid
ahT4MsA7LWb7GWUEYOeJV1t7I6HprIPJPQ1A0laZQBoB6HVYqmB63eBmMCexiMLgVOQKrpV6erRg
q8VZmW6b0VTXwOZMVhf9ss2sregHH7WxosSCpbzTGBiFNW7/2Lip2JT6MDpxdwwgXrtlwwy/HYvo
LcjLWXSq2euZwvfGldOwiOKwvGUTNnugjf2TmAL3QGRjOdR4jztmKNaDnT0ERXXVW4wgkKnmY4Sr
PgXr6hAth+9tnqyYrVBJunwZjirGVXp8RFPvFvg3on9DQcZqIIkxYO4EcmpbNkqx7otLM6nikKXd
ps8Uf1XGLMqKepdngnUrMeEwC/n3hmztBNMpTJmAvKDM1mrR3PgOxu2+iu0CiCPhKvXaTRToyt2n
ZKjWVVezBGj8qyJY9PdZ/uqT0CsjzChdXwlXyqi9WE15MdRml7rJuG4E692kiS3iQTpkoQRFFq+/
Nr7+tTAOvs6siU+gTTrsuwvGITdMaO6d+4ZHygvBL6N0nsigbAds4OC0HHQ2pYHPMmLwtQuElUvQ
q5ewb0F7iH3hJ+lGEB6wUus6aO4M5WE5WpQYKY5gXYtKe66H8AGEJctRdKjMpoOokVnnbNLvPT26
M5hTNo7dbuNq2rqFuPF4kkMWXbY5CTKsKddRRDQSx84orBZaOegrYJSUHJ/FTgEupk6JmsPlDvNg
O3ZiYzcNqxKCjS6eBYtCSY7GUL16Ufca1+QqomkhyrukbFtuGih/Xv5JC6zXcDDf2i5Hr19b6WpS
bBG/J182IqxQsmu3gq+EZEnYF1lF8Ey56Pn0EJj2U2QPO1XT92XAUlVptCPyO9A9DDA6LQ9Es3ba
xfG7MJR1qRY8MJCG6FxjY5Y8YdX+a5UhGxh/NXQDH7Z4T1D31rKJxCVN/jx57qoaJ2MbNOLRxYe1
LN3PQTsj4sPgqPQAKQDa4QKRDkczxfc01whwp86jiopb6+UXBI86kFfdfdkRi2l8yLC5bZ0gjmFo
5xV3KUSGhTuNx6x1V+Fk4qJEFzImRx2dFNKszsZ0qjvdTF+qGq8yRbXR2geQpnYPrkF4WXehFZjO
fd8IFmzmiimXDDQaCcBwjccYg07oJsiLmXr1kqntSgGlWuIaOoTaxRI2nqHoBkbE3NvC282PPPIC
z1MWmwsjyOCmQ/XxSvO21OuzWQ3Oklwj225M6xZKqV+T1qrXGZie3gH5ODQHrSUb7JNOqZRvKDlg
9UhsddFXKEiCS9Vs/tqefHmSCPal9p4QPHNjKAqea9O2Fe1TqhICQxVpZqRvFYjdtWuxKGGh2MNW
mdOA6EmFyE6o/khwgNWvV38pHbFpK+PY2jZ6KAXOkDFzNoIWdk5As21OfWE0J5GH7YkAxERar1d2
wEf6Ra0Uwz6tjeIuMpT4jm31/FpW5DX8R3SKeGxaHlqQXuCLZWWq9fZHMx2VoVtja1heZBVwAPIQ
pvH5Y5Co9yPmcWdYm1Nd3BGHKe+Ai90XKuIdskrH3vVcuuruvcPcK8HAdMOnDVYfAxFIh6Xfa8pe
9gNsPdwOJfb186jyALdkF0CoJG3NJ5N1tVU3SxB2JjIuf9UlobMUiPpcZA+0u0bQLhEBbTPuL8bQ
/Tiwt7t1jKy/+a3eYG2AlE5PQuuv/qK0ULEwjuRJtfNHdYK12tkHYSQHlfVJPmI9FZhX9iKbQiu9
a4Sn50PpAZzKi765kUXLzePZA25ah0PUPriVnxy0klhi5vctT47GucUDYZlAv2mWmT2cepXJV546
Vm699AHr7WUxStxoC7HBWL0P7Hv9Ea9Cgmbz21YJqnOxeO8q38pxi2eyLsZJvlMfYtk4eY5PQILu
fVumO7bTylIWQ5inp97VHtNS4XOo6kUvRX0vxxGcSSijKo9yIDMD1FdmrreRrU1kLkcwvbBqkvxW
HsykrDZxxa2FVFYQLFsrR+uiT+ulbAbRnN/yhuGuwoOZWXzuk4ZTAOqKpNbHOHE9DuwHsi1BCm3T
NHp4IcQebPJ+SK6k4GfkQFHcIlFnr3I/7O5iJDVXNaoK92NVWksP9s0Da69q6fdW8tQQfeO+M/vn
YELPzk5M+1M2mNkiUdr8i1EVb5jKQpessmeni9JvQ5FBG4z012wCyJ44+fdmYEWRklMhw5EvO7Vg
4pjUqzewollUR6JVQHJTVGgMKwJ+gDUxy52O3lO+DciFvJGIOOjNVL4mlX1rg/D/GvbRZycLqheV
PQGrt9r9rJG7XcRRMm7CwscaxRXlLWby6GomNlPQbLgs6/y4gFI5KSx+urK8lQ3CFzaThFesZVE2
VCHBochPFJY7DPXer/CHtQXEbCWLzTxAbmvOuhscFPX+fg+8nnPg0+TRzL7Mg+VU2epG0QUqxHMf
Ob5LTnA7lGb3/lFlQ1Z77TaryWnJLnL8QVHB+XcB+f68BM8GI303dTF2kaRAL7gFpbu2NCMsQYvg
xG2mrBtliO4RMQiXlTCbL2minDWz6H1yxLeT4wXfy9R8AeDtPveW5mCB3ECb7e2EqIpbHpQs1w+2
1jsbNq8d93+qkRfXu0+9130yc6RcAnMNe4A/aIqn28wurM+DpeVL3++nO1eE+ca1UuR20rq7Ad3v
bHFt9i7YmtYrvYzVJxCFEYJJwbVU47ts0rSzXqQILehWT2qCXGAbB+WZC4dEkZ/H55it01ZHa+EU
x0aybUtUUpKMBFca9+MpNvVmq2egCjKD5H9riPQk2lHbomzjn4SrWVtuFPsYxxABciZc7rKbDNDJ
toDav9PNKLhlNcKSTtjWNz+5QVfCem3Yhy/qxh/vZNfQnBSiMn91Hbr6t646NOc7FY/vbdeYzL5t
fA96KjrifbbtPbRNUVsmnCHrCHhuu7Log3WPXeiqqFSyfl5/m2o1zsqRN621cOpv5QF7WXupIyex
kUUx9xMdTFxfL8xtwdSGcXdELBtVH3+vheXwfl4QEVR2NK+6IQn+OuHmh1AVkX6w/temcJG9gafE
btDZ5biogLHsIQPDS7jVURVeAdoZ1rKuzx3vltU9GH0UN8kJ0U/W2b2+6kfkmWSpD7z0jETZTpbk
QPDT3F2Eex5wZsaQB9MwPYybuYc+6sBzVqRyLW3f/t2P/MdKQ9ruIqsK18mQdKt2eYWF+pAkzUrV
etAVBFCajRIZ/HfYQQZr2IjwMZUpJpal1RebxwJAgLmS2GS8fC/XZYUAH3Hc956yiHA+oab58DGE
bMhNv7lYpNTRnHaQgenri/BGdScD95mS8CG4MP8flb5pqTtFEOKXJ8qO8iAb4KGSDp5PnqYC+Hjs
Wnt/3oCWQaWfO+I/Fz8tgbWgGviFqGFNksfMr1qBUIU5wcfJWxKOup29ZVru3oY+xBu3JJ4u61Pb
vUfuQ7135+VuWUKLUYKW/ll+yAtUocwRt2lvzMq1rG8DdkR9WzyTxbERJxqwV41IXaYmlrMi6JVD
bXM1LeTLZsS5NBs6pMxN5SCrqiimVZbfX8raj/bOhbiWpMr33+pl8bc6U3PEPi3jde8QQ8X3ajwE
2vjjoKr1bdjyXScDvHga2OYnEUE+UIu4+ELS7tU0CutFsbOnRohmb1i6sXVEFKzdVEf1Aw34JyMX
pM9geGSaw3zqC3SZqiR8xvESU2MmTFAZyrrWx4ODypY3RvoKVDjzXzacx7JM38YCUc+21j75Zq2C
IM0dduy9ctM/7zTRISuqkrpfqL3u77w0Y2vdQO1ytPSlcMVn/MmVOwSz80OmITMY2hOAhKHdlGmR
PHcqSbRRScRGgcL1xfKWDJCu2+eu8osbUVbJRoUgts9bP31yxnFPMDJ7Eb2ew3ryvEMadNGdZ/jf
5dtNmsM/WA75xc7T7uz5ZBmG+YT5c4CgJKcVgQ3MLN/YIif5NUKS9CQPeja0p9JogdeaDhIHCrv0
EoDkSddCY1jIPnA555fAtOHAGYcfxb+HkN3TonhO0yTffQyd6MCCDaVr1m0JNWAYpj26Le5ZlrIY
AprdIXsvi1EFigV46r536rNNQrDZ10RAQIep4TIvlep57MirRplRfrYn8tbhkNQveZI+A/Pov2HR
fGpZj77VnQUlK/NxsM+nRe5AE1gobOTncLTrw29JBxAyjm/MdPsUnngDT3kWl8vtEoU5TRSLEGvp
rSx+NMSJkuKDDM6yI9x9CZ+UDhtxHUHqo2MFpbupCyC+/WDV+0Bvb2RJHmQXc+4ni+XMLjJ6n3hZ
Y9+Gg6rsMwdeVwpLnV16h4iCBvlqFc7Nsk+leOoySYiJVqZJHx6r39jSKzfvp2giWVaab17eO/M/
nQXOEmZl2rcQhhjk7/d4P7/30oori/eogRQchqLpN8sGHPadH6fZnTdvOUK1Aqvzd51Tt80qJgQG
dAdJOJgr2rVSHedYalF1hMvyzJ7YfFChVaE3Zl2L2kZSNgJPbnMhHmWjiar9ChxIsVMLcIJNpxfb
zAbvmjS6/xh6ub0uOsQRtGiARwW9E/OcDqrbkFoPUwLKxs195W1Dfs17yzqWpHrVmA8pY60ByMbH
wdSDVRElEIhACtwTzVwPjHXVTd28nyqPwKmtscOEZMfeHFF33WiihWy1dTKdY2N7R9LzCIyGYXIu
aqs62yDWSKFX4dfSTm+qLDKfKr2w4VT4yIFMafhcKAQQ5g72r2eSS60JqjvBV/Ai72dazFjLYqy1
K7klIu52mTz0CQwlBDzD28jz0I0STU6KJLG3/Whph4hnBHCYtCWjHeVH5rdmO6aqfTb4fdZ2HOu3
eYL9Xagq9sMwSxahx7soS8PZ1q03jYt09mBo7VGcSHUmBC5R3ZqrMhD8p2I+vPdrKiPH20L5cYZs
acYRh+Te8LAghNxOjnsNIrG9s/Q2uC8sNCtChN7WsigPdDBsq71jZT+zgBAe+ugg6+ggDMKBRED6
vee2Bs60nX+wsqQ69UGfruM0aZ60MPom/2qhfw/NPniNuFYJpo8YXcznOEgVHYz5nMQmplBFRv00
6XP6oPfejOz9nMxNxEJz0h/nlBa4lDjJDlCq3INoRvdAypP8Vq+RkCijzN/EPBsq3LBpymTT7y9Z
BOsrpQ03yVCmLSYFBjw+XHUXNd8elWd81EcfEYaFqTocs7ni49AkIQbAoF4fJoi063bAcb0OB/2Y
Z1q8Ds1IeYYkf+m5Cl/NsLsada8/w1vISIvX/9bVS9uLXLoawXAt3PBH199GNSYVj/W8jAkjvmhV
pj+qXlU8+N1PhbB7EZ2lvbcI96eW388p3KLf1pUHCGUqO5zFa3XgGQvjn4Soaqzly1ggCBDOh8KN
UJh0Liq6XYcqnvdr8mWGBq2Cp+qvtbKMMnx1M+mErN1RuclM/wBlxNgmpIpvyMorN7Ie4jvBU1kp
0sFBF3nuTdLPzRayV2uJ1tzJDrWslS/loXRMcmV2Gy0KlDN+9Jcto/C/tG4VHEbm+avPrbFLBgJz
Ii2zq5eJ7CpfsQp9akim3nzUD54vdo5O4l6e+mtf0KY/+jZo9y7QOGiRHXb8kzyYCH1yHaXG2i5T
tEuaFu63fPnRpx5Jd/zeRzZbqolYS4exTAjM0H9QEH8/ZFmjEp+eX2oKiC/5Sh5qn2cX8KRg8VHX
ac5Ynj7KsTXFmyhFx0yeDMURpabfxiFcSZKmri2mK4cc2U9jsHCyl9k4qOBrCrhayPV1bnhFyCC7
+mqQXctktOGIe/rKHbX054Zd0yHg91Fb6Lq9ItOqr+SJ8oC0cnatd9XcU1bUPfgwiyXHFp5GitPM
80S68YQZQrmQRahM+bbWUVqSRc2AMqrA1TzKYmiFKx6Q2kPhato1To0HWd2HaLc2Bh5y0ZiNz7Ug
1csWwt7LVsVULzhpTrcYZRv3dTa9D+0mRnvoo7ZAT4mTyHiMa3SF2I/OH0skqAnmpqKfe3yVnjUP
Z5J//7TG/GlZhgUbMknD88enlUPGfNq0RqC5hKW/lUroKY+LTZP74KJnsfR3dfRZT/2jWNYBTDQX
CI1slQ3TkDCzy3KiZp8TkWQ7WRrT8sBUCcUnEWs3Yq0LLTAMr2i7DauaePZ6qO0RKFOQLj2ECs45
SyGskzyT9EOFfJbs/X6irQdgp0tn9vUIr6ZSh1fwZj5bi/42xv/iiID8oVUG51nVePvRHWAdue61
7OLHeq7OXHg2VUw6vWlj53lo9GhJID48ytbGivDEGOMnX4CebgwsdoZecZ4rSGObrIqGjTxL03rC
kW0UnV0lcZ+m6Cjf0lE69YjSKxnA+a28KCKRW2XKVhbHePw84TuLhlVdPNS+t5Zv6TbkxsSE83Xb
JdqTAWssDp1Tk+hkPFQVcjFGViecsu1TX5rkXiJheeBCjftxTAzkhv5uHhQwDB+nTNM0MokisW/y
aNVNWCdBd+8HbXeP0RKhwwRwqOdTRPIGA5l+fPnoIVrvsY/05CT743pSb/UOoqUsVvOAcxZ3Hkue
01epuURTxN26urlt2rG6DBl8exYAQO0rhbtVRSSz1S3/Nbhtgy5/xcMpBSfoz14DBmzbqXEg+vfR
o2nVX11dyV5jTwP+YpWfdM0s1w3KhEeikdapmESJB5Jrf4mUciW7lg55Pq1XnbspwRtuVEOeJGbV
302F2y3k+1mQFJPOKl+8AqiiUg4sxpTYPNSQKtd5aDnPAAdOsmsTaZ87R4WDqFmCD0VER36H3OvL
pc0+6q/vELOHev8OecqaSn6HCtbQY5iVX4HvdhuvjI1NosbTDnBAutIQ9niUxa6Ks5UWqNqj0dQ/
WifX138qqrFW7kgapRvYzuRJdCV6UvFJX6mjWp0Bw/f7UsT1DtlkdESVMFnZ6OZ9GsfuGQi08d2p
D3WiTG9NyTSBCHkEoZyzJ9erzjXxzLxFcKHXs5c+LYMtelkp8ndJXxyJzGEZNb/6rdgi8ozNsNEs
2QfQuyz7EXYENtBek1rnROhrb1DCI2kjZ5kQd13L+tLRwAJBdM6Oupmv86bHMsJvOUN3Q4xf3MF5
H6Df67aBq5aY7fVsWz0aBljQuVRGPiievBrfG7sqEOuq6lAkmBtkF9nqdlp+IIGAin5EggolsE1S
+ebJIL55suaDLAZJbx0mzCVlSdbLHiIlf0TSx0aZOougvs/n9jkeR4GZbgJcb5ZSgB2m62OB0P99
6AOYrAU4CymEbk/1o+U68T3p9OC9vkjsZSu0+gtqG7DNu1fUxnmGAX+59QvD2/lIB22dIMnu454k
R6Oo3aveq0sEoNsXFdWmFTKO4ox0Kg5obRJuhlKpnypVPPpV3COpg1HWmLnPZoSHSiTs+NgWZY8H
iD6i2j/6V/YYkLEz/xZaeX/Utca6NeeDoYFbNPPbMQqtWVGsPQHBPMD/A2tZGXG11yaWFR/927oO
N2rDlk3WydO6ABT+GLbpVhZlgxpWb8jWmzcf3WyQVHadpxfIm9ZtUnr1xemU5UcHlGVYmkXjt49h
at0ut80EqU+eJBvaNhxWcRJ4UC4YSNaJJhswuw7TvSx2uWdtsrAADaHijeP65rPDlu7Qu4AAZLEe
x2CNUo26k0U7zh8b0l1XyFTePQz1Td205nMx+hDY3DsxRMaJ1AUS/L76HRiWuo2qgi2NrJOHMMzq
I5wraMv0Vadc33hTVeybLvsMFhjquetpK6E60V0/ZubV0L62xBYgzmBXsUfGDMrr3JhXeXynGqG6
UskOrWXde4NXfNZHTRxkCSlF8+pmX2V3WROaQt2zaP15nCjJVVARjbKu7K6DSNrUn304VO9jsLkA
rl1OnyG/OMvKJTMdkfoX8wQUovd6/1HyvPeSnKsGVC4+2rpfSn+fJye5v3vK88g59fdaT656ngD/
7vn+fnPbLLjzH85zBx/0o9/v/X6MTzAb45MZe3dtOnY75Fji00e9fPVeVw4kzHqQDXT/qM4qZvqF
LNdT9y3xAebjz3DyUjM/yVfyUJcjmipa0mIg9leDJ9Rw+Kls2OEuV/30JurxoXwf5mOErlbGtYhm
7b55fHmQY7Eo6BZ//vFf//rvb8P/9t/ya56Mfp79AVvxmqOnVf/zT0v8+UfxXr1//eefNuhG13IN
R9NVFRKpKSzav73chZlPb/G/MrUJvGgo3G9qpJnWl8Eb4CvMW69uVZWN+miC634cIaDxWm7WiIu5
w0WzYpjiQC8+e/OSOZiX0em8oIZm9uAS+ruJ5Vo707qOBwzwWtlFHpy0dJZZBd63XChh77JQwSQg
2fhRbJyrydTfD+kkzgZT6w25YX5r1JKMM6j8YqsIv1189JMN5Nww0MxDJJOLkKCome3KzOlPZpYO
J/lK//vV3APllIxlHLjTgK3JydPEvgnb/LYIgdJ6xvhTyc3UvRm44+Z//uVN9/df3jZ0yzIc19Qd
W9Md59dfPjRHcHx+aL9W2LieLC3Nz32rJmfcLebXsLdr8htzTbk2R5zJgG0MSIfMhx/VUeUiG1jW
3kkhublKDdVE8Gaob93QrpBQoG7wLBM4qdoFsPr+Khdt9a1Mqhb3meCpBK5/CcmGP6naUxI37aMO
aeouBssta522iU7Cg2Ioi4kgqTLoCuL58zkm3IO1n9QV5P3WfAJrkSwnO0sOsjXL45/GH4qfxld0
dd+3FURLT+B66nkNYh11dyL6/D//0K7+bz+0JVSuc9twBJQvw/j1h26dzGHB6mdvRER69GL4/eQv
7KcuP6qJlAXEPtTy5G/80dznyKLWWXbz3i+oW5jC6IjeBMZUHQnrwIeNueBSa2wxzZwrO2fGD8uX
nmfML23tR6/CtN66knVX6RfuHs0qfd05zfTSNIuxJh4+YRCzUVOt3bep4TyYnrjK9pRdDhFzrYDJ
6VnnCnnjZd0504tXxw8DMeYH5oDfBkyAH9yprg7QcDkk6JZO5nDtbDs4tn1xkiVEAsfrj/ruis8z
CnxdkXmLTkf5EZiLvvKMjy6c2hjZ+6maYlSrifXJLo9AeQRIhyBhHw53qlc+jIMQGLx1xJKcZv4u
vvLJttdja6qfVdT/d4CFrPeiNYbnDA7rve5gEhTmZophKmf/p1Hn0ysdLQR5afzXL9NfLafDb3kx
VqEfNL8V/7V9y88v6Vv93/NZf/f69Zx/re7/z8Mf3/Pqj9P95uH3nr+cyPA/3n710rz8UlhnTdiM
t+1bNd691W3S/DVPzz3/fxv/eJOjPIzF2z///Ja35D0ZDSGW7M8fTfO8Lmz7p5tkHv9H4/xV//nn
Oa/aN//l3854e6mbf/6pi3+o5CUsxxWCP1pY3DD929xi/MPWTAPvVRcLE6GpQvvzjwxts4AnifiH
4ATVRTVDMyzV5aQaGg5Npv0PVAYcHjU2uW7d0Zw///rmP55Q7//Jf35iIcf/y/0M7lq1eCPVxJeW
T2K7vz2y7FbXU4+9OqCI7osFl1FfaVsNXrZe1N2lyozqdsAL7TIh8YJqEBpStg8+C5nQY4BF7H6w
pos6xx2t0UIOsCzbg3ziyeKUDCDJihHH8NmBqC7jeBOPIOonw7zqpTFcUbI5Ixk7P5IsbxUGlrOZ
cpCDcW2gFK0v2zBE1ktw9xtVM12RiAwXuO61e3m2o6IXkaVJ9KTDpOgMdPxir6ZvGNaHuFGxGO0K
Yxum1YPlqC54iVolCoW1yAK0TYJ6XVTfOp4AopSPqFrouD8banCvIkOnQa6ZPezZXDvpCKkvJo9u
eEilRlP6rVJaMBxF+5zoL8U0iz/Coj3m6jCsrOhrCG3onEWiRdQSlyRzfgS17nQ3VD7P59Q49oWp
3sMlOjpi2uCm7p/kQcFGDm1IPt64MTKrfYSJCe7UgZyYZPgrW6AHTg1ifyf2KcYBrT5iKsVnIwCA
2ZBUx4/VXyM/sxuyqFtq88rDsAd77wgI1Q0rjQo117NLjP2g5tP3DBkvqAW5B46J/zlqtaXOVhim
QRXc+yWei0kI565rkQkR+bRN2juNS3M3FRGsChLzqyZCxUXTNOUKKkbFmKHU8J2wyf37TrDPlcZf
/nRr/YcllhC/PoDmC9bmelUhKBq6ZrPS+vUBpE6qi5JjgCSLkqEjUAY5Up1BfSCkmT8nDrR1A9co
xyg+v//RgQX5yNOA5JshmB4DVtNBHqY60A4ihg5fqeO4c8fqqa3sCK/GMCIPkxmPsD7G5m3AAxpV
tRnpjHlLTQIH+LXneBBpAyKCy8lx7YPbYXLb8XxAijB2vAOPeBI0MzSh+1YktThCX9T3dlDdCnaj
11pD9IdfBxQs++a9LOZJM4AYgN2G+Xi7ytPK209TjyZv6EfujbxAPHWcuFNS0qPppBwLTO12retU
u8KrEJzu8moVTz563XmHFQDojpXr1iZZsd5Zi/kuDVHpgR8HMrPgoiLsQWpk/u9zt9F2ZgvFNdXy
QIdlqkcbm090HWu80hpDBUjOQYGOvSq6RJ151uc4HnwsVxV7G8ekzHKEjp9yS5z9zgUtVS9jLi4U
XB3npuP5L5TJnz3dAHEaYw3cf7SWCmoZ54BP5QMc36GPET9kmnvx4zpcF8Y4XGt5txZN5h9ENXoP
njlr6kR33G84HeHqEXiiPLcVchJ6mIK0Hcy9Z6j3//Nlp2m/LjC57ATTOGtICyUQVzV0Hgm/LO1z
J1PsPFNWbWx8k9Oi5TQ4KhKv3viFauJPwBKe1Ut0jUSMUxc/9igqfaE3KXIaeZMBHJgnM3bSzo53
OTbz7ymr4jA3tqmro/k8bxAm95I5Qn2Q8yhqBCjF2AQ8bRC7HQ/Fu8bpQlLXo9aCJLLw957Xp3qC
VEXkms8iF8NJd1uCyFF6yJIy3IVGDeq/zJs7qwE2yeY0OObkk0lIR9PJRoukSRV+6gwyx+iU46bF
1Ok6KtNd7bmA90b3tqs1YmVphfok2s/FZ7sAhwXuFSmjeZvaxAHE2OQ02qh5l4rRHCffE3dYbZ8j
nKsAxybfAqW/nwaksd4/ek5EcNmPxhoNpAmc1DyRDaABlv7w3Y8CArkDGjLvf7/i9z5KQvCDkTAK
bhQl2BR1uOwiJ72SwK5WtusXa55OTz9mz6Q2YAN23qGYD3bU2JvaLLSdUWjqGgLeRYhQvfXb7Kql
sf5cIWZjM1Ea+8kM/b28hcYkQe0umu7CgeUYC7md3QTBSR7goe3eb815LDkEOlQZq9cK9fEKwTan
eCWe4649fbLPMHtUaxsNgyCJMxWQ0m31BNARyzo2eHEMBcRxqmnlmAqLRhX0y2DCfxnxxUt7weN4
nsihL+HRjth3E0889MwELNRsS1Zq/bAZqw6amqcFF2Xs8oMIn2SCnPlHB5Rmz7re44R2WuaqR7St
1WPiICApbO1GzmZJG4PjblNz3VRlfrKM/0vYmS3HbTTd9okQgbmA254ndnOUKN0gRFnCDBTm4en/
hWp/x7Z8Qr5BNElbEruBqqzMvdeuOGHP4Hi35TjAI03yvRpFAmf80IGAVG3fvUfmhGlRn8xHmfju
Lo0J5WROx7KSOuErsWmIurmHaLuaHkFMSsEVX4LUm691zGy/HOzpMJPb9mgv84jMrz45kkjPJcpu
6e5DlkM0p56jwSb7NBnqSzig/AEMLHaE3MNGwG+xd6Q1n+5rvbqJgOPG+y4PqCn0aviD7ABvN2lO
Dpygtz5bHIz387QtM7bEWEpOG8Jl/9Q0dzgAdUWaUczDwUrIk4t42rb8/8ODoQOmKFPhrC1klTht
QMk2U/25lyAfVOPEmoxPnZg8lJk0VRy+Sg3Z8W91gnpb0BeDPTIbZ3XROVudw3oq979fpexlEfqr
/6AWKcGhzHNt3/Mt3LD/XKRsE1BoTZAvAzMDiqpVljsseclOrSRagZJTfaneVGGybELsKMMuvmgE
uS5D72+BB15hpb5HOhcvmcnEgEdTGqt5Pp26Rl8xJWYS2odddW5r2CyzlhHus3zpzsD5MmxFZFZ/
VEUGVyPo2ZXEVhchqJpxPudpbd2mKjrJsW6fvT57Y5LRsioyC6wZ9q3NmoHVLpgY3WoiN3ecEsFT
0JPd66IuryAnje3v3zaK7n+/b74jWNctQbltu8vP/9a3AQE7Fo7fCxTli1BSDXEqBMVihOAWuU71
ENY79KfUAeA4vrg4KQ45YX9Xt8a3TrrgRZpmwFMP2DcfrGRT1Rz0scDALh+awdtoI4SzXlYbvY8L
xq1+8EMA7evWiVboLwZmHe5Cm8CBMhZ7st4s2EjlTTdL/zG380sKW/1xiMaNNkBfqGrxdaR4PpZx
K28TZ8ZVgcKToOAUJPLYNTcmmc5pUZTeP3kjjM66NgeP6oNfvkJfTcjGfETtkTK4k83Zle5z0vsE
uCwXQ4o/kqIvd4lAx7QyJv2LerasaHik3lj0cb3LJI2aZmSN3KhfX70j6hJ5/S2PqUU9CFDrhInL
1859L5xenvEi0sde3mFjuWilG56G2sMGWr1XlP1PrszqfZlnzsEPm/ZlTr8SJP/Im60/q0vuzOM6
SHJn35cVWwz7AOCI+Jb505Pn+0ypaJ1o9AEq6HiJt4hqy4C9zf7opEx2PQndq7K0QIrn+nRKC4eS
wilffPQ6Lxa8bRrEjDDV94wmi08s+jOZUvyU+RLSzwLRnVYmn4quqq9zwdJ3okkPVEG1K+LK8Nea
oX0JQ8JCy+XUowPe2lQW//PGiOB9dzn5ba1Xb8lJqm5qAUS/f+LmuqpDTV/FHTYo/6r7ADpE0cBU
LBraO4C7w7nSHsulLrqXFTpEyhszBax2lhM/dkz9Dv5c3gZp1oww56d6uR2iIe1vhe+Pj+SlD1s5
le3WExq0osiKHv04+vOSchKC3BlfnClH4wK14pDCVXmqSk4aFtQWdf9EQdptHMcrD2pZmb3oW63h
mkhy+iRGApupLS8ox8y3psO4ChQcZW9ndWdtDLFdunq4a5DsIdf7pM5frYDCWg5s4O2Cv3B566Ef
/u+V+l4rILNHsfH5/sPGOo2EBKAapm0ULiJeBKzdUZsQPsSzYRPy9n2oouIVLQzTwj75nkV+cJgx
dlU5T610P7wAjG1Pj+MWueXSGoTzewIxmu/mZkhIhcSCT43a8ll2/a7NjXITDnG6kUFa7u9KJ+uz
LPrVUH0q5148qI8O89xLkkRipXZLAv8yG35Q4PwhJNoC3XI/hiIaH1jNcIBh1TzR1O74M5fa3c+i
b1KG4NfNtHjsihpQlT786GaU+CZHug6J62uT6RgdpfUUw5nCBT+9k6jR73JPwNzv+v5ao7hEGDqd
fHewTxji+dbyfRvQx66g+Xhu3cE5tEQobiaEZIODVq0dx/woQljS0mlIw0pF/jpUcjrqNWnBpTYU
x3tdhd1+ovRo6qep78JdjzhnmzWO8yr9DEIhNWTX4uNVgayEiwDIEP1Tv6QNW6KHkBD4MbmJenJK
DSxouqU1z+oVfn/zZBY8yk0VUVi2btuvmcJMzMpmDRlezal01udxy4ooaKDDLHvzQu1Jkr23HOhC
n5g0dTElMTpdW+E342yv/q0c5wxzGpY1oH7CHQoGSWDDdtPbaMv8j+VFyZH3EOUDlXpCh4bz8KJM
L9t8MzJjO2ObfVJS+QKmyN4AC7geFnG7Esa3EgEh/w8xGeYliIf57GUVBhmtLwkGH+V6yuOJVbM2
Lzj3jsnMKDXUoGjGrp0coN0Br6IimwWS1dRrqpWt5/Np8Af3uPzTcKnh9mvq6PbXJYIVAUqMHDz1
vT419lFeXqzRag6uG4xbjnDTO/FS+YoIXeADRrWwAMdjD5cRzOWI28/txofiy2Dp87oHjnWaQLYQ
M1MZezM1gkfH+0jiL9TdizB37j7dX7kgPqY0f7UdcChTlbQ7rPrNsS0wB6qqWV06Me8lPEMzI2ND
nVtdy2rW94pZZhoH4eVk6cyZxbHJch8dh3fJKqMXP5rpfVsTKsceMzZ+BkGLg08lc0X6KNx+XplR
bl8XJYM9x4QgmZl5S1lwOU3jJNRd+ZQMvf1scHtNRs6jo3HgqeU6C+aATc4PzupVOS2CW3XyGAYi
QHOgcNc85gjK+nRuPOJA0LdOmE2jeVNB0xBln76UiSZ2whHRBo0j+3jQjAYraQ0jRgLkQOEi3iqr
Cy8dpePitoKw0kl/V9ZMIOtmCiG6ArgqRvDH6u7PreGlFYOdIt4MrVNbGExZa/tpJDAA/XIdH2O8
pjBHh9eKmu9mwqs7399Hv9O6bRJNYLllb2+xYxmP0iizvT94APV0+RQuXXSHKTsC3Vd7cXqoS44r
ZGI4cDGXb/X9wiCxwn5X+8M2Sobh+d5wcrqRP8ZMxIO5bNRDRS9njscOCN54E2jJSZ1oqTBgd1+L
rvywq2FwVq4uXUwGUxYxGsbUcO8m1EK4m4Bza7BjrOKf2uUgbIRgSDLZDCuYJ8thJiRuSwv3rKTe
2Zlb80121c/oG0W5drDVPIHIkYDNF1UmM+WXIbXLk9taOGr1niUmhILmwaWjdC8fymmxTqSQo0UB
7CeXfk0FGyRnY8QQHgJA6ocPbbZCpHFchG69ZuhMjzICVC+Whh2xAXzCTIEuXfo19uPwS9wO+PQS
tBa0qCAa+WnxZMX1u2a0HK3zyD3nMxqUEj7ovbf+j9b63yeLSO3/VaIarmPpgvaXTVff/WXApUUl
2yTpz9u8qadT3o3tczb65TFyTSYO8kdlFznHdcxjueWkq6jqIfXZeX1uDAi7HkKZs858bO9J9yG2
zBxraNNbq7GMveu8XM46Bsf7S5wY+vZesTjIoccoDvamw7JSLSeoqBhBUpRf0OgOzBABveFhrFZl
ZZIHhSFtmqd1mhjloUqoX8wBw4aFb4DQV1PbWw6u+3vN01XmJpnhfvmdCT9sxlSoehSk5FnHWQC2
rdzye1lb9tGuPeM2psXeDyQe7uWEGGgyO8RjYR8BJjpPEOt/pi4ogzGtPBcVdEAGbOwxC3VaDM3p
+DQMZ69xgnPSZs9qb2jMOb8C7D8JoiPwl1bDNQFttVK3AfGu5HoiBNv45Gi+3W+NKXqIKgmo2ybI
Vq1rpGZvbINa5d7bakIMlWNQoRDwkAEaBGA45KapR1ddmKk120BPnkMs1LshE90p0evsQJ5Lu8qY
QOI0W5ieE799GRL+pHdRjCTsUCzvbkTN7QymAY+AoBsyzhmnZX65Q6x7q6U/vjMpIrVHfinNuPik
AbZ4DtK3mkVIa85BI7Kb6go0ksSj/zhC/XPyvZw8TeYYTBIcQ7jCU13bv52gbC0TWdWAkEzi+DRq
QAfQrlckbYuN6sU2bJVnDgIfs850bKIN/uA00XuR2v7V5OAlkuqm3lF1GUDG2n3ugQDzw703dga2
qSG6qUskRcQJkv4kDf951c8Eu3Huzc8Ew0JqVC/LwEz301I6dOFImeNaZg8wBs4ZGLeTOoxCDvI3
EWLdE2ll4ZYJerAjn60EHEQ8DcGFztJsb5Zme0cc1iViwK67s331a+aUZjoJlkOvPv/+jbT/NY8x
THY8Oi++73hCF7/MY1rAiY4elhls9uCZSWr2UOl++uAvr2Ji6oDZ0tlbvqV+6Pi1RdsdT9pf7QX1
qvEr6gcnYBdq6cEWQcAG1HqbLgrwjlB4qQu6sS1DlGzd6R7lIlp2Yhxia98QRyMNFBeaI3fwk2Fj
9QWQdYdsqBOeHufodSzFU2ton7ogdLaEvzWgp4ifgtL5lE2jt3EZDjylkvAWuh/5Mz4peFyi7Z+H
yO03MHqM/7gJLetfb55pm3CZDQvMvStwMv3zHN8YE39xGwFQyZv74N8x6A46JLpswpJQKs2GcmmD
kuynJZHd7p+UnIHVMlzrRa7D0QiBCTVB+1SmebxNxfvcAc6AOVHsR1iYO4qLibviqo5CPcvBIyjU
q+kmLpSrhMkDd/2Vx+9Hhdn9mILDWDld/+csQn0COsD9jV1lxEDWBnW3SUaBTCeGbbXzHDNC3Nyb
WVYyYvFZ2mZmMLPSGsG+g3e6MW1gL4ETAHERh74WkoyisiUuS37HzWOf7i1Tl9Y4iYpU0BY27wPE
gwvU3QMTrPpotD0DtYQgg+XYdSsQQj/ZTzyq9zV/yIfyXUqU8dNyNLLhR3bw9XKybkKLmzJ0fzZD
lX/XOQwQgInQ0UN2VlpvMjEyArrw6GDyIO0w6ZunNIYpW4wwh/PQvYy+d9Ghml4W9Lxyg4liTGHT
baJlZDZRQW2jgQiNv5rjhZ4/iSqeN8bErKPUzvPSKZZF3q2Z7WOC/98Ru/dzuqfG5DyA3Amhxw8T
PUoN0hQPS9i4FGQtjurQ1xlp5ca2hM+wLQHbrEvakTvDaJytWKLMM5ryZJZM/gF7cXFC9cqxdUbx
jqLAhGPJZUm8yj3Pu/71rchMDFLprJRAmMi6/2degqnSrsDrJgubLGv6Hyz8I9ptlG3RiFYu1fv5
aoP8EgTM7Wwpp/euhQlYWsGrA8zhoDl+xx8xbTTYky9GPJnruMu6o40OYHkjIofol8gAkd4yA31t
25LN8EHV16pPYDJn/rN64qScbjQ9vA4VeLN2OZZ5rIubuobVO2ZMkfzRtFdms4Rhudg9qjr1T0HC
p6+REmdqKbb7BGuiZw10vKYAU9qQ0sCOxeMoM/dQ6UVyqAZ64EEZ/xD5OBKhS/toJpvDKMj+DZb+
c9wneAsEDp9mFD+L0PGu1thwEywVelC6zaG3k0sMfOo8k7W5iKGULGpqp29eMHmbIYq6veruq4s1
1emBGeSj4QxP+kDjuEM7udZo+u8LEviI2Bi1epXkMPh4nMIPEhLfOGPEH1TKK6bi0xdPDA8aYO91
WMLl/EuEpf5yU+eXXTCm97p46AvtSH/iaE2dfZWxzK9z6trXIAMEqPVD9YWoiWajh1W/CntMucIM
7VvpRpzu3qrWbR5c4pHgLphzcbYoiVqGJu/CXJJM+gWm5VvHbgxOBFPjRnYKjbyMDqeBbKpTCCbp
0vhBeIy0pTRxtb0Tm9nb8hv1gehxT4Xf9DCNP0DiPmjkkJx4Zz+GyHN3YMLTCyg9gicd4pWUvkyf
TYyqGY+SMxi7Evf6Q55b86XIInPDQxudJrekf91amXsqhB0+WDm4xXszoHCIplJHV8Hw79R2Bh+c
HX2mWQm8DasF0Jb8dXSxHG+ITNuBA47QUVK9Nm0dHMoYZExQ990RAKEgSI/8wT8d3a3UN9FgIWbl
kLU2bB16krWgkpSFSDofMQ8ME0e500MTkNFY5q81+PKLNQe7QhYDyql+3OrzM3lmFUCm/x1i1CvR
+8fERtrPmPndQJOwtRPLuySm+zySqffSF7DINWBrB4b/xX/s75azbOD/6NGbjulYLr1mw3RNc1F9
/L3XXLZkT450TrZ/DgZF+BVuOcMKGuMrpnLE3VuyJ/UJfgEwNV8/6/1wqZwQBlQapht7wEDZuUV8
M9NurcP057AJDDV0s4MFHODzOKLSGOaxgxLc7cal4aQuajCoGfg4Mjy+XuwzlAFY+r3N45MrPfdz
MsTJthwSAm8MUK161j7z1lpP9+0ohNvz2ZlnawfKJT5QNJdfOITkehB+sWY8xffWNhUB92n7Z5Gv
QyfsK49grCp9c7MmYFrDEXycCFRnqwOjCIvfwtQIuO18F+m5eC76wjkTVNJc8iQC2EssmBYJTpfo
0aptl87EWuEduqrLbHEGH2TZgZLV8MBoc2Ltx9bbzkXHcFP/pu7bJupDzIThm9YFN41I63M5dNFr
mjSPgTZ/vX8WMxKet3DMyQOXhwxae0QB9cPyrDcjS/SrJwWLAwbYxV/Uv+FEj/cihdxZDC0CYn+c
+Bi69vt9w2Tyg2DMGJ2XKZHzpR8t2gpe/nX0knDtVb4PJg68kw3yf22Tx7pxuHGZDDBNHZPXqQ6G
qzPYf1gY+w9zXRHDpzHJGRejZNeM2gcRdJucVLarMznjhnbON8if3pOdAsJ3hZgR8LjGoTNcxIpG
aZPMkA/MUAINg5h4GwbL/XNYinFpelnUtYkIgd1H4Mc00wGyWHTmsR2MEZgv8YzMSG5q4DotIzuW
kC2AJiRu5mLtWU7rtbmQqEZJlmYW3wy7Lbe2Cd+DIc5jTC+CWrIhkGgYptO98VL5TbDR6hnGlfT/
MJMxf8VrVG5DbjAQmO185R/5nlVGdnadITurvyCI++Igcq+EpTemZ5khvUGwviRAjq+ZHV5aV+JK
Sm1kE15jnb04+VTloXXNLP+zenfVV3wI75Kx+9mfzSVydU6PHSvomsacPGkJdlxt4aIVtr80weKv
omRqEXnaJ3fQAniIGLjw/2if0CLZazyhn3CuzFspMm9ac2o8F0FIvdhBTVlaHXHBt5kNe3vO28Gx
0qG4U1fqX1g+3htvMXBzkmlwAlyMbmge7Me8pvdczo6xI+OJsoZxzx/3uXnXzV/A4fUfAvi+G8cf
jUe109oVjSE3GTF5LG0WWbvTZRSW9UiOFzWQpPekvvTsMln3U1zs6xgwVmm5f6Rj9FkY9Pgs0C/b
SSc7aFQzY4+8BtIwy6ueetZKIxQG18VSpqXumvMIknlZncuGoDINm8P9lfqeSGS47g0SsjZWTvvf
jWW0Nd2g2VVMQJ7vP3EKkR9URZDPkXm4N41sEqmevbQvYK4g05ck/fni4a+jWNPO8Z8rZxJr59Qj
ZX2pRc2aDJjY2NeB453ImF85qvYtZJ1echGlF/WqrmiraSkq+0Y3na3Zzc2eBEv5OeD9XSUW4SrQ
Iaz1nQQiivTh/ka0jvMsQS9uBRv/yrD09dC5HCstIuuzgHQQsi4cKYLz1GFKUs6hNNa8DX1jfa80
92hCfBwgJBh4ptY+ml3GTJ6TFhle9ILASoz3igauMHZMxyu+e9yS6IHzrWpGKXkXxWWxv2++8wQs
qh0s+Kld8UxnBWF23j00gWmffHgbV5FOAIZSIj2rlIC9AVOCOYHavsuTnIkbsooR07VxiDpnWeut
of2qamvAtTiCbFJpVCMfzNS7KiX/46S7CLV+2Qgtm3E1S4VDW+tXJXFK2GsZ91gNs8AtCZv1qycn
tMALVr4FTJ/o6GSCK1lFDLeWYU488emYA8abuW4u+EBk+HnoHR6AOXgXTlLtKDDa4/KVZ5DPFYU9
IgZ0slTvbUZtl7nEn7IuoOcEjWd2HAolgDzqhy4/2SasUz0YX6CqRB/zlD1bcFuAG3fvWu+1pwEO
N60hN7iEfljTMyqffv9+OP9qoZgc+G2HM79HjYf+85+FASUAoZFV2G8p7ehed5gw1P4cSpJPRVx9
0Qii29q6rp1sN6PznqT9lr4Ru8kYDTtDVNkNJ0J2Q2GU3Ra00jbIgY+pH6jvGTLstqr/XuEH3qiN
0ZMcbKqiPufWz5TFeOU1UfoQOWSOJGNskFJGymdoVO2qXiwAQUtI2/2EOcRkE7TkO2x63092dTlm
u/tDnDfkcA8Wje+84RgRa2GxpTlMlA7Q6K42ynU0lSG0XwZdlQR2rE4yv3871e3zz9vLNUzfMXXE
WtRZv95eWeakXhJ4A8+szXgNKG5/bFPe2a7zfdoU7gcSOufsdRNuhQ4ZVT24zH5LxgJ0JY8RnooV
ARQDwsA4Zjw9/XCgaxsi9lBR4k536alufSKpRqz3HqQk6b4MaK63mZu0r+5ABKDAdMJvnYmhP4uY
hMtlXm5koc0xqsB2EbQBfSXB+aKqAgIfjNg5yW6m85+M3t7VZxtl1ijNWz6R48uDf8lMsjV+/0YZ
zr9ay6ZL4aTTMDFshxvvl9ay6xilq9m6mlWgxEo0/tqc8MjMi7fAiuybuuiA4m6Wb74bgB8Psf6F
sJySkXYq3IMexC9eVjbHGYrEdvTy9ilBxb4y9XFtFVHxJfHsaefYIjo2rthCMe+eIqN9oUUYf6RF
bK+6zD7cR6iB7e5iZVIp2uK5sIe17/TzQWkpa2Q9Z+Kwn+g2SaLhRPMEtt1DnOTbmMhn46FKjOhq
avPT4DaopyoP0e6yg9nkPnXupD/jDW0IUa1PNjQ93F/S2fQ5o1J1aSLHPmmAegKnmiBIynGtVToB
96hgYJIRuL6IgfzZMpaw8mJTa/73Qa+HKxZk+VhLXI6h+8d9hY5HpDAWMI2aw02JLnoXcsY+EaqL
MK+Bw5odR6/2L40TGptZajMszthL10prqUqHMNWXxibpeFNRH6c25iZYhvjAuZDB6Eh3/18fL815
o5VwuMSbfBm7EKuTujfjZvjctqnc+Lrb7RJPpG8eAlmSUsll0GL/wSzM/OwSJXMm0yQk4s7JOeA7
DN+U7rjOyJ1Tb2HYlqu41dyLEUvroM9APkfNRHGSW9VL1euEUddudZCRRwyQVZibyMOQOpuasw/M
IMSjx36f4/kwVj779iZuSigGwz6KLfm3HR5k3jqVhnnld4UB0ZnzTk2QdaDk2C6fWWuyVY127ISR
r91rIc5m/Hu09oT3HiE48GoEjR4lA50iimn1ZWXLP37/2ChN0C/ri+WQRYEc2bd5dn5p1E4V1t6p
Z2YmdMyjHZleF+L2vozI+XdKX4xdFbJHlBM4sIyoIyH19Whl4aaU3nLAky64oGmgKbaIemcQi8TL
dRo2DgvFpLAS+OFhB2AGyLUjy0fWUrl2fUY35VTouIaYlw7MPOhBRexmErt5Hh8tAFUOdNstlASi
FuP5zceYBWmPmX5Tc9JH6JMFCAz7lWo8WG01wgfbFjp/sLq9e60ELuaZ0zYUdvPoy/lB1feDcM+V
M3Xn3jdrpAH5J2UWG4gBCntkq0isXQR/hndJMb9/Nk5xz3HKTDxaTdV0LuvMJdBYl18qnPlYa8HS
T/382JpQc3//2Rj6v0TitM99IYjD83zd/9eS1k5llbGxIfPDs3AuF4G9mhqlUxE96A3xlah1dabK
i9vItwKc64lZrAvaa9W9kx4SVb6PuXEvcLjCfeQ2RbqrY/REaWyLi9shE43mcF8XTkLNUaxdgS+P
pewVz7t+Vn4HzXdmDKrEWfKJwKGgA7rJgJBf05jwYTUn8srZO5ukL6B7aT4TFnNCEH1RzeVsal+q
MLhyQLR2FoNfghg6+1FV8d3gdxeYDGexkGyXbaUx6Jp2FaoMQGPNzZrcbB+mcK7DaBHg0ixBCMXk
nWZTj4aZSXcQwZg2RTUfJb/1WpWZDSYFNa/RxYVvJDdpeBlrafUkXKd5Vpd6ZFyWBZ8r10r3HA+d
l9qOypPWXLwcF0U3R+4bO8OwEOZwS4RgpGeTLqHwA/KA9FG7aK3QeFh0f2O4cKy2IjDlvnOrZw33
5LZrs/SVGFhE6Ogpv5FPfMz19jSm7UEXs/0al6A/tCQZnwcOwhv1qvDM3e/vIc/5tTy10OOwM/pI
rVF968uu+beJlmDdqHONPvH9ON/EVUAPEY9BYDxJooE/xanlHJHnJNuIGPan1tOoT30asbYXDfvR
qo27xHvO9ZJ/JVNR9T28njXYYd570h3TB4/ZAy0u+PuORGkv6yo9l4nlf5h6Da+d5NsdJwINskLe
HXKNCNxpyPOLlpLQ4cCXpLZhGWjz5uaO+r5AcnDhtM9WAvYLfvPfLxqZ4qu2k+KoUf8d0Y5NxqaP
YICiEbvvHty/3908/1EvzoV2uWgoHOldpreFhaQvQuSkJuGkXzw0njlbwE+64QWLyApD85lfPz4b
NP+xoNdbL461xVUSPJHWNB4Z8QJ6F033gFz7rIbAaE8JEp5z41DX7RFIWI7Kxaofm3nazalBRpY9
U3mWolxr2dw+6UVBFmHbpP9hK/m3vN9aLFA6fisMpLh4f/m0/dAN5tYmFMub6mmVxYStS6fb4gJ5
6aesPnfkrz7cx81G59+Q/v/MtcC6kMjdvxbkoELKj/pVhexvhS4GDDuNK73vYoAppmwfWnLuuaXc
rYhx0VjyW25E2ntkTA+GqdH24XZ/m8hf3pad+fX3d7L5r46jZdhY0JgqLmdJU1nA/n4nI1qJoCg4
d0PFIGYHfxBdwQnXDHYlFGQ/5vgZb5H907HzTyPysiiRe6eRqDETa7g4HnpDKldaUc9UkHS0Guvg
VqCiEyLzTqBVP6bM0y/UCviCkBCt8BgX/7Goe7+KmxHA+jyTTFV8B3mz94vxxzYpyQ1pRjvT7iD+
+HpJ5J4duax6M0SDpNl4np6e4ynP6K7nTv/Ae1/1EfR719r5RpKd1PyNU7+LMs/yX6GVrIcqlXAF
Kv81CcS7K/XgQf2siKZrkE77TDeOfjy3XxtOoxCey/w8ii5dydYkeW1R4HVCO4To/LflXFM4L77t
YWSkGvQCF9cCBE20plmT9q5v7+qEsrLdF4bKF2/qo1Nqp93x3hKJ3CC64vVm6Ws6ba8Ea5MODDoN
kycP0vv5/uDduxJ236Pfn5kw2lFiPgiR2kffAGHoSOccGHF/LJJkAFero9dyTwMRP8Zg+2fLKy+K
reTEVysgwCCKDwQ6nRF16TsHUdoX7GEOipyGUddb/qIEN3guehL9kLImNC2UjoBUqGIv7RKBqh7+
/P1NK349DbOVCB2nsVhMN5796/KbOqNsYXAmu7ulQGSpfqNDWKySkQKr6cOSQef/LkFrbswy+CaN
Ab5fb4tXg1ZzXW9MmFHgRN9tpEorgyC9vShaUpsK/W3srf6kaygjBhs1sPp4+oSWqWb6xUF6xcRU
10sOhcjI/ZHTRHCWEZ+muuYIEvkP6WyMh9nTruo5Ufs9qPANem7jaEakPaylORI2nPN4h3Eqjqb0
1pGWHghBLG99SubyJBfIfpExuDXreaeRhnAGlmOe6oyAb75IOo887FjaGyYTDyEJxhclGxsC8pGZ
yrsbMeBYa3NxuTfpS88gMlE3arZz87s5jQUqVg9utBnYWJGaPL3+/nMy/j+PJaUWeySrp/A8ztz/
3Cc9q2+Zsrhyd78pE3wABBl8t6Re7v0Kf4/RuU8+JCniN9FfhiOtbGFQhCD/athJpWcfrQWnLS2D
MXONH0+tTmCsuO9n4DR6TOmljFKVh9bj/vdU2oD3S3Qet20dEzEZoPlCcKAG5spsQny7VkLebktf
XvXGnB5kqx2CGSNIl6/0mHupGuMKwsjiw1ou6tSlXsmgOTRC+FxQdmYzRyd62SPbs0fBKLOMnMQk
cu+Pt+6V9bUwv3lTkO+0QY6ITJr+Ne3mECEzjcUepscuz5YEjEVKp/BR5RzDWJUxx6Dn+/Qh1Nhi
Ck90xJwZJB44tJ/8nGApHraWyFk+Sz3DX9qNS6Gh5nIonMqDKtrNimiUMH2gvh0furk+qCquZNj8
eJcXOzNHNaXOjDg+2XG9Jm9rZJioe3uh67SYOQhSvQ1ENbglyiXVuFZvRuxA4EYMmtedeAo07njo
EZ8rI9+7Rho8cP4K7IQpQyW3dok+KxgabT8W8CTHYWAZkY3x415euF+IiCGeF8bRLhpsAgxVGxXC
cI0ybGmgtnVMFgu/Q72M3ifi1NWvR+9pPDLK/Ikbv8Ir+5NuDu6TydQPKIiQ73mRtXaExjx8go4l
s9k4OGS9r8PCuldhmibN7WzAqvXCiUwznxtro24qdVF6A1WfDUL2W2P26F0L/AQniSRR92JYYw7z
06YGiCZf1AzEIHBqVZEWcMjJrBnDRFyV3liSUb5mQOft4mN1QF7KezA7SJ9RBH+b/KJdk3VBhnYy
5MdQqdcr7VtUgWi+t1/7eSSYhYmgn5fadkQduQ7p/26nON2HOJUv9HHMPZSybkUc3u+fZ1Xo/P1Y
K4QJpsbDmW45TP+tX461Xl5jW8PEsO0loReHqkNsSGrXS2+/YecVsLoK99TQWMN128m3gcjPNTpS
8bnQi5s/0SIhYemcLJcuacmTZQhrztq+WlggFjXnmnwo9ZkmSKjOlLAI7YQ7+euQME7OyWRoYD7o
I5q3yDWtfbf0psGxsIrWIv5zo4TN2qC3QfStSYxMqyykczLqRsZp3Eeln03mQdVUzejerILeu5R+
s2q8yb1O8Yw6KQmqXdnqIJb9hAdN/STImaSQE8u4OZ4/QSvM9l6Bm+hQzxYCEa35kS8zcGWZU6/I
u0KQnAmXWVj38ftPwvjXpHj5KCyLB5DeuGcb+rJF/q1us+LBK3WTyMt0AOnul310JVMjunrLRVjh
rSigrKvvR1YSXzNM82sBQ449s4YoX2blkQwxooacID0oTzoqnp8RLbBDGI7DhgBhMmPU0zZBtxBu
yu5eZFCusjnUt1NqPAWAUFduPnlf1emxsb/eZyNYHxDI5wausZLpB60vB+DG8LNv9fzssZJfrZB+
uZ9mGz3FOh71tffJjNbNWMjPnTHlm9AZIE2n2lm1/WY8MZ4ziatLGEFD35o4QMs7Utlp+7vhlG0Z
0vN7X3chvuIA7nwsy5NNmRT1/0fYeS3HjSxb9IsQAVNwr432hk3TFCW9IERKQsF7+/V3AT13zowU
MXrpwyZ5RiQIVFVm7r12soer2Wn7zLLWk+GAHv3emf14nkHzRpt0D8s+cm9opc2XDBDd+k4aKSCJ
LF8s+rgnAwUJyvISDVl6WCp08EbxuSMhZgPNcG5+xSgJZ4N8Bsp2FSsDQmEd5a9E3XA3h5LZtHWA
Hc8cFtXLhGZt/XqK1zXlDTSEuQFm93QXKGPcjdb49THQxOTJGjSjk5DbKYw44pSLEGRKGcXUBWGp
U0zZkVIaX+pu3GBJd69yjgktUYDN7JB+o+U9yE4VFOQ8jdUin1DtpSXoOt3eLbSIVNvRf8k6BM7g
V3ZdRXaAY+G/QkdUfElYnc6L+lJxifHI+pFp7jwDVQJF+3w/XtQQyNfTQBxJ6gTldbTt/ggxR8ez
ir1Pn6nni8+pHu1nJEPJQSiDIGkjJlcxrJWPhOTkqiLJgCKLKJBSM08yrvotc5/vd/+UiunpD/Y+
ffFm/2tNcyxH2CxoOpndLF+/rGmgHH2M6M24lX63XkbyqSEyz8/JWsmk8RmBu3Xwkwnfe4I0Vgkj
LyuUv+xyMJa3mumkB7MgYovx43DpDB40BgrWN/2nn8Zrl+nDzwnScqXm4deJW3RFoMfJzN3ogJvX
fAk0tPqyswWzyNR/iFIjhxPbm7vlrVKXqH2tXt06sz5KNEF/vN+rDHaG/bjskQXRBV5cmS5t9DTC
ap8k68Uy0bJVHe7WFRIJh92EBXdLNJq+giRKDFcQaM9m0bRsfpl60mD6nQwZbZqykaduEcc6sYXX
jKhCtPCMZA5tHdbEQtbczmq3swiT2Razn0T0/bsG0+hRdSsGdBPuwHmCow4mrV9TvVlT2t3o70Se
RoucYYvV3soWNWCkZu2DzEM8PGRAWTja6GO0uwVIAGJdbuKSY+vytHUxtr3/HT3UzLyb4pTYYpWZ
GxJogIKjmNkhRYUzPi1Etk8HXGr6NDqPNo9dQcgGx3ZWajoI8rJ8hCe12DbSHtmIUH3dH4ymRTQy
tzSqpKpXWMNRYw70VmwtfsH4FhFYI366DL9QXatoZMs230xsdZzkSWCpKv0RWcAm0gGaSLLXLn74
rZ5kccso8Vt76LmbQMEk3fjVL6LGGzPQj0sJ2gXUUW2Vuzy+k8ll7PFszpViCG7fu//trY5uSdgn
zrYbXNIN5y+rLpLw+89uWlFBGFn7qCmUJmBmMOVEBPVAv4tCMpfbrMj/OnvUseHs8Qdw6WrJsaMx
zu0U0VY3MNUuV0frSbuE5lKumNfhbkhydvsFMCAiAgN7v8kO/WT16AUbsUIqEH2POAdTVW6SFqQn
eq54wyYRrTo7EPuoG+3j/VALYNk505qIfgSieNeLIltZlzsDKg0gxC7C+oGRt++k2nnxp+saSKSO
AK27XZ3+d3dI+vBAfOMuDNrL0oRiS1cubcU4qTZPi5QxCUdxLor4EjUd0ovZ826G1cFs1J0YJU9t
ZHSPaF2aXdS1+Yml9K8X2muyWE2kGTH9QzrBXVx77YwWKOtI0OGp9/6iwagN+aTilDnZYwgHb4hO
puyVdWkNz/dlTww63GCRHGFAGw+pzMX5v88EvxmV4fNojolNmWLLso1f21Qa1V7uE3OwLczePixu
yLvsaphETu5wpW3uFsloNNeR8GGjLMvaqJxdbUSn8Tc0mjOWmuKWXT5T55N6CuKDynnwRRUyWM+B
i60gCXDWvy/EmVhp+Z5hzCNWF6yvEnj86n5Yc9QyOtDh29eD0yMP7Pv4IS9UArsjGrtqG5kbAkfL
Vc+o9q2vjOosLQiXS996kISQpFqAOVC07z6q6EzDbzMYxOaBXOn/ZJH/ta3LMABCrTG7FGgta79e
QVPXshgBJqn1Vauu6QbYx+XF/Puj5S0haSwuTZ76W38Qj37n97MxaXhEAj2tQoTmWzg04EjI2L5P
VHLHJSncwpETKQkXKiwOE0fiWiv606LeWF4qQip7Gjr3h1j6mfrcpUniQbZzNvdP5rpR7LsShMpQ
C3tbsQ+z5HuA4m1YzZp4JUAyncVMM69Wgnl9mEr7jeSZ9E+1wG/Xaj7/G8y2XBuDnil+6bjZblOa
bFPkwmNbZNx9dLXvd7Z72UEBL1Vo0eiaa7hGSBGGFOj9ECr7+1mBsnztd2HwaFjDj2XY2hFadRRO
7W6oA+il+e1LqmXZWTWJTW368eDiLPA6VZi7oCDBIY2ba0/j9SBn6b7eFQTSz2pU0jWMXdUWwfm+
RhWjeifULNWq3sQuXBEyYLEOf1nmE6CM8rMmxFuHbdwzUAFRkg/c1/NLXeXObsyG7/Caqo3Um5PW
lg1CflJe4Mj3wgMVMT0k0zA9hIaxWwxnU1g+V05D6N5SKDKlbC/LQ28G2EisFo7OH578X60NrkGH
2lZNyg3LUn+7byOnHFrLgYh1t5zXbuD9b6K1fLS8ZCPfEpH5QXZPf148D8sBf3kx/FqQ1lFXm5F2
9rm3YgDCCmXbTKufBgQPpiLdXYPOexntcTg2/uJRGVPzvNTlBCOuU+7LC8FgZCfRxGgIJF1lbujv
JXXeotCOOyv+hFIReUXRmyfNiZ80Wi1f2ICh7SYuW8okSeemp/LUWnoDRwGT5PxutLT0+t+XzvhV
aMSlgzkMM0p3KGndX2/joDOmeTgnvAnc+VqSYrIfLHxnVpDuEtqGj13erbomLHckwdVgvf6/b+uK
HhSy2zwtykP2FfU9xu1yVGa1pFom2Vnz8xpmqS4e4jp9AEB0DJPIOFsjqUFG51oPSrYN593dcZsz
PiYqmsGf/jC8+E05xC9IX3+G/TkoVFnd/l0oxqViYgepGS8jH7t3z5DpqGzmh8CWxRU9V7atM4Nw
L7NA1xNV4MRVn+5o2kvsii6Iqhh94+AWa2fpBWW6qWJ4p9EUBt2xn60ChVmB+zVEtHWh22xmPt1e
BZryObSJucyUaRPB9tjViQnpyQ4FhmZetALEGOQeDD8GEsG0Ge8nLvj0CSu9eEH6ibzMx7LHindv
4dzXDzjLTCstxp6BaqATFeomS/oXLZZ8m4rfcznI/fet8tv+6uIc0myVRYvCR0V9+e8r6XTa4CYZ
mYl933xgsvRfBKiMg28i5RnDUnkJGqN5SW2kfKpVeT0p3sx8fekxQTSOYvSdnXBQo1Z5XT/ZlVZR
/KTVZtBJRc3hgFaQ+7eWmVtrM5wcDj1ltfdnfJPAYXB3DiaJSssTeEShmfWbVlu75ZjvlDLdu+Ac
vHiAVOkpmXNEMZztcyzKngN8/oim1TrMRKW5UAH5xPRmKHNaoxlcMXPp0LlMANM5kc5ujO8x+sPH
/76A8/X5Z6U1Xz/KcRWnqqpz5v9lx9BL8ihSy7a8STNSYjZx0AJZptGajiaxiB///a/9Bi9c/jkG
/NTCHIp04xfJHLgZPct1VpI7ZqdN8o8Q0wF+eWFufUNMhK1cs1GxbrYbPmHTCNZ+VCU7GGXKlnlR
6XNKrENMoR2n6ThPfzgunvxF6WbXzm3q6/H+Tg/ag0nE9GqUxvBIKtD4CECr3iTQyf/wONtzx/zf
F5GbBX8NFCCDCchiBf5H32dimjgRg0qABGDI4+J5UDhwME4kUAX6A2GVWAzu7XRSy0HyuY9JR8Yy
5WK1poHuz4aabkcpQq96fptrZb9PE4tBhpa7V8Uaxt0koK4tbzE0Qo8viN/aMDAgSWsER6DM5/FB
6D/DtqxPSoICyWYa6pU9wiFUHkDd5wpLnwrAiWQO/aX2zXeLAa5XjFM1VDQ1SuvVRPJGu7y3n6SC
WAS0N/O5v+UEcfDtvo27HGnMPEHd0jCmWZahvgzfNIZze3BC2qTG6m6BCin5h4wnlawspdwuMKW7
cMPJNMvTYpRRBKGUp3Z+wZlQnpa3y0dj/Yc7XtPmm+yXP5fGJVYRnOiufW/j/ePPhbTIVeMWPn2I
Juw09aICN2Ejf2gSL42KT50y508K42ijK4flMhOyop6sW6rv/GGB53KCDD2jdBXSnPqnyqKMWUfu
xV6Ui2b49U7TdQBQnanHVlbrPxfABvd3yBYV+s5nynxe/ppZIgaPaLSYbkJX7wcAO2g6Q7VdjRpz
7clCaaiPkjy7xByphaD9LC89GEtcJGSDNoxSl3mWgb7NSxNk64kx3azBTq/GfOis++EW2jEYUKPC
uab2/a404mG11OfLjEGF/rZBp5tuGUpG3Dnkq9BzUs8xKxCxFKF/DIV/u5MMlLi7QUHMuVeDeN83
NsVwl2TeXUya9QONj/nHHBq0RG03GrtwfisGgAH3W6eymu/ZzM+bKpoYS0mfzG9jzbgCdrAOMrHq
2aCwXjRPtRY0FIaIoReJGy6/tZWpir4yO2c8FjFtsUCoh6XpvNyoHUkJwJ/xdWt2i90OkApACA3v
p0YKvOzMi5yyT4sVkXxwY7tMIu41KP4L49ABKnAXhnHNiX+n+fI9tJO3dhpJqZ8NbpHx9t9Lo/3b
2V0AAkPozRpss5f9igIL8tpxu8np+fthxYfktesArb9qdPOezUD14FDFa0MHZ7JAeKJq6g+dja0c
Mw496fSGes9/Uix/ZU+a15Otd50azb34lVh3Wtwc06ppjstHy4uofG3XtVHqOVmtHQLmbJflpbDc
vz4KCZWlGzxptyDaRYk8EORWnM0mF4egc6nBh7R81NK2PVi2FHs2V6yD4M/3Y+moXs3R7g63bFR5
UZo0AFJZxdtGp7EfCPnJnKENi4qJFOaZthp0eDk4rHDXZAM1Uw20z578neaG3+KCSnbnVBWxBouW
pRs0fTVMU7QBIz54PMDqVjVpECV15G7IhCRswqkRjzujcs3b8QknnHsM/bj4w0n/NxMzAHmXjQ0l
OF0bi37cv88gEKsHCGDEepC5LCiOXPZQ+VMNRbstCtvZhHEUnHIWCq+aYn/lZn53NYYROedIIm7Q
VQ0sqmH8jIEq3Shu7uyXtzq1pOT4uDGbnvRlW79IEW6X1XqBn9ADYzT2/0f2IJf5bYpIuDCN5Dxl
ruNBaOto145bHX79o4wsCJ1WDYYiULmTsEL/4UI48y/6r4XV1DBzq0KHd6zrhpj3yX8srHFmiUZo
RePdW0lo3llQidg++zLq7iyqUqDWkSQl8ujK8lHUoz8Him+IqsiOKb3n0ArwIE87xJKuuDf0kSH3
+7zSIE86Cc5lPyDNs3Tw001GezFpMxERl5IyXQWf6PamRLmK4BMQyNSLdKSlMqvj7TITE5m5GVRU
z33oPxJuCp+rUN2dDoutSYpwZ5J/suoSzd1D3GLi2frhto6KTTDCeYkbXb1a6VPH+fm5lu0ebL71
0KfYhBUdrJX/jMCsuNTEC9aBy2066OZWotBteje9jWSEECMB9Hg+m9PVGL3C6mhGzbxLTjRnsjqc
tZOXl05pqzOx5u8ZzB0M6YhFFxWx0qekWQUprBmEvXGUMWqdASgVlib4uVZ+rZW1rflfwzJwHhiP
OH9oL/yGOgAaQR+GWaNKTYtZ/5e/r2z8Edl3SMMzjzIPWR9AoslCvLMUq65Smztcjx/SjFqP5J3y
iMQO8ICeZLusk5uoyot1lzjaEXV7e0R4Vdkx0EPbfuWkVuKFcSG9JL3yOqBtOsWxY3/hz7LOIx1C
Orr/NTSHbR/k41eymJrNgPXnQES0RNE8t8ILDd1mbNmHmBbzJh+Hdr0cDHXwMp5Om44eMxOUNqm+
D4bACNejSiz9GwqO5qwT+np/S0Go/6GJ5fwqjuHKOUguDAd9JGDaX70NVpG6jWRN9xy1CV+K1K88
4rizK21d5RTZ2jveYYWM0SlGde1slSmfTiIcw/3Q2Z8royloYdr5CWEa+5gx6PuyztwHG2E1YLD6
0UXbx044npbROJHJOICdq1U66bUoDeh8ieIjqpWQPpBQ7ZtBSS+xHnfM9EMYnWX8KMe+4Txk4i6l
2dXnvvI1N+SHqIJgz4AWr5gze8Lt5GdAx/6Y2EClDS18iIdev+mJX3qKg521yYsny49f6CK3G9E1
8jCZVn8hfvuQ5Z341vfZVwZVzdVOC+TTadrz4IQWTwYc3lNX5BYxpk1Jb5HIo3lmcMpV932kioUd
GysbjnQOBDc/eCiGXOKL5yMdb9yG8rf1WgJDHvTSfxxFR2hh53ZrOtubYK7njbR8+e8d2/ytw2Nq
gIWpn/BEoTf9lfBj1K4NjjfnuumTvboTJEeRhOuoFxtUCepat0rxNk6NSXkl2k0p6+5kKo35Eucj
MF4tfOwNab7woE9rm4oAd3DmelFShdtqNivKDm9bY4y4nWYrI0DLL44zDtfli3VwbCWhVpGYAk+R
E+0cBX1DLA1cLEpMhsZAipT6OUl/LJ3MtoEimNetutH0jthdl3BjdCWQHLIWmJOQ486JlOJE8kO7
imwwXMId7M9mqp04yPKtBkEZxj7kkPKQG/TlYPgZX7Ou3OGcaH/k9nQrJiz7/32Vf6/waXyYlkUD
TWeHpXT896aijJTyBiqUv/poYHfLi91CB/Snmt3tm9lkqGfnlxDlKlRxZAIYvroVlO/jFFbhUaIY
WJHVO1yxmWGg00xjY2jMoHvCvNYoRMIt7EdakqZgvtGkyYPi1BMmDuSI/nCJrQhpLZ3lizTcwyzC
QQluqa9uBb8sosPPQS1nl3cUMJew5mFKTZ9stqYHPx8f0GPL9wxKHov/SD9tInOuNl2cawE65EBq
ZzN4q6EVPLZOFD3998XT50bSv3dk/Oo0zlVQqSgSrPnQ+Y8dWaX5PSot+uW4pIBYHNpVXWXoyemH
564DC74P7O042OMhrGN4BGnFray22s4cGTalFrJjErX3/ZDV/IrGaYhHSgEi1FZOGqdPbQ1treNA
486XNs0N/U96td+qNX58og6YyOI5pGvwi9nJTSPMnCFs8kVrY9p9jxxMJQmmsKHuJ5n/qenNBO4X
xc6kDv2mVGm8BAMBrRWxvOwNIcbNxjE8nuRy7yglIvC61C6am3Ubx9j/4ZL/do7n53VsYPdw0bCU
/frzVhGUrWlAM5RmjMvCBj0Lp/B+0JWH5c3Qp9a1Ghv4chnti6YcN2rtoP8MYzYgN8clnxq73PVj
1k7pH5cXRzWSo8TIvpRKZpjia+9Ga6OEmbVNxjAC1eRrf+hr6L/tWvwqLiN4DplorcWvj57rG4UN
PKb2kth4sjkNrcp5rGx0+jczDq5OWBx9v8PYXPgFpZvavwbanM0cROkHnVNgWen7BFZj3bZoXKLY
1Q5RQ4910e4olnZBov8nYfjcP/2tf8y0zUITZerU97/74/R0tHrCBem8LbU7YYQIwYaA7dHvVxrZ
JCtdn8I3aUX7lMwKtgyJfG4u7rvEfY0MzzHZpdO4RCLjhLg3y4CI8t5S9kvLPnJJlbnbcqmCv2hO
sF86A2njvhdmFj0JQa1TT3VxG1pmm34ex4fajH6og9/sY0y0277NPzIaw1c/iz+MHAsc0QLcmzJ6
MqvuYQpV+W6nQqK3i49gI242A5u1JoLwpVnXKOK3NCXkk563ijdIvXhDex/gjmHsa5IG7DWgfNjG
lVR6aR3Yp9xMTrWVuo+ipKeE+xFVXPctZnzxCm23Jx5HvbV28KR1efFaiFJfRTJrjolvI2ayi1Uf
puY9W8R0mFFyoM02kGheF98LCCfSxyuQ+gBVFtAd1EpxpdcBl56Ri5XHxZlN33kWSfAWk1X7Ai7v
MShb/KdhjqdlZobnPe5F2qukBtKK4MyT3VJTU05lwaHIh3LrtbmfooDg+KcIzBmuzU1l+VW91Urp
HDNdRwTjts7qnuzZ0jdTBygTIm1ApzeJ+TLYisQSAXQ5m3lCARfu0akCbVMostw5MWM9o7P1dUvu
3Q2Xk7kKQzf/6lvOy6Rb9U8jvwL40cbKftf4zbwEn+U8Miv32FlqGrvUsW5mox4cdeeReCW0r0n2
uPijM4GxFAEEpA8d+WteyAIWA7jjfRnjzowabVMqqUGYiq1eBxRmuNblqrTh9xVhOpzNiZn7ID7K
iRufkCUwizORiiZrd87puu+npoWDUOOlZ0RgFfaDhl0fQ6NaH7VZMrG85SKfEiUBKzFf8uVTfeOv
7UYJj65dli9ZWN8W/LONj3hd1Bkw/touPaIRx5UYRm1Pq4x1YFa4VpHTr2Ti/CAAz/9HqDF19jd4
sKdep521BCTECQ9QbkO4ybT4YocNvzX56kjkaqCj849iFYL+E+Mm/FYIbv73Eivyxgi7XvsOTOO7
GxEWvnN2VbRUd2p35QPGXgQEWeTQ3hH9uBFJbTHEhgWbIcLZFE0fPduje4rivngLFUvfkNriXOUk
roqENhHNfjtHS1aj3/X+NqhD8358UwrDCzPbuIocm90yeTObqtsJUUSwqUzlHbU15/ClKRHp1acJ
DfjTouZ1nYHuqJ/55ziZQo9nCHR3bl2XbAYysB7dxj+hSEeYUbryRSo4UI0213HShC8+Hcg3behB
aVpIyGb7jqVWwXXx1WJcYLe183GvlZGCfVSW21Az00eR1dGeTQELaw9DsR7r+MpoG07vJF4UsEmf
rJKY8ohEnDIldDEeJwP5SDM8YrS3Hkybrl4zlWAyo6Bb+W2Rf0rVAjRoXH6Jylauc/IzAVqDGZbo
+f5KtUjiUe5ARkTnaJiwTyOmYFryXYkj48UH4IYGQ+LsHw+TY7YfpqF8p96xP5PAEHi0SJQTmKSU
Tmmk7JIBWx+xRvFzXJTBaXSb21Ii/08IkTBNAQjeQpPsWuaUX+D6V6t7y4F+NRIImqBLZ7Uhp+u6
fBQjbzJtaoourMatrXNbpF00+FszLjFBBX33oOemXKGo2ShMRL9WRqQBnkML3gYlSuWmVz75fLGv
bfeYTcR/J1qpoYYx1HPply93FEtEz+uA//Y0zizjMcH8FXZWgyRLCU+Nk5LuFbfHso2NVW807SvC
gg+jcplKhH7wF6oDeDs44gu9sf48Oi3ndBkgmkWOFBT1Nguy/qYI7kkiNpSVQS93LYg5/Q5coNw3
qTPhzU/gnM/dhDYKNK8WJuDtqZbbZbzFLdBuYhUe0zIkjHl0RK8VG6NKv/ZC8T0VsdCF/mx7HRqa
M4WdHu2ptm9qEf4cRgfI5tAWm4XBmlkRiXI0bDwMo8YbmotsNXf3zz4HspjpOPKHaNsEyqt2x2dg
4fzoYCac4qxkcS1MUqwG3cGSFjxENHn3Sk8MAs6nahNWJNU4kfFDxDE8koyFK8hVSHAzS50xWbBf
aARMOwu2buXVchw6n3Nie2Ik0VEhyEQ3zOgpxUxRIO8/3dl6mIA/UNJC3Jz/Oz1/ohMUGRwGbhM8
qMEUrl3fOVi1bn13hu5tiHSeHA7nEyrMpxDzAhUd47uWsdlRSfrgGPTp252LADIYeQ0NyEW4myB1
BVOriwB1XJx+TPTzVd/FTyfcF232ORtKfk6BG2X11F8oqpqHSnefO7p3yz8f0tJVSh0hZjPn0cBW
fFgWn9gYAygnwluWmF5qPzPEqliKkO0wIuDPjpha84C5ffLVVtwi96epTLBZZxqEEqK4bhiSeU4x
yjON05zWGKCYeWnNaNH44tr3sLDJF9mWmGSlY8Rekt8yq3FOjhN46VSc1Vwftv0QfjAtYSynEyEM
8WzvA6awMdUdNF2utKiyNwJJ9rpwZlF2xfSEOQeNathi9c82RoE/KdWXPilXsRsJ9JTkn7dOQwh6
PP2YVH5iclUr8MsrpVF1FKgx0NkaWSb5rpxIJdFQQ3YuXVqCtWZrmzGdT6E91dxogI/T0dfQH9Xo
qJSaXA8AqdZBlxNchOMzNC/QnXdF20e0NxiryZpsZqcPgl2pWT3wxPwUYR1oQlTXplAOvmV7hvA/
TV3ZryBLuyvlexUjD2TQIbdD2K2gcHxL0vya9ekPpYXsUn0LrOAxC1H+t8PeJZlAKcQVxlmplN8s
wJ1q0f8o7Izzcvyo2cHJtXc4WA8tWW6u359aS96EM5qbfmrep5g2Vzpx0NKb5JZmk+dnWoK1tOhW
WQknU0tReYA5YH07JqRQjuWzBRfItXag189KQBHq46NSTTkwtlllLVkw+WCzHfQPg0bGjV0RS1El
YjVY332G917j+jCAZpa5M830uzzBD1FDuUjG7WhTVGVAYERtHulmBWt7YKjuCINGlAA0kGbqi0y9
tBXBRgcRtIMd9n2o9QPQR1yXk9k9J8n0pFHMF5Y8M4n7omQlXPJgF1kxHT38RpKbZoqJmTab9lGS
36YM6qehy68D6HTiBA5u566TpqAMzEvwhu05jMeb0cSHQNWOVmx/GY1yTjwOaKcyfh3n0pGDG60k
9wcRNh5rFTOJlr0pMkj2qjL+U03yVajK/NdUUI3XMZhOrpg/6fCfvEqilitLse/67G3g1xwV92yr
5feJKAUXs+8KApjKOF9+KrW83AoR7yf4UJ4x1gFyUps/CzEGatL2XmMXhGmMT5ajv0VGM2d0OzdT
pt8qBP3rsQHE5dIOWaEyx2vSPTHb26BXoDuk7+smP6h5tu5nf7qFXb0ypoARLbWEw1SgSLBPpCI+
F4+GKF5sHzh6y3YySfcm8q5aHWj0jaB1HiJ0UZe0ofI0kqQC2wOUH8zlrtGFRJlQzMYC7ZtDhFgj
+nItdTKt6WgEHmBhltve/dm1Fljxlruv1566TP9OTt1b0h5d81nHTYxRlmN0QZwCI0GcCQi3AdMq
2B7gOtVzdktx6btUX3VMJoENkjWiq0W80cKq2NdBc5aKMu5yRf3aLS4/F4ECyC5WM4iTxQNTTB6l
4hMxiE9tFn3omql7nVYXq2g8xQqxIiwKKGZkPqxKzixD270WdZB4pm69k95MlIN6QsFZAlc1jqBk
+hRQ4cQ8Pmq5oGmRAtYsrrZo+fuPCOtwkT4Cm30OXP0L2WfxaorMi68FPrcCwYM1vla/fagTgP14
ucOtGtteZjGJ6P3h5Ns6GBN3ULeuDMeN1k8Mdbv+lZQmFYxI+COUCiJra6UV/gHDx6Fhgg8GKW5w
dBSfrGgEck+6KEuYhVCAKFEb3k8xnvtBJUXYLHVaCdFZotuZ74WK0Z4tH9Jxk2H8LyqofHoZv9tl
9NYV6VZzyMrRgE5skjx6jJNR7luruBlxCOB9eNH4dTdjO3O9QoXUAAKnFNXgF5aEN5rKviqjnwQD
fwa/hxqSfjbGANLtSSlNBBArC3JqjqcYINvPBi+bF8CNwwdSujs3Kl7432kXT7mcJde3iYCQxGSy
iWTZmySwUqhJ59RMSshn25KpzzrhxMIpAr+Ln06HSW88H+QT0X350ck10DyGj0becYdtkLyozKyl
Xsljw/eqZjKyoNsORqbx3KFoo3MJjcYYywfTdDaF0YH5NxCllLJ4zad8k6dZjxENfJVrfugi1jdm
SFAgpjHlqH2UFWDLxrSjg6+ZpNNTxq8MHzyXKGk3GZV5U1SX4zgF1D73k3WmHFWL/D3MUPBggAfk
fp9yA4fGZTLCN2vE8ssJNNt3Vtju2lIb1ohU5bG6xWZygyOevVrKeIskKwuA9dAbOBAZjdnt2PgP
phZ/1G4/XpKx/+FaPKQNoSFeqPGNHbMpQeuUWyWzNr1prUdsQ0dg6kjGm27yaLy2YGjgvVCqeFEE
DcKRFAu2hW2Eq55DDAix2mohNtfMZ88xSk9345F/v8BBxy+TMiJYg4dAJu7iGIXRu1EiwN+i/InY
kFBbgoEoatDu8Keaxx/2Kvc7cRz5q6zUKN8jQLVB+2ueCyFiTdWOzExtsH51CTqstoDa7Ys9hhvw
wQAAiV5UdxhUiFgOOKxpcb1PLTjJPiAyp46LCxJmEgLUd6nSiU3y3KNV9NM0gw+i4r1RtLe+VM+m
khIyN1zMRr6Oic0IfHhOa/1G957FT8gdFEJweXr6DDckQbeNY7EXxoHqbPSiPtG/6VI5OXqkvPYW
izDs6aPu+Nmx1snfsCwmK1Nmfg3HJt1ImvRbPQ6e6kEEb3j76YUwCXItFP1WXn5N+WG2vmm8MyEm
qzpipUEWuEqRAVn6SDtNnpl9vcuGaLN4eGl9BKtdMRTrbOx44IbPlI35ucwkVx6LPGa3B04V9npM
SQtBk7ZKhaZ4WBnatREXVMLZ537KnOeu66JjpYmIlogcEDTr0YM+v8RgaNeTylPB6uiSwO7IY1dK
vEa8m+g6dlHYH1oZ2XuV2zag/AZsyWnEyjR97/cduG2uqWuzAFHvbLDHZAclDJMTmWVjCqLVsetL
5ltE3bHUk82lrjHhEl1WaO9d6JTr1k52Wk8CXNMi+2yl9bUxk/fG7U+uWuBGlPYWXZ1e5h9TFAcQ
+fp4Jdw5uUqZkXgYz4ZY3Y9Bv+/TLFxjE94LNyNlxaQW0lIz3CKFri+VrG/mTHAGGBHuskzRt8b8
dpqKDQlOnvQL85XST7uIRlKXGZH12jZjidcVr8ny1cqsg4sZ4E+2LN18jclSpdozjGPgWAPIscr8
Zun+MfC78pOCXnmP3yLcBWRxfq4qxaM7bH6jGcyyBr387E6qfBo496yq+QuZGfzMknR8FjEgqlBk
8Wb5/NQ+0g8cIBwAJbHQo9GXHX44hFqcel9p6JFZwjMThJwJWt2TQWQqG6LvDuvIyp21QFQ8oFl6
hbdaP1pl/QncZvfWhEV2iF2cfHIqujfhVERAsLsc8vmraV2+VL1iP+JDEre6Rh04f3oi4uWs2+xZ
y/+JQJYWgQdn+xGTBgE/vXzqprR6iFRlDZdDPgF4k0/L56fom6JPtED//gx0xavTtPHZ1f2YzoCj
sQwUKZlO6CBW0gimp+XFapKfeGEG+Pf1X5/S9fJqT3I637/h/9g6jyVJlS2LfhFmaDENQWiVunKC
ZZZAS3fk1/eCe7vr2bOeUAFBRlVlgON+zt5rz8djBLPulDnXv4cUJJuxLE8KlCFmwe0PknKMNfGx
5V6fMnmwVafhnz+Sqkk+Aat7DYGrWnzrNuZiaLjxpXPd4jYmM2Geweu7cMJzZubtmyqBV2edNCG6
BNObRh9tOUEZ2nQt82qrG6lyyWtVRTZAF63rVHGPOmVaK3rofJaetSMksd2NZa6yCoAC3/aTdZng
L70jGgBQnb9DK8AYKUyaHV6mvjtiaHcUeTz4q+oAjVajXWwF5ANMsvJZxUjWj6gqrCJ3Iden8sUT
tnEP1WzXBipUtEKQcGqMp8jz1E9GQ4N6X2Mf6ZtpL7qH3GQ+rpdUGKZkyE5Fr+UvnlRufLRgkU77
OA9Evh6qePoxJc2LKMOYIrTnJzTKwlU8jdzkYfoVjp25MitX0mkv063UG+Cubt+RyNfhZWSW38/I
I0OhbpMwRlLGyOUFlI/iKw6xaq6VhX7SJj3uLSxp8CGbQ0rB9WwWFdd1PtW/RGKvJt1Q/ujSudaq
Pp6lioA16Km0yCxoqN3A98s06T1bjd1utBpra2Wa2s7xSJCMG4WypNpWqL3d/tCXlnPOomHwS82N
H5Yy6KvWbvTbEHntNTTaeoUmpfgYMtQ9ZTdau1JW5Uer1c+WLj6btt1XTqu9TKqmrLJ6TI+mmH+n
siChsHFyf3k3zl3fxLpAeQLfbuR17cbtIu+ZR/ywDmmuvFkq5q2J1Ki9GCdvHUBa2dktVfO2rvyR
Jv07q7vakd+NqJ15CDVOMXPJO25UzITzG/BkiRbWrFfWa9amCKe7jpJp12md+9qlzZ33te9U6buV
UsfNo6FIfaSgM2yLxpKfhYZYcD6DYpizTlGHXHrFNgkdmiY/fQtCmT/G0RZk6mChMil0QWtn6Ucm
S6qH4aNEgH1XULBf8gkwi9CUu0hlQCOyfDMH27hJf0zyJmJNmVT7yWxe9D73xmtrhZlfAcTG5OUq
u9xiqAI8dAZNqzBVcDX+J+wGakSkVz/nXSq0wHZFOn0sbxRwnsbRIJCQcNizMm9MaSmnZSO56MSq
cN15bpl3G2WU0R75/Gs/k64Kp/h3o8zMK5ylHlYDLU2PBuby5ZSFiPX3vOVYK/MT8R75W4Oam2Sn
iXiP4EuAnUCdixFZH02q3TGiuKKkN+Sp9QGGnP5LGsVTV6j1tzuVvxTXaq4jwSqbNBg3jVkpzCQo
c3DVdud+x4IP2vD8Oi7tjufY/LJKspBufTgSYVmAuV0OGoZBXRm5aZc4iJd61YYPWoEKXV42KATO
kflp1UDgoxZpVenUdyfr67srZ+qT3vyp50OTZ+HtrFLjaXT16LScsZxLfkC6A3wRrWHRKtW2lCxL
Qb5eu0S6Ky4kfVPicvRbzdSPFU/U61CKYlNpTfSJbnuvM1n5bZT2O1XT/o2yCr0P9CDnTIVkanY6
MiaC5z4Ub7otpwKQvBZVJj+mluvcjq3mgrLW2RjGwGrSolqYgzz5KPjolAfSz4F8U4xXnkdYHbC8
VJJ3LYYkfKlCumTLKSQ+nTMnNt4Jr3a39AVpauedehurRqznD0IrHbxhCDmpwjFfOyRkhxSStS8T
p/iqzq5lyK/MimI/IGflIHqquV1UXIiEkl9DURhrY3KJV1ZgY1mC+l1CjgNtE34rhBiOa8eUwzaF
zLYdRckveN60FIJTZLA3UCzGU1w7wz78CtS4IwGYi6YQSvlCbbp8kQYpaZ71vOwMAi4KKbKfbqXV
hxHNOKSuJAY8VKIGWV4uG1QM8QnKw8oabHozoZZdlo10g39fLbu4J3Zm4aXHrLIRSOED4Llm0MdI
EF2serPoXllEeOsyrNEpFWmxJtDIYI6hwOJmCv2D26ZchaNr3JR5rQOc9EFXYVhRtiONluLJUdVK
lrC9zO5OvWWhyg0iaacih8zEIRRCuy+bPgksFrhDgrI61QkKyeLoXNTUzToCN0zL+5pySz0uGzqn
VHzmjWENAGOWg9JxB9+S4fPfU5ZXy3nLT0AX+d+Tl/3/envZXTYtdcRtpROV1tVTeWf5XF9CGful
CMp70A+JxzoWYk4dQhjM54PLO7WHuE+z2vOytxxffh6ewriy9TjCNsjHJQSd3u2WolUWN6/Lob8/
kCUgcGtJNs1yTDGG57xC2cRTkF+42tynksJzHhlbleCGA+QaMNBh95rHFP+7ofvVpk79YbYmoqDK
7wzPe60kUR4VMx/c4+M1rFVjA298JAPY+NV0AtyhO2KMTmdOvFWjtTS/+6nJGNkD/ZSlWfA89MLw
y37Ou549N5nZ8UgX8AxZyngybp7rWq+fWX20lMsGWh7zbjwFTx44FL9qZnBNUHTPNoKoKKAJCn9L
26Qm7IimVc5ECP/qQ/2kB2Xy06MJuiosXOpEhZZ7AZ0XFGLc7HHMJE/VRChaz/r5Fe7TjxhzgzM0
wYdJWsdOBkG7i8sp/zHEBXCWNPuS2Iu3pHmEyDxV1m25Hr0GZX9V6Up/OTqYADIkWOwR7XNXiqnm
nzl94RnTnlOhP8lmZL4qSdiW6aeW1PZnHGglyZTQ06sS84YyKt2LNUS5rxoIO5ZAtam2gmMDzmhm
9aibJuPh2akwUtRs+oUbvjote6lKJq5F2d2enRbLIfTQky/K+lZ3VAyolpWPfrSLBwmomu/2jbGO
ZgRT4eUHNaYMHRsAaGUZzc3A+SV1Nni/Zg1yyXN/tWMR/myd6qOhx/2SsWbaj5rj7CAFZa9wi16X
E9w5LiHuy/J55D45wIEKd2OlaG9u7l2GQQ9/Jo0tVpSN3Eeok5bSNWPhh1HJ/MeggjT/JXZac3lb
visoFzSZZd9HocOvNJA/KH1QPmDOZ2uRJemrU4Obhi1wWjaRbsBukNmPYhgIVBvmxUxDjQ+WS6aA
lkeQt3XqGQemE/gg4vGV51r67GUC+DEmRa0YiXLUX/BT9vP9WXD7j+3BiOZhP+WxJIZaeR2jnqsh
CeNfLWq7UZ8QSLpICyJN3+VVl7/2JfQojxJZSoAa9SjWjYb3k/Q5HlMCQqYw7RNMmoApQw7pe5I/
IjuaGCYj1Y89Q/xINeU4YRR5kW6VXUp74tqdj7MiffZQIwB5qW55Ef67GZBAruJs9HwwC8RDSqWF
wC/H27JBzYtTHHj+lmfsQSBGf0pAsTzV5V0wD4BDmn12teU9escgKi13/qS69B7LhgZ57+MGTzZ/
j5H4eIRn+oKjlA5QadPmt4f2EBDzTjIsCzwdpYKTFo7v0elX9CG/R9LjiqqUFwoTu0Y1SZgwzHrN
qnTcW0370Qg1ukYZYbdwoZkHGHl66SSr/i76ySNDUE4dxXV5pc2v4h4QiuUO2iYclKfQkcPVk8lw
DWhZXJfduGsbyhXlewYqb4VHrb9Z9ARuIiep2ibzZDN2Xcb3we5ybGiUP5pn4+ekpGUV+EgWmKUz
COuCovQorDp45EZjH+ismmsuQ6KoFLe9lISXwqRqvBl/Wh3CiVzhEQAKkBWe+YrTJ2e1belhke1A
qToi+6tinaroicFMb0oeVVFam96UP700zK/NOPzOkiR+pTjGGqiQaFmn+lsjeGkNKK5qWu1aBdYz
M22XTy+ngFq/ZWImCgmYjghp2kCPKNZqYJqbbGgxx2TKHo5pcWmr/j83TT19dgDma03DIaeYtUM+
gquvxBhi8skMC0X18nKcAvdMOnHVqrxBANIz+UrWiX/8SeQK31ZnDU9q2pPKp7p/0B4XOSh0XK9t
10y7IjJLynjECksKfLIuaQpRBCLNlY1iVOQMtUwUTJrtm+WN5ZhkIcpveX57OVGGKiSJZT8wMvzc
lB4eiHCGfRUW+kUnupM+pDFw3Q/6ZTlmA7H799V8rM+EtxK5aWxBDJmML/PBv+eUrOXURlOPfz/g
n0+ZTyMIYzhqOc2Yvz+6vLts0pGEeq+DavxfP/v3A2jc9qtgiFuydPhX/X/n6b23bgKQC//81Hya
ChMBcTy4TdTP4z//FzRZ/QqQ9rC2auH5pqjNi0QWumN2c7NCpT/mtEum/Kr0xskJEFuFLH33mhHY
22JoeyLfTHlodIr5tLEQBE52ehxCQYafKAEgg4qepjlioGSsCRQHdmvavLGocqKS+uYEaaiqHxgV
v1tPee/MGClDklkdxbck8Ju2664O4aIm9u/jFGiBBgQCi6Fu5fGOm2FkEW2N2zz43cG5vKnEyT2W
jQm5SdZtfbZri+ZOtBn1sHuiAVecI917a1y1ffIc2V8MTwKn639aQ/KpgCHaV5at3dOGOEkTcJqW
G/bJac1+NxBHAhDpzFgXf7Rt5R713Ew27pjWW9Ob4tnVtSHTDSnFYB2FKJsto52x1nSR3WYkflOB
pipl5/D3dY+mqes1SRI6s/DWvuZF+xIQTN+2mvmWTR3fUyO1dyd5Tcg3Q0yJOAnTVGWk04GFPR6R
kXBFjRKpqY4bOYUlyfR4bAbkU5i4xcrBpa+bxHPliOFzY+yeMJWTwJpRJ0l1V3lxcIXsstYUG6+u
QqSSpXlEV2OzVubdqimB0NbFRzzvNSnxKJkXbpf32thFnge1hzrCUGYrYUy/dcOA3rfs6ss2ZeQ9
Lpv/2IfUyWA/v9NhCz3+3bWdxCEBen4nMId8YxCysO4wKTyRYRM9VSb/oTIWdxIXoqdsyoYzy9t/
3lvOwrc6uWSVB+jd/tmEgd5ugjYCrPt/x5ZXWLT6c9H0/3HcawGHOctGCSTtW72hBfG/nxQPYc7M
zIJhodMpDKqwfoQdypO4LzQymdTyVLwbZFNtlyuvq+v40fckaOTDDY1S8BWJ98kwO+YhlM8nw7E2
1kBzm+yccksNhBYmtG1MsNVTTFX0MA7Jb8Mh4IAA5EfQW9YjGUKILXbmB0yyVqEYxwetvZG6ZRvt
QAmmq7wfd8KtCrjO3JOQssk8MTr3no+xe6kqkgHbJj/VZXGbAIudnbgBaJEMSGkNPHVOWcpssxxU
R/Xft+0swdarRJGFqSWAO8yP/N0sHwPMOiF94UVFyU9GFTl4PPF2o97GO7eKph8IDliPOtQybJDm
TRi56Dw4niQ0fZUA5rRhxigQIQefEwTzU6i95sQC7iC78AzDyiD1LF2FNd1fvR+7lVplwL46GhNe
UU9HhybfumzvrV7o21Gjkl2G2vg+UIzDgtUbNKGKEWjHjjA15013EDOPWANJxuUs2Pz2DgoBLLJ5
N4bbh/e36098i99aqgvfCxTxpgwUHyUQJVkMF/E9GOrwAVwmPFk9CO3c0ewPaRvANNCenOEPm68z
uASyntxTMal2iHO9feAlw6pE9B3Ry3LFvi8dFCZpN4OssKMWUqMBMW/yOtyCWwpPQaP8e8jtNQKu
irNn5ZW66icIv/XUP0tUH4cWDBrSL88r6P0bCQYL1tYINDjn7yar02abzpDCyqq1oxOoRCF4y1aF
wMf4Ph9eFpzLxtKYYqYBVmjPCBvYaj2Z2mmrv4c6nLE4xpBg6knzTodrOUx8K3MGcrTiOTwmthXb
J2YDPdW8i0QzvWlzoIxFt5Q2hLj/1/EiN2Eq/ufpKYoTyqXNsUiy6YQudzotr7wxkqyAMrROY34K
SDr553ifGMMJ/G0VK9+UI7EoG+Fvon2/YcejtsnTN7sjwCKqXGObJEnAgyPZ626bvIus/0gExFK3
muSFcVAS9Mkvfnml2uVAXXmgpLAAnwaJIy8MacwZylHqMaShljg5wET4U3sGfpP5ETU+wFN17NKJ
DT2ORWWEbplvLonU7KTlKpa+5eWU2Ffg5TnDxX5k6kFpswQejMscFwcjeVd1J9VmEGOoPwhl5hva
dnbTm56biNUOyfVfQay128wTL0OPgQ/LBd19yuLH3IYOb7naIY7C4dyp1XBeXi2bYd7951jZk54d
EOUDm4OiUCkT78za/t+NkUnvnEFRpJWa+XVXn7McZsnsQ7EDBwdnDS8NzfyhrIc/yby3HC9yIgE0
HF5BwqN1JJws94yL6kzetm0xnJZ1GeyZ+ZJOmNMZUNOmPxIhBrJ6WBl6Md2Lqv2zsP0Gk1+y0Uwe
KfbjSz3m7gn2yA+mgibgS9b6X5hi0kNi6R99PGRny5LQHPWRy8nrDjnq+lpV1EOTxbu0RHJMCf1Y
arZ7rMzgnbQXeCauoW1j4dJ77u0Sj01LA96TkGfxp2hI2Vdz+nNh0qxsmgKdRwwFVyG06xA5vxIt
fI4adTjkCpW+RB/3jr4qk1hskkiL11arf/dd8twnLlEKMf5noRwMAQ/NrNQz18W+KfVr7vJsy68Q
lGZJD5dipzZIcojI9icbG49GOOpkTLdaU+ZoneGq5AkUuMDT16Ota0j2vkvmgXjoHrLIuhPY6TKB
Dd3j0iUZPdroKROEwj2MaSM2Q/nSV2R9TbbA1G2Fv9OmlIckIdOGYHWxkiHsUnh0q5bYiVXiFl9e
U29GVPgj91MSOvkqiuwXNRycbRv2uxa0xibTyYXNe+8Q9Ty1FcI/1yET4jGl9tzTRHEH9y2zSrFW
8/wOSp6crFjYayNO4o1gdgR9lXxSEmnOUwK+znMTHomBdyIihRKfBkGJGsWtLslK9+LiIhLDWunl
G3mpva9DXM0Liq9JHhcbu4I0mVa03hsg5LEdrgn/eyrRKW/Y8H+0jOMwdLicx9Degi2w3or01VXn
Gjgq7gtIufYxhC1x2eY2NcipcDH3g7/4cIUs3iu6jszU8pTWPruAi54k2vhL9AuXuX5Am0SWpnnA
2PA8YCqH3LuNa699TwT2G9qe6zxHFJk76kC/WL1YXhEeKqzCBlnk9kTBYCh0pspNKPdh5NirRDB1
hfrdJjTTvUkARFNdncYCCteM0sxYkILlOTgk8xZGNyyBddabRJMVSF2xBT1lcXtWE6r/XZNvZM2y
3lX6RyvFqxGW9bpOB1JFUnoBdLzQstKKOIFRW48ko+axyI51ZP5ywrRF5QWEBcSCwppO7qAA6mn7
mxL4YQA0HQ7qpSiDPypNmlVJ+38n7WErNKo65HGsifBOtzFRLcj5Um2NWBrPM8J3QptqnAE9NYse
1XdVIsNXzfFFDkZzony1MrH62ExmMfFXxSYBrc8kuH9rIk8BppDsQako18Sg8mat5kTB2sFjJXCA
tS4P5FgRqFA7JUFeHD4a11N8A/kgwUs8kVqjwx0qaYe5rtgiayif+HfE3nM5eva6qrtx08WshxwX
TVgi9no4NbfRJjeEhOKBNsNB6zz4GWb0TJmM3q/plxFSGEANp1GhC0k6TbZKTPnZMr8zhuRqT7Z1
UjxGKkR756KwgEz36FIqFIGBBQleoXQWCCXYMBF8Yfl7DawRKl7ftudWrcdjEHtrURaswGF5nbGu
EIGTeAegUF+DMiMnhjkhC5FjErPSJyqadO6gLfxMdbqdZWrfBc2Vi9fzH5pITPVTGBkvzGxjFRmX
5wsaPauoFsoJXsN1YjC+xbQBg2zltVRTpZKVjyxpihtdwDUG2m1BI+KWlXhztGZSLhAqV0UlPUoo
rbVxJTO8RuoT8fHJF+1CebHqQfimMlM1ovFV2lR1jDyZNsOzwWUxCzbHc5yX03lIIgCof/eXV92U
KpuUsus/b/QK+mVpJDUxWFLbNLFKhvUkDpoR70TTTPA4cF9Loa00hLfXgKHi7BJYa1PqOiqtjUXK
M3caJZxDjlgA3e0qH1JIlArtUD3UXkZ0ylXrxivGeAgmJsUHGHp55hyCVKU9z7N+O/IwWmlejTWK
xirRTH4Ze3ODxkashHFBOL7b9d7RBG6/OAqKxv1ZC7yDduxGq6BKQYhFwyarAoUxIAgwso+IMPq5
PpbWdK0aSLIBOahNkRSg3Zvm7umZsQlmiIYCzprk8exeInJCTiHEddKmWxM31ioEqEcIpWKedZd0
OCWkzNtEBxEzBqq2F/9geN8ZU4ONR+NWN+qPTuX+oE+FML2lU4aOe2dGcg/0sbpkHU5bUi8xaiHL
Ejl3cl1DUg0crbkFibiMnLVPZ21HnsVAh+GhVIz7E3VwpOmCGCm8WZrIPIbIkMEXZWRmEuQO3AvW
nfUh0A6irWlL0GDIfFo6CP/Uaoap67ZNzRqhVmV9tjAVnHU1+IlpCp2EEbJWi8yXyMqGHa0kFKA8
Tenr2QwmjCEp8m2FedCECEjmR2XQrpj49V2HHj1Xip8aNmofthug5RAdKHVyhL5w+DCpHkvvs6LV
6FOh4FeW6ehsWS4dW6X6FQS5w5rEk3S3PO86WcXvVusvI4X9B9V6RJyIm1YtEY2bPBiyTymtJ7ce
k73Vunw1RmM8Mag16yLQsn1EmsrDYN0WevY9tqqHGTWQzwNdgQ6AjAdADPV2lWC/UZAWPu/ZTV/f
5BA7SEa4C5qQhKpOEejCIwf1Uo392nHgbMuQ5VAW7Wp9vLVlZlyWTdN0xkVpqmrdal6+xTr07xs2
rTZ6AvOJo1n5gcMsdzn5788ur4yaQmpiELz1//1oBAMC4XpRYrK0DLA2SMb/+dDls5xOv9Y2QNbl
h//jr+Tu14+xa29EHf6Oi6LfMmHYhoTVfgGVSFc6Ao0P6UG8FfDGZ2Onux703nzC4BhvtcjM73qn
S7+dVOorISBB8JqzLEu8IokfTqq6IgAIP8/ovPex4zLe5dR0RnUVFPT68Elc0QMx+dCi5hZxG0hT
jY61mWONzrL8R15A2LbQIJ70OqGABb5SZL5mRdPzqGZUZ2RvHetKPeGC825Vr+ovNGlVhLKNclx2
K9vzNjggo92yW9sKaXYNrja0A8NenQWfIebRs93kv+nP9y9U4fUnK9+V0dOYutkLBI3spbLTP65Q
uvNySBiq3OJ0zXzHCh+1dC65LXJKfN0fGM2HlsTGdVaH2aqSv4jpoaVWzb6CuCDxWvbqRmnlXdS9
c8Q/vDZgmjwUABAZGUJbYI3Zyq5Ffk8uZMQUG9eLh52upO4jCkHB1IUyh/hikYoA3IJL+Q57bAhp
UnW7smNy1jW7PqTdX+ufvdaUrNO5bXppXrNK+plDcI0K/mUV5tUOVizYnoMr7C8Xu+DKdsI3J2BO
SWQ0csaA9jRaybrKd9x61g/MyOuocfeGHrW3LJT96wwkah2amOj7o13mTPupTQnbLHt9U1eYB5qe
qX/ApPe99tS7qcyJFDoy9PJSmPkTnaJb3ja7YapZN3f7pK03CQ6lMp2OUovebRF8ahozIK1UDmUJ
HlT0V/APJMOgYR5TsWrwhgDl9nH13pMGuq+lPgjpea298t6ETxPFU0FM1nrKCG50YkCZpbi5YfbQ
9WPL7Qzw/A+YvgNf33fLBDlvjGZVeowlwmZlKPYFFaCsNzA33LHt+mqlHLMGktT0pBUTxJfq4AQb
PMNA9AfcZyPN8TRAKRV1D5QjzAco1Uu+xEk/K08oXlHs4T1J88leiT47GyNLA/US51CUSrfaJ7r9
VQOwJZjvuewrcNAOpgu3s3d1UvhwRa4A4u41FUkvmz5DCS/mZ95XrBasH5bxZA/F3o51RO6lzS2n
sbDS1uaAjsiRJJzYzSrvvJ/qdEGufqgz/RWp8XsbAzDA3OKXOeK5NvsRWuZd64Yj7e03kwFzXpwg
8jnH8dy3q33yPbc1tlpXEXfYo7aAwe099XIVtsW5UpyH7Xh3R1cO1FLmBD3qkxYMa+/QVWNJHXmg
C2fLGz4Pd6geBVlxXj88xyYlCnXEmxcwla+xsyv3nqHfVHfUpfFGOhPOhezYx9Vrz5wraILtCWja
b+J3jtzkR3htW+L1bmpClyoiBBbnE43qOP8omTgjrnruspopV8dK39V41PTqwU0pBQjF+qxNWgsm
2YpoxUDN1zxeaFfO0ueIcplTq29OQctYzsXA+fdFFUisMm6rVamavzA8A0v4KvIC3UuB6M1m9KGx
vFUKFgiDRJHPNLeXhGFksfgaVe+Qa/HWYgYIgmhDGgqhz4ONWouZTcKYmNriWGG1zVm3hxmALo/p
sKffe9IdLSANRBpBOU5xn4TB0f3sB/tAE0Cxp6fJy7+FObwBWTugglunZNsMo3nBsLitaIGHLa0v
a5q/zI1ntTvku3482nQmTPo+zQYY2j4fcTD3Krk8w0N1qK73ESUTAxt3+8JDhMTtgCyYTzq001qo
rFpjXYM4Mu3dLvnGArhNTYhegnedykKwQuEVyxPD+bQpI3vbtNmN2xxOJwNXRjsthsNZJJdMjR8O
l4tjE7ndurcm9D66gZy5mOVrUd73rbqyjOYwGN25rc2Dpin7Uk/Ojnth9XSwelmunRQt0Ci/Cjs3
Tpr+q1I+LZSC+0pjbGw6baPrCuSTn1LXvms3Ze2Et3LKfBSiT5YlCJEcMV123cmzsx90KxBZGiHC
/egy2OoL82wfBOUOwHjCChnFf6wMP6YWb5eO1oii8QfCI7h9XfGNHP1Q2dy0dYP20qE3biCIJoN+
FhpiAl051pujo9QIo4KrYHpp3fIbZZiGR4UsAL56+WO0xmODJaz0ypP1ExuRH1b9VePBhPMrzyKc
FNyXgyJRHp3LYqCloGxMWRJukvYfYz2hCS13BowgfDR3qwIBzkoPyUmygyAHaBH9QD4dw9DP++lq
B2aMlSzli4iOhbTOao0bwQl5SIA9iAERdsOL5fFnSLeyd39GU/RuhMl18qi8Dn8KZkpg9teyeUdW
0Z6KMPytB4GfDinpAVpIrNRwteCTQx4pBhttBNebpLTR1YCikNKYLF9dRcPIn2+na9WhCrdRSSAP
PhcgEHuAUrgCJRbq0D1pXf/FkgWhiSbhhgXlRkbJ3SyVY2+QQe6W+/lpo6bBh6bIjZtjjXHUt9HE
ceRQubMzshx4tuygCV9DPcUGpzQfnSCdwXlBrvVQB83za+OWdta3IbnyOmAJMKpXVZTi+2h+lFnw
SGymEIg4toYAm+4h+p90dExmLj4BwVwrFHH4+rOtjkda4WkHNHdF4eBQkOI9GV9mYP2y+wY7pXCe
Sgou2oDyDjbUh54NI5w4aIqFpHBlWvfB7H8gBqBaSOks0sXTaGofVnFmEeyusHSHuE/yvTFxNXUU
RWKa3U6ZXk3buiOM2JZFf0K4hn1dglCh0quXFAZhvXwnO9gKu4aZLfOq6lNx048H4C/iaBWNZRfy
Q6dTzY0weXC5bvaV4u+kVnbFnvrWFMWfKYjvLrEWKxYZzAQM+9VssDkXrbaqhdmsHHgORXyNVbqG
HevEpvS2zTBoe/g8m9FLnJ2VuTuWKcHGk/pVL2bem5VSa0x/F5F4VR3Q/kZEpYYJFU6aqxobMU6K
aWfb6pdahfCF9S1qw3WMXcZiMh7SrQjSla3om5D5p/xhQciyUCgaPYWUFGk0hIWxq7ealvld360x
JBgE5wAF9JVR3Yoh2olY+G1CsxVjVOqE2yROfaTDZuanfGzCB02gk40m2kQi27Z66qdNckitYJOb
lMTHtYhQ82s0w4kaFrTdU8uh4wFoWeSowCVSlmJHtTqdwPCYPGBFtUH9t416bYOFd2eYwq8zuW8d
Yyu6nG+KyEB9h9bV18pgFznfBWunGA20jSx6KPuDXqhnaUx+FL/yd59TIO80fHxVGcHDhg9GxuMI
43IE1Rr29i7QjB0UFkZM3Rf96A8uYtvY8auk9ImM3lbEF+s8zoS7Mcpxm5bDgcSkfYZzt6OMkSfa
o+Vv1wzTj9AH4GTbZLN7vVH2wkK+I14Karkjj48AbTpF4UOYdrT5Ke5IMgt5gpeGs+1TFrxDvKeX
sFVLE8FovA2ra0cXJOiTg1Sh6U/aIZgLDXgHQtwbLPP8jHw95AboLVQ04HyBtBtDPoGYX40w5cLu
/ViPDxVAnd6ukIh1O82RGzMZfSW21wUskaggeYoLfKQQ1VA1cOobkcm7oSbyzVG32Jv8Ee2FxVoZ
bO5GCIeiMFj/yt4OzbAHn+E3OoKK0t2VukkUs7sFollZ05zluDUJiU4osTjJNc7FdgKUUuo2KmNn
r7RgnBOdPzEmk/RSIJGiPI2hedqaKguwjLiwMGauHm870aP3UJ9diKzz+6WjbJ6UGBxnscaac8gU
DM/ZuKmU7JIGzoEFHJBkMNfW9BK2m9nKrRknVRr72YQ7q6a6zfzvcaJkT1NxbyL3i1pzl1blwQRq
kkqE+ZO1D8llZ4F+7JyMIMIY5NO6MPS9JFKm7EpWDOIUmvk57cxTWcX7EOcKiW0/S9ZWGhdvpI67
1rJ2djZsmDPOqdYjaWHC3aaKuonD6Cqo1UJ3OCiJunfJsKmVQ945G9X6mabjJq1q31KsY0qi4xC7
B+7fTa/uhdIc50zBlN+O+z9cnddy28q2Rb8IVUiN8MqcSQVLtl9QDjpo5By//g40zylX3RcUSe0t
UwTYWL3WnGOOlHXeKrH+joumJe12OVVnMTibBKMuQOLPpmguuJvD6udIDlPOebN0Y5vN2hYJOo4p
jehJwTn16/1i2KBHPgsIkSA8NVy1iB/UARflQStSBl09utkliTkGM3gs2XWRmyzDPTOun8w9bHgT
pb6FFONeHbsgpIAZ6rVFkuchdQKJFSAmjt1rLabXoel/MDTCYbOwE1Wo2jMtzxA7BeFotVleUpwi
TZaU34fhUHd0+VPU/ipTqGVSc54FOo+uTF1it8gKkziq8AfktFaNSmOvOwEnx6K2ioLaONUWUQhj
fjazX+j2MJUVZCb1U5CcRDr/xlw4/aRZr9096RcbQweCQD47fhN6AMdMamx02uF3ARQjDkfQ8v5N
umx64+UwmfxVeE2wvvpj+YMUtor13tcvOoCBi92Hn9VQWt8EbW2Eyt7GMMOYzMnuv9mNKjNIPbWR
Mi6F4p+20QiBIPD6e2pM78Kea8ZWqZ7vnPbKKJTgT/Up5GXNKRhJTaJg/Jsx4LiEo5NwDfkRuieW
NQwN2cWOpH4ip8vndtHRkcnknmJz3IGpnDYKS0OAgzywQG2tyh4feU5OB0gHCvAiytesPqTMGdAL
VJKPC6eE1v6SwIxgiVsOGSPLH6uw2zT4142bbp5Un0bqCVrVINmzBb+XGvsb3AjdHjOizVLBED+g
Zf/8XalJkE/mV2u2+BgP2jGgduCA4xgdds8wnqU6BWQDXpaMS40oxf8d8qGbsBSnY/KZDmziizZT
5uzkLcxgyEzdoQ3hadtWny43u4ZhNbCvjRZ03jrVJMXKklA0tNCbc527/vMNTT2luGxPgTF9yawU
txjjZe9hbVp6NvLY2gCXl3h2FeOoHqlDW7VYcJxmhAcB0G019ESk62l9NP26uz8/mLH2voT7zevI
vZ1sLaaS4WC/sKvvr2YaHqCRBGd1GKcqOOdu9GuMyFtqjYV+FC0/NW86zbybcBCfqENrs0wwezmp
Z9UiYCpz52bjOT2YYDqeYKISXSfM7fBXm5qVtXl5ki/kZPyofLfgfh3JqzHrGsOwxGbvxL9Uq3/0
31t6Pvc6PYETOoY79RP1ngh6eQHrFtHPYMzz6CeqjrBsPOiv7XTDUPvVe259mAZrmZTqqOVBAKKQ
9HVt6yBHvCl8WFWlr/Uo+6N65oT2H1lVA46+dsQwaFWbemFi9bb9rebDOUTR5F96p/qbmVO+V8/U
QRjEgG/UQyzl1UYv6nXnTVgD4tL6hIxJDP1o7j0R9i+2+TLUo3nzBaNWYET9BZU+GwqzrHBahmSR
0cZXr/Pej3qAVXCkbW1M8XSXfY0EFX37PzIP1ya7WBMhIu4GbLyOWe+mgOxu/O42CqLlMNghM4o2
Fii9kMHgGg7ajaxMi5xgXAvqUA1YFUzUpZssJrjVMCzWgKCiF57NbbxxALzAvKoF5UwTvRZJ+J7k
8l1r5Y4oIfPQ0wvfI7/Ff1kuTJ9l8akTxFduTx9O1zW+qNpI6hW/G4VOfwz8nsGPPx5oMUTf6ow1
2Eb79IwJSsRcY92hPdTx4TyYisY7G/IXkRH88VGAlt6Lf0fLmZ6NiAxq1tgbhu19WRjZaz4jGij7
UMPdQO6yFZB56HVEky29XHOM7SvTG+tq6+PfxYFP32x4ly1GVIdS/dANcARq06WxXKqr8puTBuaO
AREtfHh2U2MN+1LrgpZEXhYMfFTeqZAfgbQ9hO/xK6TPU2fM0ymCf8rNNs/Qz8f+KeiTe8SGnYgE
DL/WchiqkG12XJnzSpA4uSH9FsvpUtn4eg6roMD1Pc78I1YisalHkfHMaR0ym2k/YqLGkmdzAdt4
+RpZjhz3ht+xeXPLNZI69/wkZDlmSgxw3bHnqHP6avoQvDed02LinUbExBHstyXCqpt659BG2aeP
QFlfeHiWyRi2t+P0w5LejQ5T7czRFZt0dc25yK8Ntqtz0iJNaQq9uNJzsTY2DdVV5peXSoLLIxRM
3y86ukvZ7ZKoNWmtIDl1JV9V26pbekTmKLf4DXzsFWnGKUf+d3IqzVv2+NWfZtNZ6B9cxQDyEgT/
Xm3/p5rAp5BiG9/jNgQ9Vc/uPe1G/vSMj22v53Z+LpvS/9Z5C/KfHHOXLVJokdVnupZ+aBFAbgYf
WJQvACLXfWqhNXW8vW4Y7Tof8arGLVE2eDcefFwxvTeUwVryiCAczmFz9+3mJdRFd0KyBWc5sdHL
LU9zbtFXkxaZSwWkl49pGN3j8o5BWsuplojR4B+YlU1f0orfuN2gtmtarWDm1Lh7b1OYhXvsEiRt
KgLZWsKQM2ozFNEeXve0DU8JVJ4B1MUZmuXGYnu0dLa4SlLvl+cWX1PjN3t1Pro0LQ49vCxam7E8
gljsDnHDKTCRtzQBymR1FqVRM4RZmlNT/NsYWur45deFMTBEq5T9lauxXdV2UZ5MHbcHgof08jxZ
hNjkJ4jA5HgFw24cklOYeMFRqMRaguL77QQUYuWMy+x6rpA7Y/I9q0eN3zIWZOBomv2w0htN01d1
klWnorVOKqVKHcplTBdm0afdLVe2H8EO79u3AokZzv2cBmjlOS9RFlgrkXXtIUf4FTCXgfGXT0dX
Z4qoyhU79XFjMtJIKQbXiulp9IbNSHXau6kboy0r5JtROQmGSSCVpet8xbgUsbSB0xJMEJcaYXAC
72QPIZiw6TUojc9prOO7XpK27k1yucJ8QQ93ItM87A8KeOUVrvFTpw96I6GoIhrWlTuY0pexrpJT
15moq1ySSbH0omD0TNg/MoheW5u6khkF+m3cdXNyIPwR8Wv2UAcVrbxIFpZr1DejP6lhoCWw+m6P
9XO6VSl5l2oRfi6oOpESayNFL6LW0xFYn2YOyOqGenpez4Pwsz2Aazzf5kC2xFKnACf80locU1qj
W1d/OSBAzC9ur/WPgfDUvVoanhy20kFYhtrEekxZxJ9TwA2pzMJ+Bmdk2WQeE8DwpVc9FPYAIG8P
y2hZBrVS9FfDOehNndyMWpDfFWFZIvLNefVtF0hBJPJTHY/OaxAgDmCNe5CZQqPJq9KDkWbmLcQ6
hZ/Wtz7DqZNMt79XfDneekASmZ/UuzRF6i+Y92y7GDhHQpd1MyPj2xtT8mO0i+6ogrsS5tIHkkEm
/zeasPBNz4foxYkL5Idk20EaC1ddBhx6FWrSvAIKdM7TgMZkoTS4Ay1KxAOkAcSaf1Wv+UAGr2Oc
WodCindVvklgv2zGKawBFRxilhEyJaebOm11lKJFd2gLsq0v6lOWNMHNsSz3hl1vYaVKz/yeebp1
UCVMCKJHD2JSV2lR3XXKyp0d14iz7X6QWwGlHAs4A4o+p1X+3xdrOjwm2SAJABC1conllVoT3IIw
drwYlta8kiFC+JJEmsVIEOlKWpAJpCrvJfVmDDzj7DrvaglShy5y/PVYMQCLJjLG1hATjq1juqda
M+Q9aWqacS6NFDerkY7g2XyvxR8cPe22nxd1xhLUC9FPv/ZJshYRNTbE2GRlzUC9xWKMOqp/Rv0E
CHaGnPHUmdiyVhV0PG60VXAyIkZvY0kosK/pbzpY8rMZxfbDbY0vGTFCOAz2knfJFuOBhhiH/nhV
fDZKG3CMXtDsRWu+koUX7O0JQb2KOIbT1B3ZajjeZshinflhYR/pC72o4iMSWKl60c9bWYlTiC/u
Z1JoQNHdIX/JaHjs5okYTX0OBLWdxVRiWb7aYah3IdogPH9Vh2wJPs88IeTx/BDefpJWm4wCiNZT
lX50I87hqizchynQmpmjn3Of7BxgJ/BYvGADk1bCbBG/o0kWt5bRwhGb6B0hcHRTy4Ndyj/q5Mma
1m8r7XBHIeo/tOR7nRQMPh2K4TZtz0zlP4DZsIMIq4cwNfthkmw0A1JZWKYTLXmRqtjx5Q3nZmqc
K4AhIALpwzlDTper/1CUPTc2zpM5pHi4ovqc68G7tXzawH3X5E7dnCg0Hs5c/g7ZbV4c3U93lkS5
y8UBMWe5r6lD0ZJ62TZx9AzJTSLrhbCmbm+rjWPV78zCeLgxTtrn+RlrBNKZU78QW6LvhCFhvS6x
DjICiGe2aEdzlzCmnrsIVXn6UXQ4hoZqnsmn7j9qJ4jfwSnzn+skmwzYCHKS/3CTaC+h/COXt0qq
e3aScXnGAaHf7DnVNoY0gisqS7CQZEYQviHeRrfAWWWE16JvYsYdwvsIk+EFBcv8KmOxyUKiVVg0
ukJ/U5tgcsk9ujyZvhYlGkXURtNPRzdSGnNRfgYevyY6Idm49pB+hDap4MUH1a3xw8JAhUmFSZlW
H3wnEfTyvfoyOvU33fKL2wx48YAj7NOqsk8r8jfdQozUEGCu4niGfh0yU2/QAFzUjdarDO6eVvMS
LWubWuBwY5BqQDdhTWCocQ1z3zyMw0jTWzPTTUYpDNIz25G+eWgMvgVu0soNGvITtzwxYBTpf87o
EA6mQTIOeFeUfkGB8YhneVfLk4X1NoVBcPPillaZcB+j37rc4gIs/EWg/86kjftjyC5N29pv7Xuf
joSgZlX+cMt4nbSQasy3sQsL0H9Vce1Jz3z+j03mwnVdlsXMkQAdTE5FJWf9FlQuAkKvR6MH+WET
mtoPTe+hloTfpW5wwg18ORk4HoIao+DolIFxlJ6T89fKAK4XByNnKpdPaViCFnBR7QfJW5YL8Yp6
xnltigys0wg2Il/uXyhaT4FHBD2MnT9FFUXfPD/xHmVsHxBFR99iY1iqOko0boLM9qT4AM+5DMvF
D/Us90oLGqjXEHnAD4VBClZV0mvz7Rz3C6KjsMLB9G+l1THCY1QmxmSuvI1fz7870F6p9ZXK7rXo
UB2N5R974V9Td8DQYZhy6WfoNWxdsYZh5j6UE2Bj+nT08ama5YSNTAUKz4yDfCjqFfGsSAu7eMOw
uNuFQmqvPt9WVe+0Yf3Tn3zrtQGMsfWZsW3V09TMG7inTPkAOvn7yM8+SfF7VFk1XfleiPdx9n/H
U1Jfu6SU2wny9N6pPU4eTorzhFr4YLdkoAR9aJ1EP70jKcmYWrMzwvu6YIQiBuBhemmisdk6YY5d
Zu6Lfd1/q8e0vIAvOMOTqffJ0g6axB+WBO49KY6nLNTSW7QEPo1af6vJohFEMBy4ezP0EzTfRSTf
g1hkL0lqfRdDGaDkdcOjrrnTpyeZO3lMnQNzqtdiaUcGdmte6JGBW9X6gx1b5moOJtRwYuJ/IjvP
JEnFOKDTl/th6FMytJsv3rD3goEy21cyKbaRQPKqFvDQNfXfTGhduNQOdGi6wkiBddDdqZlVRxZn
moxTllxmbEJ7K25RKzflkpNgFjuT/tshM7WC/nTToBZBNQsQODqxGFaAIrLoRCk00jK4xyLO2J1h
S+1Q7Dh1ZH2iN8aNuhSKvReB0G/QATN2+SrK/pA2bf+Ykwygccc8hW2Vu661tDqaQ8xkJ7VunZRn
a6bGVteF4YAlVgnWQG639SzIPKWdjdBZvobyK3Zic1/oQb43+fDw74GngVAdrTNT/KcppuJcznl9
mJfAVDOfPuzWSl9yMDE7AzoP+B37PIbEeeQ0gO3Q5PYQgJPsggx1i2W/WKWboIeCbhdZ9i8Ki/pC
9FpzUY80Jyaat9bNtSu5bOIUY6O/2MoR3eKH1u/8v7PBrk8GoG9lOc83u73Y2ieUva03l+ZVFcKO
22PBo0NrLps2a9mOemMSQwKmH6S7+fytMSnPnkuHLfhQQ+hzzE7CT48uAqFMJrO0TP9SDUunqQ4d
/l76yRXzxpZ0mYEKpx0QugQOp6QR2n4Y4ULUwxxvyggQ0BhrxLSmVuOdsPB0qV99Am21TvC5HlYL
3FyBv4cFEp4ZZo2qffQI+cDl6SEhug2A1Le9ngXrXDSgaYpu2Bqt7NYD+5pmN5jkfaldhVW4xW7u
RIyScojPWpfHbLeZLNIZRSnMsjsmpB3zHfnqJv+PIsFbDZCxTKeQnF2y2IOPwrPh4utuvK+xoUWg
vre6b5DGPY3yjNDkvweSTiKmKuHvPCd/1YT29sjxq+BF6BPYkdQHUUYPO2dgtBEVKltVG7OJod9Q
gsKHRX9IBlyMvtHARIt77nBt+hpJB3QwiH11vx2z+i9S/Z6QMAONdGMH+y6E8C7qDm11DbsgJr54
nQUUdJtBKyQLa+Gtzdyq7yloEAYZtzTx/AsCVO5zZhnHzdYrUC4Q4NFQwbBg103RH8JuvLSauDBC
oOy2+tewct9rROPw8bxLj/9SbtgeC+SczsGu/iS2CyTTL/CEsmoayOFJ+hsz9rK6I+AQ9OYI0uNF
DiNzurp/ofb7VD0DB9/twR76Nw8x0MDZfVilN7wmprafyf74oIhfErgG9qx+B4J0OWCUJW/VcLDc
etbeTmPjXdCdOtlL+VbnxcGx/WJbzZg3DDN6I/anOlYtLlRsSu3zO8DVw9quW85a/UYrsYmymcyv
Z7vAHIvvadRTR4/5CNh3JqWKZRNcrTN85JV8lAx2T2aRwIKkzNsGsc4ko4zwFs7FOXXTX727AC6r
bJlkdsExEg3QLLN+jds2eoQ15qdlC1qmNP1aOgwrbahh03rYgStNY4rqsBEPtDA60W8wXoxW57Wy
vvoONmZYc2tV6PWF1x4dKP/1WIs3vL0oNiNrNXb5EuzW/PZz8gNq7BdNrw/rGHAFA9RyuDaWR3vI
tcUBWifjBlJtmY0EP4FY/pZUPobBiMQPi082m18pt9rVNM/WaYpG6xbG1sNuo+aUGLG3rWx2BjDe
EOcu5e5cdRdaxda3KtCcW5y+oDjuVlmbao90pl9TawhxjRIrT16SXGR2o3ZzknDjOeJbq/IbSex9
MzIz2Ui3j74nLptsgIHeyWtx+k4gQKVbFutnM0lmaMGFR7PKrDVCfwofYnMah0ffZ54t+25xceDK
mAfjD8PV7N3QtOLahcLbh1U+HImJ37bJnMKfkfkDKA5SkQjXdGvgmra5rwao9jyj+GnmWfT6/DcR
4m31woeDCt/3LGFN3Km/k28LKtEs8quqlI0kBRc5EsrYp5toRLyg6Vg51e6myOt2q1m6x/SGXqYb
aajx2JZt1NOms+9Jl/x1MkCdnqs513Zu2heklP/xj9VG69uCCjttP0xF/oZQhL3B/gQsDQpheQAK
msCJ+dImlnY1CsufkUcwFmqlA3mOHWP4213GCurrEGZVCn9hacxZRY7NIvHdb3mm/8QO6/xF/wIl
Snjv7tSIHbLJiRglWtnqUIPBhinpDqtnsmcHBvdzzgmcnEFWvGbpeOxCqjMRDN/V1WnIhClT7o17
tWYnbVNT2k7l8yncUfqUJXjsYuQPKjHs8Om8W3GwtTtM6ok3fPI741NMv2QXsF6eZBT/IpuiXRN2
YezksjcnutW/U/i3K+GLYg9vc25uth2xpyYdwc/ltWZPeq+siA6aM/6NS1OckYbKt8QvB+J0YNhq
2mvUyfoP7LBXrR/qPxMPhjiq100E4CQvQygfIT5zzWl3vjPTtRjnlSVa6xuDW/Ryjs5rWjsCbho2
Rse+DEmWaleIlp3fjO9+7Q2zcTZs+hPqER8hqS1R/rtiFaADgiLk38x4SPISCxYEIL0S42YSGZb/
mlwMGSq0n3xMQisYtYCUrxOUWHmCQ3ZpwanuWzyiylk19jxie8l6zOTEpRDr6Rw0MK/nqdVzMPeC
5vNE57zQ7Dfib7NtjR0VkatW0fAaXlWuaSkq0igRlR/iqcRiSaZdsEpc62wHY3aYsAtAUmc267B9
V1/NsqzzRavi46MT/QVmFDwybsHDpYQMbjjOubFMrGu6QdLu/64uNSiZG4q40otARRYBi5OdcpnD
Gl/jA4s2UVl27SqKx6/BYeVRu2dqRW/F3qrad4mR73QsPhvpvwHUsv5E7wiWxF8Ps1REioEwY2fv
JcJ+c+B7nM2yhRu97IihEBc7VOQ+HjfM3Ng1kKqqGRw4pqMRl19YP+t3XTfWzJK8F/WM280MtAE4
nno6N7T1AFjpW0RwPfBtmj/AiJoXrCPiIBza0s/4bsirDkSYzgJI5RAW8r97m3rEjB07gFoQRx3y
19KZUjsnKsr20g3l8yX1eoKIat12PXkMjuae/x2cpEQh31SflNWSP5hn6oed/kvMP1ThoucheHRf
i3EK2cFJ7VDxR0fnGiWo2qqCxMMjS52+MaEwX/KADLWkT/K3suhpxnMh2EfC/vq1Gnn9O0RJs0kl
4H+hU69B4V11uhl9LyuQB42OKZ3ITPs+NqbAvxD9wetnHKi1QUVZ1j5ovT7YaRgM2Zks5xpos4Tt
Ic2tdPR7As7xUx+85ghAcYNce0I37UG7asf6EcuxvffR498r6uV5wCpVjNwY6ez3GytijlYbbDmY
iCBqtoR9cIZO39mlbx98tFmbRLQgIlwEARY+ng2cHyiPRQxRrhuM7G68MEtteC+U2/XyqHar7O68
JbntXnMkgQNQjU2O8RjFC8pjmmT2VWrAbWLHmX8WDvVxKJrgZGmkc6lbg1JIkDeTcEtIs4r+jdtW
B4Od98GP3PoFh3S+G7Mw3nCpIWKJw3Y/px59kS6kbpABWKXlsq4LaW8c6Vg7uoTirbG5Zio7/O1/
U18VmygSY8dKHqJT7+VNy7PixRPluhAQ0dUds/WY8BYueDliRvBlDvFVG/z2xdCK6iNdAB70wcaG
ToAtLPFWCrp5QHqAfDm6YBBfjCXjw967mEnmAWMkk+ff06iEHktcgLGGvUSojvqKt2TVHFU3v+Kv
PsGQuoEyqy9NPJYXRP7zEO8J++RdEQ9D82TgpEuZGvRTu+auNm6uP/a/3EKnlG/922h1OMOXxaZb
Fp/OQQ3bNyXjs8ABuVo5eFVF4TLCFPErHi4IokSnqmdOFYDzDM9qqWrUr1gOKS1AvGxwJtUPyJoF
gsD08Wu0WJ7oLbSbtshjfi0w202OKZJVuydSwAswvIsc+5jXfnhmt2TaY9uqC+sVJjCNoHhGD14H
yXZsgMQ6c3dJBE2f1GU6N9O1orRgYGn0bPObpotvBbNL3J14g2EDUXYBmpB3M8jY8skGCja6z39t
8DSafxTtj8rmE1SZp/pU/kSlNJ7TWLTXoAtowyVIyWgOkK1V60tofPsRSlpJYX+LxyJ7100dIUQE
qZzdHtx/YdyjSI9fK5Qifja9dPGUHgh/Yvwdmaja2HZdC7eJT0boVFs/bMy7bfafcohxvGR9ee2y
5M1xrRkN4Gu8DHLoI1b3/I442udPpgeAwvv81EwtZVIB9/oyk/lqIuYSLZlPJMny2Qqr+uXieK+l
6dCdJc98jJHHW2aD07wsvi3txMINx3fGg/16aozfKETQi6iFakQiNCJa94C6VaTDVN0b9RWsxtk+
xn3wRZxh9NxhBoTpALFDlR9yc1GKr5A85YWwY1/ntgf8ljBO0CYPExn6p9xBvuC1cbS35yrkrdhv
/y24mJtlzYLoWP4zbrftLq+ZnoPgHK/PBT833ORljOfyaBKZuArSIj3aC8NA9axLTNbEBybRWr1m
Ln/yNDP2HAzh7VQHX8swlEltooauDBr6LLF16+j7uO6eYXRq40mtn2GbKglO1RHHDej9X42QpgQ4
FogdLmj3ysx+p4UGIb+j2RWgE1UBxfNMyHKVRe3WXnZNcyPNs3qUpt3MtIq4zIrpyqWnbRFZ7aEl
Np00AREZhx5pdJ6W92CZz6geC/+lxxQ+JpQKGmjArNxMbllRvqnrzgTMvgrDoVulS/QXG8sD34SB
HRbPAtkR7VECQVUikDDwin0SzR+6Wxc33Wpw9xRliZg8ScGRJQw0DMYWMRjYVaD0LC52TPWotPAL
B5a/JznEwV1a2gcv16kae3ErKnd+RZOwLc3pCtk4WsNJKT9r/P27wM4QywcZ4AQ3nwjkQ66hDpFj
GNDtZmvz7zWJE9m1p42aUiRH3WWJ1Wd48kagx2c4xtmmmTU6HEEdE8RGbqP6gXrqBzRJqImUgs+H
XMw6gIejFyccnbCHloPHKOn5SD11rOwHCAV//+/1QDrJOp61dD+1mNhxLJOf7gB8aLkN2QClznCf
2QWQTnAlA7VcTyL5SQBle1PfrOWZIDDv7FokqS8yqGlRYjmlz4qvAbDVRpnAhUcAhh0qPECDfG8n
kctNIBEsz7hToh5dvsOg7MKYhuDgJWipIWJmbYAixAuzrIG9OXzjK1UeQoaoSC/5F/cDNvudEh6S
lmpCNnaNalvldv0yGqcmiOy1+lVBwvQ5bBIEiG54d0ciRjif0ZR2H5gCyrOXewe1+3C9NzvuS+L3
yNttA+ss3DR8OG0nL0ie7VVZ2j00oSDGv0ZgWWkhPGjqDkZNkvztYxDKAG4EDFgYz8sYJAqxqADv
GI4dbfVzaeB/lbDNV5OohgO0zJwOJIe88I1TTzs988ZXtYwAonmN0TxH8DqvXhUw+QutBHJDVIQ7
V9dzAkq9iAghEzVrye6lpavWvkeJH5FHS9EaTmAUYt9Yj0FV/tB8fDAl18WEIvVaWv0+lKUHxvka
mrX/rnKh7ET/T7ckjbckpRyDukesbeftIXbsZC/MyHtt3cFOrrNNKTuOZXk1ba0Ec2G4P8cy/IT6
fFcXsdb6dyRDyWocroFMpu9enpvHeMYEOoSu/oN39YF+528deTjc/RCBItfGv0MaOwP+C5toNUkj
uYum71OUfqlT6VQFfdXUbg56FDh3TegpzL/KO4H+FmsaB9OZGQxuxA0IiuIlL+qFQ2TgpRw6otCo
a4jsqH4Tm53/6od3uoPGb0zybJ4TJ6FHFM83kUkgtGzHbmSrBAf13dItrANeQxKWeiqWyh2y2MsU
mEBkSERZ2cYg72NGAueqJ0XmnHLLrrTa3UtY4isIWdwx0/Lv8qABMfFgNYlWbpdUh4ac3DXZQkt8
MNF7RRQdGz3Uvrw/nh2jdxm0r+U1gfJm5dgiekPLfEi4R7zYgDSXzNgl1oCUhqDmC6hOZWcR0xDb
9n+o8HJwLV8hmKBV/ggkvfF1Go2UJKANNoUj/4xuJn4Eec49DkQA5Ix+/4wPa0R2rxwD93LLJ+2V
HfMjL9lFVQIPxsJRZciXeR64MsEZY4jShqsZLBKkcIAlyKTmhI4vAuox0rDJJEp6rRCneHC7U+lX
uJcAy/gmb7ISMUG1VfURmC0iBbykzEKSa8P37i7KIGAsbn2xLnSHqHCxeC1jwNQ0XCzhkq+THR/Z
SXk3zHT6RmhJ/trjYuwWvYG6uaq+RgnBaGuAH+L0a/VxtocXjcyf7rmbgehUpbH+MzAt7d5o1l0z
En9rejUzOXZmaTH1v8psyk36IW3+a8jEkvmji+KV9cF8VuEu0IiL4Qgy5IK/YRl/hDhTTtKiR0gJ
1r4gQ8yXL//8i4ykfJXZjN6iKPiPxMT8FozLjMLhlqxkPOwrlEB6xgd31bURC15D9tmE2o+Wt/VZ
eP60HRxYdSrhmHoZDwh3H1sUa5IlnPeArvfjuV2y+3h6eMyZQyRQk72CT+rs55DRrCcta0smGItQ
ESA4KmAstuS1I0RlhKQZpk/Y/Dr22VpVrGGrweunz74Nyz2kVbzx7Wiu1W2IRNWYWf7/Duom5SIj
02Vz1SpatFonh52hwQ5bmV7on59LOIyh6CkMhieMb24Co59U4XUaI7LiQpJlVLsCgBiicQsrydK8
UFMzxKA//aQU+6fK2MmKo68BATYkWBYmgMneiSKJZsH+209de8pIOF35gPFKxjHkjdiR2JG0zTYe
nOcD7hBWUwZlt+flDMIg2s8JyqY89sRHPaC1c3U5HdSmJ2PVXxUdNu2cFI2CNNoPHBjJWkYkHica
OTlIcEkIIhfLWCqOqgXm5qD2XjJv2ZFCcdrkVWysY6/pjmwbnJXv6RCzcx9LZ/jy3CbwlsjXo+P/
QN8SPuQvtbLGdVKeaKggQERh8hhmGWxSSFrE9szuCfkaC5+GUsDp8aPVStFVZcCdZ3JdV7pPy951
RPOKj9S7ByRuWGim+iUmlDHoTLptyYzAAzACQym2vpGC8JDsduFHuCSbZMOCn3JBxyHxouOkTgdG
Z3tfEFLylIL3Vb/V9KLd1XOjv8bLn8tcO6vRJzMHTdyLWW0qD+cp9oyzaKvkQpT0EWBrcBCG9aed
ZYUlb8TbTQegv+iSPdqrJ5NHGRk1YRMSUyxJOVZZeJd46tJrELU6e/Ck/BmRmJF6OVmkcvip/szF
yH8nQWeXtNW0fp5bxiF2OSOzlj2t4KW/207svb2StIog8r77rZ19j/X84NrkRVVBp2+en9BT/W37
KfgxT8OoaHfI/DR6UaPS5Zh5vVbDJHOZKKlH/++p3/LOCSz9CSAS1I8nYmwVppVv1QwvleQnuTbd
qn8KaW0JySVr8hj2Q3Ud2TaS52dWwDs8jcuAc6pFUtxNh1jnpeB3EuLIen/C6pIH5TYDurERBu5r
dzmUcffZVBX2cItwa/wK+YkhzZo2Ij4BfBzPEu3/3ZDHElDFtmv1eucaabfv80gcn5/I8y4xNtQS
y+dIrfDSiTo940W/atqYvIdT9ArsevochvJPxjTYl/1bsYwkqiFY3LmEzdhY8JQ8CKy6+whm/MuQ
akgLXiRDoR2EGEnTH0rg8c/9wRQ72VfEseVxVz+rxXlxaA2Wg3DIeihJsY78BH4PJpzBT7t1OQsb
rfGr2gDHfnVwBewM2BP3BMz93W6Fv84Ll10DrFMziOML+XvEIkdlQRwNwIbGxqKiyj7DIrEW4D3A
KOWN0UwMyaVX/zaTqgCD2jGZs/1mU8zJTDHWuVxemoeyoj4Oc5rte4GDy/XAEKcmMuNlAGU6CEwd
i+o1LiwN1xsQHdDEhIMV9iuU5PY2dfQGGmq3nIi4OMkwCusJkN3FR/Ns1ZehtxV6T/1GaN9lEg2Z
EeUvrQyy18DWxf9xdV7LbSvbFv0iVCGHV+aoQGW9oGzJRs4ZX39HN3yObp0XFkl7e0sk0L16rTnH
vAyCTT4wz/3XO4tqhkBdOYNAqSIicFm71lKjbWa+s2ddMo7jyNc2O7n1hK3D22SpMezWijuS4Txa
2VdMNnYNurQtGvXOwFEOUi6gY6bUVbuRfUnYBVufXYlhNaLvlWxM9vPVRR2QXOkyopqqPHT6Q8rx
XSg/GcSt6ZRv8579V6vKW1EZ+rWy0w9ibcoP5mgoemzUf02DfjRJKV4dt71x/FU/vfmK1l3ItgDf
yn3UjrvmxiKXpMNX4ePbDfKufMvGhrtay71Dkmv+eVm5ECy+R8n8YCuUXrQ7wErpyrntYEoDP0CZ
Nmb7kULTPhkD2SGcU6WNp+8x44yTnq37hBV81xhM2M1C1YlMxTPA4Pavo3RXz2qnRxJHCfWbwpdw
mLQT+vbkmivC96HVoDZFi73qbZPzxfhh5iP+c6+gDZehW17NEM3Rp1kgs+2k2Q5Yota2uKkVe5z2
M90VTNO8TJrsAhgZFzp4msuIYX5tMqtksMw00ga1+aD6EASI7ObfFCePTuyp7049E4vquDBuKoIy
uzn6YkYJQOS/b4FqOg/wNVG51Rn5IP5A/6oiMpXcreNy/gghCcU9U+DUgbIsZwrxjAaBSVtu0lov
ew9BHAPgBgJJDmYP41+p1O6lCaO/Hgv88+yTqVaDIy5Quz8XSXqiZAhO8u6PB0EN6YkU0GrnuUFb
fFpuEEQ9KO05doEBPM1F6jzLhghMCoLZoqchZK3USHYh0q6he26pMPDHaNjPrRk9KI7q3y9T69GM
rYO0SMzUfEAMTZMgHpW5ZK4GO1up46U94Ioewf80CjiGPC79ytBw3CMyhHtzHvxH+cDfd/YVIVBg
hgfsaXKu1nPdr6Slj3snWmWAb05e9lcOkpue7bnGHl71XC9D3p6AwDNdGod6W4nlM4m0p1AtkoMb
xznc0WYCTzodZblh4kmAs4sS04+Jyck91oGcY3ZKFQVebqiXLVm29OUDV1pFfjRFoSw3LFLOuCmZ
tC2d7VEZHvoAaheWZGsQRgQVlToO/XErbXfrnqMf45fuN+HQryqJz7OZ9Jd0zBryR4c9ZMXVIv2x
c3biHo/+VBKCCcXglSkdXicxO8SrZgAkK5jsiIlPMDvtqlHxfOECe89Du78OFbJbpSB12GwUShDA
2gAHxmlENh6FW1V8Z/KhSag16aVDxhHXu68Y0QNw2pBOGFMrAFGMnXwjXqXi5Kn1SnlR/CNLlHPC
COqc5DP54Gnjv5eap8AkF38q3ysLAn2dsvE2eR2mWN5hWJ+WXpXTg/Y11ZyULHFjISPD3J3jaSae
0z7FZXieSxO/x8C8M24R7BiTo+0bzY0hZ6OwWmZAVpYirXc0KDux+oX3cDkkKGla3eVpe5FrW+ps
EMORnKKTjJq3lH+9D30wStAtL0/bmENFC2tm04fKweoACf08QKfhgK5iTTGyvmJ7cfAnchIZDfcT
Hj/LQaBFnwhMumPTpkT7+pa2gaszFvvcOVr6s6f3029WxziI2QnoyHHk0kiJ89RkVzhtfHVIJtlQ
vE6/jWFjN+OvgK31IBUVP2Ot2UEaEnnI/f0WcLPqcV+j1erfGiI1ZnRrt4ay86kOMwJmY++w1J82
OUOY5vvgKjWxRtE8FQF7eiI8eRkAhuWAQdARrgMhovUCR9lWHdyNQe8ea33AH6dyovEKFLE+zcLV
3BvxvgRmL0eyvck30iWkds1FTGuWnvV21vXgHJmYt+SzUbycaKceQs84yPfx/vvEdbL5k1FuaHuU
UgNNEOgvZaE3F1nCFxk9bDtvNkttGxdzRagOxnj+CwcPnvcfS7Bob2vZUcn6belmCVJO+mmyvZab
DBziGXsf3w61O3RWMCRonOPC/lzujtTDTkpOgry55G0WmwYZzmnEqISP/ECRTnObTs46TwbjQoV8
zSK7Zko60okjx8+62vG7hoQD8zba4QAerAsg+ucMpoOCTH2rP0ZT/Qdzw7STJlusDoAdRPHQG0W8
lvP3MrK8+4g8D4bZerJWS+sJwnyEoxatqYwtaaHtXMiZv6PH1QUAb8BuI05VDirH5m3SIw/SyQHH
tMcZhG4ROXLgmmTPznbT39ityqPJHGRPvFO4Xo5QjUNwoeGPqzEdpnfW5DfPZaKZKjNZcCkpNmqf
2ZvZCfmtNaGOWvYB9NNPstSU2w7eUIpuChLbIHlXThjlvNGfrJ5wjXpgrA4L3a61+rGM9FeM5Mmx
mSv9OIwY1oKgye9lSwahWEX1Pl0NcHKfhonKSsnd8KlniriLa6sHgSC0HdmI0dVp+ufMAwzvmZwC
+6Z6CCyiKvlumqvvhiTkJBUMpcQptiiCmrWl9AUR5oA5CYRFoIflBKpe547Te0w+p/hmVizPjAo7
l+DMJiTcU+uPTdpPn4Eefnmxl12MPFnaxj+dYavtaarZfkUUK54tDtwz7O9nhGGHauzDKwwrZP9M
cNf1mJdvQDwBV+L62Y8OpF4cUai6VBMfCHwmt5lJU09i9vvCPQZKVT4k5ggfO8eT79XtjNoHv9W/
4y+NgJ2iav1+ttDAUX0wGXTrVZ7F7XOe6Rst1soTPo/soUg5ni813JTNfImMNnPDq/b2ZJYbv0l+
FQTewgFUsgfTNvjWopZC0VXIF26oxh3QAjcLngQFCa0KeSOZcVFtRiMnJg0DxHObNQSkM5gB40EL
I6iG78oAByF7gaVqv1cxpyAUAnO+Qze4VqAXXBoNGW+gd/3OslF6yJdFq5mIoeJVG1Hay6HsnBbO
o8ijl+dwdD6YJXXtTu7zcwLHmaEpugVO7hpBEanQybZhNm5YdSGOIR0hPKLftVUHyaGySKRugvhi
Cj1fZjbdQZsZ6W20YCNFdUNldfgFCuPSTCPCANFnj/SSKKD8U/GU4lCJVQfGoHOVQuBQLEdKBwMR
f+cv+b53gTdUw7hFN2hjGRCuf84C6Tp3rZORoUySHyhJYg0e5fpgIsf5V2FPwZMegMYOU/ycVTgp
1ylqESK1pIVeHWd04DI1nBzg7W9LktUucn4ux+lVMbVrh7MGmE0XoZoLdBopY3/USxMDopVaYLo0
kFziR5fjQbmSJk7zpubOsx1GzUXNupDhRoHR3BvbXWHb462Y1JJcsaD8GC3j37PlvdEMd6GuW4B2
5+mcU1Q5sYfDDMEIE6VPbvpgA/TSOQ8j4plADd6Xwm4s8kZkv42bkK3iQhZCv41C5g+NGEu4ZLTs
Yxa79Qj5k26bO9NT8TJjLTsWbh/MFDVhgArPfyMnKn3p0eQ7Zua+41oBwGKBQR7qxrhapP6ttCoL
noQcGppc+QueT3jPmER9DfANo4XUkTiO1bObxHjUS6AwNBjPrceYDlD2yi8I9/KELaoPa//E97dX
aNJfFZoQgDFaEC0losX/PpSR++9lgD5nh+RB36j0lQlRIxKpd2DgyQ1F6/xxS8MwX3vYz7ZVAikL
v/nsHJwAraQ0zLiAOFkEHHC7tX3DL1tn6pOcW8QBpnvUI5tOgwwrMhOvTdE56oYetwgjNzF6GV34
NOuBt1pM8Y2OhnKcaK7FBoDazH1C+DvQdY0oqDIPW+NQO90VavnoxMZeSUldS/NejAJg+O0rPELr
SQjNhsrzFm5HUddPGO4JWysrDtmCOcDZI7llI2IjJA7ePIDlpLUlHxphHp50G7uAcOPSr61w47bB
dmkNUcOewJpTCI+xhWPFQGYrX7pWMx1ejQilppSrI0lbVSaojuUs4YRDvXc5tvItDcW56vJPr7Kv
cgvue+834nHr2HIswtqZ7Phc0RWO4YDagJgjWRjJekg+czL29WF0+5XRtKtW/3Dp7H96tLK2k9JZ
x07NyHOJQAuSuFLvuGno9XhA2GZ8jgh2IZ5Mw5vccOWF7IROtiVDJlolhEgy09TNX6XLoTSeHwdD
P3PayJ7LaXYulpN92XUbXpmJh9vKtWBGGm0PADpdMzoKCInsWZQKgbLxCaOtUUhZDJLFfZ6XzW9F
cWlZiVe1W6GIT+Nu14HyxM7vc3AR7nHWsm1RWkepfGBeEr0aNKvWgQK3u3HRVXKCOM8kxCydoZRX
2G11WH6HBRZCB9Amu4M0H7cmiUW0XRPbde/a7o/sEcqHwgquMYlraArL7FioUXmO+7kGkdH/kkWj
ZxvNuRysL5+bcL2UoKy/DKlxpqwJZLbvaP9vSUYUPtKgAFvBDSaf/Tzo2MVJRsLapOST8dBCD1uT
CejuIiEMbjQG9jhwR5pd/ykrrbnVX4yZU/D4d/Dz6VGBG3OIXJXUpSZ/U/sedijn44thAYCZM604
t5HzMtS9fkozott9ndMN0t8PTEecMlXtOwzpiEcNYwqDILKjQ3T8LSDaTRF0TuzbpHBUES04IAyr
IJn5QsS0JVBpwUrXju2AWGNaoN76qSgeXM9cy1cZnaaLr+nlQa47dk4b3KwAKuFLvuMD389VqR9l
E2o06n+0APmyOy3XhobGTdpFKwIWNu1EB2qcuJW3vdelm8C1MI5GYUUGs1J+EO5gbjx2xmOfEUkc
eJh3ln0GNfzrz1mfiJ+iWkVm9d0jNdvXBoa0TA/+VMLZKh/CeFRPcgCJ1R5pEgTNuFZexrQPd50O
DLa1xu2gNe6jiiiYrkiZ/hMuF6qyUjzb+yjNiFZPVPofg6MetaIBh9dElxpa/Es3/lqmdyoihGK2
278N8HHVo22tlKVyJZIHubI22fdN9CoLOUjj4cEhk2lVDbaHYz851CaC1YrWFQwLWG5ZtpadO1ZP
GlQiVJszujewNncqSYJ5FoBSiNnFsi7dqgMaSjG6t8QpQ5JU5hFu4GyCPWgTtIaBmSBJkHdb5W5N
zfuIkqGE0zto23Gsx/2A9uwa+Jl3JWqaSSW4J6fSKww3dXBOEYJwKEePEujZcJRuDRZNMk4MGg8G
JYg3ZO/1UBovTlUelUC33yLHuQS+YX1jZ77kTUcuk+5s+iCuN2P2BnV6Y+Iju6riZwodECtW4jJ0
Ei8TtReap40cSnpti5QPe+XFVeYW7kQ6Hem/W5VdvNQGE75m6B50Esnwjdnu0pRpE1RHkUZXDdkq
FJ3/zKdld1wOqegJb8NQPRLLVYIS18AIKF65X84Qts6VFpGufqh03UD9JmzZHHlW0uRKvIVO8gqf
bBYijP83mKBtgX8uyR9606u3oUXW5nLJF8W8RzkKx0dI0iLLyO/smrn05BGzKNq/7MH8ugWmpaG+
hyAISoc4uLtULduDIxTF2TkwHPjKQlhsJwo7aIRRxhfqEItseVJLJjra6eDqW2CklJy1jv62r5jf
zAYE1tADckfCUtVzHIZuMAIoNvXavmh1e9JoPx2kXPlHvZxUKn0Z14zYJI044LP23c3y0SjDgMja
icmUD4fu7JWttlvKIHsCk8JUKj0UlghIGqccF53XKk+UMs36/81ySc4mjY8mC7ri4KyPmnkvHypr
QvGtwWyXL3u8XZltl5dJkkio8sjTiJ03fy6xO7eIRw+5+VCqurn/aUjIZyUWuZU2oSmTnV45M1A5
AVUj/z8pxxw522yXik+x1Xj98/fSBNaF72RHea2ECT96oxEBU4PRaXxk36aRJM+VYm/aiBqzYZOH
dkdzXKUT9yafJW1f4ykkwGgQhvBJ1VA6OobxIB+MHlRrmvu+9R5pabBRUjtleli+oQYGdWNqcXjp
oza8DIn5NwWJpW26VK3PKr6GtUe99UiGpfEsxx5uhT6HpeRcuWmxK6xcP8etiGigH0erRH+zwrB9
SZKII8sY6c9JMz53QoNIG6rfJsHAMYYQ+nDtKsD4iiaozm4Veu46S1wI5C7CW60MbsIPfsf4L3uO
81vegF7Pdb9/HwyUohPkreWZfI9Obb8axHvLMzXZDBr4YtiuMemxl2WKiqiVqE06ZByiY59jiN4T
fB/517q3zBW5ZWSYK0F3aUb3uYH0c2z1UIM0/h+nrXxmEdRKWYlaUCd9KQi7/qkhHPXBiqrllW3k
1ZqT0jQhc2GvQ/yRgCeVncO6wTY+6Uhw5BGoarlvGKH4G3mdmlNB2Sn+zqXQxlxJkakrd15cgcNs
UQghHP+jtk7+2qCq5ozUTUxDpz9aXsHdEhbyzofJ0c5U9lWP8RGeR0wraC43ZTK/zR56dgRy5U0N
kUeEMTGlDt0Opq4opZkKB7t6RN3mGAHzM7FEOI3x2crLg10fXNwMqXgVtUGDE4GqrSaFwGgYCEoJ
YBwgWJL7eGOY+SkH3Q+Zdy6yA8Y7rLRswSaAnKNhZrazYFGwfMFGMfT3drBKZueCzg2Jkr84Uc6w
JB10dzROy8cSdEwKqICnXVbBJtTaSt/NgVm5q9gyrbu6/MIPFDGJaaKHUjxrPIIl7GxlBZq+kyOc
CUjMSujgLobmG5s2RnDxt6p75I9WRXyqONiidySMRkqltBnWdez0+zQjP7aJQPL/UOVqZXTwW+A0
JG+TqUdw7EXOcD3FyTlHtkrjuOOnaubfzF3pKNXh+J4QjRCO8XFZARYyg46DnKIW6pmGzXsXdQAw
mfK9sIVNm6Jslbt+1Kx94rhbtknB20IpKx+yGL9IA8f9aNbvTcGJzxTNLjewyQ+WR0TqHE4mYUkI
dzF9Cg5fTSThOp3cbKP/d9IQJmGxnpPQ2ZeVjjG2skzI3dXI5KZ7CQ3tQ4md8cEe7G/WsBV/PD5x
LGQ4FxIK0xDdEijB+KQGs3kinOJW0rc4907/KIexlciTks+Sas9sAGcUdvPeVRH5/QeZFk1WuI5J
K1q6GeSwHop4sOChAGMa8oaCY5jhqScV1DBmxkKdpRtde5WvPLIF0UYLFROmT2M9eHkOG8yhfBUn
vrx1Ca8Iph1z2YdhcsqPyAxsspMITrJM1kmpeQ60HiYSMXNJlpBeIoctruN5F91wL8Bgik9bNcnm
CUBPV6YObp3+5jEQcExbrd90Gxv1QlmMlU/ZuWvo6YO1Utay0NYnK34oOvoNQ3eXd2HzXerNncqA
7V1zEei68VpOKks1KQ8VUz32WfrBY6yNG1+o9WMnMldablwrI6A1Y5pxCYhWb+6NzD2MrsWRL4i/
F+UJGC6YA3FzWuT2XvXVkb55N9bHSFHCyw9rDSzOcOEW8vbePD5R5zZE8xGqXlgFw6VGw2enBwHF
KaSaSXPIG+etn/cT/TJFXrWjWTRuLZ2IW4W2+cZFQvldtmpyZMI7HLQ4fSuC2b5FJA1t9S5F+kX9
4HO7Udo2uu9+0HOFu9tH7gc+XuRfNeXpFD81yTDvtRa4rs5wG8iMeyxmFAdarJ4Z5oOa78b2JjvB
MRww5k/riPnOdXZBCUQOxa9i8yWUKbWhowl4vDO+5iHkG4FE6bSyZ54LBxSDQ4D7rJ2fer7kh1Cz
t4Q2zE+hz1ulEAEFM+ZzwEA1220dXQLW88P/PBtGUgSGUpDG2lBl3IinqsOMfo5DwopTm0Zbo/bO
RZToTWV3f5n27mklkgKH1XBnjg6eSlB+b6qO9KbCA/E1eO7OiCPl08njCSIOV7M30U/uCg5VUweY
xdZs8zRgZVqhdKruO0u11tVQkL4ux8qzamJEFEqdVqMDFPqJdZAtg3B0nkvUe+ter7vjbNnD1QEk
N7TubyOnr8d9Zwaev0lgZp/DGg5tqeDAq3wU9mr2StLCezM4d24/fsnzQ1eQb53lk5ATUvQishAM
7prhKrffXTrBI//vstXZXFykVVRrVyMZo4398qmp+2YdK+jXFeTqcvCHPyI7Ds5vC1stkSW6eQoq
usCOnlvAP20D3AwoCjm8zNjlGbicMZDfXAquRZICJctCs932eyWEOVV6pboJhqH6MKlZGEq8qG5a
n+WSiUYpJlbN7bfhL89Bxy2b+AkIlW0ZIobFZ8SsxFSuhMH7yXqiObDr47baGAj4b5pptOjWC+0l
nzqk4kiP4ceVgU56eDya92ZN0zrvrWSVDCmmA/rPGDRoYtXpE5eEdcQb3DxMGxJmPOAN4KxT3P7M
S709sPCF2xgEcBW4U9/rKTEwaUdYk9hWkdn1r4MxGw9uZ0DTKBLsO/w3S9VLyhwphfxq8mXnVv0J
ydlZMSMfI7z9IZdP2bYwREpSVe1nIN8Y8KBg+RXnBMPUy11L5ODKNO1jMpUEUWgePUDR/pMFreVw
OuxoJsl5WaZp36NXWLvOd++kgjgqpneMHs5jGOHNFXCFfmo5f4TTMp+3xwaRTda+dEkg+tuRtnz2
fa39K0KjHr5xkI1vxUVeF4DU70vXyTcOtuxnXalvYdD/SWJLQCSpxSiGWjAP2Ret4G78nLMBJPDf
bPB3rd05rOXFXR2SEESHZ+U1CTiGTqsgwYtFtfPsp0EvHi1Zh0FYIEYpFKs+7Jco9++YzkZ4CgyM
MpGT7FNTObhPs5MogNnH5nusBiwtrcbMtkiMBGSU8mL13XOU6v7RbTtgYFYMM1vWGWbCmZqzBrp3
6hpUwdpVPmhd49MFTgkPTYL5u+Tfu5qpMxzDLvieuskiwY7jtxFM2Rfoc6vOiDuImKBoODKAkQYI
kN0sP9SG/gcxU3f38758ibn3JVcSYCJCOiUfzGR+nQpTWd7y7dZYly35VMGQpyRa5+nODFq65INi
RXtgAKj+6XiGTgHEnYJDjtjCX8Ten7LIpZclKz+qeutiJhaNUsiMQfFukAC2F/22wbZaUOam4Mrx
bAAHcaT4xGyN+YxADDQyddvjao0gU+Tdbz1LuGwKLTjo0/S+nHvlpl2YRrEJgumt0J3qNxmPsujR
SpP4iHmCgS4O9U0IXMNuAHqRHaLvuPzaxaT/c3iLY8ffNU1+reaxPNu5c8agfuw7IJCaQpMIXgBT
tF4henFgmcdyR4+jrtJi45XhDXV/fVVF491Es6UlNE56NzBYZnTyAXL7u03GD/YO7DIebF1506lW
NF81cl2gMKOBE0UNUe3nBE0eX73QvnuAmxLvb8P4TUx12psH+QRFengw3FgRITPxs1JFD2pYj9ja
GqQDqjJdelI7V7Li6Hu0t6Di6FB1VL34w7Ij47ZiTbdb2+W6pm5sj/YTuJx4rU6KtY+dbLogxdrY
cBPuUJC8ctJELBuIoEwOvwinsHUcILVVa9WmLO4a68OshkEs80RKOCrtc+lgVAe9vStUTOytRno4
C9sTAnHGYmVGl1JgFVyszyuO9++oRTHi9/cT2U/EkYGRBYfnbgnQGZ+K3lsGaxgVjjEBnUe859EG
qp0tFC0FdBGUsrOpYLiemIhYXnDX0zo8GlXN3jo42gFfeXBY5L40rQ7dRK6e3KKimVOgBpT1kMLS
hZmapLcunx+NTsfol2Lqi3P9Xqc7fmZUjC/FIlEs0ezfTaRHOOjYueQgbvBV/dya6Xmoze2iaBpK
Ojh9ZI13uVbbG99GHVsSzyELvKh215U9tq9+mp70sHT23lBOG1mgc/5cDwYWdK6vb1cbr3luzN+0
fYvfTWD8bRm8neUUA0mHcSpHu1gpRIOtmmj48jrBuNHLx4p2/VUKDn2wzcgp2vEh1khylwOAMQdM
pCGY3JgGbNWwLQ4+F580v7gYP06wCaB3GPYAnjs2doF4lqvcw1IynqKxXXee4x1GK40ec5tOljg0
oex+lqykmvFFbuXpGbyctVKTyCTYyUqPUW2Wh7R0iP2piVJdGjSUGetCMwnAKdRsJ/fcKUaxjYfH
hBAQqCxIsb1RG7ynboRwIMiAZRJe/cDeE+LPVvuT9GOhckRnFkGRN11nD8c4/N3H6ozqfWj2k9+z
+Dt694c14d4pC8RiYZ5vMwUS588igPQU2cs8+5sCM8/WJRnjEBmQ4rEkTJ8TvTfTwnOENkPfJlyt
19yry5XV0/LmOo2Pam+0Kx9x20HHXsRMSWBwB8TlFcUztXnIqQLAkJTPFXbQnBch7IRmvmsJH6N5
ZN4ajiCcENvPeWJNWKs+0vMawv+eq5UzjRLS+EC5c0lFAGBIbtzFrlImGCNZXeKV4cOqsh3S7TET
PRRGE/6e2t5dYSVrT14xXxdnepB9ArrAT0um0T9pdp3o91lNFuHoTCc9IQTOkIIpZRirJyU2dNR4
dfewoHVl70JDVF7jZd4bfdbR1NfSJ+zcj0Wukb1U60+d2VIMCevEAGQ5Fjwbzisqd27B7yJfigf5
rANTtY0UNHZhriWPSm64K36D+Dtrf+tNFZ7ZPBBUCBz7lPrJxam7GvuGUHQRj/NqoRfeRoYaLB+v
kQfr5dOtPH+8C/y7qmc8ERflADgcoYrWj6gVi/glD1VwGRBvtKBHUyLGEZI4ieaQ4jMgi0gY9uuQ
8XNUjs6ihWQWXJz6vH2X36WmVSIMGuHjyuH+PwTszngeOFPN7mwPmxjBN5cbTmj2xfXynokesUaK
cm8D0ZCA+PRIm9Xf9WUZPg+pka0mP/5DRl703Hcq3WcV4f62CsLP5fhHhK+/5d86mEWi4T9iRtwH
A44eebpS7AvWFhCbA7E8Ts+dvo7Val+2pO01lu6facPkz0BXiVb3sSDmUXwJOzLMdKy7DFOq6UwM
wz16qpkpFDjsf67qjojWufSME+0KPMYm7X23Tf7piBMt2TdithngVNtYxH+tZbts6ZlB5wIAwhhZ
x0PYKUG2auu4JWiQByXO/AsivoMttGbyrTmev4EiaEizknu5nTFtjR/kqxSS7DJ2Q+UzLHPNMggY
PIsIDGn0qAqmoXk6FdwGWAetjm5q3PjqTY6TVDv4Y4RKdKj9wr5Ls0DH8MUvmtn9k+cgNtf7Vzcx
vDupjWVJ8O7TfngrS9y2mHy91aJno3tkXRrl4vvlvAiq/7Xkvbk7F6gl6FHO6VdbantGX+lVGf3u
0vfWbSRd5Y8JJcdv+2fucGQSVf8BuSjfzwOErjDJ90o9sinw7a70QU8ep9KeyNKyD3J7lQ9DFKOo
KXF9JsWvqdXqlSwjEByhupR66pirTIpS1RQ7PHm77rCuW7R3Uu7Ad8j8lNJvFUYaFDHR5JQP8kvU
NHqApapV5MXhp+4jDeCM5CikHZo4CdSVD/roYUePi4/BTGCuCmmNg4jiLsQA5SCa3ShqhtUpjuD+
K1G0G3O6Q9KwC6WOnBN5FHfUuNrQo4uS6bRM2mgRExeDzLqACLQIQcI2xTsMaJ5TlUBvCyy5fHCI
t4JiTjuwL9u/gSD9xGGskNA2TTtPkH6Kuf0KjY1VWA3ODsT7FkDjrcNeCHLNDbduRUcoa8F5wEzk
B6095xJZZM+1Zc5RPkii33Mzv1T7IGnSX0XXfDGEKH/NfnnXeX+ktmRoo/RsZpEADXraJXYCzjOK
h4l4EfiUU74x8KicAyWzrsqLlCjIBylpIfAUcatD9F0BXncTT4H7SLMeqzE531jC2NtRRT8RVTmz
U0zc7oV3LsY0IuVavZCtYr5WafA12MG9EbntRaWNfYzm8VvKzeV5LSQubaWjZThK0UhjFDammq7f
1LDqpX4JwYK/j4EqrSIniH8HBM0i6RUQGzhjVYo0wuo2iU2SpaHMlyFOjIegV2eMONkXSkXrXATZ
Vbo65uwmG8gJYz3Vf2NxnfZNa6oXzWFXLI0sX/qYmk9STWLRE5f9AQ/NDPIB4VIdc1BUrL0NpJ+N
rPaNpFT3xZ52/vSk6w44tMi5dVl/6EovuGmV5p+GLsygIRXR1vCmmouLCJBs4BQXTMMvxP5gZpTq
15gE53ioQCuIiX0xWRpxkFT4smjK6dauUNG3iKeIi1p0ZXrp3uRcxjQx3kAIYjhrlSsNtfcl6OYU
L7hQ5DQ4K/LENC8lnZK9G1c4VeQgJVDbs9729HjBZJARlUaHfKjsNS0jjbiy0TqNM3lkmB2ADWQs
W9WE8B4FnQgCmuLHmSEbTu/GOTYiaKPyMLev5NNABM1kvUknJyOeaKVm8W82Fno9xBbVPqlCLA3K
q2l2HN0HeovyZeTyCTtEKdqiFqdiQDt+kb8gQqfv1J/ibY/aa7HemYIut3REya7uN4NFzJWjTve+
b4rfKIx9wpCBjsnaItWAU08V2j4oZG6mXQKlAQGph8YODW+ylfVoS1SqD7po5dFeP8jLsRhptiz/
l9mpta1LXq7oUMdK4j9qMxJo27a/MjIkHkNlboR1w9uQtOdt+yaZ+dwN9H5VeT+lBVYZcz5EiL8O
jacWYP0IvAp0FGdej4tQPrjoYpdnP+854k+TAVNGCUlq8/MH4KsO5DSe23Eq8ArYt0FqB6KUOkC8
lOsxUEyDIFqbxRHr/B3QvsLFT85SX7vGr97IlZsGN2qVayrDRit7gCwFAjSjVlFsi1p1xH9ciMyf
PFYRYkTVyyzOr4iVVIEfRagvXmocFmo3runmVhMdZUJ3oIeug440BX0uvyjHh12QNckrSrkEKGIC
dKDQFQZbIMWn3XCwp7r6ToTGRUNHs0K/uYMUZ73nOvxE2dRxuqzezSkilXIyUdRSWRzCtp1fUty0
X33b0krxPaytGJ3iUGtucx8xVAaNftJRxq9DnbG6RwYChiwbRSTF1bUaT7JTCJxavxSZ/SrbmX7T
fBe+44g0KqZnZe8/FC5bWV9zsjDH2jlmU0aIEf270A2APMzW+AAZsjo1UZKuFAMKPa2YxyTj4wV/
c9RafcVQrf+wVJDZ/lT3KGcB3MkVhILRuPhohR47eIqrumtdDtKMQeXS1BaMqtIkvP3MeMqBLWdQ
knEX2Ml4tUIUP72eLIImkaByr0IhNduxQ7bsjfu5c14qV+n2i+0Pj/u1R8B7P5jlOS1r/0k+gNe5
IT0O7+QrBZYAuElASK0XK08VuJV/qk47jruV1jrOY4n1XUm98iPDY/PvXizAhjbEdVVsU8GA9pFL
RyEvSew7NQPI2AXFpQHM26R4+z7HCmRjS6h11jm7/8Et1C1CzEU8BlbhMwbv9awTBNyY6vRvVcpI
ef3RM8hndAKqwrtYFjEragy5Puii+qnRYOzVE6KcutKrp9jDilx6yrPqmu4tgyUp9HBVRYajiYlm
aQsj+Gx2PdXphgAyQZRttf0cxYe50b3PQAGLyHE7X5V6PQD8FI7OOormXV2hSSCuEHu1WjkYuVXt
kOV5x4nJzxlo5+He67zxzqVBifo7os4SXrE5F1Fb5GCl5tDOq4h7cWXUTbrPQwS3GbUxAiFhN6J1
N6C1CKcVaOjyHikLNSVwYwk8Hh2mwF2D4wulaZGvpy+zrKdb6o83gmueFiFbRxpwWQ03AA5EpA2M
qElkvtk0uh6Vlt7V0ptPzJaUad9qz2qQv+qKS2fFcvJ1NqB3c7LA3IacFx9hIweQyP6PsfNachvL
tu2vVNTzRR94c+JUR1x6n0ynlPSCSJmC9x5ff8fezKosqav73AcxCBAARSYI7L3WnGMqhLC6bUaG
Fu93Cp361ZrqfCuXVE+lgpOlVGDlck9w4qqDlrmkRjed5MsmtnJLyOKnkzM71jaitxln2a6MzF0/
74mIBC+tebq7mf06Wclhc9coqzC3NqC94WrpU7AKwcvuE4+op8m4c3raHsx40+rY4XmTs2PZ7X5/
kOsG6AiguesHub4QnYKmnJWD3jDvSjtaLJXbJ+vGpBOwCDsbW78H7fS2nMXD17FJfvdz0tpuIyL+
l0+20+mHsLDrQ15V4YlkD+YzXWniEDeiVWN0H7jc6Y+WnXyu8Z8tMmxzJynINwyU9fEfxEErpIpl
zwBshSVWt9xvhT6T0E0TYxX6BoRdBolPt8FpX3KWzr69Ve0M4Deu7IPhG80lxRyyAkoUEs+kdmQs
BtZqRtZ6jLqU4N2ELNRb4SNQaibsemIvuJV/7bz+01SlydoyfA9gbXsJiPJ6dObI3Q4qGQOEAB8C
TbNfCPLYx2ZmnAdwLO9GFlWBKz1mD4PI8php6fGvvNByxIcixxR+jJXVxTBlCaOnp4Ai1TXkGFJX
FBBGN0bG0kxLQrpc54VbpnJjCr7rcxAfc5vo5gwZg/jVOB1pK2YA39V2qm/Q4Bj+mMqsLyWw6LZN
C9IQM1m5HiqQ2DQUjBfDCfFZBM6mdQ3jLq1OUB8WMNxjBsckq7WL3ii70+2pCpNyoe0DlxnXTQGg
25nP31V0elXc4LLf6veKc6AcAyKWAqJjKN7Gc6nkyJAUD5rerkki+7Zoi8wUWLY4vrHqrp0s/pS2
aCO3BiSenYRGImilpi5zXKzKeHSVSTmN0Boe4D98qaXxQaSaY2fYO2O/vIlQyUmYifdFhEebAfUT
gW7lJlaZD9FaZZTSjuFSmsx0I8AzJJ/GpbLqCPe6TD3ocfDmQEyluNj/fCtY1TVRIjB/7vyxB6Bj
BsUD0rbiQs1wL5dmsSoOONsCvzgWVv895B7cmpT8xMyudMp0UWmjzn/HpltZkoWS9aEFZQu/BqEm
8sF3sY4TY2Wt39dRk05Ip8Ab0rtWseoQiO0aagTr2zysCugqDhZSzUoDPVUkn6Wjb6hSe9k44Ltz
hELnPJtxNCApfs4Rf8R2eB21u9tdFJ3INtGT8TKPHV33KksvSQxwnq/poE2tu8nnOTtYqP32BonP
0keLLIJ8RgDz0E7EtXmKlWhLQDadUtNz7zwDAWboBZyYws+ap/BHPMs3D+ZscZlWG4oAQu8aBsq8
shIC4Dgzvpk+WSTyLEL6c0y7xl4X/kgOrfAMa4XI4LbTDrdzguw3172DrjFBM2uvIbM1UdcCj0pp
TEOXJJ4Vs3mKs1JbpyXUDGrT+hXxL1hCYI2Lid7spyjPrpkzbuXvqogmHSWyUNepPjMFZB7cLuHC
xMrwZNiZeh8F1J44lWct+UwgpbMKJxsMvfFNCqoRcW26ChNeaQQGfDRBWBjN4Ro7WE4kkNvzMOrG
yiltcD7ffqP8MbqFHOn7xFAf7Yks7GrMSM6mFttbUfQlHltUoMmGXIq7AAjI9ibPr1NMZflwGd3a
O9PILy6Aai+AP4urQsF7/f5MGVoE9CYEq5usxdPp03pdRQh4aajb0SZbVIq6Kh0d7+0ClaYig94O
rZPbOXAuPcM+TMyarha6NDoy1kPsFe2VknB79QGF7FOudQuHwZ5UdDjAu3bobZx1XrTjbbBHQROM
8OxFxLyoRPRa1jfwcdxxhs6/dkbxpMSVxYQ+m3aFOn8EbFBtKoRaJOjmwdr1uaQoGhAKid/zmwxh
nAc5pczyTZDiiCez7+LN8UswRMo9xuZsG5bqdDE0aMNYCL442F4XCJw5WXFq4JfkctZjYZ7Cq1ol
37hRIVSwJusJ5PqwpPibwtBWrKdhYbzaRf4sm/KW6rZbrpX+tq0arpTwxXcZXaTNrcKDDJ3eTert
4G2On7TIfGzsskzIVUWfUkUUBtG/J/lMnpI2Kmsoh+MRaDVcn7m5y4LPFGPqrewoePojfjHoaDrz
DlnedUiMac2erlrdG+ea8Qo5rvw8jzpygOptahM4we+5m2V3BUY/e9AIOMTghWfaHKKbScTlJ+rV
wSbrPOvcgka4L01okzCAP9wuJ1FAwomwUciTeqgQDdC0qnaVS0AhilWD3cPhSGxJtkxEhsHA9Ios
5emhNBR6JaIDqdEZP7R8h4TJMBunCZFuPbtJ8MN47TEaKuQNvUMpfYbRxAkQbwdoj+hAiVUORaA9
E6tQIQ+6q69BpHxyheImpzG2ceag3CVxxsx6mPujnIJVX0owZEtPXIm57liPSoJsRatNj9yTiizn
WadfaXf1Uk8xzDTF3GH2TfEcu+3QnGk1N1CKckoHxl4uyNXMBrVN1QP5c0TdQ7bsNU1BfotNWK6K
jOp+nDE4jaRH7FsfSoRtHfMc9qRdopwdhALw/UEHVLag9ZZtTVPIeaBW7GXJLgMLtmmqwVgGhEos
kIaRX+aX/h3Dsu4UttmGtrhGNqlurSyfxFBVFMASkT/RglNFuApKoJ8JOSURa3NTG5saIqjJ/aza
0bC73a3J7cGc699ZoQrpkHnySr47MTloDeSvSpaIFAvVm8QY5DrBPlU7abBAi6eiq4aA75fEZukL
fTNG1HGw1OzZZLgfAHH1iBhljoFDqzdU+w8sjQkGAgeMjpndesoLLrPy5KK0JcjCCBuJTZqWXKXT
e3N0H6hWKE9ibMmQdFEKhg1xoiX1VD670o/lnXxWzQiPzGHbJlp98/ZIg08LuQO2dvXxhn1lUB4z
6C+nj3qCpoySxwbEoHYNIFws2HP6GmLEvNXp+aNUY/hYzp2yIQlzgTV8Vgx+v/R0HoOgZzg9njA/
jPdtoPlYq2fO+UKEZhOHJL8yzyXzTsI46EmT6QgXBc5nH2xH4QV18LTsuSowXJr8bCF4EweVwXuf
NsrlNtoYKS+O+Cz6lqBPCY6RDxp8+g08LNwwjWofOkUDBTDZ4aeqLhEDVN6byDxrwvouS9VpBVrO
WVMq3qMZhtHXAT8ADpAydVEIPBGrHC/q6DeIZpwyGv21yPhxoMCN9iCHoI9QZi9DkpOpY51l5T20
gB/cTq9IsScBKs5X86japLBCMaBUBWbBo7R9JtVZBHgxyK8Ptt3/fquFaYrpbdITtBp1AfIUzqvf
xd+tvNYXbeuaF1yQ5sXwS2LbRmIRpcnRMdMvidbG6D4Hn6n/8EWDDPyQE5ESLLDiTEhkqR/nFVkM
WjTDuCkQ3GsdfiTpYjOU/s0QTAsN/pXhvfGn/J7bCxCopazeEozKaAxp7VYy4Sbb9ijP5QW1WK7Y
4IMjhGZ9vpW9csZbQC3lL0Zh3HQ7QiLinvqKpo2LR5m5i+5eNQX8olTvSP4tjMfnUFTvVXJQbuyU
rEYaOLqErNX99FQZjiAkJi6pcHKeIDS602ygipJd/Ymy/SWeGb4NEICLwr2T/RO7RnIa2TFCCNFT
iZz+IWfyddRaV99WnqkvWB2tYobrySYm43eZedqTUVn+uTW67IlwRcDj3vDQw0vDbUIPX8q4ZqZZ
pAbN1yZuGVw22bjz1Sm+BIn5IC+HuourgioJuBsxxukUlcxS8nZXPhP0M6mBHb+5e8Z+ziYsbe2Y
4tA5UiXArCK/PTxKO13EKHlMGrhAaFBQS/3oKlW5QDJYi2g7Ov3F8Do2BMLzc7nKEnEDGBhXJgCa
Slkno1VgNairQ6T1jKuJZyAgqQcV6DbGwxikA9Kv/uyEOH19U8dUPWQYWG4qU68Y74gKUALNueo+
womOUPdDFBfQwvv0ojrwe2rdmOlBj8VKUX5XEH4RA2d9uV0xWihJ4q+ebNquDE7MN3dTYAb7waIR
JlM0SBXvbwquRKhU+IbNW/yyr3zt6O0/17VzRvbc3QfurD5X3gefOtL+9vcn6tvf3sq6/ZDu5HVX
A9R5JBo5XNWOY6/ktVcGfPflcJSFIBvf6qIfPhV6Gm68yG4OsxrAIQHXt1Qo+j9APgKFkuXOSi56
I+nstMwrvssYgLX4W8ppI1ySaZsxKDqnyxL/7Cf0wtG+RIOztnwje1TnGYyOpxPgYbkr2WjACLxH
QY3duMzhNkGGX9rCmV3P5riXjDNtVgH5JPVTN9pQNUaaeJFbv8yVZpwnRkFIQS8WOpAtJOVxIRfl
g2IC34sRQ+jpNO0dcFfbsHKnDRheEBrVlC2KUou/2UwHg6kdPqmkH9HFuMsnYqRHMVDtxYNjx+NB
L/uXSAxg5zz0Tz3+DetPw5T0T5lORK8SUWNU5uk9zYtXWe7T5laA270TRUJ7l6uDs4toE27ygtzv
esJZEjnzg2OU3GfAkkiHkV06d5HGHHf2mAbL2rpqjkR3yvtem1DjtCe4n23FXQLKxyL4RJ3Vsxd2
qEYifwXWH8rKl2wEV1ZBzt7oEYJ8QkED0zYvBfWMTUPFWiiZy2VUK6eC+vi3risex9ADMlZG0P9N
Im4yHQ5VhOcg8vPy0oYBJS3DtU+ervsPEDAfSI7Kvmpz8RKtbr18QmNwZBafPKTz9yj3jIse2dOi
FLlvs2r1SzA5n+NgqlayS+8q2OdbI3hoG068VJtfMRWWqzF0CWodU311uyXrWuSvZWcy6Umo6CJ0
XaJP6U3GeAc9dlGTxLOshKOOfPBs38rFYHwxQqrEk7g+pQCQscB2yjYw4wHzWL2X1t8En++iyrz5
oszlmgzkT1mBS5S0oM8zyueojR7Urr8DWKMj82PgYdO2FSFUwTlr6DaSuN1sZLBCbySkkgcZsCkP
eD+9Eu0YdnG5c8zi2NuBvjcrfLCC+lWlQJ5IZdEP1jQvbNs0fk/i+l5qZOGEwLXMHW+fOzYor1RX
7zBmkzOHjTThWruTUS95DfC8DXN1g7xYWxgEoi40qR0gub3cFk5AJmJZcbuf5nXd9PZmiIyVHCdX
JgVqkOUW6iUqZeBwnz1oGwtbySq6Ox0jkwAJFsAquGKBNZGVl1D6t1hvUcW0a62+HxpIOo0VQ9AB
n70i66rdG4zU4yRBG5JRDC4sSu2ekt17hkJql+HS+lVDUhodsu50oa0e+57Yd7E4+X5CABiDHUoP
db2v46JYWZGNQN59qqOUKqKGJk8ktyqdi26i9EMaJk74xSbQo/SBAXctFXPpFraIEloWeP+FE9Qw
/eKBHFC08wGAS40QtpeUwfRO9akfIQQLXuyQkaRgdAYN3NF8IjNrtMGUwo2Nd4lp4eeBGKks+6LT
uE8xZy6jdi/O/iJO6PpMhnZJlZqwugBjfBwM3gaScruZlPLboJkXvyf5CJ4GViAf8uVCc8iGyR1M
CVk/MvTqoLTVj3XTuqtbr/EGXMRhlSLnHvMDCJtpYzrlgzKYEf+jOab2HLbLZCLvw+Y/vDIxhqz7
apz5FaIa8QiVXd1uN46Wl89u7Z9yi36Rnc5QKQSwFbN5uDDnRPkUZsUmnk3nCbjQuPdHRHCdyTmg
uToxu7EoQ8aPdecYe/xb20boe13TB2VZGOGqUpkfUMAhHwpRzznEu3sIguyjxA2NOVvUTk4WqpCF
VJNFNWDkQsZl6KTWEER6Bh03GnLqtMkm97zxiiIN+d7w7Fum6LV11R2Wk+xzAv5CtmhDM542kmSo
0hADZoYs3/ZKSvF6hLtEK7ulZ3N8wcXB6raYyULxcuhksj/dVHV/yFJTTGDG+lD0ZbzJq5nafpEh
4UUnbSP3gkFdpCdmWa+SuIRu1FzYUc1YNDcG4iSHL2Gcbec5ds81oJhjX3AKTerQPZgVzCNogP6u
icir7NPAX8hfmRUGxrK1onKhFvYLvkD7G0O5vaLMr3TqUVsQUL6vK8Nd5wIgrSTJyqrnc2mphAW5
o74PESkvKyf73pu9/oz4BLtKTUe0D4iRs+uUwaMQqGc5l3gM+Z9vSsa+YyJFdsRd047nW9MTjWi3
9kdv1WR+eMijqVsiptjIq2eW6l+cObwUQ2M9wVTLty3A5pVcjLsBrC34oUXr0n/xYpfvQ2BJZMsT
/2YA3NxkMmdF8VYfaSAWdWACgwnbIwVF0oFIdL0PjOyYDwpSErEUlW3BByalEnSdoasiXlBgXFx/
uNiFg/DLsx4nI1DvpS0tUZjtRvGcfVWQfvcAPUh+P8tIWnC785neObZyfhpu2jXP8lkzmvM1nLl2
mc7ULZS8VZaR/TU25mBr21NJSpbo2U85Ce9yIEtPXUZXtSB8dsDbCH9Dbb/Wk4Y0ZVOnkNI4wzpI
WmfnafH8iED2wQiH8TLoKR6VzDw4NMfPpepqDIxEL2/Ecb+7xTTT34iKBWcrijdS81b6CFHe51TZ
htRxhjgkTEqcuMgnS0psBMAqFkYE0WfJG4Lhgr5LjmgJcHrr1slRvbsAY8s1iOeKDpsBs9uCLiLP
0pisizVz+eeKPIFDmqIRJoe4OTuq8cRvkrZJO3wh4U97KEO0/shlbeKSwQDAd4z4G4y1qj6DOOjW
UrsAvyTYGG0+rKKidM8+42cISH18dMjXihsa4fK+UCr+wZqBvgYDJmqHwLFlnhpXAx76x845quEA
dwKYysGPqi+ZoCQOqC2t/kBfrofCd3GdgXmuoeuc3bOycijTbm6SxbpuuDH28T5pIGOLJ4Fa0DaZ
hivjOJMRtEmCYudckhHedlt5lwJX4UoJRwbbJS2+I047GgxMCBaNpBYpbkXJch5XRUpmj3QhQR9r
Ad+4J4CkIvYYr5LUCFY1PQZZ/1O0LDuYthouHEWdn7UmJRRSOavdnWv3xaGiynEpJqT3QDKWsZ4P
z/IZijMkMiNAokTTotNQj/c3nYwSq9kpz0IMNqob3ylKvg1ao+f6mid3os+jzoLkMzl2tUkxAS17
JUNVWa5qKx++ukVI8IcvWOjNyA/OHe/jGfOSbwT2kjJdso2qyX8EDrC+tSp9FOd9f04qrfvEpVTZ
0sZJYf+6F66yqLqHvNxB3qBtGQR7OYRtVApFPvf6bTR5R7C/Oh1D2lRGTmGQgaPCsLbGITAQ9i59
qCNwU8Yv+o0ZBhX7sddboX/WrnrCAF7kwakQM9GpeH3LtB3AX9mRZNo50SOFw2RtFpiqurZ8JMbb
+F2h9sW/nAi1lAazkphXhZTxhe6a5acydNK1C7t4L4v83HwgmVgQcJyWoahpVfc2EcOrTHZmuASM
THmDq28HH0ZBB4OSXC9r8LADWJl9Y5NBpFS6tiiRUEmE2SQixAzTbtAO6Ktmqv1V2efI2zvn4TZi
KQDLKeSEJEiRz677qYs5ZF9PEZxKqpJzB5iBG2q0iDJmVw7OwceJcSRDuvmVypCFp4hED1F0Pfme
Ey0aJZsOlbD8izHBQW2mV6u0cc+RbiFLA0PrNHdpw4Snb0yo82Ik7MZFfoFRvIIIRi3aivSj4swl
gkzU2DEJjPwW58fWNuu7nJbYiiDceV31VNCK8pNloV3KdM1cRW2bXq3mCaMmWI+qmXCD0ZTw9PpZ
oe22rUnCSdweCXifn5xJ9Q8hKWgL3XRrzgwg49Kwkbtpc1uM54eYTJPrDV2RB96682OERY227gT8
XlwWwr5gEDu5n6LJbRDVasNK6bMAvXd9pDKhnNO8ax8KByWd3Qcn/Cfqtp+nb5RU1BTLgOgK3UwT
YsCXtHl2GBPDvxvq+uAaS3pNWbJA4Nl0rf5aRdWHThCwqn44NpbmPFZ+iVrZ3g1TSTNetOlTLd36
OAqXjdFXp8StyyMdU3dDvIG6bqHxIE8Ym5PfDe2yF3ZUDS40uK6VNuXxi2ZrHzzaT1+70UPCAT4w
T61TJKo4gXhwJxIblVxfFSEa2tJtzLs65F3nJPgMlcje3q52mO3bbTVALqAMkQoKY/zAACDrGnWX
oU/AU05x18ki49kk6GGBYvzUC/qeU1JolGeeY7zMTn7vu2kF+VzUMTBbUlHPSggGwiEW1Kp1iBzl
kmjPlDGcqwRNDCoWlSZjPDQqdbOlmoicTrbJ1QzqdZ8vyWhJtonQpMTfHZzim7HHEnx7CzsiUmuc
c0qoIlG4z81ul/j1RwkY6ykIQ2PNx3U5GBUizR4omV0ifROMuioKVbhKxg59YH2vwKZdK2UzoQEC
unvjVRUpMvUqPWKt73ZBDZDEM+sX5OhI6jDeg9zsqDRUAzct00x2jeV9CLrsu7SdabpBMoNbWBSg
PEr8ASLSUH+ofKKVHQWFOp2qDqgoOjjXIk3DL5P8nGrui67YX6S6ss7cTYX6r0IMt6/ohFBqtrw7
eZ1ALduuUKhldFZyysdoRriW5k+GSRJ1XNGcFpPHGXHGjauY2kFJvQ1eVKvgvkA/Iq2wwyAi5zIE
RXXbvsLqI/mPtPsb7gjVCS0HLKyZMdKFFFNQ8aAp4dLmt/jBN51Feg4azXl1FO6gXVIjA8TTvtBx
pBqLNODCperwYKvQmD7WrfYy87/LFYxo2gYXzXy+laIdyw0eOEWyN8Y5/XJXYHLMLypyUyYzwpCq
N84yIOLwrNcVnVyjO6mRtq1w+rRIE/WINlfjLUNGi+P0UbNGY/HrL//1z//5Ov538L2A3jcFRf5L
3gHyi/K2+e1Xw/r1l/K2ev/tt1+RabuubnmOZTo4dzRTM3j96+tDlAdsrf2fVKkmLWTkvfK4aIqa
Lg5L7B26Oe3kvVxN529k7Zp7EmMOVu6T4xYp87ZDE4/oauwXjunnl8iKv9xmFlGDh9kl7mJVFeTB
D0A7GOt6HokU8gOPUAaHDGMLYdzGSmolMwfXXO9+8ALUfRPJ6yiA/8B1cDmrrz5Qnmn1v3xw9W8+
uGN73HV0S/NcTf/xgwP3MgynZ/IX2/V3+VGtWH/MCnc+VSn2ntrCcOCU/nC06ifTof6UpBvbIMCx
sPl794k6H3uxri7rbKOHY3qfBWQXxEOwwVtGQloU7qBSdneeFtkHh3YbA6jE+dBH473pM6Uvg61O
sTuEAxDU2//88Uz3Xz6eRwAcImQCv1RH/fnjRTPRHtWQtYxpCCYJwnS8r4LgWbZkXAtK+rwJ43De
lqWWvKgm7htybe7tPH2oZe9Uz45mT9OYaAO833p0zIwqXVZ6/emdEuj1pB96Rr2SwTdpZD5RtueS
gnBf+mApYEcHg6GIodbJG3yW+GQYICJjhyDR8VwpyaO0ToE+6Is2fmm7YO205fzi1f65Sgn3KGu4
ur4YW5YiUHAoiYdSTDR0//kbs51//cZgXpt8VbpBfJer/XhCMHKzuCTMPQZkgRYIyw64FxqIxVSb
/YN8UEZNWdSITHdyEbbAfM31D8O8l/Rf9CjRo6CccGdoCbIfCStuiKRt1PAiHwavNnGbqdnKNJTq
VIx05N3M8Uj2MW1AtuLB8voFnOccTFPt398q9ghC55tfjztUtqyTqttoTeutG90cgBKF6SKJ8F0V
VRwtaEPVnxO1OgNXOuaF2VxQkZcvWnFx1Dn7YM9XsliGa5eLzyeIinM1MGDTuuKYl4QDjuLyqlM/
XSk1KeHSSdIEIdzduQbKIHQmmAI2IfPm05Q0DZ6VZISN3Oy0ttj/5z+K/NJ/vDzxpzDgpxmuh4vf
Fqf5Xy5PAbxFdBWCUDBbRL8nTr/ze03ftcTGNt30NA6hB4ea2V72gekYnQwmg/ezo+/c0lavYQLf
OYU+xtcdfjDVOdibikvvwCuarVrbw7rDRrpsHfrNnuOQyRoOw0NFTk7k9+5VLjGqyva9CjnfCD/Q
DjPwxxbmWT6jTKYux6TDpBK61Wlg9twSkEVRQ99ILEWjIeJOwsldjQMiHHsR01VbyVp/H9XZ0cPS
mZRh8ZBzJyvKUb824MwsNxrWg2HoZwPq1j7QilVfY6ViTlbRSB/2slY6trg1yl47SpWLM7n2cvba
V2/Wmwen/dzT7VyNZIVcAiAKVCpzIl1GRCjQDOa9m4A4QcR715XqB3k4y0jbxcRdKPC8Yo+etLqq
5Gt+kH/R//rhjtPIO9DXopywXIftT4v/3H4vLq/Z9+Z/xF5/bvXjPv9cPf7fp19+L+pfzo+bp5+3
/GFHDv/29qvX9vWHhTVoUbIBuu9oTr83Xdr+cWsUW/7/vvjLd3mUp6n8/tuvX9GSt+JoQVTkv769
JG6lmML+cm6L47+9KD7qb78+dE30+i/bf39t2t9+VTTb+wcuY41IHd2zXYeb9PBdvKJ5/+AiTtvT
0zW5msitNvztV1f7h6u78G8cyzF0U9e8X38BRSdeMrV/aJB0bM90bENzDcv79Y8P/TYeuP05/n58
oHnisvf+C4Tpa1rUzm3D5iYC78e1f/wFtnbDOF2BLrZI+7RqyPYZg8dWONwkuFM+e38wGLFGOQNQ
XpcPFsO8EZcby72GDDfLuOHJxZ92f1+0Fo1rZrfd/SwNji0hoNIS5oaQaDXpINFq1RNZjrf8l9s6
+bLcsErc6TDU3fI2kgJH6TEPB9AmDqDDJ6aMK56mQ10CsytSf0+PYF3KbJnbEeQQbJ7qnR8RekTF
q7gV3H2r1E/vixWdgpOduW+vzv389qq8KMlX3zf+u33lq+8bu+JQCAWM5zLXIghq9I1tZjtLuELV
2pJDUGlMl7kpPrNsiQOUph25Xi5qyvC2x08vuOMYnxGPo5IBAIMz88I0gcmTT1ZMLLLi+iDw142n
e1ssvtNHe9JPtIqjR0dHwjdELp0gsV5uptW+t5V7uf+6Wex5fz2a3EwcjZys6NEbwmaTDFg9ooo0
zToltpl0pk9yCfMxOArx8L4on70/yE3eF+X+1Vx/+mm93AJdRnqk6dmO5UPGALv/0+JnF9pA3CQy
NnPU83M/OsqwSGTcklzRKO4F3Ue4v70i10lvoHzGgAEBFUDx295y3W3nFEPVeeoLFBdrPU+DcyJm
GHXYg4RJ523jF9FBLr2vt3E08N5iO1gg+2bOjL3c5H07OU15Xxy77mj5UfP3m6Ej2f3lcvU3MwXN
UH8cMptcmBhOeigXDA3FHVOHHy8FaY8bYuw75ffYN59BM2Qg3FrvJXTjjyWBH7+7MXnJqvndabGl
D02Xf5hSB1EK/uSLPdjd3rTbblfluXUn90Z5dNuboYT5O8Fy73s3um3dNyroz1oAcVJma+2rIRql
gMk/qo1KZT0bvK0aGvgZiDN/+mEDgBPWE2EsFyfr+FoFO08J0SooLuUVuei6RvZAhNttyROzzNHW
PoLubc5ygzAZgQwaDSmLYncdx+XPu2fN28E0bciWQYub3myosDiKwUnBM8a6cAkYYS8DsLwhpieS
zkqx7u+2E+tur4rthCX0ueuVZ50J7Il6+aqhakPkT9L4l5Le8YXIgc+DPYV7uaqXMy19iub1MIK4
lSvfN1bU+nYUuQqwi3K5HW+c3c+WVYV7eUwbAdapo4TukEiOV3O2RYuSivP6pzwuuajQAD3OnfUW
2SUX5Qty3fviT6le/3a3xqbXVP35bv/2Pf7uLd/fg9ACxJjtBQq4cYmKrNqNWkWM26DhJLCr6GNI
DuvennzLWZWYV3eTnQdIsIrQWFA5pbmXg9dQ2ya56K1b4pVEsl8Zk7dxTGi9cjEOqRQ7DcN8uehP
S3NikP3TTrFDu0vupNuV+dIRx9lFg8c9Mr4Y3QQto4srYpPLlPpp7y6tTKeOFqvWoz8BYNVTX98O
TWA/RiBxjy2iHfTU5EnJTTJVdOvD6n7Q/G8pCQcr6SeJhQRCPpMPpuZ0+J84zwWs4X29fCbXSQPK
n5v9BdL4vol8pgxTd/Thi8ml97cBvIl4JuJbFtYDrQDYoU5I/dsIr75cJwscsWSMy2UcStzUxjhb
V51efDayiI+vhMU9YZvKdvaDcW9R/LorUVCu5rjVP/ZZx1je8r971bxJU697TVxkNVXTvu0EDWJA
D0ftH97ElzHw57W07WdTKdyuM3APP9Ae6ipTDtIgLh8aPSx2NeHhi9t2cqXLdlXR010Ryie5Ckfl
23ZyUUFp49K4MW7Hu+0rj4X0q1vgvLZPoyXiNGCrygfqmQ7SgCbZ1nEfOwu50leLTUYA8WmqQcrS
xyX4NCCKRm0D6+62jpTKdtNEU7n8y0rC/WjZKhC//7Lyz4O9v6lt6F+LBlZt5DcviplMV+kblA+d
iqSihsn9vr7zrYyICQT9covM76drA9flIHZ3pbdJbix2DSbuZaHFIXvHRBEBKG/thgMVENX+qird
Z6eOQ3ySc7G1wxEtyaB6947eTovcTvCvAp4etDz5nCGjWIXQsU79aFhnHCcQGWGNvYbUBeWmdoK7
Ejwc/SkIRgeqycQjQpD/IN5ObtEO4+3tcvF2cWq9vR3sxr+8XffT24W5evRLJYIOZPnkvLrJd/mx
bx808q1VkiCpfP/GnJE+bG4lIqRCR4GAzcfeZ2p+2+39a/R8E/a/6Z/lF8jNLjnFXZoTkmo1166z
khPNonyjjQSqlcLnSsOKqrJ8Kh9ysVI+66VsHv/7Xze/rZQHKtz8ioA6g2xtUKDGk57yH/OagA52
01T7eOgxpGEHoTUQWxgCE5fXA5BIl4QQ9gI7SgNgkazhOE+qfXbbXWyues6DOlkrNQi/hFY/vPat
/5rUPpJAnigma8RLQR7eniB7Le77oRd9WkQgcVI3H2IVMtyolsVVtYaOc5WQyDId5iMG23jb94F1
TXFBrMI+Dl5wQUYYyYv8W9/UZAC0WHIR2q0ttRu+qmoGODX06w+UQ6pVRNLZ7Zh1Z6dHNL1vx0yM
+u2YqtPk20wNnZ1qRr36ZW4Lh8Y6DgCZr0F21N1o+miJRYeoQu+J4ytcy9fkqtFtxx2AOoBRYgv5
gsIsDFIxA4L3df/rgTBh5ZssrheIwtxrbeo4gsNs/kyjAgWrp/jn9xci04CwUyTJsoPL+pcXAvEC
iWVve1DBwuhCDvIqsIhlKAKCX356Fgd2v+bOPiG4Dmi0/7vt5Kuz2C5MnWRRKdGA99aGuUaKhZyU
pICeHpCSrqTaSC5h7/3Lknjtfcs/96tTAH1uytUEWJkU+0qJ76gqyZX5g+xlydW+WqV/s4a9ZFVR
btiLvX44jg/rUIfNuPZrm0A1RTWfU7e8SGTjVCG7tOkw32Fzqs8q8+ubp8fUlbWXTPFHDPPxFpcP
mci5QwKCXl+k6Ufu6QRuemfm8E9HBy0XVGf4ij6RSjdUyHv5k+EpyPespQUzOef39XA/3mJU4MWX
y1SLkQWIPo58AekfxkGjUH1oPsSyhG20KJWa5JKZqNpuysKr41jVVp24JzRiUa6TrzI9/2bia9u/
r8IZ6uBfco7I1MOr3Eo+WE4Fwb3UxrU8xvvBY1BkbokJ8v3Y7+/300HyRvnGPJsQM/H/kMdQxPvN
uXf8f6Sd13LcyLKunwgR8Oa2HclukjLUSKO5QWgcvPd4+v0hQRGtHnf22bFWYMpkFZpqEqjK+g1b
wezYh4a6Zn/la+Qr0vHlDckr8qXWwVf5htdzy9evObRirEOk30l+lt+J7dfg+1cs3/z3Gf86x80v
z9/OI1P8MHOn2Vd3vpnjr7+SfBZz0OBIWgn0VUx/38vFQ3HIUHi8b038/cSgm6v5YXwLw5xL2U8x
ziISF9it/z5RVcykeNntr8aSNjzDR/xtayoxUn0m87qvgtYkl7jM+XbXAnOm9YNsd5XJJWy7K1Y0
mKACCYSSrZcY7sR/uWuYJFd37UhMPSPA+frZWt1QduqsHF10vp9eP8nbz7nOrtc4YcnPuNZvfj75
WLhFVeflTtsHf/v5th/5x59RaqaX/Y57inbxupMa9s5HlFz6lym2swPA+fLOXxSKahb2T/nkflLK
yMPOb7Z+RXu0giyChlGVK8E9/+Q6LhBLLxOlgeN8lJHbRPBQ+pdhrteJpOY3unvmmOYXecsOEZLN
pWp8lncy/gCAFKR49eJGniF5DLO6ujNL7bMMkxBpRxlgvkwtaju5+RNQ5b1kUFrkex+yboJysSRU
JsuEg9Qo/dNbmKRMsHpWHwzHQMGEMxRnzPTq18AqzuZo4gbtqpPzaC+XJHB2lp4WF4czvuqQegXm
MbaNXiVQSTSo+A4OarpIYqVT7/XpOZ/HedH7VJ/L2juEIVi9eqlxioyUwDAiGJU1RrQbpW7iL46f
wzTBTwTBcspCd35eG1PHUp/S4UXmModifsRg9zfPBRBm2zWrN6RKw3upJ2PWfPAWVlkKZeY+cSqW
J0tVLjYp1N2kevPe9CMo6gjeBgvxTvnYYGg1fW4UjXUDbrb7ygqdS6bj5W4l6l4LjPinOAqAmAzN
NwvT4i9OnMGM8WCoTlpjfrkZ5FbzOkhl8/Zu4O3Mt4OjR7JjH1++c2N3esni/ixfQFBGxT3HwdpR
vjbFtxPObGBDSRgrlbNkupZvR53M7DLO3ZI7a78Jh0WYK5o4KEhdDyWz9trLAbf3sL50vamvHhTN
BzJcB/qdVtkKCgsmZ0Hc8fcC7ejEL36Dvljsa3aU77dQvcLGSkLdWR1wqKpJjLy+yidU/S+hG2K2
M7kghheoshWo5cXxVapWC+Fv6QUCY63H4xU4iEu3VFc64L+OxdEBoeo46JUXmNDWIwq37h4+E6wm
TVfuSsMgr6oM9lPbA8oLnLb7ae7Rh55rjMAM40/JGk29+RIqnfGzjE5zt7sd3ZVkVtikNy8h/juf
muVk1neD6Cgozq1aLw4oUp05Uz4KGHPrbRZk+1bdeiVYxtr1p2ZscnBioBbUyo8elRycRQV55wu4
1pd47O3f1ah/zIte/bkyKzYvoJJQ9lAxYIRze2wnP5BQJUy/aD5/0yoCBi+qn3i7YFk7932Fjn5g
/hnjx4lUY/ttql1YlIOFLFtRq6cmZWdSoG0NwlNrUP9SrocXObD0BfFXl/b91Ckt5knOS50Cj/KT
VG2e3VAxT3actXf2WGLQGCv5I/42JDJ91PvaiD/NAZdDzayKb38XgS/hAsnbNUOV/eb6AcmkdPpa
W2jNF/hsX0BRpu81B7meHyNGJ3R3Jmh5yEuJPn2BM+vgyzzjwc5m2r+Suc/zFloUygXqIUaYcBeE
HkrnkVzXsozScSI5opATHQp/gII7Oe+sXCUtrnTvESBy38mic+mTmixPm6C9qi19jeY576Tvr+Oq
LqmOHAa7uOaVQ8hSL2jCo6B+XL3p7lx9XKiVwM+26tZrL71bVYLjsHPfvWYt22Ca98KijN2mPRpA
e++k6noZZmIJvJN64Vhu1a1XggXiJ73/q7GQ8KyDJ3+TSu8H0FUwIE2Xg904U1ztJHW5WBBwMshM
DytBXQ5/paO2Ovd+Qff5oT0dM1KH99FyNoAv4gOMV/PFcBz0CLF/RVSXdtCr8zGDLHofLUn/JazP
c/OlyMfknRtg/76FzWVb3wtq8MewdbZleBwgtyM3javu2IRw7CEQI/w2ePNdqCzofxywsaTQeBmJ
/NPa6FU4NWIvIE1dBiAI2Tp3ly7DMJHDkwa+W3av5ToWq0s3DPwZVbvQvsMCxIbSHiOhsgAj3RlA
ob4kmxHwPin8qf38dxHqr37HYkNdOJemb7ZP9VQ/l4tIsTSRAwP550wJZwCWCjw0NT6ycDT+cUBc
2Z/UcBHoh49wEuBTXKJwOzjRzJaaJLQLNupjNPwusjrSkg7Nr2CvfN659NeTFR21vpvwuKcqo7Fx
46/ZgHBYqr2Mxtl7fGrDBGcQ9i2rTIYzlD/DA+3ur9oEexblKAeXWvabuFlKE/xDdjBSfxu2tg0Z
u+PSAMg326x1O4T2V4Ju5bLjJlvwgF4x6cvFrR0R299GnGoehTt+E1/iFyPx0gmQcqeornWOgWjA
qvdy+xIu50Zy8WJk/4u+OUttDZmW0yOpq0spseocYci3IVIqzBlNEMxJITUl/4EuuoHfQCdzWS/z
P8zZdM+x1ZtTU6NqAo5LvfibE4N1xjitD17ksTYummpYX4Hdf3s2Sml9YMqzcn3+vfmCSJuM0y2A
g8jfKpdtsFRjMydDr2qIfNgdYDLevEc7IeeoWAh2ycVDqWcguUZPiYYrpnEEduP0scPGiK+hivCn
TzPLh0vWstJ0ypYTlOibvDKmJPw6cBT9ySqQ9FMV9SqAQ6Fq70cRf2j/AU7jqPuHw+flxNl1DHKj
DifQkO9uD59hi6Can5vFIWyKGJrOwGcUj27OdjUMr9Uzr78QN6pcXS9jZr2WtraG7OO5Wy43bVtV
eiUOYyiw86XKOeec1/tiUe7FiJxFS1kgu9Pk9mjt16I6glpEQyCq2vk8jsl8zvOoA3i/FKVRLsHS
nehDm+F9S3FttLMXxH7NhVoYscdZzlFwIiowLKJuKBlECcfpF5NxxUHylIzeWHyeWa/em2N1HHtg
O5mqPripFxyKGE0ZvfiWNmD5/XY6j9ngwsmo3zU6ktXl1PiP1gDji2f3Hs+BGS5RdvD8qDtEtv25
7Dv3NOi9tuPxVO5S31VOQV2eI1tT7w20lkMtme5CiK4nXSW5WWF3x2/ddHJIUBgN9ALXB7o4IlCZ
gkdOYcVEn0PPVJdXxLvZqx48VeOHKOvfzUBXDro3fXEN9EEyp/gtjcufm7kIMcvjSLiNu/cNuE0e
xe/IgwIvb+A2u/ZhhEQJynfX2sjug8XUOm/H2fi7atxpaK7zXBr2STh+BD71YR75RZ87/aEOlPGk
lFg9QOo8ppwB1Ao+h0oVP5s1QqPAhrDEDUku+rkV7DM2Njg6IVdtdd8CBY5Lsyw/zMYAod+axzxz
68PsPkDbe0Bzbof/6T76hs1Pvyfm2JQgf9TOeNAR+jgmQ8N2wmuanZ+Wj+hXfbKTAO0eG9SjhW8f
OPeaJHD0DUU2hCGLMTpZZXCP89gT4IeTXvQVzPq0OwfHAPdkHG6NYzZk0Q4WQgeDn9+IMAjDnTef
lKThoQiudgfc9WxWyp9+NWjnUE/Z5SQjtLxyPKgkBBE+QejPeomsAAaVh+uhrxjv4a/9ZmOD/mRO
sGBb+7NlKL+GLYRCJ/kCyknlSNz4LTGA8nm5xbtgkZyJw4M6RH+ofvlzMKT+vk0d5WRrM3S01P6A
pBSq8r2PMM/4FE5aQvY2RUsH5TPOL+P3uj1be1P5BQpchLmK9bHqeKsjWvXCwkV5rPPAOhXjhzkP
oo/+osykLscBPAmetKpxPsPUhu8dPntNuy8sDhuasdphf8Q9mfge6/TPejkPD6gyfNbjmBybUn5w
O+wpCniGd/gcwCzR1ABEV/m5CAfrvhrC4K6YU0TkUUA7aaH/IVCr8IQLA0I0Xqqcje73Vv0GFQK0
caY8TIUf31Wtet+3zqNmOu5dD8nsomrdo1/de2i63KsVcLmoiX/hCPK+9maTC8CypvGbUz317IJs
iGr1nMPxalD7QekAAWWj1w+JWSNQ0cHnwfyKX/8sOzqosd9BEwDRUrrYmmELuZt6vCcxQjx46vBg
xjHk3xnPHFXPw134ruIs/w51HeUwVx4cQFRaRP3D6uM7hLfRVGuhJiaG8tSzLHzC38OEJAtBYXzs
9JEHT8hpaauSu2yj3DtWdv/o6/DlR5N8Mu6P53ZOgKUNi8mbMXrPfuh+0LQKp5B2PHdO/lRVI+op
xnyu/QBgWddPT7lbZ8u+ssdOeN6HyFFhgGSQiSVZpqbsjI3E+UWNp+pOx0ZGwfblUKFSBfJQh469
SBejRfigR5yYAXsLZx2ZnZ88OzVOlaWVhxQNl31rY2NWWeNDO4/Tntw4/kt5/rNWj7tOjcnlZ09z
NKksza34oahn/+hb07ce5ZbHfBz5K0ffJKo19LZ4Rw9Tqj5hx/pgme1HzIU1yGnVdEQLCOCI7iSo
J/BE9Xrt5KrhdPHaId6ZE9B+7hnDfMvgrE8Jnxdst4WJpI9q92OGQuSjlJQ2Lhq0+KgrPaIVnpXe
23n+1TLG6U/4Uy7e71B04/E0eyjGqantfY2tGp8GPFaecXLoP2SR86u+tHsWRDc8opOLp0DmwGoB
yeXG+wo9qGS4nt9L2ABREZT91wIy0r3lmng8raObszda1ies561LF6feXkaD1I9gcybae8NFCSsO
cbGUDt2Yqr2jhsETJLT8Ban8D2rj2vdODhW5r6z6XI7xsLheUJQLLmzNWvrb7r+LuQ28mULL7oPC
gME9+FkEn1nXDlqOU9jcJz3bQy6NYXXvzCjz9uo4NUdLiV3QZUtjuEiXGGVdndZGvbd4NSfWIy8y
HrLzoD7BBE8+G1b5aQri6Z3emfFnzIUeYq+cP6hLDYbwvuJf7cXq6vjzXtr0xjJfBkSapM3V4OZq
Ljv0wENdDJlENrpR9EtoIlZLMg0mHcq+Jx6y3wxVR+MqBycPFSieUZlW44tces9AQXOrt864+72d
yxpmvKMgWc8FFrPy6Gl2fmxz/lY8UgSXoLPMi5RSI+Jo+QscuvmqwY+NCAboEioBzphQl1G60QJs
LjGgKzh8xJcBAA7St4+9b7A/qeLua4z+x93Y5niZG0Zs76wJN8RkQj+x151L4cScSKTta8nP+qNX
KSlPqbIFjaA060VfqjdtXo64FnICEBXnOxXQL1j55MKOIblobqDsAScBp0l6bFmXix9z0aN8X0QW
1rfa6JzlUkz2a6l6K7HMVfh8MYe3ajed5YLuDTfT3HQ66zglnVVcph2gGIgHonSM7BWKNv7eVev2
Ye0oRqO4+BUPxp0UAXTAR3a1gIwL/2q+Mkf/gUzXblfBIDktx+N3S9U0z7L0Bbl+BYJW1S5SPL0P
jmWg3Megife8OuD8dQYClXbOEkXhUT5VzX1h5MPJic72jKlHhQ/pAS8qaBbejmXkI8CGf8eE6YBJ
r9GhDv42hgcC1XE1y1FNdj0/frTC6LVhLN3wnDTTpxkqyb7B+PVxuxglPPLYya7bmkaH4Kx65y1M
ShJ71eZG5F/+ac6rOLnj/3FOB5oa0uXLVPJpU5R+K937//6M5EP3EXxIjDStlIQiuGrhCBSGX8Di
1w9CFpAm1j7pAX3k1wg/HH6xM7ub/E/IQSv7mF+vogI4BB0YkxUphX/TtsTBoGkek66ApjwmCLtu
yqVwh+YHcv+Hq6ZFc3GVX5TGqyFXxWQorwaKTmMbODYZmj4AJKYs/p8RNMPToE5szibsVzRMGqER
YNCCBT37B2kMlh4MIhsAq3Z02mK2IVKK2Fr0u/jPue/Gf5np6pYy4GYWuZu0/d0t5ebSm1QsSYcc
pcA6m7FTVMrXS1iiDmXXJB4gzl+1S1itRsuKcwmWuhlp1CVym8bSg18wVlERjll6t6nzMZ+u592G
rPM2VoXfs1NgIPP2ca7muB2+fQwpVRxqnFtk+W/apXrzEaXtauptiKc7X+ce19/tx1/vu02DO1K/
82J8bgy9th+3iz3Udyme9A9bk5QCTmCvwibdRi0qR7xa+3H8TZyM/V/PeTPJVlXGqex3/4f5BiV8
/TG2Sd8+I/Ifn/79GWsaPyLwl2esQ0LVNjUVLL7p6De5pDpBWgOb7ew8KTrv58VpqUIBN/H78llK
AJzLZ3zW2GeOI070P7THS+fYWMaFXRKUPUZKvLRLaUzV7BIb3d1Nu8SOgaedmyE+S7wWoFu4kyIS
M+kZfdanmynRRsQUJ8MsQR6mY1rjPIBQDIst3gTShvYBX8FWT5fXw+HqCXxVvJnkque6OLoGO8I/
Kr0PX+Im0+4C5I0fUiWd3hsO+A2suzjNmH92wBX/no08YLZQy0BNVkK7CaCdruLh2Sr6QE4sGbr8
FLP+et9E1pmkHo4mS63SC/M9T+xmj0+Yu0YY7PDeN4g93+U2r8FV1EXRx+4Jm4+7dZgIvSxT4Ujx
OpV0bFNlox0ou9Yq5uPYFekehzFH7y/tmKC6CWQ7P3V6+1qXntXaYQsK4qC5dGdbxZBm51SQnXbX
ZbyCUApbzzyqEbsxtFxwuZzuO2hYzwPALmBQ9j0QQ+PZE0U9CaApzBLzWSpyEXYT47bmle/0Op00
rxMgHwWrFAHqZc4t6HvzNsEqTpijzfR2qxg2+mNgZXh0FT9tQJAaKeH3Ct6tC8dZkBzS0vWfNkCJ
7UYSI92CBpGW7/OwHbUeAN8g+/IauCJTvk99VQvBF+CFBqL19bYrkuT7OPkQ7qwE4LnK+hi3E8KB
JatzKYVLVUpbxzA49WUqracMAufdTftNdZtJOrbptg6ZTqq9jQJJUtn4wJa2mZ62IWC2WjzgMWUo
d9vIQmupv/ZZzh4/dDIJb5+9bcrfPQ0p8WoKi5Po2+mFt/AUFoyxPkJ/PzhhUbBBwOpNBFa2S6o4
2Ws3ruDNOmbrXqeQ2axlinj06quYq/vIGIlBjwsWYggi+k6GS0/H38k6WqrSMaNuuU8LXT0MKLah
HWukxS7HBu4i9XIpSbVhf/vwemDnabjMaYhRoSblstfITPZjizyf5Y4Yg+uoxF+W7tFOvndPUNTX
bqPwOmbHFFRGr8rvouYnXL9tHhVpiTVQ5pFeXeXjvabhEwu6LpocU1xAFkfosWws5K7K1D3UQkkS
Zm2spA4q+otNlvQbS38iZCbpTwvlrDj6IvUyuRiND7G5K5S+Pq51/824Vkpy2WIANZ4VEzWSsEK1
LnQb92OME8N7nZwrmWjvozRZ3hAdyw71AKlKhx8c4mFsP/qYbH0cM7M5BVjxLunr10FGmxxrrVLe
yZhyxB/DYOuFvpE1IWBgRO86pTKe1nv63vSgZOiySRUSLucTHESZdQVNVnOqM6/LB6l5vWo/aXlg
P23VFmO7/RQi0yAdoYJCqaOMIJaStMQJfS6QuKzZxUm9jjC2UevHqSNDLxVpvoqQEdKDfwjDpLg1
brOMySJQlWt5AQDcfy9x24zbiK1tCzHlE211KZXLZ9vaJjfYB2X/wcBq+dnGku0n3XV+z+ZEf5Ka
2yHAVaOo9ihV8ngYklW9fVljk8Ilczz556Az/mujat3uVGEHWbYLT9C1ERTQnYVBdLVTxXMz9Pqw
Us69h0/o+p5v2+prjcLS3fULe9tthU1s3OWa/2XmjMc7yargZmBfIQK8Liek2/Hj5gQ9JsG3DX3A
eCapH+p2tp+bUL8ElYPSsfRIfS0BdXltXPulK11GYjiY7SVoG7PGeG6KkmvfqzialR0nx6pHmln3
gSshdg4tWD1M5uweW6vyP0gHVu2pQKDPUpWOAqtsV21R519G9Qn6HEDiL9InTTJ5A6uC9/73iWRy
J7AxbV5uKB19Nqe7sJ6yc5T15fu6+E0sWesFXiEXfzlR3NrcvkNhrubxcdMhVRmxBd+0oRKnHjC1
/8ktindhqPTPOao92i4tqh5BMdtFfpdHDgnVzjpIo6+qn9Tar/A4DfibnVS1f8YgfHgKk5erJmnH
osu5U2IE0GVqGS8dwzIKUZbX6aVNetcZ3u4hHZzfF3dBoZO5xxD3CdHw+NJGnBwstXbJbEtpu+RD
8SlVfeV+a9rC2G+7h3CEafl3498m3wbcTLJMXqj66+RKoeb/cRrqmDe5luU4FA68p6JPwHGodUO/
g5CczV5dkfZLhgHdN8VyBo5GrP6R48PhsVku3kD2d7fWVae/DOPPUrkJ+7u2MMSufTSb9mDreH6u
M6/z9XYzPMoUeT/1l1r5WSpb8zbfTZuCVeA66RYipbWjH8zGewLrySnLsglcN2cIUz0WVhY/rFXp
GYKM/Mxa7PHl6t25uNp4XnWvg4okf1Ts7vscsmm72a8NyzyTTlLlpuOmaobdf6hzaMbyXW2sagdF
Dt2ybFbs+AfohnFLpeyHzi78aZgu0bIiS5GUOOOyMORReC7QDzwntq6fpXm7xEuUVKepwiNZijfR
HToJGXJAjNZwrcanZhlUBinvBAldi9ukjQy4ipLiOnb7EOr0BD8nWO9+NUSCt7DbO9xGbuFXH06G
O8mEAG2TpceCpWuxm5GquHRzxcbUDR0HehhyzQOeIVpqVogLjUt/ip6acr90oQQ83q2Rntp9sJ3m
k6jLpguhNtSrvDlEyPnupsgDhRVOarOqz26NEm5Gsd6cwVdyirZEDhF/U+R2IUaZY9TuscGuLkHs
YjtoGkZBvk3K0ozuIr4bIQdwtfgSSmMb4KhyW++XRulmw8BUa/9aLtsc/XiyyZzPci9z1k9NaI57
vcqafRZrHe5qpNvvp6n/XKboUd5pvYKsWnz2h7TML0UDtAcU1sPa2eGYuuPlk5zs1Iye+aOzABJX
yCKby4Tm0gjI19YOJmoY923RfpZAuUxth+2KCwpxmV+aZAAPCmZZ7qTYzfv/yHZ4qCbc/GUA+EC/
ACkElcWEfpNRnpqsL7QESg8kY/tOKKBy2fidUt04pDHCpEfVMX6TdqGGSmfguxjO/OMwifnH6X1v
GbzFJHmnHPvR/m1r2j5Vraa/WnXo35lg2p6ViI1yO+r+Q2p1HyqHpfNBXzrSoClZiS1wNGmcos6H
dDV8CHDhdO+SvGfHbnYc/SzRq3i/xCzzzJH1fWpxuNwmk/vJZUhRpfKyCQACXK/4I5qbIXnAZamb
+mVxcXm8PFhDjYNyzhJV2uQiIWv0VpfS7RSyfC057Cx3LY4bD4j6Hrcht1MA1vKtveDbNds9jaY3
fRpmt31GUZcj4QX3zil7dmzc3r0XtPWPYUNY86fe5efSmZUHAH+59cS76RleW7/g/6giKhXe1Ug8
7hQfEWl1jKqv5F+e+zDpXvpY91DUybFgX9pDDDn3gzaARgVn8BlkASJ5Q/V1BFt2J8NRfyHM5Ux8
Ge4XATQs/mZ20l7ao75Te+VrXJl3+BOWDzdAf4H8S5vg/qW6tQ2BsY5SREZu4wdgZqtdBpgiCeqE
B4B7sEcjRDPAGNjHDvdb7ySNcsl6RIRbvwE8T9x2qZeTi60qJX3Ce6sNOePdOnLJvSWDgzf7CL2p
Uf0JB9ZQCS9rsYv08CJ1PSiitSRVuaBW2pydGHIaA+Ti6fGPE0hrv/RnZYCsuNSvbpNsrXAPF0s+
zt+0OD0qi0TdtiF1ZZNqQLkG6UNPranuLkFJ7Oiw+0PU1cVWdRsj1ZrN6hrjtSzusQgkRqb8x0Dp
NcGXmn1/SHxsj1WcOM9m3I2fQfb/MWlF84zP0PhZCZQ7NKrbj3gNRJ817BiXmDl35g9hgJzeEmN6
nvZkJBUWw0un5XTF2dHIykpvPdkNpnhOd5Rq3hnhETcl906qMBfyfewk7lmqWeLc3Nyb4m69Oc9u
iZGb4/t6kbu1zvx6c01H8w6Rrf6YqEH25LFfEguHV+by5GDdAvdkbRROM6q8qcRJTYKlhDJ2vXcG
AKmQ8KBSv80nvYnQqyVG5tsGv81XZcknfPyUOxgNzsVJSveS95jHfJhrll91FfyJ8K3fP2zdpWKF
kH7q9F1ma96dM9j5+KsMfBvSJ5kXHoqZQ+fXcyi/LvdCthCahVwilZPkYo4PWzs4J4zp6mLA7nfp
DTFHnDd2hvgAb2Mzxkpta0/COd3XAT4TX90cK8zd6384AZZq/vrf770NAN4/DJzLzsV93BQhst9j
+CilueuRgvKXelLMTXzIU7hKehFh09qkKedkS1cVjWr7BKTHv2gPVWbSvg6UOYyxMAYI8d8Hro2J
/bw4At37TVo8OfhEPUlJLmpm4D7e4pN003ETnPnxQz/UygM2mdfjtzC1q6JT2QNG2Gb/uzmXmSBL
M9PycbbxW/V/85nst5m2e3WDW+zdGLyOpABNiMOXRv8dGXNylVtWUErrRSeFZwJqW/KYV80iEb1c
/hq1JiSlfRvVxC7ewrAuzBF5fqXqhg9uOo87PUAMkrfTA+la9wvej8XpJoIP27y4GhaARWMo57Tr
0BsYZiBqpTq44Ovw+UPvwLP20tWZKFAuXhUBK7zv8VK97SY3wiCYW8p5HSTxsxoy9diiQhqjVMji
jf618aooc62tTRpf/n1ldyMkxZbHsvg/Ans6+gSefguJLl2SDVEyBY9xjWdOk/bguauMY5XAfC05
WgkWUxqlWy7YPFjnrboN8SykSWoYtkeDfUe+2+aR6JvqP851e9NtXDUm3yVocN8GFei6nIYiH09q
1AM7q1nd73kL5U4uyQIYkdKkL/jK2uZ732VL69Yl/WvPGiUNZvqtgaF+lsow509BH4LF2aM+ZeNL
RG5dwf7z6LMReKy75VjcnzE1k7qNI/Pa2MEgOw0Werhbm0SXyxApyUV6ZayKjKXbF49b/M2UW9VF
aXj9FKDz4r2fdyR3//0XRNP+kuCwwbhoeFXgLcB/bpf+Y4RKdpSk/sX3BiPQAR+RRFmf58sTW0pF
0mR7pyghhI0Yva3d6yO8WrqspWt7Xl893JE5fB25vQ/WbgmP/RwNn7jPj3KfdXYvdPSTWycOUHPn
FIOZ+zKDp7uDz1Lcl4Mfftb94ElY550fId8zeN6zbcbzU12QXhVS+TIyNYJvFdS3U7Mc5AHyPLql
g151gzhLtzRJu5S2NsyxOb3b6jcx7XIQuEylkBf8j6luhv7jLUdrOKJqhCnsnE13JsvyR7momR3U
4Ls4iDON/g9DG3AneOu1ZrxyQXSgftpbSM3IkEWe9FFGvA4uagMW7B/SJJ0FjmwYt9sL5bT+wMb3
S4WexqUVnvZSDQsvv/jr0dv36tYrwaJybCXBf/A3/pprsy0bdjHIKw1dXNI1PyayU0/T06QHLlcU
gGz7OY0wvc6jvbb4ZsnFJ8P/3i6bh1gLh8fBsFkcSVyX13gvawn1apj8y9AggVJ+hK5G7mBxnDQW
h2E3mznUzK1Dr/qvTUMyRPyrWuG9kzg/DYBZf0Hgwt+HrhU/ql0YvbiO+VO+OFvogYMLdPqoGC6+
ZD5OUrCIY2XnJ/houctFSnGhuWe5rIFS/H+JccLcWwdu88i00EOXG77dRmbEswtt/eX+Ur25/zbX
ze2luk4oMR7WCsd/f6bo+i14wuFRArFT9wxOHICo3YAnQgdfRTUPjEveOL8XZoq5TuQ/D2rfvRRW
XJ8KVuwHo4+7lzaKhg864EnplEuPc8veVFPjvmYl/1LoGYCpOECgeBkvF9NjkDlaT1JDSZGv0A5r
jAUY0GBd89Fp77ZwNBytvZNoi6U1U5QAAR71cPoa561d7hHM/Zoorv44N752X5gOu6feSy7BkKW8
RdTkslWlJJdOK3t4iqDsb+LCMFZfZ9ii+2XCrSpDtqqUtmmyYCTNCsPh9QY3gTJX3JonfdThccEm
njRXPaQhhBARsddwulmr6sKj3KrSuwX/x1gg8+/jZrjPdL960uLWPWpJoe+SpSpts+vG/YEFUffo
jR+lSS7Yy9ZrBLB7EOCeOwGeN8DuuzgMqGe35vjG7hJcp98iZWBLYoO98+uE6/SR0vd36OL96SzO
pNZy6bSkvdPKMt+JJdXWIaVm6e1S1jTSu/qBSo9m1y15SKRysMZ9dTndBt/MKoO3OBm7zbp13Nxz
69gmkJmb5RNJ8Naxln78aWQCM0JCAHZsjXJtFK4ihnFpVI+cQ1Q69pA70SWUy1pvzLZ6HNWLNMVg
YroB6rNVfCXTQMb0x1KxINUg6eZfpSS9TftzpaKBgfaV+anX8woGRuBepJpbdYmyeO/d5aplfsJZ
LL1THMTxpFcpC+9smxZy7Evv5OXjO2WwnqRTLiZc1Dbo4ULSbzoaujdu8E66PBdZLcvt+7NU0z5P
yI44yn8c43i3kFlEx9HT5rmE7Dq6696yCro6I9VivMnAUpePr2xpH0dwD8nsUATSoilLobUuUmrW
rM/nwEuxDFnaXk3V33rgqN9diaqJyNo2bplRmizE5X2ztB/UxMD708gm4xBmTneAcg/7Ke6/IKNT
Ziew0cvXkzXLXwUOl5gb7cFONRfXaIFrLyUnbwmRurpguPWm3wWOP5y308ftVDEUQndt7UwfI7ft
oLFOxjk6SNyYlXV/+h4SmTHae25W6rim2ccwBWyxs7AxPMSlmx0KfA4aPN4z62ms8A8xpuYSNqba
3OGUmN8VeZTuTG1gX9MGcLv8KinvOrbfMytx13wy8OR5YhVTXbwmO8Yyue8x2Vqch/4lj4L3PPDw
cufAAJoK+fc6NqqLlLaLtBmS/m+WTH4lSXzpV6LlaGAL1Xy9PaLYwdYLtM9/vNpkw/TDGZLDMbtl
O67jqJZqyBrm6hcJWyynVZIA0MIUaZ+Q1ozvW2CjRydOmy9qOZr7wenaczJM6Leh9+j0/oQ0dlZ8
agfkzZbmGLfXxwY/aXacDEo1XTvBIRnQZqVXc33WMCyMAcJRxWz6WMa+/xInqvPBG8mhSFRcqmek
itX9GqUU7bENh/ZQWAX4hCmHYZYjv+cX/tHzE0Sql+q4XKSUOXAGF0fCLRZzn+vYzBl/KssmeChj
z76HDe+F38IUax7N2lmeqj6Jo0u8GINI6a1dmnCMx2G0ruEovMUWIANpCyycGTEKXWVVJhiTKwRp
1vozknzDAx6LWnNeMUW0ZXU8rjrskggwx2eMKv2h/IoPnv6IpUD4lGvweIZJxZyOo6e1aSlJdWtz
vXE4x4iKgI9mA+F4eKORTDsKpCe3Fazjk6A/qQvC5xbxI40+dj07y8j6U7nBgpoTHLLxJ9Y0iKW0
zrMOw1FqYxdf1drBdJ7F8mWJRETitS9HiO3HSKlx1Kr91D7zxjzE+Aiqd3EOBYuz1UPr2IG20xaf
G72BUh56p06yhIj8hmczH38Rd9JFD/e9lIpZjyHy4cccS+ZQ4kjx/tLMpABfpUsU3xhRE0SeuRkw
buus9qQ46Wx8aZNmrWoiAV3hd4vO4l5sWPAi93dt7BmnHqPU8HhVX5x+JGYLHNzYPPF7/trBWtt5
jrH58HznftZG3EUAHR7iWW8fHXe2MIGuUV/O8LrZaa1Hl7BhropGWDk7b2yjowyyScQdkegGZ7qw
T6wudmEQcpHSP7a1Xeof1MivdmoWDCwblsEgKjEwkroFQfjfnyKa/qOoL2kZF0sWx9EsDYQx8t83
O505gA+j6Zn5mGacLMi5aiVHsHL6ylFddtkOY6V0dUIrdRkjpavuaYx+a4YgPkkbJ+BooOVVscuW
hEmFOtb9jDGS1OIlRyKl7YIfJtmT9bq1CilHwkfJsaz9NkSh3DQx9lxsJVSOV/ae3+X3weJ71xbj
eJ59LKvCVoOwm/0PYWfWJSeubOFfxFog5tec5xpdtvuF5XJ3M88zv/5+KN3GXdfnnBctFAoJKisT
UMSOvale1QsI8BvgbPvJ/kd1uRcoko56e62dEbFKwH4/5JjlQNT3VynOvNjl1CmxKLbJx2ssCn4J
JSSyN+kiZyXMWs6QFM00c0S1yIIWVJDvJ6NR0GqynexyPySIf1IB/x+kbUy7LNlYFIhefhxCQLj1
AbKRfPYpqZRDsilH2zzoTascKDtEeWTGhMijMHytNXaxi9mU2I6l30poR1QgP6oZzfrDwLIS0nrW
xq8NsZmQQ4L+03iQbEKpnfzoza//yPzee5IYBam3/7EvF8b//7pCJwVpC4ztuskf/AEE42n5lFeQ
jl7UIlFR1OYFYAWbQnIRad/FwA9FcGlPZldmsCVl8LqrBZJxIuzKz304JJcyG4JD50eoaZnsjang
a7NCfQ1dY3owcu8SmNPQrvXsK4iE4sWCKv3VHu1vfmtUV+npuYVFZfYwHgYQ+8AMQmVXF6q3kaNV
7ubnHH6TlRztXFd/jAN3Lwflan5nryfPCZ+lCd7peAXvFrIb82rqAHdXpjbmfULUamKfW1qNhBCj
iYoOGWXQ0a4Be8C9173eMdMSkf3TJpHVC9D6pz03/eZhQXDPdoFSFDBTT7m0Q6HvbervV8YcnpBN
P4cmzDT8MRAqgQurRGedGmS9N24NueAdJi37yty/A6UpO9Y2TtUNKJUR2qGMpn2szJPMwRlkPVbC
asZdn2ljdJP5t4EM+N24ZOy6glSRafBa2oOm/FpnRvVkRKG16mw1P8ha5kmL6l9sP/TpZh+1c374
SEcH3OAv8+RalHVblP40iIOVTr/T0MPddsSCZqmR4QIv9HDzQ1ddR36Ufk/6Tw0g+2+/c/D7YQfr
gnM0A3Rbdr+N4lGjZO4iU3m7B/UUvyG0958DfPfxe7BwdIO1aOBr7avoamWwqa/0GSAgZQKTlESx
aJRw30pYgDQSaBxQP4iu0u8+ZfG26iba5z7U5V5fsb+YZZZRcPVhJOBQKWb0pDyUTaBUxklYnxbL
L87SKDWal2FrjC9p231GAylYJWYR3sxeG98mZzgIFAafjYCoqYoy8Wz1w6l6QvHkUmrh9KYMDlxa
6JCt7oO5wQOJNChaaYwWOfrLnV8rWzk6jkHP3bEUBzmq60OzCsxgp9qFugUUbl7quak0FG038jAb
Id8loxV5sC/BbE6xr2pOUblB5dDeoPUYU1eJUYdW0CFSy+wxs5/r3E4PM5xMTGl4tBO0h05y0B2g
V4J94vW+ipwrT1wGVvS/bnzi47aRUgBH07n3qYbjav8PMSYMXUk8bvSHPmk/a7VXbMO2gVbIMPwn
3S6RMUOYDtB1nly9DLJONWmeZdPYTr39ZQJqzo897Af3CY0NRkCrUxu6d3BFgPZvEmN7R+PK6hvZ
xGiLgiAbxjtCV5VYBel5H54n5zz9FtMdxCv790OCqMlKN8p2FTeONf+jD9BlpwjRV4q+DsZE37el
HryYWlM8zKOoJjLalN1T7fZbvhwxVMV594nPwXmaPK3cRkMptrKI0qLo/XkmsZs1mIZZWjO07XLL
VvCHg6F4N+6M0WEw/WTNNtL7IgipUTdcz5jhMftMkH4lIHy4qUGdnXg/7c7KoP9SduK2SX92MS3k
odI0ey18oz9NsjBEFqT8XOt+u/xP67Db++VsPyfJpeUpF5OMkavzJc7X88uyv1njN6b5ipdSmX9f
sTydXHqeOLqIdAxRKTaBH6eXIEkg+0FyepMPVoKCFY1Sej4sJEqUXvxO1+sV+OAntCHtfZdM0LxI
pzCNw2mHmpE41/FOrnW3E3wfr/KQAGy8z/zoq1xqUGvr3Gn7rjWDP0RqsYXNy2dU83in0px4Le3K
VPerPAvAKBdx8+jqFYwD84Q6gkwjt5TuUngFbI5B9wifT/iHp9jKZjCj4KQERvB5qNFinP213tV2
Ra5wzXO352s+gRjKc1htUg3RG80sLnXSU42URiW3CDNFbkt3g2OsiqO0yVHpJxttnrFMW2yNl22E
V+ckNf9ZDt4Ff1QcIO6KeWuyNN0jvORekBfgLYOMGKX0cXTSeC4dAULp51JVwwNcBmD9pl7f1bbb
PQRJz+M3bMendH5BGfThGAWxSy6iMar2BM98c8pD3jDrWNGTleJWb7klQp7CvlIdump4/+87C0DJ
/1ZUs1Xe0IhNWNy02P2bsJn8O9Il1DwKoL0rTqQrtIcoh/o00Ub189iqYCIc588uLtZh1yIqUzX1
3nZD5T3N3XLVBoP3ybNUADnEeB9A0ap72Ay9EzcK62yPkbITSCk/sf9FL1s10s9RXAegiLrmz6EE
SSGgh0SVON4JsHTfq4KcBVmAaD+Gothq03gcxeh9GfwxgABwgH1et/Krn4wA+i3X+9q4/Y76oOJP
vrXo3bux9eKZ8bQnuRUe4w75ZqcyjuVMCEVRgJGt3JJK8fuhtMp+Po8bjuKv0tS3DpPe+8+thaZA
Yk0Q7aAOmYcJjd/6p2lkbyQ9htktUQlDgSSD1WLuyiahGnEVM3wsBYn0tUnSxzbH8UGuUlpeBw9l
dMnlYIc2xb5OXWoifi5ABYy/GdNM7BZbFKmfgciYZ3laR9VQVEZzoWqDGD4kPThbHjy8P5dAHjjZ
tY7TbO7XgFius9IbdzjIv0c6et5MsleWN3ldAoQKYYOYiphEmeBjaY1vDtq8qJjUb6jJVgfAd8He
0WrzC7xudwc9Qbs51FP3TBaleOoVatfkTH9WUfHDIH3ukd8592Hvboj5Gt/6AApmN3e+2ok/7Ab0
kknZ+M0noYubdNAiN19n7Ugcw+56tEFEdj9X3RYPDXJ3nzpN949uSESS4ifla9P9LScWte5tQGZE
Z99X8mffgXSpIGqplv7nKfXsTYwQ+bVrw+psa3W+60PTeWXnRpwDffm/BnAbbWtBiAvXEdr1SFan
yKwfhgJ5+3IwusfES7r5lsomQ2vR/NDLvxJTgRa0hkWryMVW9G1yQSAM/VZh1VsR+eINMfYvcn1E
tSjqqpNvVVHAdCxs78FRp/I4DUBKe7MOn/VeQ3e0S6IvsV085+zyvkFJDuh+iAKed+sQFlp/hS7n
U22hHNia6ByjgBm+DhqkrUjBCIh+lfrgp116grCju3SQt5JtIrxNLJ7Y43sZnPzI0L7lVUD5aAOs
3aum6jFTB5MYBg5B289MA9lR8yp0SvppWiH22D20VRM+8MNGVrXS9D+Mih9/YurloxmU2Q0V9RAF
cwYaD87SfnSypwQmDpQnjHrdQob4RxaKd2/ok+egy9SLahP0lBO0tnpL7DJ+SYX74NVaDtq0q8vV
6Njj2bfNWllnUTKdk7mRR7IpeqvboaWwrROqDazWr99T1ScM2AAej0hkML/5y7fcd4TDgy9ChPq6
dDrtaWZZpAxSLS819LsnVVX9g5fO4p/FwPdf8R4t4XnHNgy1SwEWle0GoKVm1ehiRQrXebHmJojI
hmQhKuvSZs5ksYqfVZvMnZyXEdqqLhTpNvZQ8+SXq66nKTW/TEb6FsHQ6kOzSZR0VYfFmxyQLjkS
y0+l03q7XK3GswZbNMqeNqkrs7wZ5rkrLO0RgrT+aVB86xHJBNm5W3xRPrRNC/y86Z+kiV+Ce7UU
Zy970p4maKYWmnYLdSJykDdTgeyp+udlnd52klMK/Ge12OykCo8q+IVVIzQI+2sLvVQ0ehT2gWzR
q8bRt2gE8/3UPf/Ntyd11SR18IeZOF/MkRt956Co21UxurVv4ahBo9+W/k7zq3yTi0ADvSCim5ib
fPAmeCgpRFfUOrrJZk7tqSszjsa9p6A6JI3S24Fc6uBpSMB66Myouai/Zz5sNpGh/E1RCnLUCBuv
3HHndSW3mswuDtDidJQUuumKcK790hih/eIWztog9v8ke2YGM7KuKt5edgc7n2Pmbr+SXTkrsN9r
2LyepQVcQrse81Qc5Fjpwg4C4draCp34lCZVTOllMf7BVuGQN8L8JAiSzfiheBtqav/oato7Sahp
ZfnWcPJCNXiN1S7fw+zYbWQ3SEmDI9YFfRODQeuHKMM3l7Sp0gdpogir3PDvavdykA1jeUKiXKzu
qzlp/eJCwzzPlo0y8POKxFTCSsRi6FmSSqgj7346ZbT9W5QXSBfBbciGLjtQlRA/yqm8zrnrOOpD
tPZYzpra6Ri7SAjdR0OlfGZXdz+xNA2gP8G1e1ctDcpHvhXNuuWJ/FkfSsi5rUp9h6LkPA0KqnZl
cmpcIwjJfClbJdGMlee48d6Jq3zW6oqFTaC6tYx1YIqnq6s1zbvZsz102/irzf5iF5TpeIzZ8b1Q
B/xdOmiWH630ShsQCvKSk6hHSj8qK/mDasyV5nkrZ8xAFpjeI2Rsxqex/KwiCfpZqypxAzlEccfc
LQRx8CAe243sJrbjbdh/VAf4Go+wtJPgEC7hJ6Vm35sRns6SQXt1C909hY2tQlbOPgkUnLW2QCjB
OxZzFS7ky2S8Gu06Orp2lUcZWSqzpiBhMfWEHq+N+VaNEJBpECO5q9y3qkefmuF8MrRLakC3NuUI
9bhtw4v9/PIvj0gppRcjMmpJpvfLqBxISpcRxxU/pizzeuKHUVD4J1NV1twGgy9lbYxrBwnwm233
HulQYl/QGLrvJVT7lvre6kW/6Qw0UarMgFABDWlRDQnE3D2qPS7P2GuXp/BqJ1azvRuVGDzFNN20
sM2PNSWfR9XN26tIHWXrZWX7XOmwYGuRUXzRW/872Hj/r6AbqdwP02DVQgfpuE30p1HzaPRLs/+s
KnwzXEU3nrI4Ib3SdzbaPL51jELXPLiGGd4GCHKgZvTSF7uus7VHmODr6KwDkCCFsg8Ruz5FARKE
sqn9KjlTJPtrV9ciuBHtKF5DTdysuyoNr1YTdM/sU76QgCz+GAo73qCFO54JlFXktcVV2r2gUjZa
qhOQqET55nkN0tP4++XMLKjb7oFXDV7QNCU+hrHSPJo2m5XSGi+hmzePshFOU28rc6o2hZZqsGpa
dnMrtWQtJ1TWVG9VrXB2+lggkjba0/NU+MOpMfpum2ee9s2YOcTK8J1wCEgp0/ROUDwGz0IjYOC3
dvAuZ1b9gJpx7zbqzvOj8jCNIRUgRYHadjeEb25U/Rk7RXpzwdG96YXyRFTWfZBj3DIOSuAbTw7V
giul8fJdPMFyvZWsXTY8yyZM8AP8pvUQrEqq+2/eGNa3RFAU5rZTulIipDxW0igbtIeq7TRwiw28
ur45TfTPcFw6lPD3dbJdvOWRdCwqpViZiP7uuTs1xkaOtMbw0Je2c0wnosR3m869MLQT77KsYmvN
Nqngb80d3zqZM+hVNrIrahtMhuyPlpf9OGxh7N5XPUDIf09Z5pU/B0L0s+H8eOSnUj35TWGsVIMq
kSTrIK5Y+pnsR0ljUMCu14df+nnd0Se7+sS9lnf/4UXXSZqSC9WPUR6xiVZJ6vVhIO6jlVMOLxA4
bBHYvNYopK1zF34aR68VJK7+aQwwy9elWzZdeBj14dMHezYIhRcjGulrd0N8clXCAf+2y8HFhpJi
d6mN3QfzcrrFtYUfrHWt4CxN0mM53WIzav1WuKRgliV/52saUIUqCaF/ucgyf3GWNq8MXb53Xcl9
0ve61e8c82AMNspMkyMny+bDpyNtozK0My86BX0/P93fOduJHe2bKvv7d4sstpwAKu9fUHH+5iNW
A5WrRfSHXB0sNPI0v/NbbF14MVvqdpe/8Hcfr2n7hx7hreOyojz64Av/6OfUQvD6v3+6vmU2Kwft
st1/+XRLpVnrZHU28kSyWT6ExcYuRbD5Mqtf/gu/dQ7tbOfPZCUfVlk+CjnNtQpwnJH76YNdDi42
yEumrSiSZzbM17LPVXA+RqRd2xwGo5XvNMFumDK2R8JUr3KkC3tn2MD/16ydvPa3974ciueZiIR+
8VoyJEYft+VeDvjpX7HDT0UzanYUse7BJTXox4+LokPe87qjUPstTyLXkwsoXqezR+U1msej2LkW
gVh1iCFvhHDubLaKQ43HfFjDW5zuptHIVyh51Fv0BIEMGd4U7X3V6leTY4avbel9C/LYexd6/k4l
aPCqF756QGK53uv+FL+FRfKISLn3zhOgRWZ2SuxuNxl+/qwA736O2YKoKQk52Qv7NrxRDnzqRpA3
a5LXiNN3rbsOI4c4oVIE86sSkubC17JnY26S6AL7K6mjuVMhEXvS0z5eyeWkbZrgr3LS3L+f1fEn
Z+V06rjxgT3AzyImAA2hBgholedkTmI42VuwJO6VOtHg2RQeyklsNTe1MQXP0takmsrzsIuOsisH
+rrf6IrdPCTzLGPSi6taVFdqnbIYtqFw2KNf24EXnfveiIZTq1T1Po6r8FkukITDLYrzCMlaTK42
qQ/V6K5901N3Rhw4K5MN+7mo7eYsj8AUN+fWbwSPsXlE9j/4WI4XbdKq4IwzFefi8svkxfhhbbnW
/QR3dyNHd8Lll/zzGn4Zld62Hl2yLipgvu1UWPoT3Tl7ne+eSfN9QiE43y+mX1ykkV+Ze16G5ZFV
Vii4dE3OF5ZVllHn392783JOGyj6wZrioxxYpv3nc5at0exS+NVWbms+TKjGnoEcOg/q3ASVppzb
GCbnuWdbo/PA+e2HGLrubW+O0WbxlS5KHH31CaoeF9909PJryzuedFj807hNd6ZddVSkszhsrRD6
N6EdrSaDP2JxzDUUnWrrXZ55WTenXGlfUxxLlTnzF/+uFAMVB5G1J6bu7+DzMHL214SIH9EVbb8N
kdCGwxhUNoTk/EV2HEXHWMCWn/HtRMN0/gsnSJPXTW0r2/uFyXN4fbQzg9S73G0jYransFDfynZQ
km0vPAo6EyPZ/vIHocZyMUyQG9mUuynbbecPCYWSGCl5tMCjFlsvqvicZRHCSW11oUaig7BWmT6R
sep28RwFB6BKADydD7M5IA5s5zAoU3PN07h/Tqsjylz6Uzp3AivVDtMQUPXjdUqyzlt3RKi1Ho4T
fETPkT32j4iiw9+u+OkacQt3N7OhsqFj8+zVVg0vTaefo7mpUZDeZbGjqq9D/Yy4ZPromIm2rnI1
3nVzd0CNKuFt+bBMkjPHJtWhAjb0c0wFAPvgwdjIAdl8cM4VSFgQtGKKHL73CeCFp0BP18tacjRp
TUJudx9p+DAuu0bsUlqAcN/m47Jyip69xT1qHIOk6PCKTIFTLY23hoDRQzYkI6hsDuBNuwyup1NZ
AKHCMirn+bmzbyNjOreJnz6MuoPeQ0OyRslN3YBTR0sefItPMOH/u5Zd2TRWmT5QRBAelSZ/vzvX
8wo5tzrCGcbW93w/OgTml0EzA3ZrLCQd5HlSP3usoyxdGW5IgKkObwuGJyuQDObtrfFP88CC/7lD
hMxQ+CcXJcC7n5ynDna0TQze0QbAt0R4/C5ZtRp59vuhtDozcTvYcoix74f/xVfO/cUV/QKwmqRa
hHW02GGsFL39i9g/+f/5LLKZdPc6+mEGxDPMd12oGH+URHGmdPpWm/6wRZQgOVGXar2QMyeSjL0r
EFyDmxXhyxL+MeEWzXrKJ52fntPuTDO3T2qVIb4hD3/bF65inSJHRwWiQ3hE+miajUrHMueXvj6v
uYx8XHKCXQC6uibapVMvHmsFoYCsHGz2eIl4lLZSsbyDWUCaIG2yyZC5e/THXWlE0B5JE5Q+fw+T
MI93G4icbMv2cdrIRfjntlsUGoq1fFzN70z3J141P69+Z7sPVOl6CC3zuLjJI/mUk0dRofCQ/bDe
MrzM683C3BitwcvB/HBeBuTc+zIf1paOrklqT0lV3rlqFCEg5i3eyl7x1p5vGAR8bX/njbl5Lcpc
pRI4qE5AIYxzUVCP0vpG+2BVKKi1paG9WDals9rYtl+safgLnhTje1Nq+yCHUQX5wI0Sov+y0kp+
4l0BqxISabz99u/dJNq9oUXBZaz9bOvyXrlu4cZEzUwbCeGTv9NjNLZkl6J9VGb7yTpRD/UW5HVR
U/E/7kXXpdTbNkgBhi40oaYy44Rn53tTQWYy5fmf9xkZMudaO2a3+wxR9R20cSaZ5Rx54pVI7PCo
O066UqtyfIQbarov4zjfjM4vH+5ujmiC9UDIZH/vZybvy63nj1QLzxci54UkCeP2x1XM19N7QuU7
6RGmlCeb0M3ZU7YDPd9kcXJ+IONDoj3d14wTPbjAbnFuW71ZdVFlH7XeqZ8V+NkedYISKWqFz3fT
1Im9V0Y98g9kRpQ6c3fCT8VZNnreiXNfwGZOkOYgTQ3YFKoiZv7mxeWXGfOAnLbYvOoB2ij3JM2t
qcL73xvonptQitrT4K3KVG3Fqkiy6ZbO0pB9r73HejcdpKljGyXIIpUwHkfO7t6VI7HUkbQmNlga
ZNVWa1IREsRQP1fIWKu1uXFGjS9HKT4lmo7kEhiuSxE2ZX0/BKcSXlpEDo5RfBhVXqOjQkBiPZTB
m2GPf0MO7F6rXg/eqiZ51WBefmjmnrDdUxKBRZQ9U1PRiYP5h1JIPRyUx4n/9i4M+pHgXzIdgNSN
7HnC4lx1lrL3yHnf9CaytqMzOE+FaX4vJnNnZcivO3OjE1G9N5lSwcfolHtpkoPSbenKo2gOJC+z
Fr8Py6V+2M4kAZxDLvO9hx1nV4xxcanUPuPfVio7o7Pcp3RAV6miPuaPcoqgRMzsv+PaQXDAHr57
IqX0AqnMV8VLQeEVSXUFZJPD9FTcetuc9jn66I+KLrpHwygy9kKKtytnmxwQgAWOsW+SLHIM7cQD
xtibrZai+mjk7gYCzGyTAhf2t6FNNswK23btWprwtxDS+PsybY0V3ErFg6UU8CEYoQV9by4usjF/
HhUtWSvT8g9lSFy2bUZx0RAGald35xEoJKm8d6IN03WkKmuVmyJ/I1STnnNULde2XuRvHknMowH4
Z6NbEXotiZbsp67ruW3zizHJOZ+yNurWUxK5Nwr6KT6aAmPTDMX4zRg+C0+PvgeNq63RbmluSR0b
F22OLAu+PO+eg9ACDmmK4kUP4fu1zNB+rM0y37TzFlU/mV4efe8qgCyVIJY8tY24jrHlA+Jg4ghY
VHTju9HBdsqtV7k0ppbc4Nk019Khnm4DGAPIrSztQSs1fwebMpUFInvV+6K8OAUEy0HjfNaUVnuU
jQ/vxeOIcI0PXADuEezSVNgOwR8b7adw9pADqakFUGs43MB/zvc44ZWK/20y+Dp3p3mg171HmPSI
IM8PUGkae2B4FZm1rVz9Pj8ou2NQRNF91jLg+Bszo5ZDnlmavY57EJKs9kHOlAPsZaOdhhDIL1eT
+vxLrKa6SA80F4XHJi89TtPoXpaplaeP63HS+t1y0tHNq8NU8ektpxWo/Tyg8CNnDjw2J9/VzrLQ
wjLZBrkp0AlZaCHJv5a6C3lE9VW0IY2CFg1lmqjqWe07cdvvSWX1BDOH5og6UEv5S9Acx3Eip9+h
fZH1VnzxGjG9DqkDMmEaBnS26Fqm7h9iNUw2stuYiUk5p/637AFHMZ6bnG87SavXWTbkNauruS7O
eZA91yC+2swVZwjjPDmFkR3JIOuXGcl5SUtVB2fEy6dotZ209xZf6o08LNiJtFSruXyd4qmGhIJ5
XSE+aymAYj/J9Zdw7NNDUacCOhFVfxFa3T2X4g0RIvEiHZAapCaGF4Lj3V+zo2PREvmXXS9mDeWK
fOvwkrg3qoDCjT6OgOujNph2ntPD/0MBbV3443nqivHMNu0pICS3z6s25/Gk+wVaSfJYOi2NdJfd
ym5V+KibbRkP3zRQNEd/8GwH5WrK4ykxCnlysjMa52oheeQO7d1vMWk2N/2wV8MV3KYx4MKuulaT
elRRJr4ONjFCA0oxdp9UgMlGDsij1NWnM6DdzWKHT+qELKHYIz0mXgL4pVA0s/V7t0609myJAI6F
qdRfpItP1ZoW68WjUtSkfFJuFNQpFHOFmjhWdkfditldXeQAn2HPUp/jJkPwzX0wh2o4to2hXgC+
aeC/W5VbJF3ZVOjVnJMiXi0m6SF9pU12xz46lHWXbOrYj0D1Jtlnq/wCrYG3MUwYUXMvLyGJHDvv
FJn6sVIi79CXCBoloR1QH0TGS4nD9rUC6L6yMzN8h7b3UJVF60Pw5a5T1Qv/zCwk8cj6JG9RQwys
93RwDSjjHgQsqicexvG11fM/EIBQLty760+ARYwm+1TOx2qP3EpfpS8mb6yfKI0+EHrki0I136fe
Cp6cMusQimNMDMV3MbTGVc7zeoXEUtskFzlIdaBC5W6mneSo1sP10OXQ6CXNplLT6NXsWnJnvq2/
tRab9MHzhq9Z7f1pQPf3noQj4tCa+Kvp9K0d56SDwxp+toEbHVJ3JBNrOP9GxMParur/jDL9VSvs
+ptl5clq4p74pTZJpA1Vrn/yCmEAmgmTl7FW0Y3QJv1x0Oxg5wRVf+PR0+6Hqm8vqWL7x9TRg02T
JK9F5IiLbGIz0S/9/CyUXYAOYkX5ervNZhdSFP0WnGkIINZteSdyv96L1WRlW28m3TFXrV9ts2T5
cYqNr/1c6FROccmNQN/BrhQ+yMYeFaBgg3nmvwqWCQIgQUS28vdUfpneBlXyYWumCHJJ7wCczEHY
tp0demdKtmPWv0GrlV3kq2o4+mwA2CS1Kb+6tTEmDh6VvZGjsunc5k1UIuOljlJTy8wa3r6SGWQM
CDAvEutWOJqFFnUXf03G18Gr+HSKSLv1jvVQjkr8KptRGPvOVyvEUjD1ihjWeOkH6Z/kZncgdSzW
ctTjjvk4hf5RDkqTaoe3NCuUm+xRxY7uX58a+1yPkj135nRD9eRwGwxKtqh9NNYeN9cb0e3hRtaf
gvA6Vd9VtR4P0iYb6VLDCX1Vx/fFnOQUAsoub6iw3IkCkXQXUqaVNMrzTB4VfmbidTu5yP0U8rCB
sayiPuULZVoowORRAwpmCN7Q87qMVud+a0QEFCXJ2ptvBMVNFTCqBkngfisj61xOavY2pX1xaCw9
QfZAy7+owLaQ+3O/5Y4Tbkx7NC55ZthscOwQiHNlW8UqmBTvIOqg/mpF66bqra96bLZsbKpwJ7uV
Zx5HiL1eDa9zz5oONE/a43wE5UJs+jGaBv/RDPMZ3+ZZX60x5Y0nQrc6iCzjtQIX0cJl9ZUIib/r
y64/yPmA++0s6r4SPkPbwG3EVs4GenRJnPEvJ1S1vSfmXYQTpNYpyK1b0/fVQ5/Z1UM7NxOyiGfT
n5Cjm92krR31+XE0nsrWy2dMJ6UjRcmXhTKOAI09I7sEdriXK0VJ3/GeG+rTBeISFEj+WViOtlPi
X8Eeb3xDe8x6SqqKuUJzasa4hpuPSk5VgbWJ5903qBrhl6rmYSOrA2jxZclnWir7UdPfKEryr/dR
6bj0zQihXfZSzx/n3pdR4Y48KE11k8ODPLM8lI0JSvAYus5Jni2zFU4sl75fTtFR4RAAoGoM0hdw
DHB1cl48F6aG/YTgJSbkGpn3yyH1QkSqLJdq/DJr1pBmgBYAMfEoeqd6ZKNIXt1FexUQgeIq1Vq1
GrGTXvFsa6FLOFE5+Vma7s5g+Z+sOqnPETWRkFs7brirahV2KrlWXAztgx8/yTX70AihmlEf9XSI
XhpVozwdIIAYx+hJs62z7GUQcDzkhngzZr21FGqWa19Q6+07Ar1mxzO33NqmkzY3hZRilVqrPRSC
6UoOyb4cX7r3YTlyn9Ta3j/zpasc+q1/nohPoVEA0nJ6/2EqUp8C5My+zYC6NDR4ZmKRjWpowcpS
xvqgdw61N+08oe46yKus0gS9RPc+omaKfiJce5XzSm0IDDZpDEPluhuJKu5zsHUioHRQ8139IHVH
olmVZOA1ZTvCD76RXSlSMrQjGN6y+YRiPaiFwqCWatYC75RZKA2UQAw+Jt0oVV9fgqJufhyGRj8e
M9j/gYgwPFppTXY+4a4pZ9dB2BwSY0TterbJ4bunXKjkHfN/1KkK42P9i2u4miUctvVgoAyQ5R/A
5E2eNyCgQbPNAXYATsZz0RfGs9nAnxew5ZI93QPmpIfIaUoPY3brOqAmSq0S9JwndKPmXpWmvMpB
6VZWBKQzcp7c+wLzefKj6dkDg/PPOdTYELtAJaa/2CLLOlfQJN3kMv3Iq2vZUfc3jdx/KdgCqhKS
puFdEswIoKh6ZZi6+ZJZ5iN1XenNLxDBHhNj2hbCNbZycOCOfR0j7TmKjJhMNKILi28SIdybOpG5
rQZEtKVvj6/syUa1dLDlbXqTvf/kb019Mv9+9fva8sSEfrmOsDShowz9W5d5T0aTEnfxp2fpIK/2
57V/mCMHf167IdcX/7oWuX42ry8vrY9G52qn+rOcKVf7jb/8W+Xgv/31PLd2Wt2ITQaBRxyZPz7M
5Q/+zaSfH9Dir3nJtG3z/teLMrmo+yUWxUjATqVAQentN3eob1EdZzOStniDLzmerf9H2HktN45l
2/aLEAFvXgHQi6QoiSmlXhBp4b3H19+BrepSdZ7u2w+FIGyqJALYe605xwwoJj+SzPki1uJQyU9x
QvajpCXWF/7Ldm3dGRuxV8mJ/7UavV3LgMxXU/WaRryp57BFtTWV5LO3YwB7hHfKykQldZInIRJC
sU8sQC7/6kdpfhBrDsFQGxXj8cfZnTwlp0wtqJ+tFxs6tX6WGfWvK41W0RQeoomiN6NqmZMuldop
90BrPDrKxVtNIOuxjxcksuvqZM70+7U6PIlVjRsoa6LyS7Eo5lnTpRELcpC/hRYR93XU5XtnPWtM
6keeOtFTznfgZiREXBNl/6YWmbWrmHBsxMXS9UegYFpd7MlU7ssIh3q9WPvvP8Kw/ggqMBdEZ0Gg
IVU327WntIQaL9pAu9B7vIeImw9irUN7rKIAJq3egYOMsHpdl80Fo6Suj9uyBxikEKcbi1trjLNm
JS7EJxFGj0vcQBI6SmsPj3srarvberDYKTaJE6asinH3ckRvV8auiah4fp7Q5RPhIhUm88GAlzOs
B2vrPR/FWve/CPL6H2ArRTZ109R0TUXHqxso///9eWiUqVLGweJcFmADW3mISbjvSoaEw7owA8M4
abHCRvHxc5EG3Ws0M/oXm8TB4jSx+o/LfJ7xcRlyjF7hffx1ntj7ed5/Wq0Ce0FwPPb7USWXtO2L
yItlo1cvU2m9F8mk7gZlWTpfq0DPokLMznEddqfZKjyx1qshygy9ycuPkz/Wxa71Cjxi1R3KcpXs
gPUKHx/FJZSk8DDAtOolobf2cbY47x+Hf/6r4sfRJXX38Q8gRiXbu0WXM/9N3xC95M/m82ffGRpz
tqFvprt/HPzReBanVB+Ajr+P/LyYtUIuPlfFJ+K9o123xMp+MtcAanV8ENyKeKVVCGQFU/JtUHbj
g9gkdv6H7Z90i/X4z+uI7eLMv69fCBqKuNB6rJGU+pFunhvqS/MA07NisrR+dALM225PWLvRpNox
WwcSYodY9HbGXjE+yMy579wGM4A48B/H8FT662Li7Didfv//bWcQafji/wOLo9DFUixuD5WBguOQ
YPzvN0YT8h2Lc2e55mtvsLTL6dIQfC5YM2IhODNRN0veZMeYDBbsay4esY/j+rXe9MdxdVRpG7FN
7JVVZ2Jy+c9rip1jRSArxc9XgmT0reBAiIXoHAsQxBxfmrbtz39sFgc0+lns+2xAfx5ltZewi/v/
yKD4L9cUJ/9r38c/TkI0btq+24jUqZkC+Bkd0zCg0BQrH6lVqqRZyJAQQPVtaQAhZYzii/0fp9l8
C9FpllHWL67YFFmddXbU6q8zPo8VOz6uugqm1tPEps9/X3zSiBGQrf4ahNErMczBbhK5C8nK0yGS
QBTWo9eytIJd6tT0HwRaTCzWU8QOMZXRRH7D35cRFxCHib3/wJX9fYjYK46b4MqFVPmSV73GOyd2
VFId/a8H95/AFXrcmqXp0MQM7BLa//l+rkrZASG0/FCWP0SuX8+zAl4xC6teiZ+f62kM+9WMq3Ij
DjQR+P61W6yLc8TRf1wH0+7r4Ej91l59iWJRrGZEp40xK4p1Y2h+LZQFNmLNEjuAkgQfR4uNsrA2
io9ioWdUET9XxdHismKb1ZJcD5Nq7NttqUV7Q2WAZmeSdhokJ7yNAIkI1ZCRgxNKri+Z8gy8zTgk
VhNuQ/p/73LzLnip//VE1Za+Gq0h/3miZLyLC+tlqfpEZRNnnTf4MSDQf1DgBWIitUFet4RFf5Lg
eb3CiLc/littfj3GbHJSpdc1caATtXLvEhtpuiUvNFTEdad8/+OZ/dcTnrLItmTv52MdZtLWIsz3
IE744xUh3iIqOQ9b6mF/XlIci0/5Kcd56mtdhAutzW+A+2tAGt0UHsYmvjVz1xpHk6bi/+ANGH/E
cCgYIxV5BdTZmsyX1Fqfsv+AizkaX1NTqRDMdFU3GyeALMWTppSlX034+5qoSHCTTrL+VU1NULgE
MYqFWq4upTqGYCI86gG2X8LzGC19rFd5G3v6536xLvaXej2cu0F5d2JeOHIWhT+MY5ws+Y9WimJ/
sjPErbPWnv/PfrhTSK6C4b/tR1wZ+yMqh3+cv6Rj+IOwqvX6jpP/n/0NBfWX//Fqkv8wRCsMV03o
f6bmQPSSFeMP1pKdBCmvhoy6rNUHu2ExsrNiOMSwQFwRsBXx6e/tZddCKbNjZ7gM8bdQ1+b3Pq9O
6Azzu4RxiJc06gyxPQ750lLVvEcgtv+xPVuKj+NDs52JfBsJCIny5f3v48X2yq6p4MK4eusCeZLy
zSDZNXdCrL1actBvpGKO9mKVTuv3dp6MK8aS4p4u5BOuHY5ylB2+E22KFelfJ+laHe3F3r9P0m0z
vy9N83HUYDl/nUTmH1VflYiQmGrnhmn0/NZp3Jv0KqtL28GB1PN2C3V5fpMGSdqTOp5soOzMMBy0
npIms4m/DxOn49SR9mNJ1Vg2q+NIYAltICcvf7Zl2Brbypl/WfKkH5woUJ7zTv+K2Tr+HhoxXO26
CG+LNukn04xVv113BMb7mM3d+2RRzbTL6q8T4Wl9xdnyzxPxuusnqXUUf1mfdoH6TZxoZHO4NdZ/
Mc3z7n9gbnVH1f74bmkG3y5ywbhVDVXWQNn9+w079VNLydoG1BrBkZPm1IOvk6BDmwavIljsWNmH
PioKMC/x4DlzfgsjPJVBqUt+kmvRdsGc5Wp2KLt1IJebON+UWnnu8lH1TTPrPEs3UIA4FjZP+TlF
nr0PJMdVY3L1Eqd7r+riWy3l/UbFPkaPZdhSzGn8SJYQ4hr1JppVcEojeYuDOng1WsRtpVrfLRPN
L4nFUGY7B1BL2b9YFlnnlTRUntOj1c6HCdEDTC4ePjRhbfBXY5q71ZxtJjMO6amXR3JNfxWBCWy5
t3RPSiPNDTRnQuqu7OVpiNzFCBM/srUrMnisg2PfkyWZHurC6s8Ad60dgXd3JU8mX6Ed4g1WSkgi
IXWFPNzGfqQ+k9Q4PhBi+Y45Zh71X/g9laS4kh5BB69pJqNs7faJVN+1vBmONgnmmubWvWnyMDOC
3Rj0B31MvtujnPlKgvkmBWtbWml8LJzxBL6LdEHbTLYxXtbTXKca8zlMlFPZNkxN2uXRsOlGYb6O
BzRcxmLnWwJYgyz44Uw5PrBOeZEn+dtCyKVvDsFZ7hbPzGycdZKB0clWDzE6fiby6akmCMNDphFs
NXqj926Ul+2c6LFLknkET1qznobCuJsG1hSYAjptOKBVSex2zfRTtRMqFvz6W0kPQKh12rbrp30H
VzKw8sMcaS9J3cn3ONQMr06V4lBnpnwPUMl7fRM9cY1su7SW/jRrWXo26vgpHmiVh+tilogvwCTX
73Cw0z5XGvVWWTexTxw1AxDfQm29N1qGcK6Oy8PUZ81LaQT3xAmS78E4za5ZlAsN2YgADQW7hJ7x
i2fQ58bZUr0PkYFReGgMJDDZ/CxX3Ny4Ub+3dI7dFsD9TdGd7kTrl0TA9ZKgJ7VUz78lVSNvEKLV
RwBYxpPaVr/FleMOTMRURfFThQCaKetSbsQOcTZSjxKHXW8fI7oRT0tfEOMoflIj+e04rfk0SDyj
skGDGglP7ds8Hlp1at9iQ9qAS038hcD4q9YPwyEDx7KTq5n4z9kA7iDz09FP9JvAMn7xLr/XpT68
pmVrIscqnLNCuPexTwppm7Ry/KxbjkJ1Kcl+1sarNdn6r9SSfpdGG6zec0R9QF/xnylf9b59AOwc
/JrUgYJVM7wXpil7oHaHR6QG496wQCzUcWJdp0x1vMYxZJBp/YM2F+V7xsQwSRTwmlWXlNdEN4oN
8J7AK0OlDDedAy7eRpzoIr8ur+IYsSgQ++21bPop1mQzWPB5qH692N1xYHy+D2ylph9kzpu5DJ0n
HkCdp7f18jQaTQuQYMmf6YB1t2HEILquiUUSwwSZC6nc5YGUPw9LL13wJBzgf5qlB2E48XqQ5vuP
M3hKPIT98vqxlwogSVlgxI9iL/pZ9WhoS+0Syr6hitU9Q8bPILYDTaVWXr7rxUKCkDO8Vj0yH9mY
+43YbuTGoRiK6h7olPnwrY++2O440zOQ3/w5WGzQfWateGZePKdFSbqFXoV7S5b151qr8ZwbmfnD
UAAWtI30qta6vqHLEG0GLZm3ZhJIJ0YY0omQBen0x6rYkTg9xcLE4TG/HvJ5cAIE5kFsEwtwJZ4N
ssReg8IKBFDUkmplNE52i24SWVTPIDC+RjDJqlmNbmrRRLdYjpn8MpzaitUAgOdNyqNg09ga8oSo
zkIPtvm0yQ2NXN4+3UXpEpA+V5mbtrbSW5g5sm8pxfgM7UH2hqIJvyDDMl2TivjbzODCVedy/IaY
6qWTkvGn1UQHAJknLLahsrfRI92tLjog5tXvlRznx97Kko1kB/N7iSzUbrk97IAbAM2ctpPiqXqY
RyffqKaqumJVn4vqQXzq8hLAj/goFs56dIx56Vhapv95XLmYKxJIyRhdrCeL9c9rgT0+Q1ea9kFn
kpOqShhBTOJMOjP0GrD1ABNZZVaBwYDqwX0um/Q4JIVBA86Sv0ptlKFKCNNHLbOrR4vemNs7nbP5
+F9eqlbZdDJzxCoqhsdwMge6Ru1ARLWefJuH8SU0S+3ZtHvriOLK9uO2Tr4VpsWb/XfN7zx8k3l7
x6UUP1ttPzw72NZrJ0xfpai2HshzmZG24lQvl1rdpUsxbMZGT15icA3VGrI6JMNLjd99L9b6NXJV
fOI1w30Z8LJJglUODGvpOU9DyR8UW7+CkEgxKK5vc6qjhyUMisMY5zV4FmSx8L4lmM3RLJ0tmWjv
cEQfIVbBqd+iMYlu1lTnHrTLNdxITul04iiX4AldirZbMCoAPdajiYzQMe+3Y6suX9rCjH1CqJqD
WB2YIMPwl+wHsTqX2cWYx5hJKsfm6T4aLfPOY617Kpp830yJ/AWlzNca0BU6Pl0m5NGisOiOOWTs
lbErpcUrDF/zYhSydm/6+HUWxN2m0O6ykdKuy99VHIYHfjENGENzOes97nCluy2KTPNHlS/VbEvP
iQIuh3BQe2vaZfiChqM4qWut2l5XxSFycNKjJH0WKzZUJmh9EY7K9QCesc4O0ZzEjcnVwI3Qn0i1
nbiYOMJetHvYRPJZHEB7vNo4nV5sxWozF+mDU3TRxz8nzrIg/HSt5NyCpG8plgXRbiIe47GXZl8r
0vSSShNdmHWxVAbUIJzMO0fP/9pWBIQeghFOToMtZ4vPC8R3Ynv6a5VoBvOcl7ZJhAA18340ovA0
OP33Ks/Bw0mNcdYSlXQFwHRUm5DdkJWUn8Q2sVeiRNzYdrh959kwX0Pyl66WMi7XzOp1LGT98XOT
2A4R42qFIUixt9ypLYaGbb+pbUf+aSvqu+GUxdcmHkMsJlPzksSK7pulEz6ubxkXDtIlJ8T0Aa5Z
91Cun9p6Qt4t1hM5CDaT1SF6+/sYsUMs/tM2R2UEXWJ+8v/TceL6YocUyd3BcYYS5ih59gGS2pNU
WwvAl3Dxl3VbWzbdAQYXcfRy4mlLUm14x3TnnnrfWXwaKv2vT1UdKzz1EEuKbU5QKpM7hrJO/rEz
e23Rh9eiGa95rwwvYlHZQB3I7vECwPBHARLN6n7yl8WQfVkdmaYKsKgqL5Ov5kA0BX/Ulu3Jo6EY
HhCX3HUtMd9bvl5uh6HoC2Cd0UvQgjyHnWz7VIpLpAXVspVltSY1GmNVfii1+Ge5JnIRjw1Oey6i
j09iVSxggq+QnPDn56ZkPfZz9b8dlvdF4WldjHzPHqYrHuJuix8EJe26OifZdBWfojjA1p+Eo/+5
TVsP0Y2w9zJ9iLfpkKemKw1Q3cacb8aEZDVQmd7imtHun6vqukqszORWcUEM5bqK/pOqU7emUq6r
dHqOKq/BL5FDx0yfTI2RdaR9rXazJJlfJxU1O7QDSFnDkO6Hvqenh7LDWStWwZqTKD5REqFT09rM
JhikeGmnwl1oiFSkcVeHD53dPORqVz9+bCsZAeIgUft9M86l40aapB/sPPghjknMkX5n59itb6rj
vjXaySeUt3tLyjD09C7RHhpya18d89Fquo5s6Do+GZKuezgC2rcedJXXkwR5EnvjmnpVPr4ajj4+
mJReP45iFsf/yRA5B4AFTBJnZO2LcxW/kr6DwisVV/FwFSv6fE0HcEiBpkfbYpHVTR6p01sEL0ct
0/mHLKeda6Vy+WQaUXHgKZPuJtNS7tBX7uIINQ7fMSzbL3ZRzrtEQSxEMET4LFtW7vZRPv1oAvVk
IwR9pUmabKe0GYlUTsZHiRHa2kH1076P9kWdr1KfiWA1WzJO+bhocDjGpyp3mkexNloPU11aG3RX
89nq80fdqMabFdfy40gygDYgF5CiMsNSmDuMAs3JCysL/WxuejxMdA+S/27CJYRXIcBJkmdAEaP0
h0IPxivtot0URhC7c1J+C5bR9JwsSje1qfVerWmPlEbCbacSRgVBht7w4qsL7Z0prSe3l4LyAa+W
JiPUGZpoQ+Uj8poERH9hq0cWlyl5iYJk8sS/r+Vu12VElFbbVNLzTQSmlr4KD8ZJD3UvNKXRc9AR
EsbcekaOW1yZCje2s8kbR550PTzopVLQtYf8sWFhBF41TP40AMDuuEoYhiNKxFRygV6/hUqYunPb
vaL1Gpi0qBZIEtlPFYJ5s+8MRPDHmxKeAZl272gsv6c5wrqD/sljFn1LBzy4WgwwFJ8MZoZ212jd
47igVwFGfqsV/VpQHjjY8a9lUWhK5TD1pgE4T2XlT5ZxDRea45qZ3kp+SMY7r5F5auNG9WbwU5tE
x9IsOZtakp/y0Tr1tnYjs6zyEsyIble99rOkX4qStARl2nYkBG2L3OlpP48wTIafTj/w0M8YDjvF
Q5UZb1R3LH/olF/0Y74VDD+9KVcir67BDaip7eY2bIKlbEcvLpZjFJU5zLYEOqFeIToJT50KJkia
KqTURf86BNx9mY32vEva45S01V6Pm8nDy/owKtF4akZb8kg3msBjemYHTaCtDaRyFiY/xPA07PXx
mgwyrtaSMQXy0HaPR5J3YGPq21RWnqUcp7kxQtxP+CV4hV7tLcaJ13YaXltCiHcwBBWoQgsGYoY3
QHrMXZZhiZ/Dfq+RdJnJ1TFy+m3U9s0hW0mixbrIMD34Ea9Lb0rbXYDW+XkaEdE6Ca2Miaidvvhl
4XV+rULpWQrOVp2bN9lA5z518qmiSFU3MU8cSnzbMY9/rojvxugemF8ouxZ89qZfKO0ZNVUyciYO
M/wxqjhm/tXS8h2z/2MQpPlveplSTsy1I7dPTcDfVFqCqwWQ5slI2xJi0IutwbHUczvmHijnB0NH
h29OZee3nZ1ftWnaWOGSb5qykHn01V+iOg098p6dPXRAye/qRPVjOY9OKULgZ3OM+RG/TFgHvhBO
0cKkJYQiMH7wb2pfu3UYljQ9I/DciL1E1YOXXp03Dnba3aiC3ZO1UXvujAOxMCY1m6bYZGqKX4Pw
8seug9dgx1D+Bgf6o211JFMY2ZaigexGkxpfWvTcJ5RVD/pYx5tyDRrIw149ikWU/Urg0x31qmog
PiyA8vPenRzthXiVeC+vsXCNxVh/hsGfj9nV1uOjbPAMa1O/jzOsFOidvcIpYjcZzbXImGJF1Txt
JiGOJGWUGOYatAD7Dmx7oxSEnqvaW5INT9YUPzrSUm/6UTX8IpVqF/Z/fiABNnfnMOT2j6tXnfld
aRWla9VL9Jga/qSU9t7MebTHR93UncccSCBSiPFrFg3qA3VQDzJcf87UrPKWqm8BWqYx5WfjycZb
P5poZLVKWZOiZeUUY7JyA0oiRV/KnkJU1M4saxTtpl+0SUiPtEQ4k9BcSmt5cdXUQEhVQS5ITb5G
ocXjCuftrlt7fE7Fvw2YHhRnIKF2EAtS/BQo9odKS6dToVr1SXnv6u8k5LUHbb1PRp3GXQ1mgic7
XrRcLS5qVCobOFHoChtQ26mz3rmmTGJLOhH2QknwYqmWdJmnXvcoDDIzys0XchICjBX1U2ZK2jWZ
mE3EQKFmk/gDc+ifFdMsrmZRAdSd0kvIzbzNx/65Xjl7KveIDggT18ux2PRK/WjbUgrMC49+EPd7
qynDk7oqr4uuAmkFAdfj0fVNnUGWKVkw3Y5yQKhP36ikTXRersudhz0PtGLrJF4hqb+NMIwewiUp
9sOs3fUiuae9Gtys3sn2jHdar5yq1DcbJO0zU4kXI17uRIPwl0v5+8I0CcpCvStD66Lzjnaj3df7
zDG18zDrB3OWbS/LluVxnpJ7lhlf1Bzbw+pOJwhTmwHfpV+SqPlKH/Zgjn3tkgJPnCElqBndF2UK
F6l7sTfHcoHV1cNcsAPKdHwLKfu+almv/OjM+NxJ9fC61mmA30aejHn8ieJg7vddqb0UFaQASf5O
N3OGdak+0g9NbqYOkgDj9Hww1tUMu52FkHlMWt0vExkyeUhm3LxAWaIcEj/qRyLJQz+QUb4qGPVI
2Y6SB0KXXXWh7Zpa2WmJJtj1MqVBG0X0kHhxSbU1W6VTYmGbyhkFRX/sbafcRIM5bNQ2+92PCHbB
/t1Xll0x6t2xDldIo65DLMRJSCREwBO/SVy+uaMn1e1bNqqZL75PxuzndhcwW8I1BWeV4pyRvIz1
SNkoLDHHBMrZyHjV65ak8/tghJtFUXe3GEowweB5akc/dQVnwWRV0Jcb1U+ThtpzMxgYFWDXlI25
5wtHbqK0OPg25sAb4IozMi2Ks5GWxSFu7Guj5MN1WHUd4G61XSk5207JXGMa7YcFTwww/eGFd6iz
NQciXaMhZrCwLuxC0zd1g0hZrDrz8sLvXD+EzWJcmJh0O8aMLn9g2mO9rN/Veq0/hD9Nk9ZvUC53
onHKq0VQAojmrbz0r7MdBteZh++5GnFBqLSEX/VmAjQdrvlbiBxfKStgIKtCZkjNvJEzW74Xxi8t
HO92bQ5PcIU7WNB0/rFRukxGzK9wnQHSLKq2V/T41SEK4yqZDVfTgK62GGdNeb7UuvQeExP+RZUW
Go0hImgj4mE7y6b8qMqA79U6mE/qMPXP6tDzPgGoaijlTHGj8CJU8y9mDrKXUvreKHMsgaY+3np0
26BLonE7Z1bB39CediF41JckCapjxf+Vi8/yTsdafx5aSMdjvDZh8hoMWTlWtMN7C/BkR9cnGigv
68MbVedbqCrSrQU8sG2Hqd7Arzpr8pg/xE2ib8xlHS/mLXOYjHemboxbnYfEmRdHG8SXmk6e2wWN
+qZlg05vpcZ6lEybqhuVNx19YUkk55e6YpBOLmeCmU7K3NHu9C/UOx5z3kungZ5BPk0QQaVwPqyW
GqqQXes7dbT45WRbm7CpXxKEOhe97leQOcCEkMHEIx1dZgEMrdtW/Q1UpD1UOalii1qfxCJMtAKz
S2NvcfroF0QVIESrXnKzfOk8x2CIlzraW1esTpd424I+frASPXIR30RXm6EIT3WyCLHTG/z4sfqg
0vOadIfypvoUqba9lWjGn8pu6ADcZ90lXz8FcmL4ht0yxM7S94xoil0VBsBL1ql8ayi/i9lhtE7V
f1MEVkC0y7QW0FfJXuncaY5nK5fXxShFw0W78O2SLo2qBhe5JEpsZBwKcGZiMBHfJ2UynjVpyp8M
I3FbHVgjT5QJVnDenPCY5v6YOuE7ytDvDb/4PK8Hv59la5+VJVpOmdQpM1teSes+Qv0If+bInPOg
/KH2FByiOY6vlhOWvrUaRzszkF1rMV7GjDGe3FnzYWkdwMpKQ3L0wKgza3R7L48jDN1RHw82qJ0j
cS3ZURusc9HIT/VMqyDCPz2EmXqdnHZ8NvLyGCS85io90j217w/KlFo7tPybwJlOab6MUODV+qjX
pbYZkpTRw3Kd5qTjLZzYbju26EKHID6JT5UN9H6Re3+w8L4N/bBPs/CWVVRvEbATSqAtLU8tCmOz
Of/AmrQ8GYvlEyY++zPXO3djx1+dXi6xNPAmU7zJva6UG5KIQYF1Y4r331H2pmNVZwjIWz2xYM1H
fI8Na3kMO8ZZyDX0U5hLgFZ6ozxFMX+ZpZy9YbHbaxYEL2a6ZG5Tpin2f2N6DKGgHEu141W2LJpf
m4vNkLtQ9jqFaG9mpuEn4wYe/vD15wgKwJLnzp8sOfGl0KFDbFm4Q2L7YgFi3RJ8tYs1PQO5ld+6
MFYxZhT1NlAy2x1bBDrEWxd+lFA0n8IBD/vwOHW8vy3Gd2ctpyvAwIfnfbO35iE6EBq3URudiB1p
IsEwk/nFjEG6Tn5NRPYvWt62+6iEKKAlZcpEHGTUMI/uGIXfFY3Sta3rqV9QQFQGyosKrGhgIg42
H3ve9kUn+SD4yguP08jjiz/QaAkaXzOsV8kAql/NDqaS0EIZkPbpRlHRrEYVHSz8jo95BZGH1hDv
ctLhthgRrpkj8UqhGqvO3eS3ZKy0zXRq0FB3mFQukkE2RZA8x2ZgvQZ6dbbs2t6BlF02tvK9Si0b
yBpdbKK8gZDyJt2Sblkk36eIyoSZMl51Ujk/z53lUuevvA4w0jYmCaQyCiIPKTP7VTIjv1wrGct6
EsPXzCMsfRl0ZlvvRbBgb5NxauvN2Ljg27dL0wGMRE3tjhTKQXVG2yGMUt/Gh6Ki5naL+p2JXECr
QrrOnQErTQVpSJIDjHCF4rt1Q8c+HezsX3F/6Rxs0WkSiMfj9VFsVwdwdToibgbDDVm36Cx5hCC2
XMg1r53m0CrtZpp1ZiNUTx5B+NqPPEMKcJO4Vot+FwdFQweChvJSAwtoEXo/IhccHwndoyKfy+PX
XMbZH0zycGwVW32Mx+bZmiG9x+NIDYNMiGLqMkoPSrMNo26kcV2Muzpj+gs5lhHpErfumDIGiLIB
AE0RBaeh6BtfmkokSFVwaO1W2eVllHi5rV40ow89uaKJIiMvl1DCH7KyuKVo305gom+TU2Q7cjEq
BulrWatPmvZlLgcqeHDdTHkyn7OxnX3ZLPObsRTo6pc69WZ5REdhGzXsNPWXQsY4vf/l68Ic2G2y
WPf6oQ8QmSzZNlH5o1k0uRi6MDFnUgOlaqaeW5WLTVxmIV01s+CO1MOLpqA6QhAb8JDWipuZzD/y
MBgfWsXgt4Pw2NXpraV4+BjOz+RS2VO/HRoqPqNjPNDwrM6NUQe3Moxy3ofBO9XbbAesRGsRoOUK
SAosw06tlF+YuRxoyeqHso8p28bZWS6YQ4e43h4ic5Q3TgikPjKK0suxkx8x50duTu8EKhQN4kGl
SLLAkKIPvhyzOukO/eJ4cFn0LwnwZSpBC15iCmBzMTHx1O/95EwHmJaOqwV1vZeGMtphRyMaubgF
86hRuum+lpOTP9n5AO5bpTVkTtL72HRfB/ot3yZrpvrf6l5jxt2F6hXJKq9MNXnyG0l4KGsbq3SG
7TCtk+EBlPUa0ABVQknD7qHjvdY6keT2fBmOGS7KTWbkFVwz6uEa9vYkk2gyIwN5mIKYtK3109zw
GhiTctlpPZjpoDuBOSQBAB/BhpHvwLtnFkkelhtwu/plnqlHZZBfHKmq93q6eJ1cxQ+Nzc8cm/U5
qTDw55FmUCMst30EHckyB3zoTbMZJmbKSj14FG2ihyKdBoo1ztcuiQtP7iUGihvdSV7DDPUyvZxt
Hn+ZJFX2OzBu22aY3sceqFUe4oMGjO5IyVszSeF5BWv7lMPoEzL+PoEHXiloBJx1leFxl8We2vIn
VSmBjtwsWuVFiumBGA73FGHQUsKy9FQZDkgJBNlfmtZX2tp06ymPDmAE5lPNuLFPS+O2ED92U2Hc
A7qdFyLdLHWn6rI7tEZwoiN4ccohukRaEl9KMLxMQPtDsVTWlujIN01K0/Og6ukZ5eS8Des+Wp+P
0jHWKWJVXWP7ozI8N4M6nbOWtv1E+EtntNoW+H6EZH7rYGL4otnNa9i05zGKSTcI4CuTt+QiDpA3
FfXhV9MCud43dnROjDLeUyQvfNkw7bU/6yLyzLb2Ahzfcsq91iuy5lZ6Le0zM/9WNZp96frWubQ5
IeM9XBLbaO0L9JT9KGOH7BsmYZRUw7PVyhbF/8TwUqMEyLky5IT8vDLgzYU6eLRMTq9hDdhBI2/C
DQdDcotg6Hf0FXgPTtgETatZHgFnYk2b1qF4V9ibBIYTjvzGLTOj2Cr/j6TzWo4bx8LwE7GKIBhv
m+wcpFa2b1i2bDOCEYxPv1/P3rhmd8a21CKBc/4Yr/aG/olXzyoP2ew/TUR3UGARBxt0OlveNP7k
ZZ3OWVLt1pXeWQuLHlmB2U5ZRr2z66o81HLKOLF/cwaLo5Ix4XujfhHrMuzk5NvHeXk2CaUTnItE
W/JkMR1PwN/mM08tgEfe89YkrcLT5Lc708j/KKD6QykUogxwZXagVF1GjDw3xsifLUgvD9dvnQKM
pqwc23hdryto88FuvQPFCs5TDosSPaROhKQ8bIF8v7kSbTQvrF6+U0dB7BjHCYEQKg+Q6piAY7nP
R7ZtUogCprRkCQnHsHjzCecQvRlO7L7nunsAZK+1zoPLYh1Gt0VvnTfjmSn5XPopuGxrXz05qU1a
MPJmyjgm7rcrxPIa673XKIYzbX+5iIgRhzVHh1TF8pGkFHs8o2O2mlz8uBv9vnyu1gIOxqrULqBv
KZPBk6jGu3JHb1fKvLguxGuT2iP9cCHMk46vU6Aa++C54N5l+9Q/4vyEE1nQTvtBEdtFw9Ouy2lT
JyX9Mqp0mxVteR4q+POup0zEMY+OzyGf4ffPdE4sgJsyinFgPq81uewrONLqI/uxDB/RrllROTkZ
m2Id37qxwKE89mqHl7UFZw/6SzuV72vyRw/WdGQorE4T7UzQKw/dnuXV2A2eSlf2Jy7mmmnMuFLv
5G+bwYvaDDbJ6OWfnkMsJKKFi6Ksm30/L3tiYkn46OZsb2Gi2UgaZzYWhRehF89fzBXBwQKJIHyp
R1RXrsdK381q+LaXrqCOLkGy8IiXF5VX4v3EKW9aa4FQrXgqSru6yYB02tn4px1b74WX+dGsI4NI
8KNHUBPPJkio4dxjTVBFKtb6KGvPvvqH4MHWglUzBDetsZG93Iyp4CTu2k1DPc6JARl9Gdliw1yM
5yqwS3qckViDfOwcq83CZe4Bw601JdUitU5yWYeNUZNosAKX25PFWe4Sw1l0qKAH7+Eql0ejsDVp
ZnOzbcvROS2jz1VF5nq4lMafmgEmQlX95o3lA6lGEdKWmXzosnk0WiroDgEMNxpLYz34gP0EPSCR
9gu0k2hPt4lu8TI2VBrSYuVy4cS5+jIefd1+AhGUlV4BNV3Em2qo/gRzx/jsTU80wUatzvJbC9pN
N9EW5QoZo/Mf/jR9ROycH2NaNQLwAUcwr1UmwzZMKrxDXm/mmW7cIJ3LcKpRmaaPhE3UuNauq7iD
dIZLBEB0OKQe178zqL9jE/+g0tyL1KJixjuHtolH2GOAnMRQeymgMAqTJ2SGUZ2IeXydHiIrvZrE
4mWpEzUNm0AWLywbj5LAYv1HFRdqC6Hj2zCwl5Ml0ZG8Y3fnLk+I+seVv4+7an032+DOlrBvs7Y7
Aogbp6AoXnjT/V05DMaJ/5/PcXnpM9kcOoKUeYat7qRiXYRejxH/v0yfNa23lazfypyJLV9JciKn
4WTU1T8+CiAVvIxWf5Ke5gmBvQtbw4qSh61uWWee7QADcVp/k0NBVnN+IBu6epl3xsi4khSdjtQQ
Y3GgSGehVH1jmVnP1ZAuoNdpuRWvxGx6p6LbtHU9EflHWHAu52hwnYGkrYDbQiXfHSZnSaIXTsMg
f/RHkidkdFtVVJjCyajcK0Fi40yUp5OxUa3BjOQF5xWabOoGTP4BLvZSEKF3KONeH3QMcsIjzmaT
hFi6VSMYttMuOftZvutQ5P4wgzHZFhZZE+Uyu4dU1XcuOuugWtntuxze3ipDnOQoIVeGsppu+BD/
JDxU199SYgaOA0fARI0T1rAMvWW7HoNlTPYMwd8xtPNG5U25aSgrQabLO0ocEt2Hm6BP/Y3gkI5E
+j3Gm4ZYlELHEtoMb5irVYX1JIpb+6MNxKUIHqalF5Kvfs8sXoy9FvnN8xSuk2ttlnQ9z6rddDFG
5rnswLr1UROF4ZrTF5bO9bFVHeo22VZ+96u0smGbsP2ajulthgK8IYiTK87WN3QTd58X4QioX2Aj
AES3rAMqWHpZTpgqig2jzZNR5my+rnenbelDFuinB93vgH6ee750KDWmIMAKlYphc5d8YsfKHn/U
qfBoln93JGUPadCy77iRAwSHFLEDTw6ei0GIUHoDFeTGrxkzM6txR0XR2l0pbsq3MXy42XWf9eId
6LohlYCyHc80Pjjn9qVhPil7OclAPSM3dphCl0OlCXHC4kRlJe1qfn80LGRtZvuWZKZ7MBs/Shpy
Pd0ifu2K5aURHeSNbKjxNCkDy5erjpEbsCHHfjKDLQj2XJeDPBPyVqXrrZv0L7cSf6cu56Laynhv
UxdGLQnUSbEuTLHEYoREwRXbenVeH8/N5HBS5FlEm5igzNn4Z/4uSrIK1wKLGPoExDNbNZg3p/R+
2atFnkg/fpZd/Wa1yXtKzWQ4P1AXnR/KBgpGypmcEF7WeM5RZ6/kH/nMZE2aVJuKVJhjIgk3qYpm
b/IP5WT+KEWs9sp9cOGrdQ08kBug73Aa+P1tusuMAjV/Rr69xh4QdsMUhL2/fiYZSzqdA9+pzfPe
lUxTRQwRNPjDz6HIWLYQdERI0k7IdcYrrA+vLmiCYXbmuc0FqbXcY0sxjJsGPzfhR0vlcBdXI6BC
DgnermTmtFJHtv6b1eRNdYTmbeiszrfDTJtsNrhPypLNJqvuc9f+LFyknCU8ClpbkjGCGPGPS0ht
gAuGmNCfniK7y8nM9zqgt5NOwTelSOXMVxi0tllpMQkmMO+UHVk0rOr2bCs81qRLzQGwo1i7eTu1
7m7C64goxwmOlskb3YFyZVaVgImM14K0KGrIUaEtJUrMiv8my56HqQ829BmRTpImX5z8BGsQsxZb
KtK5IhgiNiK5yALsNK+3gMRv5H9OO8u5z+uAl4WYM4Qa/h0B6AnxfUkz8jidVQXY5dv8h20GSurx
qkBRG7AdWxAnUAasOCVZW0NCt0smEGMthN7yB6XLzg+WJ8V0fyg5OotCPo3ByO7g+38r1treGMwo
HZuIABRzv4y7IBekhuZERmHk2Sg+mZPOmjz0jOV1Ih85shxOhkm732YM705g4jjD2DdFZkfg72+0
rkVjYdQvWEhCRJPfhWv5u7QatrPJc2FzyHLtzEtkFSRLxxVG+rZ+LmeUDACD9zxFPgqIzcmqoWuy
/DDY9YdOURcYmm9goDjHd0cnhCB1WJ+NXTXov7HTjZHfOU8esRJwEhRR8wMj5nUQm0m/2CpfSZQd
L2z6fMYgi6Y0STZBO3W2+uJUBJA7tpUUB5GR04siHJXy76GGjTWCVV3/+8Wa1N5qODZIAzNhdJxr
kVw4+vcZCYUZmbUbFDhHo3Y/FrszNpDcKzans0kAjmV4+UnZ+hmiKjgK0saQRrGD90rsXQbagVF2
rtSwJ4Pos5qdn4XNDu+Jny19kNdKqEtIXsEXMuRfttvtkcW+1ZNtEpRwsD39Es8uGMKl0LCS84fy
kB+1TuXudTfelNG+uY3T8YpWv4IW+QPToK7psVhsPqo6qN6ycc/58bdNgoWGB/MT3ojJcjqYwbTH
Nb/XQqLHWStry1ipHPSqVu39FpmXhZ4XTaO7VTW+KZDZNfSnQhytEYQUpQW7QHmjw/VPjPLAirP+
B6U8n0PPQ1tY5RnVG89NUBFnVz8nXd1chua1L+aGHEAH+AiVwLFvUsL25PSRxYyLfCG8sDpp8aeY
jxhvcVupbt9WTW0wYc1HwZ/YQ/S3LtIb6se+0yE7BD0D8rKk2RvFZx3Am0tHAI6gTZLX//o3x/Ia
vk9nZayD+lKziroHotUa8bAjasWPpNdZO5Bs9FLp+k1GD3F2rp+8jcmu0MbrjBR4tzTrg4SqN6ZZ
fI/ml52b3d0StPS4aIREdyOIhpRYOe4Iz2xxSpnBp8rU3S3vTVfanyo3f+N0+J4R+e3Hotq3/eo/
9coBhXeIy6rTJhRaphw71Y/CD37JdOXHN8bdDpsSg5XJbbGOoBrtR9mB8Y9OX7xQQQLPM3kCr0pD
4URfG9fOyO5zbWcH5aB/qZKEU3XW67ZfyJ4nxK04Fi1xyjQ5z7FrHQJrHF+njgpUjUtq5/WT3CfN
eosdfCksadSetQTN4T5s7dy9zs06hV46BFHS5hcaOmaw8kXc+kVIhFvahRCdUDvlkZ9o8WF3C+89
JN3mTuQI/lZp4ob4Xer+YD4CIR0XTKAqXwK3jRStpEdgLlbXAa5fpes1buStnup0QwvsysBkAb/k
2JCYrNYBABgFJq40YiM2+kdvSWe/xsXXmKtXPdlp2A+w52XJdIUdPtIT3ejD9BspKz2+wiRgwgHR
XlX1j1z0Pqx4j0yangz7wyh2k4d0H4myz0+YM8ayEuQa3qa06n9VRSYTi4cfOhlcW1IHIaunc+js
4aQ91GGejXqGy+sHjzJSKfPutTrfAkBaW4c8R5+wEPxfRboTQV89D4y39jyTpyYR942j6I6+qZ45
u6JC/exrFKNqfMCtiQnPYyeSC4kWqQ6YmKjyPhqb7kvY8ndG4zlfGWRt/yqL2Lsayhj3Dz9RFKhf
Ren+qhpqUOdKlOfKz7yNmc5fyLcD6Jw5eaGeeGeyyFj+ZLx2Xn7n9lBbc+Gccdr+vfBJoWyp5HnI
DMfzAD4T2UTXHKkLC4GGys9xLuaTOZEbw+3K+Zx35oFlAZxECr74aT2D2vs2kIaT2jmdiMQEe1lS
H52hCusiZe8xd4PbE2Eh1uesJZmokN9D2+a3dMadKf/Vev1opzl5SpQD5dKkDXJW9l/h/gA78Q6K
ujauueaO/208o6L7htB5DIDqs88c+4C9iBggSZkrZBXrT1y9pnKiaaNG3Dwubdjmzsmn73QvDYMf
jmlBuYpPZZXWNsEC1OiW0GtYO66i1njKy91YpkDXiBhYXqEGcZV+UDUzH8Hkk9ujDoK61gYZU9Hv
ljRwX5hbh61jFLQHkfkQ0EbQZ3EZIawwcO3PFMFZGrjbowGUQ+mrsBd3z2H74MWXHwLDzNtSmeWx
Sh41mz3RVoqklF3aElYeJEPksk6E5HJuupZQK1PQNEii/YL4oqhv5cggnc/t0asspm9B1agVoiYT
lGUwMMgCz6WXmLvAM1CCDQ1q5ccpknpWFnak49DLEzXG9Csw27tTkSvXTGFMKHZOu/tdaJzcj7DI
fTer+TqYdcgdqfNOnrVIrpNDi2K9jgcRDzEVtE3kddV5yGzrVGauDGkm3cdg5XQdWmy8Fd9TAIrk
l6xVTAYyEK8Yasmpq23n4pgDhUom0GWiDbHJH8V35U/DZx0A3k4j38Ngl+lAhting6jl3fHr5Q9K
42rb5RwCbp9EYkW2Qz2qxZ7Jfbf+WYbVfMUN8QG5eBw960vI/HMOip/8Sy9Ur/1cBQcqef6U2SsM
1cwLXgaYFdjxbAlBP2Z1lFfubU0curntNt+6yMoi4eNANotm6/rIAwBQ8xC5AdEahNtvktREP633
KO2KM0HBx6Jes+3ItrWxixJnIe4d/2VyHftcyAUQhZsJXdPb7BdHEvvSm4agRWZbw0h5M+dF2/zz
yGvfxbL+7Fe9a6q1fe5096tw459UpCE3c9dXsNMf5RQwlxC+uOlj2Ud2CssWq4Kd0VTo0YaZ4ja7
MbdrhjxXa/ZZ6U3v/3VPjr5B8HGWw04ExHOmP4TF5dqm5l/J2P2c593veHW2k92cVqKWMcI+HDhm
s6eY5ZXc4PmUij4CuU7JvjX7I81IcMZkMupquQ5aNBgAuo77haNOeEuzLz7SjExAkXb5U4mX8Kg9
76tKlb6Th/4H8IIkGYcuWNeLbzHHFndDgM3J1M5GdwI0E0VR7JKG7FrIhVHqdVHddL+6uPhJw/SP
pSl3mtbWS5vaxZFKlSa0q0f7NdIp4g+xLT+oeZFlzpOTinYjqP7mSA5kRNaJieQskm0ArD3d4cup
GO/H7AfCrchpwIuM5thYjXgmV758nVvxXunZpGcDTWQ+IglX1thG/krpZzLPm2AtVdRX5m/DL2Km
UZKKDCMZNzNmx50sq30tyDtGFSkKj1m5HrywjzFY+XDIlQ9CAwEaZ+j/18dL+wDkHG8qeByHLSZ+
xtKxCknvWA52bDHeOP9Zc+lSWFEjIIenKRW3cZII3lxAam/OdwkIrRjnw1ghq+36/N3PQUqAS0RU
lb06Jk638ARye+vERXMA253H5XM5OSzaTnfkIxmQCqAZUcFnEnTGLpH1fG6lvfCCeM1mnBayBoTL
+mTXe1T1vFRyTiiFTra1AGKH0El2j64Q5LBJfQrixwvs6U0/e/wwFZGiciFTWJ9FPQynjpaZTU32
OxVcQYh9FlpcTtfCWoCDS+/ozOlTUKALWXyWiETTK5nl38wOt9qT1g7T5GtmkQFs9PtUw2EUsOC0
Nnl7pdYXir+ysFhYfGxU5NCtsEsUOmVj8DpodKjSibc6b04LTLg/t/9qKz/pAcJLdu1yVVXnH4mr
QNFX/sippoyoQERt3sbo/ZP512pThoOQ/bKOXoXpF5v7TPz3jl2Yb6n4YXWQvzPMaiSG+yBrdSGb
eUuOg4WTvSz4eeOC14SPF3V5raB6NnPZP8Tw5VuLk1/459ZaDmpwJctLy9HkOp+Esnl7ZtJn19pZ
/gyKZgf3Klsiv+nX3cy2DEoonIPR3s3C+1e5naZHpJLUyd1Sjw6KvjpljllgAw+emoSzAGtKJWmD
YOEe1rilPgUBiNOZIXkOfxvZ9Jsh29npPLyMDYsoeV2mSN23bnDta+JNVzOx9kbjgFXYcpsIW4VW
1bX7NJm+69arb0tPPF3TUAI8+IStrDUlOrrw1zNZtxNXC08GyJKLajclPDSnA10YRjT4ZDWYg/rH
zNvcTdd/q+d8+A0BuBV9v7UN+IHJJNzZXrJ3Z5G7JEeIVVjgHzXVfFQOFOXoX5mt3H1QNUgCFbhn
LFL22Omj1EF2kM3ImDAmaAw7930ZW/uY0VA0VmwJAcNnRIvO3qroBdfoABXw+W7Jv3qhh3PhjAO9
qOmjZ9Q6+LpMzmo03nMS/qyWJAZlzGQeof4q0iEFbRIyQgPJwtCW+873yqhl+t4gEwAzmb5G0MGz
nJoUYU7mb4VP3qlhiDCXtM/lTnn6L2mYtmaIZmKAJ3PK4RYfgrEaI0xfcJgoC19HkkrmHyn3drtm
+PD6E4Vf7SaNqxvJX8UrlmQzvvipSwNc5VZhPrNH+jUu6cyz58OMXHXJPLWNBQbPmZC0iC9/RFRR
+bcaOp33H4koVRXeyZfqmBEad65pGjp5PU+AW59ssHCK370DH6q8VET+j4VmZ5jceuPaBeJ+82WJ
2+ZIogjGUUba9IG+qX7lSPPl3u+g+WmrsELI9pkLn3rwfg77ZTGXjdGW7dlVXQSy3INJXzwY81ti
u+JG8rRlEYHMwu6k8vfqsUEP9FbsuK7m87L0r2Jx19CyB+T4jNqbOPjZzuVvJGzLyc6yd0s/dHO+
vc8Z9U6+ra1TYweIA2aObrQQh0U/A5hVLoVPRhvsigTzRdD7f4XT+ndpW/bd2vfro8ADZXXUlWOI
Ca64SZzjkLtodetkrM6ZVW9G0xxvwdJYx7KbOBOrg4RYvqB6DUBPVnxUE8RkTttcZhtnY67yHcHe
6abSaDTNEkBs6QNCpL0+ypwWNzrX/+s8v+JZsjd+P9thbpjLGcohCXVlskBWw8VMDHQDS9ceaGCE
067z4qYGpwqZ3KioT12Pq+g1oyr6tW/KZdM3vGMdweD03LJ0zEUZFeNKdchkiMMwQ+oaFqNNbVXi
jIGI0+4hj1j7heLsnu630ZtQCM7FBSc4t22GOCv2Fb3TDzMbC9vWtIv2TlNsfHOOyA13dgmXIIQl
IlTO5TGFZ3Zm663nqMUH1FoIwIajpLb6V7ayXRcFEkE01wgsMYfFsXfUq+3t1nxo3qdp/tkn6/TE
OotXMuNh0kwXa54mh5K65rLyXNDjrobi7S/TNATn1i4JcHXreUu4V3C26IwAgnXaR9R/fR5KLlDm
nWQ7SVXsalF+uhM4YqJ6EVGespz/+2VJ55+58mLUHVqfYq/3dk7s3hHM25e8uQ9LBvFcnSzz8Rcm
er2g4S+Oi3ABCWkTM8zhOQND32USKWIHK0ZE/6NxTqY9qoB2M4055KJ0KWSYy5S6F4qGQTrcYzL9
/K8zOI5tj+8pV9GYoMxdcrS7pQzz0rVu+MRgxlzEGCGw5IucAYP/G/4GEvSenQm7hl23BupbF3rN
+0U6ir0LsjR9lvHQgFkPt4An6mlILd7ghGq0x/+ap8o40j7w4uBXRa+JKNrIaEx/FBSXBHFvTTjR
p46orZ3wgoYQXlxzqwOXq12UqTZ6EtPAwy+zLcfcGLm9sd7cNZAnsRp3Klsz317Qo7BRB3niHP3G
OicijZ+wVZ/XuJy5nZEhvMyQV0mYx2P2HBuvCu/cfemz8m4shrNrC6I+64BolHjvzLN1ymk7RdJZ
3rWty7tClh117t88xQ8Exb4+aR6CnVBWjKoOEWNCMoVtmDyPnneOlXKhch+u9bVFaRFIGuDLpC6O
ra9w32F0wvrk9CdfdHnU8KkfLQcEpQj6hEIGhf11nR5549PWoF086Kb8BcZ6ejH9EqrMuVoJWprC
si6VB26t+dBIXqwexDv0h+WdGx9U1+u+C9oWj44mw3hI5JdtYALRgUtcx2viDIT9m7rBult5e0Yn
OkE5joclTo+Ue9+GdTT3RkCnFeueQAUi61OXFe4rX5E+jGvPb8/fHNPvnv2eN0dZNXdRDyjgu7MO
HV17OPu4gxbWiEc8N2kcK4tIYi0QD0lLmbkz4uxPXgr+W9alyY3iOngx4hSfZu/RsRETzIG27ZCU
3co40YENVgz5y8yYJpJ0m2RuTh7E8M+Ji2yLYH/nLAxMXtzWbA752dFJELmETFIg4kWIFF+nxbCO
Fs1D0YqDExT7R6qb+j3wpbVBZSxPGcMmZjQ9RKTWkfvEEN6g9K2KtjoA8ZGJOdFdGHvmeUSHFonA
eplAgE7cuEaoEsbzsg9G7HmuQHRN56mn2lM9CQVjXzsP+P5mTWN57jTaHf+RnsFcrU7ocAHDGr7N
khua3yjORETGGPSd5ljl8R3pR3frx+4GZGcgeHMRtOe3rBySU0etL6haPF/GeuaFtjL3w81dfXBx
H0Zz+cXSgD+0QKNqKXltUL2gSNxR/DJ9OIYzkGQh5MGQIglpM9RXOVJROfjOBzIRCnNX+E3y/snQ
SVHTYafaQF89mY+YPIxhFe0/WYXuykr2mFv/JUh2jgn/rh1zfcnxohsJYW9EKiJQGjPqccvk5b9f
BD9V5MjlE/LJgAt5rjerNQXHfPQ/zMJoDtNsfWKwyd89ipcATnDd99uYTOyX/37plZHvFxSwYRnL
XVYaT6tdvDeqPPBZ4BlY/w6qe2Gpo8CwGv7Ma+Lta7t8TRONzL8iOwzWErjbTV8xUdw6t6MnMUGC
Lct23ENYTxt/0C2G26A6PdQZjjsgA+gnm+9mQPppkGUBJdOfbN38TVHDyZllNcZsmpCYZCOcDBOL
zk9vcdVuTL0/8vGDZ6FYD5npP17x+ARD4TC96BZiCDZCr922R+CKkbJqI61nO3KSSEPGv8alc07J
lUO5XP1KYG22xeSn0BTeu9H73it680uvWuzCwKlbt4XHrXMufLv54Ld91Pm63AcDuS2WachQtgvO
PfVRoo7YUgsQ7BNKXpXj+3uJ/CcqZaOAroKHVmW+Vo+yyjQrxVZm+9YN1NUlIm47zXhB2aLCQKnl
tNJRcpErXGkz+gQlrmPkqR8FuhNIHtvNO5BgVWBpwPtmLM8EME2RI/ogMmryscE9xtecp8ukaIGp
9YIWk7/OnN5IusPalNnZk4O13lXBmQkKJJ7PMRgJYVblWWHCTVT97Wf4tTXI+7VOmiOBBACp85Mj
RX91syKae1vdffiByKBPFzkKxz7zzYsqPxlyKV8kyIB2H+9FBUW3X3Nw51kFNF0Y88vUdiE6dQLL
eh2CkVunGOdBpNOWzhJLvKlVHgArsN307CVeHDz3VuOe3V4Ou9ZId2lTEVGWgNC34DRR2i2cC7Zz
jrkBw8HauYIeKKqBENXOs7ttVPON5QsHqDJ6+r2bYQPSZO5Nv/7nLDialcZ41S75v9GF1oU7osxw
GIgc88yHzyl74/B7ajqYpyxOI9FOxc6oCnsj23E70IS2KUjw2vwXb7lmWqP3ArolOcBYhu9l5nQG
7wxtvquowsV/bCciSoacpaYhFShMpGWEcvLGU25A2ZDi+djgvWNNQP+lpqD60AOCin4QbB5p+kV8
jX2aDMSPzYB7Z0Y0UC3+Sz4Rft6NfnpUjveWrnq8VEpkESTcE9W8PvGIvonhOTefnOydNK12S9Ou
vStZCN77Oa33UBMO0sEApItI0dpF8uVoMpfW8WFhSip/ry15nvPps1uN8ajsTdtx+jOJ4GqgCwoz
B0fYOgabqWquJOisV4D3N/Zfd9NnLgkh6bxZySGERCs/O8wQ6K4hgswkffdWaC0SHlsu38kkrxoD
gNFyW9DpBX9c1YwH2KFWu/t0F6h3K0nusnPGyFRxjyK8bqNlQHE1NgnXmD3Yt8X4autpvtZmNxHp
UTHnIrAd+8X7NnuWXNTIaIW97bRM+971fDq3FkpOQL+Y3wFSkC3tLAR9W3M9TqUu9zbpeT+MNts7
7rpzG+4Pf+xvjUbcu3S41x1rS16O/zToZ1P42d7HqJeBvzA20ONYQfd6vkqfm9SOgLbkyUds2hWA
XJ5BKdFUWD3PbkOGl648bCuuwUo2y60Jep25ydvg0C5GFYyz1S65lYQ1jDNFQ+mIWG7OneVpVv33
Ssp0vfTeEUvGFmbI2EGxE7EkSIRby2gpkPcpvqacXT4BtY1KpJyLw0qx6t9wZCmwFVvXVIpDOXVE
8FX9tbeyae9VAZdqDtY8jIitxoKFdpmAxIlw2ZRyojBMWu5e4Lp9mYLko0bpXk5kG0lCgNseV7qf
zz/JXbsunjmB65FgTk0cwisv9H864GFb+r6NO1/HI26gtvcS8N0kFuuFaLfPYRVUrQ7dhc5NjSlc
81VLWZBSUVKSizx145tNtzXM16BFgI3f9MLvJW4+jdHloYbD4I14P3ghDzNhBY7jXVrjhhdT8i9e
LPVcERSwmG2+02VxUoSSEcaIbWpy/cPoBQ+It7xQZYNuDOwW40fwWgvjtfUXogs1hjQ19N1BtMYv
3VSoXMwmiE+eaG5tG8wXQQg4gw1wp7mkYGYCftiHjh46Byae+O+lqacDW+aKiTFQByeuNkmM5reU
yT93wSmcabs8VfBTWPEvGvPP2SDfCJeo3Y0JOr38bzKanGEW7AvJVNHgeCmqgTXyp/lv3M27bpWf
ldfg12glw9FUHwtuShIkYjdSDD1Ync35HVsfwja1ftVxwwg+xs0heNhrwW6AkYhC5XozYhg6+0dM
Rsa19Ujicgl8hV7fz4lxSbJyvDGndhQP7qH3LkCf0zkgh+KcGJJB0zIOSZqDvrslNxR/m5biSxBF
cFlRqAObMSkYaozmGhBoBA4kQSaTh3jcdvIXshgCLwazC50UNmCY65uwGuNs2g6ScKXp2kFWgSNK
HPA7Ntt+lJfJs0ccn2m/MWNbXCXOUKt1nbu3Y0VmAcYCTuSqUd0Y+BA/TShocrtdwq/E7LdoHcxI
qgVFdeMGQBL0CDU8QD6G6lsumDlszz4Ysd+QpPCS5q256WwE0EGNpSlpidgc7GeiPN5xNtE02bvL
BcaAEjJn5wlpo5qlGMsaH9XKLTOKhREU+O8sYPvSzChvOWWBp5qnmCgPMr4adwJUq/HsPLLskj65
U0AzbInue2TZ9aA+jgjrvp5C7ZElVmYhkYX5lVQSSC4bO5g0yp3FvZU2CI6GAgnZbLl3f+HsJaLU
3ZaSo44axBFeIinS9v+/KPBga+0OvjBXStV4wmY+5X7R4rImzfMI0QV/7aujtYicDrtBoQIgO4AZ
3Nhi6vIu2iGYhXVt2dY+Rsu4/slQMB9d1aPqxQ1VP3qhyi67Ie3gbiZcQaIUItkOv3OR7NxhBD9C
gl4rYGArtYgFQ8Ti1XpbZNUPC3YjjIXtg7LUh0Y9iEJi9txKxuFCqB00Cwplw5ofuIT5P57Oa0lS
ZUuiX4QZMoDX1DqzdFW/YNXioAMdAXz9LGrG5mHKTt85ojsFEdu3+/K/oh5CdvgY1CS6OM1w2wpo
5I5evZfEr+BSqOGPT6oEhoUdH7DFnNRyJxL2UtnpN+zlam3ugqH4rzFLvpoWL4a3eDJxJg7rFoAY
LsxmEewrTbXlYn/i6Cx7TCOl2YUof+UrA11NYIILrsNB1kABdIlKbBg8Pke5AL7CexgFqEsZSbMy
4+5i4GM/FE3/X+axoiKg++KMNsWquBVXfTwVB8KLX7yEchOkY3upPEVdqa5feEm8U+Hld78L2L/L
hjzfEKevXQrXTsnA2RRZ6jO+QSVNapfnUXkHDfGqlPnBooDrutusZiMZDuBjLq0RdLeCYtxNL6uX
QY16Y+KgS1nFwdcw3g2gY+vWq59GUTmHOEdXnSIRc5CWCKUggTcmR0Fmp/2mqWtrKwd79fOrwUEY
LQDihRLo6zTEX4GcTtTifmboxRtDBvk2lexvq3b6UoHd3Av0dkZVlkrUfK/7vDzIKHVPURx9JqJr
dzaFVUSE5X9AXtW+67At9kPRXuQ0tys/CEzs5ovXC9JFz5sJEQ2J3g+wkyZXpPfPwZQwXkKm6VJZ
J8Ia3CsKQFyOn30K8TkQkLCINdDgOzG5ZSORo6h+ntwSZUX3/xkpUSHbB92L+99ZedH8xZD4UtRR
tmua6ly7EZ3SHTqc6j9c16/wk83jVtr6VdvBy1iI6kW16X7sOd+JOJYHwYMIBBE+aTGEH6NLnCED
dLtGXc1Wvo75UEPI386ey2LHfB0M0lA+xgG+kdNZQ2HfVqBQ+hofui78btfNyd6xneFAOBhb4Oge
pjZ4Swe/AXuj2G+Fuf/EFwFMZKsx2VIXvxpUwFXbyC51lT8L0ReohP3L2GYehmrQd4Qr2zj2D24L
e3VMmGaU84I3Yj7lybgfWSjxVWFR2kEcaRGrqwjQYx3W9YYdQLnlk2VhsmfkUZYTbHKt0luQHXmk
fYUd+m2WxvmVndqeD255zLGO5Xo0T4jMEcNdRt0ATkqoMyHsbiZTAWr+otSWFDIpBZ/FHtaeSxSM
d60dpqT2s8bMfVU5mxcCEduyk7TjZMbBKy13V+eAAUdYFAnXojrw9iZYmpU1iogtm9dyCsbc2ABA
dWHwFVeF2MWR+St3qjeX/cB5Svx6Y7UuqvroXISf30tWoGt/aOyLQwKSBTkicvYeS/q1mPhkHG4d
0sqY9RalPV78O7Y/bCPlEgcuYsTnIEkOliHRwhGtefymJxbs0KFUh7HR/2tP8quKvX8VW0LCbYS6
8sz/kgkjFDbT56ps4bEACqoNGyJJzjPTGKGhzI8w3iJLuTsg6rCLhhztCG05R2Oj5+Qt8ZCXTRsR
zjN2ZpUL8mu8nqZmhSDE8lCN3aesEWRdO98iy4ARzgOIs0xcWF1wl9TDtG/O83KgDOJ1aqAcm5H4
b8AwWzigBkITcxvQUcKa4x11d1fQCk8jVPxJIojQX8UF60cXznuue5W7q1wgRMor5p3TyOiU2ACu
E+lkGInYg2Ek6oeJQnZF926juyNV8C6YpPoPfOTvsk+bd9DCGaeSeTfl9BTkxHK8xSWrxISMmERE
IoAYdjmzEi4RVLB+viYe4r15UJFVvZn0kgW4VO2pSD6aochwz1LQkvV+CH0rCIkys3rpPIByieAt
8juzPJB6Nu+Bbvcykb+71u7RKGzaG5HLfG+utzg91AoJnLzskCGdMljMCWep14iPOsovqsEAEYzp
Oxvb72poyoMto3CDDvgXyAbq6MDWs8Ub49QGubGB8c0USbz2LPM58OoLWaz3ERq8a2cER4uBsh/D
eJUmDOyS5wSXPJ4oUo4H8DMDfmpdr0hYIeMTMk69ejtPdHRTaPi8LBfWMN/ViHuyZQgi4sVnxs3N
fdwgDfTIiia3ZDmOBYE+MLXsXnclW7hd7J/pd+pXVZMwJVr44SZBA20L0FBj9rKt+t3oSAPMLVJK
4H6ymzY3kROINV/4qzdKllUlfDaOBMEVd5Nl2ywNaRIvqFZPJFczzNz2No1iJAcKabT2/gy9+GQ7
+SiJ/cBYAE8i1K8W5B+s3KMgSXhWwzEY8VR0urpSVwzsV7TzDooWQs3yhiR+2+6DtNxDvGUGVvPe
LJANJI+UlWUVKG4hCtdMpGJE+uPVUBBWzMLapE10VSPrgUgbewC+HR2bwOL73hr3NQlJ/DdcBFrM
BZx5GT73Mas2RSr/5q7kvWhg/xqR3peh8SoyJMNAJcj8jrqLmP8j7bKp+gSLn+Lo8jJMiJaW4LJi
H9dSxJjlxjxoCjyNfPbUiZjnY/AEdTBjdlB1HV2jKf9IeVzPM43HchkIugNc9vhgm+3eCoJtEoSn
eTbug1fjYHcNXP/UsE7W9Bvf7jZpTb2lRBbXQ1NPVy/j5eg5T+fJ/zT3+N0ZY/oad7gpHlGNl0AD
Lj3YJP+gbquLyxm5h1v03yzCkwMFmWoWh0pA9taOVM2J7Pnvji5eOivr0zDYwXUIbrw/ei+rlLrO
8E+mjKfJbX51Lgpa3/svpWZh7jQmCXXDbh9DWWdL9hU5KrCnTR2yGk24LBMYBOlJ4CmybGCDXsd2
LHhxu+wLtABNY51SC4PsoxrirSngZaSId7Hgj15Rer+Jh/4uXBNqFEYFFLwY7Yfa5DAPnmYfB+RQ
AQ+Yyngb18NLllJpz71xcYhxUZBBWDJkYgWveURZI9S43IdC5Ibmg35YLMwhWfuAcKohQDqbVAsa
Hlsish8iITFS5W68FcJgE6g/tdfUeEPn98G2nXU/YO8qItGQWkDomhNnj1K34Aqa4rAEOAq2h9BE
qcRROl1y+Vm0w6b+z8w+IbhkG5MoCs7EZnrE1QMujk8Sz+KTVUlwysL99twmOY519Sx1YB0RZbm7
Rc015PjfNrgQiVdiODMDUktsF7eDKu9uw5EKyeupNyIkSPGHJ1G4KrVc1Zc+Sr59ZX+bDnlBOgqO
mIDPfpaRHbbDDy9wL8Ia34oKp2SL5yQq3T+T5f5V9pJUCzoU79hbkrvGP9sjWhbk+bsHEWKVTSNa
hfLNVeo+NZO+xUbTElNfnN0S/41FHjrr8KU1t6BzzE1TGifVm19q7NNTbTVPqe0IbNeswLoctT+M
kb90vS0zvVOy/1XgETdxV470yUG0IgRec1npQZBdikPOY2kd8zjNZqvemXn1N+6wuowGbpLA5w/a
JVNGgl6Zx4T1oFHVK4TR6jUocZ2RDXcZCvYmwarNEGM/mDM+WFXDgiWwu35jRf5TNwlFb0PV3QYL
OqCIMWsbMXf7OhHXOVHcbsHCr5Qs42fgyEczGeY3rxiOvkg5iuizXImk3uOL/m6AmmonDQ7DQlKr
Sj6HsXQDHP+1CaYLe22UY0atWp1eozB41Bg5pNtxmRqBk1fEP4iXzvahtsJqXXnV8NZwdIZ/2fck
lBRIc1Ma/1gc7Si/uWU+pVbJog6iAG2ULftn5tsTpXvlXdLyuPHyyDrNIDmzyn02ZNpdVYpazwXG
PGip5ZqcjwWUsBW7MiA1TqKOtVWR3AyzqFaM448iKjE5dG52yDy5JzG4AivQX8J2DK752I681REk
TS5OixrLHjWEpCcSEvMDlp0BeJxPGTNp6LU5szXpSlySjkUULOihYGANWvuB95rTFpF0Qb/miP0U
2fwRhLXaeKyd1hnrY7cLwi3Qn5hnAE4/0CJ8JL7SGK9v4Jn9yrM1n6w5FccB58c0wc4sinTLdurR
plV6XoITKGD3oMQ6PMzBf3GFXq7YBHC1Bc2ZYVu56LQvVlmCsd7FB7AB/T/YjJuRDrkQBuHVM8iu
24KuGbsoQmAIIfe+pXqWIrJk6yDgrm3VNrvQQCF1ZkDa9fxhsBRH3iVf4It8x0YQE3gYm1uGg/nm
eeV3bCDERpCaJN7NTgkFdWB8MwzmBDLK5GqhrKQsn2QBU9FIc8WpRFZtcOpjRPfzprc8sTWEwWGT
D+8R/G8cIjg3uKxfQS4Venn59RQdzWHn814tD8J66/M74Z5hd8yFHMkzwC48+0m588teg1PJ9JUr
6AjhbeT6SSYvhjezTuGMkLyX843YMmjx2ND73gmmm1p+WK3BLRUP9/7nl00K5iRctig/W46eG8Za
Vpxf2eD8ilFlMYxhK8LEiF5vNGRVECtdIhT8MJrxmmpxrFWvcJdP9TVIq//7ETflBVOAOiLz1Vel
ZLLsPCp0N+2ebIQPw7Rv1kiOjOS3vxZtfMFmVR5Gv6k2OrNRAohDPvGmBrLtICkVzgF+ZsFt4H//
45asVwbD9omUNqlcfN7lmmky2cBNY/7BM0TuKtl1cfhlE4uVBY4ezYd3ZwT6Oyv546QtXTRhODyJ
MeXh6L9ZYxPde0+csU2we9T2xmAaWdW6+WMMvEvzwDp4nA3JnoA61zIV5CQsSpYughgKfLQzhzfv
vpVfgl+5yhHQYW/4o2gPjgNykuvvIZ1/uQt/NSznY99gXIFTufj6v0Kz/AoxM2xKnRc7ryEP5g/X
JrGmnXIpzJadB4woSnHsSkh7Sl2nsoeljx3hHOf8fgP8Q1xlPrq2jJ+enCiSoGaHcdlvU86cW842
chyLuD35pYaJoafyEH4FTz7ejqbtgpMx6XfBVeHw88nA5djd1J8pMdQtObIpH+4d0JkNtA65JRcR
8uFaexAw1Tgf/AIiWIT40Ar3Ms2z3PYWZRi+nDrGRfQyTH3AoAkegRI91sPC3srmcB8J0uQavhZX
5ZHF7jh/+2LmEgd7i/YKVW8TvABtlnDBiubyUBSwQEUd908pOGbYDh+1b3ZPngqfx2Hu+MPOV9/F
iiDF8KT9gv1L7sO9XU4ihxBnZrHMHGJg1tBCT/n//6gwfx0reDj4AZuVF0BPmdryNPZsxbMWzGDK
lL7KEwmeNqzudG9l96AxeDYUlBLNsXqaBf0EAEEHWZuvRt4VRwoI8RqRXCpm96Kspl55c6N2xAJw
UI7OAbJZd+o/KMExrqz07JXM53oXK6s/omvUzXirZjCTaOtfBGMABOMvrep/HmPg6MkT7z61sryA
O2iuWGrwJwOei9+MYbz6stvbHXHQwO+o4vE75ySWH2poCHBZzCt9yt6yxDsA/WJvRA6a2Zr3Akif
E06vSxyWS5ezSjyUTwyKcH60uvolTL7Y7x6jzj5Z1lt8B16zSWa0N8acTS2+CYjcNQHmLDjJyQi2
pQj/Yjp34Zmh16EB8ywc5TEK+vbW8/nVMOEOrktwU4EeNT0itwSSEBdb76VI8E3g56cmQGKJw7Ka
cwJ32gwOCabC7STdJY6mht2QNnRcRzu4owbPEmpUciCWBsgiSr3cm1bfOp8hGibu3Ys7e92i/G4c
p/ijO9nwrLX5l03O7zigd6zWyuGFJHlhAJgAnDa+t3Dsd7lwxtXUAinqp/xXUhByoN3hpTMzDORD
Ze6Txgu3pZFYG3qzhhcCRiuILUQtPBwcENs68igvRh2LA2H5ai2BbLyQOCD2Smu3kVvtytL7vK+D
Xag63CKCxVNJLC9IZuIprnuDwu2dixYfzdBjxtSNyTZ8iliuer/8BO9EVtFN5HXZlWKhvYMeuyoL
k96UGCmc9A9e3uYvHRDJaYpnTDfVJ/W9gvV0KzcplQm1o07TAKZENTNbj0501woo8aaMkT09dijH
pM2fSfXPrD5NhmO3eU1bOV2axf/Q419PFMlGGXkc6lUoCPSUZ+UpAVU/qw4Qx1wGe/Z+pI2hyKQk
6rSx65PR10u72LegmeXgBN+GK21wbKaFmWOpJHYJZJ71WL1TGlzv27nFcC3cD7u1hkeEC/zqOnwJ
lJMfZp8ujcYRNX0C/KFggRgn3wFzHxv+D0UQoaUMCcLy5Q8n9Tw61HIWo/2HAEIzzu1uZHkG1jos
dk28eDcpgdhC7W834TD5ZI6694jXjGR/329AOJmPwjDwpJsJZnkaza52QUyrn3kS+XxjSzcIbz78
s+0CrsLFw4jGEFZZs7VrRwsib+7P62GccUlg+eVYju13bbgHkONbv6qL57TG0Edt2FmYb3UEgygc
mV+4H7FWhxi78kxvz9Z7bZGBO/Mfh9RgtMCWUlxCnS+fOU1T2IwAkdXCyipslb/M8fheqf8yJxju
ZAIu9djqnY+HZ1V1jnHy+qFHUC0/6B71QBRSd6cWK6yH7gX7AYRHpirjmAgMhW7o30efJy2TayD7
iWPCfjHdLNt0NpwpQ+EnlFnfbq0J119BxH0dpF27kZP+TY7D2Xt+RVKun6ZDD01xg02IGByYlqPn
W5cRmEHOVe6S2GW7inX9bVVZuJ+BreqxhEwCcj9sr3yH79p3HD4LRs3k4mLDRxbrzU4zimfPcSiD
U9SyvIV2B3KEFRKf0L+Z6pJ7bQb+efTf5uWxPwway4Ff/ftxyWqWnpdWUjoFE+7w8wzDBfFJrJX1
qA12Do8XqN9xD7J0Lw3AnmmFAN3o5mEqd9meYhGoIs7vWpIJaUT9x55T/a9hx0lHCpXks1Ncc6B8
QBhO8cbvwfgip7Ay87j+6ua3Jol3UpX7NBK4sBeTuhpmkAgGyfzY53koap4YZg1lMvbTq6FC8wg8
ASopKe6SFeIhtnhgAlPiH7ULvR2xY+yGVjySofhlujZ/WsEAUDPSE0oGYJwNxQOzS3Jra9yKPoJ9
0Idsd8tVjDl4k5BQunukZpJseV60EJbrTD8lM79z3eIgSfDwbEr8Zoh7Pbwej35Ex0BSaCsEMfR+
p2y2oecudVotaDxCbqfc6J+8ItAbx+iNTxV2IGkagv0Z8xQZh/bEi0a8tc0snspOdRbWiIWMZJFZ
SCBX7Fx71ydXOGBlyWueJ7xqYHtZ7ApJRmUolgBoPRFUQrSzLBRiGwvTOaQdDmhlgIvJ23QlbuIm
juc9W1vy1JogaU+eZ2UPuCIzxzxypydALxHodTPZO53nv9AG03uc+C/KIgOcDdVtjBPNFaTF7l5O
aE9yYQ6FmgcdnUC0eojufeikta+66QkaHi1mZlMddb4Y8VP4wzfIm/nDIuULS0ZieMc9jJnn4ltN
fqorvjiF4W1zB/eoLKEKComlruMFSBFVSTgtrtJGjGt8aUBcTCUROoF4RzQ0NiKn44KsCC1P2UY5
r4gVqLgeUxfCuJiFtzYG7mre3G1ypqUoTSakSfemuEAdf8JG5cDJnjoI+5HPU44LsOuYp6T/W8fp
pz2XDilaBwpJ4u4yLTAsSfhYjc2OLYUZV9YRvJCRzaak+2jqTeup79mS2a5/0XXNlcD+5ukyn8Kq
lPRpR+HOs+RX0lgBDN9faZ56K3yYceAvG+JpBTer3YNagExCheyKuNEPguBKRHnYM48VW1In8TvD
heK98eNd5y/Aj1ZY5xZ3KiEdM8alFrBwDo3fIApqBFrecSNs9DarxXhl5uMc4+O2dq2QTVZh7Qxc
QUAgUB7boYggs6N5icJgE8c7Fc95t/GGgE4DN78H/bgyHMAGVacZM/r6F8GSE158mooRO7ctRomV
DifnWJXGOmxJQEiLLYQ1FKjtcQ/bwG8KNist4TYj26marlRZ+E9k/OTRJ/FxAPW91z6foorHnu3A
a22tLc3CaEqMG/hFHg5NOehttCeEZHPyypjuTuz88gSJkGH2npgggY4h4GtmuQdV0lxWgX6jyn66
krq63kq8/U+AZsDXdcYkOp9/fhn7psk3IQo2cvHqmWAVYRT3lzJBdfj5UTjVfzokOYS55JX6YZYn
bX4NfFG8SZusCdb2AwlKlmr++CjS7NtMCcnFafdpa/xeE/0/ZHXGdo0SP5PzphY4Mf7afhE/fCa+
lZkLvfIg1G6Hwdn6bCIgEFvr3JynnQv5GrDAZQD6iKILi74KYuzawynH7ZlmOfAyrLWs4uOdBiV9
j9Fafd7arEqOTkDPRD9FVHYMFhZf45si1oSKkja+Mkb/I9UbMJfR8cG3r96Ns3WsPU53GtqIFIbW
Z4M5mWu04e3VwIlIbcGeDQrX8LlSqxTP45nQH8ppyvLNLz6tOW6W6M+7vZgPLF/VJ3f5q4H4am6V
yUkh4ePJIilRzR0ZTfOSWFX6RiddcWvM+GJz4BVVNr14eYtPyMpfgbjgeSBMdvPxoO3mAAAHZ4Kx
9kzxz8ZYBvgEDgWDPZdSeljDGg0DuANwMSJllevfrTk7Gm5uMZTb8Q5+c7yT0GZLLD9o1QbVchRD
raYqsE9VoNN7TtWvWUWQzeGiJC5iTpHTQiHsCQMDjpaDNxsPlj1PblzIs0ODCNaHdpEBdnjxotsU
0Xg1hbymeDxXopEQDVGXuwhVsykt7lT8fqb6e2b1uM+b0jtlkmzh5PM2wazu1m1EmA9bs79yo9Jf
hTrcBo37auZFspm6HnQCOwMscPW9GZv30ekYcITvPcdAlfe9qFn16+FVuaX9OWgqVpziIxxPPh7b
c+UQDxz5bMaUtOUBcU9CS4JwDTYCVnq7xWRxM4iV7vDSewtjNmEhBrZSNG5/r9LlC8xd/Lvp5Quu
0i9QAPKVMRFc7c2oWcc7I/HgwI2gDEoqY1Zh0b27dQhvrJYWcv/0PA3dfK1b7mmuo3+pjAQEUUJ7
m3UhhgQN4QP7AauzqQO2oPKracJd9JLk20KHxXnYl8+kbzb0+UTA8ZW5jQ2Vn0cd7is2IQeMOt6J
AwdyYoNvEg0URPO0cntbX0yfts2uSMmq4RdQWfVMqy7XuFzPq87k+6nojD1Ii6VgVRBgL7qeChxP
HVw2JtjUyn6nvP6X0S7T+zAYpx+KWR2EHHK8ursqd8TBjtkewbtzsZ70+lzlvIWGMTmElntiVCJd
d5RSkf+KT37I70wb6a4PlTzSE0tCYJqMZO+6FlWmJUcpV5VVhi1ojeNy5XBsnpa/wFwAWdKijwT2
IWAncNFJVyWXzkC+dk33Q4Z9hXNUOY8xcfg7oazS1DQUrHYH27mG/ZAc/RRreFXJe+BZxcXkI3Ti
XgyM23OundkTfSTGxaSeI/Yy5+7S2BpOLlOL0EF77XuFhc/F/itypAa4NqfBf6lqOZ4KDLjbnusT
1FnXOQ9u42xiKum2CbXeZSztS+eJq4ipGTLNB3LHUAKOHKIYGxUdVsbM86ztGroNZqA8Qe++p1aJ
CjJ+9NNMy6yTMxEmHFcJPr+V2/GSht6CQXfMP2gffywj8B6tFW3NJoEqMnpQzXz/HR8C3Exz/k6H
qDtoowK8UM3lDXYYfCRtb32R+OssKHZYT/RL3tFgZ/WKVGCHcys7M+lyv67sp7EZTk1d3JZ4DLlo
PRxsJouzx1t9iBK6x0yu7Ajp1tXUfrICK4R2MEMiyhXEQmJxeBRQ0NFByOG1XyOpOIxCVnBPm5gA
noKezIN24G8NDUopeS1x8j17ntXgD+ZDyn9/D3pZ7Quqgc50x4nzRO04vKtzmPnuRefVCPeOete0
B87cRIKPHH/Tz4+ff0bQOJSRJ6MqImYfkRQYAP9oJNLvKQrh6JS/ceRtp1lwabb0CpLnf7k3We+e
be4zvwNjgP7EYTftSSK0XKSoXJbIexdp7rVwJF9HwrCM/926czy+Uf4HnKoUhFbHwJ9/IRvJs1nL
K0kF9zmPbwVPxxf2Pt4eTDjNWRFtnhVmPdIL9kkSFl8XI06YgbWYFZliLyx9bnwgzzkmZ0YxbDFF
A5C1v1LFSEYf9xW3k/Izx9O1BQvKAl56LuVnjXfuB3GI2iJYm6l5nZ3c3Teed7Iz27v6S7WijaeM
TRaxJECEXH/7/IGnCT5utBCUTXEtWhVuFNtA9lOfXTjyZ69Vtgt8xsuiiNt1hQ9jG2bIZbkEHOE6
VbqNvQpni3WWA7O6i93uFGhO/RLs1XNsWGcPYehz5ErIHsakmiR0ys/IygLuBfQBhEwyW0NrcaVf
goQozhesjjlNR4WAC497fJ7D9NqrkY6hrAX9PwWHJi7rU6sqXHKWIdj4B9AgDc3mnNG4zWPw68uP
vBZ3h0LxY+z2B68a+5eySdALLWwsGPwP0AZgoqUxztQAQ10M64U9WXDMmqYhNBkM1BzMJvblrrpG
4/yX65QColQciowPUdtjBFWD3x5MZGc5xu5BWNaDiov8mi4IbGXr99Grs8PP//Tzwx+7Zwo70m0Y
0BM+RIAzfgp0SqZ1TP39R63El+4T8jLwytjQRNmx0Dwu52Es9zSDHJrWPpGTbZ+kBFXZmgZrRCpq
sjjFzW4nV+3r6ViW6TGT0rkxnFOuOgV/uWWTeoJ6T04OFGa5r+dvD/X74r/DZNkNY2Efw2gEL6RD
QNMyyNbCRQ7DrGStZk75O/3PFHq2t7rCzhgYdKRjhY/vOjNQ4S3H3NV99dx0rnvxBJ6wpEjuiWvj
JYwlUNxWw7BRQX2Dn0KTRmO+gHzrXihLSfYdrecT64xLr22JUKLfawSVqB622ej/dmcV7Yi5jk8g
s+XW7bnmhYYHXI7u24Mfph9TjGBb23N2SWElwEBE2DEr2EY//9vPX7mdz+M1AkmU028ef0wy+gtM
FgRSEQVvbU0zVPOlOpXd2EAkr+noNpuaknNAj2Jvp/OOshOTk4R8+mAu84fTvsZ5bJ4alW55KMPb
H7GuBEhcRDrolRRBtaKgfjoJp/oTD3Be6Lz6TkLLOw+h2NOeBvVzNit2XQYNZMZgr82QeM24cETy
YuESI7qs0nhMqX+dB5rpsP4Bdnlhlt13FE19WzX/dhg7ISyNA66ypzwBL5c609ZOrH6DEfiF/sb6
lk/4X9M+eG5LwUTZ599p5urrwD+3yyPD3HoU5JBdL21QZFGGrdWWBzjYRFb+YbSaj00MGn/JjIJW
+1fFfsB68r+hn/u3vK2nQyjhKBkDfX89m7ZKuOFLU2SK8WgEz2zMz7WbGaSler7yUiANeffK8/xH
UQafVToVLE3khx0V8PFsyJXOgC0cv8vadgz9yhcTfGf2TtPV/NsOk3vRcAR6wr7rhEbutMreg8b+
Si3NcF+53SNhnNuDLA5WYea1lymaL5EVm098NzAGq459c/U1BUJuJk3nhd30txaQ6QmmUnMnRjbv
s8Xgyw3nOoMtPodWPjyAoR0r9LlLM3n9I+Gt4GiJgcQIe9zVNTsFMxTQOu0pUpuWxqQNm0SU8BRu
axMSnuES3kW3ZH6YtiZLgEd4lQSmu8M3DU0BzO3950efAzPC5pfv2tDpiMIuZXYgi3aTl2NL1KJI
YS/MKXmn5ddBpcxLZvn7dpDPqsT67Gb5B0MNANaAu1qdTuvRRDBg1nsvXI22fBEcHhfbshnGYYRe
u46crIB9UCIKRys8gP7G1xRawGk7RHrBebXWe+xqNJpxsVDoaYQz4hOiZyBWeJUPcg7NU4C/Z9NB
xl798IeLOEv3WW2+M8Y1W7Ye8RZJnVnbLeZTajPSBICHdj/OTMsOW0xBLUnJps7Xhtu6lARQ0WBS
DbgJ4GQouoZV+lGRomW27j/irN2HJm+u7Se7FhkKQycrZrbAguIiElmjtw5H9fyDIEhtjyOL/TaY
0STezXWu2EN73hNyTHIHTLGRvil3ZWGU61zG9T3FeM1lDsBNS7jVacVtbAK1zpB0McPKQ272eDuI
pM50Fk7Caw4EIGmRLczk5CnmIeBM7QYbp7V1o7RBokLECUqwvLNPttAFpghRKb1bJevvuRtQTOBQ
llP6p0djP4/BQBYoQwkyEvo2jIwkSjb9rSvm1YRbiqjSdN962XduN97B0ljCi9w1Dz7d6yl8xpWs
s+45cWh1aNJouOkmO6R2PvJZW5wRtvlV2a7cpgowGq617AJjEcdO+2q4cXIfZ1iTTEgLT4B9UjiT
3hlMj4aecu0F8lB2XXwYx/43Fw7m+AbJZiLgegs9EtYqeG6G3L8StFPrZM6QToLyT19AJFVwkrZO
nlMpYk9HJAy9sfhEEvh6FBDRtlFlp1sCUkZBq56SvMBcY1G5o3tSjDdmr8/MmLp9nN68YMFS2iwZ
6D5TcEG87r9SzYSb6epYNazKSqtbO5ZLoNp1IzZk48gFgCAXG7b6BXBTp3zEp4aIdqbIzrJsuHqu
H547mswsLjGcNuLsFgllp7RmPkrin5TSy0+B1eJZGEicvcIQUAj31TKcfmtDclm15YLYFLr8CFB8
uMM4/f6HW+Zg7lvlaUOxz/L/XSjPoTHxjKywWtPrRWtqZZ1iXeZ7lvMkpnqvesyZdS7TKn/DHDa/
zMbfovOzt58fEN4AsfvNIwBs+qPUEPC/Ku4fj59fUSH7LzONhrI3POGKR+2Fej5sR1pbJ0TA7I2w
EvTiqigPJpUNbz0YRbaHY7rLvB7uuSnfx5ywMVcUmyEaXlxmsluRKPorwmrlmX+lhY6JRsTOwr76
uvtdF0PxVrGufJghQ+okyzcVsFXrooGtvuaBpHxU8jAzXlx+yXa3e3GdY1gKe9t1hlhTst680RC7
wU1SP1f2fGLAtR5t2+KymdNHDqP1rTPUd+No7CNdX7+N0uAdwrJtUIp5Tk2fDHH2cAqqev1BxcdA
/Q9R59HcOJJu0V+ECCRcAluSoBUlypsNQqrqgrcJm7/+HegtZtGKmp4ZtZoCMj9z77nOgguJZDoB
ieZdEcp2IL0RUUnque+r03OjxqK//v63IGUrg9OHhxklWxyJ65ygd83QfLxPKRvfYJb5oRLEjAGs
L0mh6vd5Jxai3l2WO4LDkBfimypheqTduHkagGAX6OB5nCY4pkViP41e8qcujD9uXBjPrsF2sY/4
9u0yf0munHHs/+NS0zdj/tVHOfGbs1hA75tzwnL7SRdTFbat3lMLxbdZp/bGHFr3sNRpf1Bm9WDY
rf0343QRTEAvXWfiKdubaWD9186cea33mPGhfk9O8eoHfvXcqepniqDtMCWsxJJ9g6wOgRrAZ7Fq
6zqx/cdcgZ5n/CPyhm1i9qh75X6zZX+sFig0JePKGdZwyI/90FRR8xMwT0Bqn8sPteYlolBaX5ao
uqicsSue//i2bs9t9Fi2D3cpyI0jGEbrfabSYdKwiOdoXcZY3cwxgBX5Csq1DiU+qrepGP9QRnJz
sCgh2YWNi88IT8XcJho8khkI+bfp0h8hMvFRm0bDhsnW+Mdil2OfZyvI0/ImCzoewu2HK0f0cAS3
Y5wxzenzMDYu+ulyuZQwIdu48fYqcn2WBw2ZELXKnouiR5aRXzxa6desueuKoaY3j5ufPM/vDCbB
1BjEVWYNjXlcdseZpf8fIwa/bPdQVBsMPCx6lnzfTnwCGYHawL/m9qZwXcLX6V8KhnLPeh7v7Ry5
UU0GAqu1sJvgHeQoWe+jVpYHx88VF1Q7IwuNwAhoTU+fwPzxLJS1k9MPByfV7L8osKWk/Sk6ArOI
ixoeHDpcG7lCMOS33AuWo1cMj7aE06sVBOE+HuVXMDsXCxlDvEGkuk3sMkEpYJh3c+OkO7rZCw65
6DTJEi1JxNAtqwbYQgVSl0QEVN9WdIcnfWtWdf8XactuKMaHRIvVaQLKwC6NN5fgl03yqKEF5S2t
LoW4f2X3N9zJYol2khr/MyvcMFFa/pnXgWzvG/VTvaDzKBgabkwclge/1fLFGLJvqDf2n97KnzIE
JG/ZZGveVi84FT1DEv6iHy5dF4VQqv8w4IGT4FXwqcFfGlb/DXCi5olU7UuQ1tfFI73XaiHmapHt
qFuP+ZT5bA7Zj+eai8wdFgJv9ZPTLMtJrSuWKIAqw3Cwfi86wFOy2XZUe1dMVhzmfNiXOMrcK0Qr
7P/Gi1UGqDPEOB0nIPpsmXleBgQjzmT+4fBxDlOakvJSVMY+R3x9ytm4PlkTDSHkb/Wny2/kwR2F
cv2XQClvZxr+P8HShykS7oS8QqoMP2/rTDnKTUTWV8ftITSmD5qIiJvpV8bZYrGLzI0P2ThB5dt2
yPf/NC4OMVk/uU4yvsK+S44JG8LD1E3ytetqYhM3cZP1xxbi6QlizA6s0Xo5e3ep5CKbK/MRo3V0
AA5s3owydbcDeLYHo6r+qnikoLZ5jzMHkY35Pivmo3Bj44PxmcvSOiGeZuAHWeJCyHqDdyNtjl6V
bgloCE6JE+wQqcwMzOodpNlbDtEWLJMIGTf+RHXv8awlbyq27RO1RHlpkwQUldAHhycsHBLI6JOb
GOEQp9AOmjQ4O53Lqs58T9Oq30P7o3aE3sSDc9EiMLggzCdL2cRC6HBE63ZsNFSaaRSrOGiKCJMr
1bmdBuJWfPkWed0+X9f8RrQS+AWDW7/KKImdszet3xr8CghMG/O6EyyQJvIyVCXxUuAHSiAyjImR
+7Vnz6lvXNc7QHfusYzlE2VYv3PHZA6DOm/pMxSy3SBRZ1msBWulv+2GOEggpQoz83rCN/I54sgu
IcAgIHdP7VL3F7V++f3TYKSrt7rcgll4JD5Co1gEZFtP1gCt39Pn35/790//+/L793pBX9IKHIbV
8FW0Jm3YMtL5kRkbVFa2FxynTdZml8WTL2bmOLulL+ujYQVvXYlOikEggFemz0bBlpoQnm0wOcR+
eqgYbEVh4dv05T4mB3OOzWsTxIzNgW/D50Xp2fTTXeI5X5UkM91TXCwuKM5jCkofZ0vO2oxhj/Zy
9y6utHka7PwT4ejRbubHbAygFcvJPGIqrpg2Aehj21ZyGzCgmu6aNTz5f188VbxC9nDbEWeE3w63
zq1An3o5GEoCVvJZPMw8HDUPhu80+ZlEJnc3+fQpcebOl8m0KeL8W8LOfGtUQCOaxJ8ZUom9Odf1
DglVgYjxk2Bd9DtSkSJYgRhDLnJVbW9T19DKiHx6bIEC13bzADlyCt2hTvfAAvAUtVDG3DnwNrzI
LyhNYYXhx0VPepDoh7eSOzn3TciF3YtqZE1ta17bfhzBRyxYLM35vAg+NLhCjLVcpyo3fZLeBWMy
nqrIDK5oDjEdl+Ldz9Q1HuLuIer50jD33qKk0fuUUebBlPg8XG90DoFDsMaC9oUCdslCQ6xZGv2U
Haou41E3dpkVI+6xJvJUMLj3+H/hNm1LTiAuVxzI9XMcReNjPBk/c5FhmAuGaZf1Np+XfJhyjH0F
UbAp+nkqFtgHeDVC0jzsVTiyLURhvCSO+c8tTWttMewtE2lyZ0HI/iYiwb8/VrXjHIY0epnQXEGn
9RGak1bd9oQkId1J4vkuYyrXmyVxemYL48WQ6gyd2cZjnhChbKRzczfmGpzqiu2rrbymmmVemxb1
30mh7ZlcIruDYmaDGEeHmISNXwNJFGgqVBchjExca4NYGGZKjXLJcVRo61XhGwHHGGgsc7eCK7Us
+Y4LnsmRjOTO9Fne4H3jJ+tfyXW0DuC2yVqDgBnX/ho67OM6R3RK8jjKJ+RHJJISSgg0sZdIXxhW
kc4WQcqdJ4lMoWqHre+sRozKeg/EzN1iBzcTyy352MoEljrgMAcnzDkl1bXjd7vpxlAHjXPvNv6h
tgP9gDkeRa8fAEmv8s+RFSgbLPwXBLgyVS6R5lQrqpqZwNFfVUhuYX8UK2VybllX9Yr5HvoEKO5y
P43xW8TkC1m7Y1EFdifPaYMrUukHv26yg36unMhERg9XlhnP1nXxsduo2PZWPr5oSaLcRlErYH/7
LD1SpKoFq6+M0TBD+veK6GNyCNc0jfgLhViDe6HOn6Nr4Lr1s8B8fd+X3dnEy7fNUApyrR/Rnphh
nlj1yWNFYrn2yrjoyVUt2ASUXXA28/+IgXPPkQsPygZCNisYrD1tVtObl8jL/otsNgeMyLaYyyFw
EiQ72CScoGAyWIMF979ryIwVapM6Dttvy32Apm8y5DWPXcYvAUgVhRRf7AWeI06yMhycaT5MWiGV
TdqjWkpMgGrY57m5AHQyNkF/phpz37WZfdHg4VtP19ezRVHjeM+wWlnImtlTyY8GNdHy2uUPiMdr
lVePiwvUGzP8BJ5dfib2WlN2iN8YeKVbgBLbFnziJWdyQhDfQpBCNl2k4+hr5tN++GnxXw/Oz/HU
J4r5HBpm91GAbUcnS9ZmB/+jNvwDo8XpKJH/NyQrn2M9Xm2VTbs69l+ZmjpXa0bcM7o+IAdsYXtb
Qg2rgDmFEKnJ3DA/7aE2Hm2L3dBQaDa9KYhzGUDUt+6CcrZCIDlwb1S23PWV89cUUErcoVxFbLD3
UJwSgDtED0S5zyey6J5jDqi9N6Fkpn7NtlGPVsyOo3E/+Ct0Nkirc+YYx8YA4s+aFxh0mzfwaZKM
uUxubZGCNheaRRSqVWPcJWS05019Gid2dr2R9TjRzDlEGwH8c3ZvXlRhY7FoISP7MTbYbhktcvI6
zYhuSpkE5qXDTMUZ/lGMZT/xavSeXS978uLKO4+xtVoMyrCrs+ZDfgpVlT+TjT7cRoMFvsC4meSm
JBhcL1Vq1nsLJzOMe6IYNc1joufsgORAoztEfxyIst2XQ+OcuLpDhfkrtJl43DmR8VHEjeBdCsCp
o0pPk1G+DonRhmbvIWGc4U0URjc/81zlFBdN+kpy3okq47o4UDTNwEcevph/C3TjeOyJVG/L4VaP
dC38H3IzzY8FtJeNI6JP38FS2bNIQbdgHGLwDoAOjjmCq6pPSehwE1a/LlOuePq0EK0fPMy8uq49
BHBDmMeLfrRUcDbIFARTtaTYnh15pp9T4TA3z4gLk51cK/FeqFeezpNsLfHSzz0DMNFcnWYSP7zC
Q18kP4QX+rtOQwONofJvZL/yhv1y2XsF2oIKSs8YXUxF4k068FDN87vfMd1WinVVRtzQHj6lFc69
2LSN5+7MBFCOQzwdWMU0grO53BxYi/uByg2Yj3afegg7Sk/ZrpMDa0iDlXPQTKF0EbXOw6OcNLs0
X2FZnwpSnsuB6BJyuY2pUmffGKASED53EOmwndBFvCtkxiHGY4U1enilN8Ow7Gds3oExEQPlICPw
xZNHr3l0KUB6qNi9C6cQoTd5o6ixewZdvbdG2o6hEH6/m9nYbKs4xQ5YauvaCN4bMsAE1oHRPzmB
l55lbCxwcCb1pn122imR1svg4zAYYKc0dXwqybDYRJUH8GKan6ByoMsfu1uW2z7Swo4mr1fOoU/k
vzIaP0GZP4KwI1J3hHhUmy9goBC692hsZcuNoGfWAqLde1Lnd1Xz43joloWAZ2206s5M2dTExvzY
s2o+j6NAChcUt0TGDDeDESRvnL3NqXjKyB1qHZqY2qX9dm0PZYecKZ3wmfPEbngu2gv55/hvaujf
xZDV3xWCVLrZvqWgoIU8+bpv9zMKi6NnMEFCWER0Du56bupgPKp50ocJhTdxf+axrLWzt8hJ25JS
jvslM2/BQr3ZssJhgA/YPkCLj98KlNyLjnXzNTC4mVIyY+bltPRc2LBTAHaiMt5pgY/FLZyzn5o/
vk2QRYtprjTIK+HlRDaj/LA1jW+baSWq/6+iBAHprnNvnzPYjQmkRVCwbPnMtzZ3+yERYlhVxyRw
aSAdpGhsqm4c92zA4M2uyvqovFcUSATVrUrsBivWorxLVVK5BJ4Rh+XQ8p6hq8S2hx4vVjbpaVlr
3y/Qr/uJBBAmPXq/2PLLRIS0nxTpJIk/HaKl2vsLK360M+cGf/XBY3TSate+x6Vr349+Zx5y2LiF
Fi8SAiNDzYem1MzucuejydBD96ZcnrGMbTJ+PiNv9u2CERbVfWRP+H+8Wd/xDwfT2iNmbfX0YXlA
HuM+/6MwBHMV56xfCb6oS+DsEFAQ8aU2HYn+Rl9A+wjpZ7iYxhTtq74SG4DSRFdK+Qdgq+f00VuL
hJj0ahunDRxpt8/z0EhxRXGby+NM55u65JIv/XTtUYoeWpMBdCbndy/iaKDdpQmb7eogRfYvMLzP
OBvlYx8P0xb4jbPxbAcWg7DSi5JIDfqAVYMq/5Ar94L8EYdJYNM11tGNkBNc3QDQfHY6q+PgLUag
S9kylUe27bBSKWX2TXetTBHD+zGBakjy7RJ7LSWj7gUSQQosnyCXKqnZLFrtR8yyNITUxhNr4Aib
BXb2rvaa+xEr2MapDSAYsnuvtJ2glh1fmTNnV9qB+TGQrwx0AAtbtnXtiYSFt2zxxhZ0SVDsdgyi
HnpVliQteadMkg9HA1ttrfmrQfJ5K13nRosDwQlKFaZtLIJO0FyLfDVMK9WEmeB3l+WkHYdAMn3Q
9YTr5Gr6Quxpb1ibBhvXppIekLvtnshn+EcEIXv20Q3tjJ0EYoyIAR5q8TiJOX1cgCyswQ6FB7sg
RoQ1RkwTBH6w32JTzF1ztgqK+6WCh7DA3ALRwSZ9ZGh3tVDt7dKl8X/sf5lyHxMFJBsR8EL1RFgX
JclkWu110H19on4+O3LGyO+54IcQEz3hfYGYmfr+biz034QUexYBwBZgEuELcf0FsUf7Ar4ZhoLt
Jl8Nm+aITdNWK5tRejf8Rfn0abhVhA37TFS9+7AAUQIItOwXS/zXRGZ0gFCOSo9lDJZ6gfLmzneQ
RuwdrEGXbBzfAmuhZHUXRE1QBb3aI0DLlP2D9Kf+IZKfCFGYi4JAaqbmH0HyWHGNggwpgD9lnu5a
hPJyNG4A/p8HijB+S1B1BVXUkpTpxesedZcZLBeQcdC4maUkThYRt4nmfDtZTn1Mx/5c+vlyJTKK
pzJO8L66LpbCvxDBF1qbXKK/7E3k4M3KkJhhzwEnQSZGhLyHmTSCVOLprxZNOcFiqBYIWszTQR/r
IUCV2FmPRZ692dlalaYsa0z+N42d+eHcJVjpDQWSkft5y7qLFDChEXVZqMaZq6QMzGGj/LU7i+Zj
WF2Ec5Ze6iMwnzqkW5Ibm9/wfoqhUPzGZ9LEyTPSgO8aqMEBzw2iFEjpLgZxpy6ezNjt0UWY+ohM
NQmldP+hdu52nuP+qVmlb4p+/oyissHITK0+Wxh9c49hYySeakC3J4whFDA6NVFTsxb3dIzJts31
sXNLWGbaCBHiIcYIdIhAAhHPWoKCSd5r8z3C7L/RFYzFYaF7Bw33x0dZSyVd0AhWWBMp90kI5ZVu
iTRQg/U05rh/mATHZ40a0xxcHH/O8tTEiLCMZgz2ZTJ9xyI56KSI94EfoZkmva/K8L6SLHvB68ol
JQJAlQNkrmqG1J4r7+bh4BtRUG+I13BPDIV9cBC+2MdV7DEUB4Zv2pN1GFR6Eb1UF2tGOewMdwpP
2JLq4jRlHkDo+toYxX8TKx3MKAJ5Ie9PgqYqz5qryJgdtYO1hEZlvlG7QvREkhjiC8FWkVS73IZ2
XID5Pg+lh2VO/IHy0u5hayIpU8C/52jEDlKTfRe84mhniINZatdqJz0Ik3YVyxUGEyhWbrFPhXTC
L8sA4EGeAwnwsRE6VZSfLc7b3ZBBnFlm+ZUF63i8nq9TTe9BatenY9U/bjDU+6zvAC1O+QVr9cbh
/GBvz4+DQY+hD1g5RvGYALO8ORrz9FKPMxC3BUVDCuX4kDezZntwyOC1nQIAJTsXARtW5wpjB0m+
IT4+QknrO88eEnQ3xFEiJlyNuHkYLaQnSo30MSrItMNRaJOHsqXrwDKjQcrPGoe/Zeh565nwBDxB
iiYCXnRTkWaqSz6a67bdNcqs10WqkCA38peF7x1bP/8HXayGNAvaou+yUzW3lwDD5imfqvju94tQ
4sckHG9vTO/wNIC2AFbpI00x3RGAZ/umCHv/DVkFd9pc5jtTmLdUyfTAO5eJAgNVRM5cXuq3FDDt
U7cUpyLRz27Kvx+qXdYMgkhgKvN0C2V2U6etcauD+uJWZMAaqFDqVQj2qItPIl3/TdxdnP6vPNQL
9slg07XYZyOj/8mR9lyUVTs3Lb0fVZHb3hEG2+Sfi4j3yQoJXgXIBdfNYRzHr3Kt+rJMITP1jCeR
LXCBvRn8AnJTiDkzCgcWq7Xnyx2QjC2YteQyVXzLAltISGQZu+1NYmULE+95Z0W5v3UsKbcDAVnx
+jtdTDIe2Up9uRbqrgWVgCJpDb7lG8k91rbIrY+8lWzMQ8sSZzO6z3wnILr8lDKGagrFhCDTTwmj
z60wy39FmvxbuhV9WSBf6lpxdVR0Z83a/R5VemiMc6r9iUKC0x9TE2DEQBKeR0J4QOaTwtCCWj0J
0K6bOIMaELMMBSd21OW1KRe4g6/4jeWLl8YPJnaLbEJjaNc1j7FArNGbfSjJhjmoFPc+6Dd9KUg4
MlV8ajs7O1gIaJvZMlgsxTFpi3jhFxvf73ydUxdKHk3+wVDzgezp+uqnfb7xawg/E801wHbBnneq
D9UyU+PEadg6YlU1m3fsR4jgcaEjSmYSeRVtoCmRM2GSfEKGAFOIkUuhakoS5OuOVULzFDNqBs9R
1acY+5Y0RbHPHYcZ8ChRxGdFeaoaMqvLeVlTgJKE816c58i0sZrkNlMh8FFDjCRHcsvMJuq8xfbc
PfuCec/z/FD5zYfL5Pk2TBNY1p742NY2zF3cDS9zMaNbyALUogLK12AZDAo0s6YO5vYJ4Zf3YKSk
B7mohLLOBrNZEMyal9kl7cHxtk5zZ5uwnnVB5cHwi73nmuENJPHYUA9fiJgodytvg4X/PJEaHX0U
hStO8CoEmBmiDIuXYqJOiOb6Ctt5IFEFjSz43fQwNQN2QiUO7VTZT9LvjtNYnuBr6zAjFIM53wZa
TbEZId3gx65Oc7Xc16r6FM436nAgoTNDYq3S+zghXYk4oqe+8nixCM5KtWK9VQ8UyU6wcUobgKQx
fyc4MmoMwRekRJ/FYIbURPCJZ6O7o4TfWdrFUDumb7YK/mEZtiia8w9kXv6WyWMQ1j2BiWYan+eB
XnvEM954AvvnQvdjE9tpp+O0g2/PtyxzYmHyhgWrstw9SKDvMbeNa6YKJFZoilzbulFQYxJ3uqvf
t0cTes7OjCdE1/P45rGk3HQ5MBM+WR/nyIWwNPPMeCDeESpAWQMdoFwtTPngkXYN+yAsG2lAoxYB
XnywqGK05EHE0SVyuQdqWJU7oq6OqsxI/qgjPhUSs/FsQYjxaIhBaVkJJbZq0Oixa9zHpsRuoYP+
6mcBVvguvx/Kv2Rp5FC+lKBCLupru7C6phSyfCpihWIx4OdG/eJdRB6xEPVjpEauuEbG+F+ejvYB
4Yp3HcwGrTfMdxjNpB93YdB1BCUQh7mPffcjUNHF6B7daFjuUis9Vkh/7ryz7Qi5x8lJyIrqfeZJ
YnyGiX8ye96juvLFC66UdBvVNqCu9RbJ/Zb3haSUCbobbAQz2Y/qbHAJ3rE1XW0HeCgtEOo+xyim
c8hKkCPGfdm6/8Fehf/aN9Nh5ujatHMkDlg/rsWAvbCSFlx5m0nz2H+uMpP7uWb1O9aS6PnpTuV8
Xzc+UrXbCCZVXMKQmXdjB8ol4mSVCfCOpP1IGEluBVDlkanopmop0fPlGQG3PCQ4gbdjIsZ7DrMQ
NM7wqFacXIJ14GAsOUp/ubxIhGD0SF5Y+tlfF2te6IFLQdvlhd7NwNT/uBgsPhMkEjqYv1J/8raY
ODF0qI+gIBVDOe7MO2qvCST3Gfr4jcL8EnETbIdRvYmOaxpGw74ksfFM1F4YlBlNIhxsvil265Lh
HC/hiwO1kdOkVw9MC+9bq4Ot6UgSYrHnmONF5hJToLV82FbzLLT3TohjeiTj0gC1TmMusYoS7EzI
S4CYSIzFqW8CtREGRBpOLGJGNYVzbqIf7kexn+UpjSoNDAQFJ0g8ZuXOJE8Nl+IikSUzZI4eWGoy
VhGTBZ/RInfELC6EdIy7qvP4EDioHqjtkxC/But49IPneWyS45jUZ7QaNsytghVpwyJnz3SEEXib
z4/1EpxY9lY7lU/E3mPzkSavrpfhM+hKB8Z53Jz89T/JOhXHacoeUsFat6b2sSJM+GPAnEgboPZm
RSZa/hFwezCr462vXDYQQSk7GDiVCh3ClyYj2jc1Wj5r+i9vbP/sc7x0+JpYUMfMDmaPCVkFsBU/
MT5g4d1FLv7AdBbWirKG1Wv/dbCU7R1vccMUXwYM+7w+p0a3oDMBE5XE1r5semQbv2ullT7ergWL
j5jm6gnvVJjE7JkuchlnkPYmQjO2QTuBpHRCWwgrmhkJZIaSJ5nghzoIm2z5MvjdMxiTErN49NQH
8Wdmkf1sCgfLLV3jsZ96iE0j6URVXDzYNHOYYwrKC6bCnNPWtx7x0UXVH8VEiEVFpM+lFNN5/viF
dqPqC/YiuHJMXXUzPI8zNF2n8x5cxQuIPC46oJtCvGl03guQrpH+gtezKbwXi02xT6A7SSvFOyFB
fQgKGDazQz5hVrXPZLe6D0zesPORU8wukQ6TK6phxtun4S8AEpE/4MocCBjrmOHkYWQLiJO+oAlB
/+w0IdRPe6A2XzKW346wCahkbnGyZTueu6hfsayP5KB621Gy7WC6d3V6Nzsjsdv7BqulCk/LLhU+
k9i0f8ymNa6iWF7qMkDQIUR1x/6JccpkkdIxr4N78c6QUsMYOBH4+NEQEuMPpDsO3D+ITNRL26Nn
RhRhxz1SHp95URSkxHUTpVUbmr0wZIsMUL6V0TCZQGWMrJ1PvmJoBOrW3mVp/grP2EE+UxCEyOaX
GU6CIS1VOBD8zoPCrjy6MspT0/RfMApTbM5IpVEu0gRkwWWISn2IXV6z3y9MZu91JFFL0S7GLvnj
felMJ0tdyKFQNZqgZGxjfJqsuzOqjj2v8R8dyAtRPQF0MfOgMNOOAyJsveZKGPs2To3L3DSwxEfO
98E3krs0mniuQEBiscAVkbEOiOLLgL94MxGkWKvgtv5Vlcl/q6hMjfFyxY7+2cjcuWdvcchrRi2F
LOwdKVOIruHIHcSUYV311zRhpxvO3mAO5zYtjSNJ9WQe5MOlVRL/0/on00g4smc9HFhn8xpx+SNc
vfe1NC7u4CC9pn7x8+9GVjvXNuuLmSR0SSQ62Xb/1poo4eaRXJsisO4WMz3oaX7klPtZmEVTXw3p
c82Cpqq7A2lTTKISsK4zm7MtEAUFwx8ggXYThvaVeQM/WV07sgQtZXHkgArko0MmZdAYRRCPkVO4
zGPxLB86p3t07NVRHD8yhU8gRADWFkRwbIQbY3rqCMscQWvtkBxhiJI2TuqYwbuf1ye5xOxfIFck
ZWKBwaIZV7rWzcpRVP/fnGtruCVYAA5SD+axl2yhy+hQJNifR0xaJ932J5YO2cMszBeJ9/6ChFRt
85IpJWsDdBP537RNQLllrIlmS5n3lVs8W1L/IUJMhEaWtOffL6SPYFfz+wmfRZqEwqGHcSaFUYMM
ia2VY1pvZ0ZZDRHCgxwuhBtYEDglRIJgZBrjNcfOM9m1uDBOa+hdtgcPbGG6x43W3IGy1nuzCn46
jUKI4LI2FAls+8AwqbMBWe8tGoFD2XibqBz8U5A146UU860tmV1E9ViduS8r6OH8KUvq7jiSxfOb
6+W3TPJdC4vmlBjJpe3F3u6d5KgNxDyOEd/AfI67oBVvRi+NO+jhS1h4A8FtZX6LicLYdcJf0S+9
3kZKjXtJ98TqgoFOlxvUvf9a126P5BNHqNGm57iiq6s8L9gikSsPnVBUCYxudlOaXc1WVidviB+s
fiR6Is/ETxylywnA+lmt36YiJZUmuNp1WRRRxTbdgyZm52G8wh6IiFSav+LUrc/NwHwKfhaEjhaN
L0iCxKyJtnaNZ1X64wPSGdqsYnzhkkPonrXTU86uEYarZiDZfCep6K5Dm0MdINx307QgDrjo+Z00
6rl0vjtRlHvMNJATEvunM31K6kRhopXM42okcTBh6vc+j1+gtbKtHkijzR1WW5atvhzL5dDsaOQM
u/ovUmQRTMD1N0aPK72wPDxn44SAcZ0qp8l0vzje0Qu68dhVvDAlZgXyZmPEOuQoXt0RqSqZDQvY
0z2OnOzqOzWsZaJO9mJJvo2OuONs9Tt7zYLwAbzGL1vJXQFLuAvHU066YaYJFhiRWjCYas9u/lMX
krl2NcK6ngy1ZUgAOWvoH5fapu4eiNNJGWYCT3jOFj5dRjYwDKolfoxNghLYso5YGO7NBtXVaFf3
Mvi7LkK2g6NcyNqIJX6H2L/z64w0im3RCAf6XlxffgnNRQ/op8Hw6+DJIuyqX/aqHN/ZOvVXkON0
/Abx8fGc7CMRefhOyuTh1/LVOkjQ+xRYQFmifI+c5nWI+Ac3RBbFU7FsMwftAUqSeDOVmFX8soa4
3mOm8Vv5Ejf5K7kE9kkZInlgoRdsK3Mw8TvRvbGGJcmX4TEkIae41Gast1MXTZzZ4xFjMaPdgKU2
8k+yumJCPgZGDlKTze0URKSWh8n3Tlq03rOCa7KxYsi+zeJczaBhPd7KB68wB+bpPetxm/3M7E0P
RePMp2GY/+XglzNJreE69nS0Zjb5Lv4dvIlYFe1ThNIthFiK9JGpTTs6Ww0m9pr2/0gHLM/8GEcs
j9OZNdbHMq4z4OSbVO5G0nJX3fQzxXQ70u9ROKQtbw7N2TbwrRRcyIKlFMtZ6E0O3l6CUkky9Zjf
6O6CNgsmSJq8D/1rZyHJSX3mPJk71SxbWWdqYCvM8DzyrC5sZG52aS0bM2NrCM/NQhwJ7NruOLtZ
qALUouDj0s2i9rkn9BPuvWLpR1eNcYQI6bWNK6pBstkbdzaKOtIA6JfxT4FNnhAUYiOdQrNyXnSb
+BdfouDK3ega82lvLEvjgyqH1xRj6aZJXTaYDJgdZzE/RSL38MKGflBfltYI8LykPpiiOvopM1SP
b7Brq5uzBq2VE/nPbjKg6FjGk6usb0zF4magYiupm46Qw+GCzMMDevusdOf72b8DqlNtuk6GkXRI
2ZH2Pfui3WAJ/8PMyk9/QEgWTXZwDGLEiDoA9uAsN8907UMDrJ0iyWaojrn2WBjJt46VR2YvfXNO
TjdYEAW/YrZ2hQfRZA6qMImBRPEAzpcoiHetq9a5bXpsUnNltkbtPTQIDHQ2U8ua4/GqAuIG/Ki4
KYqgYzIOz+j4uTJlDGzWYhFeDy4cBT+Pww56431ENXQa5/rbL3ygZ2T07dPlzzyNxnGKyWhg7IT9
OJ/gOZr/FLTjZFhT/PRZ+JzAyIZpRaU2iDwdDt3IMW001adkqX1QbvHYGNJG7AC+2XE7IgqRuW4i
lD9E0GZAk1Fz8VBh9PTUwU0T98QLYm/aEVSUcJ607emnCWw2QOnC4AmyC1aCVv9ga0gR7GXEGg3s
Xs3ZPuVL8APtvTwa7BkMV7yzZnXAB6IhrzElGnZsvXayfNQjfj6nRkjjsJS6ZPWn17vu/xF1Jstx
I9kS/SKYAYF5m/PMzCQpUdzAREmFGYjAHPj6PuBbvEXTVNXWLTKJIe519+NvU28ReYty2K4LsYFS
khARe8wwzRmi+hyQf9wiKzaJb/rXgGw9HFHBln2kRLd2914A/CaBQmyhFmTLz2FO+XpUApdbg4co
Rs9iiYak4sFp2ja5+K2ZvQ42Se6RiPa+J023lor0Hrx0rJyWQ+4AfNyDaihkxKyPNtyR3i6g5olz
HVbHFfrkwKM7vefaS06wYmuSCdvOJpWKc4ObL6Xyj6Q+2o08C3f0F/7pLTZp3M2BY2wD3Zor1Ypn
Qc5b+7V5yEuJGjjI19RbumNKuEDB/EhjPizysM1VeOVJlmsACvEVaIa1wZePL4Xg35RbGyPht+nA
8l8pL6KcBoS2dowMpzyOr2AiJYJKmRbFWnR+AX+00Ef1A0xZ/Zmyy2s0cLs5mZcWtAIShTLHg5za
aO3qOXjDVio52hF1A8RJv6SafwxscDrWxUM61kyPLWdZPHhAsfXPzNf23kbKIuCUZtvQ8/GW049t
8CyHxqR+zzVpvLx1iJDP2TmCPkVilmAKxa3bPrR49RECWEXgRxZTwq0yq4udBPURA9gvQ1C7xIL5
L0llLDy+461t7US3kap1k2rTdUsn28GzDPEYS+0wi8AzUzLZo0dRhe6k9nVJdJteCyDIJ6pAKQLD
kYh/1z0pGG1a96iy50vnkfwRKroU+ss1uVuCAu9ybuC2pCicVULv8Riypbn1kpxYjOVSgmnVHEJy
b6ZjJb+Bn7WoZTb9C7U37iPqCGuVpfs5DTgC8hFM/FCwE0god9k4HGGMPq3fdBdTeiVj/oB5ohvp
AZVAnzBiPVne8p53+mEtCP4EmCwTfLR4cJS1NUmAPXoDF1oV/tSDqA8xGFrRlOCo8uBXihd1ZbWx
8TLARz7H/CZ9FuibcnDQv4c1kxtBxFrauyEg1t5XEWOKgwSDU+lBQuJm0ge3aVVJh2GIDRPOnHmx
ONoUceGihGjAXKGNamXIjUgTNuM9OeaU8pasf9VKnjqZWpuG8XqriohUkxF8QUtp41dKcSjQivSZ
yrZ/vKv8TV4zQTaab1+25SGLS/rBAkrlJzkdAopaapn/yyaHt427YVkYIcfPIKu3XKx665sxl0Eq
7C1ejWYl0pJsDddJKqHYmFrUOxTevZE6wYXjNN96REkX3oArD2f0s78I55ek3cxuDOpRiRZTt09p
KEOjdN9FkSIAJsHPrrZeRe/0a1OSIBrTeg9bcueCbkFVgHkUqo5lZ0JvXO7dmdU5QnXkCVT8Kovq
rZjAarssKJBo3/O2g/9Af9qqTCbUi+5Ztkb40s+woBt0O1OpnW8xbRNPT3kBk+kHFPEB1x0pzE2t
PRuflOoq1jsi+RhxOj4TJ/vIvZYJFoeBb9HQB2355DWCas+JAhqoWBzi4WxuyIvS+LXE5/XS9OF2
fXRAKD46bQoBYMpOxkB9KIBFbBD8n/o+HAqyj6CZogJIxAioOEybrYsC2fDePpimf5vg2Ay6vKdG
iPte4j3XzUTJvKK5hBKdfee4N1GH+6JJ8s8AlloCu3fNEytgqIn+1LCDVlYNhNAobFz4TJMh9r6j
E/FrwfvO/jyAOGcZh9oBv1LKW7OAqfyEjhviy/M2Z0aXwnTuMJJeE3A1V6xv2yifsTkCzrVsLzr0
9vTujDY3JvGjC08jThW+Dxm4FK8AIfIVzmjrQikj0OOlXDLRO6s2fIquicyWsskv31+Uy1im5pbp
RGLf8evsqk1/u/RAH0w//ZMLy6CyWMJuzoBPzraD9kYJ3ZDWwzrkN7t2q7p+aCt8YR4VotfvoW+f
4fyS+pb/cg2ed9QdBYglXo0iexVJRbyj8A9k+ctXsIzeCo7MeMxL+0dp2e12lPRYSBcJPMdrfk46
/4td7Cth+zecvw1qNVSzUDv5BceiSWtH8kDDmDZYGn1CjVxhkTABruQ+kaXsV+Wn1dXlmY2AeZ4S
f9V4lbFRHSw0Db3GGS6WZ1UPlQu2AbgbnKyNHsmo5NauaLqTgf2bFgjeU+70pTQ1OCGrulj1zp14
rnX3+Y114cXpfwRABkFVWk+d9+ELWCX5Ylc7o8lmZCwxXwzER7CFa4bufFsnnrzHOXe9rreD4FXc
ivYTu5p3CBkuVDQ4bIvfvTA3T5axdCJSHCwBmmnJuZ3gjmb9z2yqDPsotO8dKdeGadXGFzqQY7wm
E5+FNxFACuNkQ5bjGIZ2z5hF7nnA2bOJLRqMUgmrPwRyaWgeVw70VZ6xMP9SKsGdgfbIjobYlbvk
MCA1B9D0XjxRwbUhh7RuLENv4U56h8qZvjJcomGUmm9ZYwLvXmz5VUbwpRv6Nc3u/g319Awuao3B
l5sMFt6Bg9w9amjpK0d+GbAiOMyaJYDqcuLY6KY/c5sfeiRTHYOvpjqs9l8dlawD6SluXwjs9Jel
aYiMPhwMly0qg+jlGwdVezgO3JIG1wHPBVKFvWsgUF45U0d72syeRcq/cp35UcR9egGyl16cGWeG
8giXWlI251KxGbQlxOywNqOLG6bTtpnimxzim+mm9TqN8B+PUbqAPwFj6JJWaNc9S2t0zzYHLMhs
KXhYZNmmb6gOF/69w7x6gBD+2yF5QkeFm2wdxSMtyox/qHnwuDMM472cpw2ePUZsYd/baPjnUGFI
4v8qElO82xwJ99ISN8/IWbLoEW6cacCJeCGprMjedunOifO/Lofxo0+Bz2yPAQrOj4SK7lU4dQxd
aeQy0QcP4jwfIVD9VZxwqsek3aQUbfu64gPt+w+vE+aW23tAQvb+ak6hz5KmqC5nx2pXYQDEqcG5
pMonWACe8ZM/rbxcmDc9/lFmnz8qnxrPHpmJWj5Gb9G680cY5FCpY9O6tr4J84kN4jSaL0mtKsaS
KMPvG0RrY0RKTuodVaT+yerY+hum6I/kbPFUjmSkYxQNz7P2BaZJLI3DFT1KTDTu0nJsU0AvfFyx
fO6TDQdN2rh+EYDwJ1ackOIhw5ZfB1dqZZz9LFvzyAqoekltJnIs26vZauXOd+m5C8s+4dIbn95o
PG3Fz2yhDrMywGoEAo5wWLMsQst9VvYbaVrTsVPXnBfrrnTIgTpRdB/GAAJjxlAGrwxpXiTw901D
nFI6In3b4ViXkO5xYgqHZib0jApWk30Cnmcy18hr8bqYAdNHYxFepOp+Aja4jVHXbhHxSnhD9X+T
h7j83SuQOVsHPjPwaMaJOMEKbDPFrNI0uAnTJEOiHRbU8XaEavHa5TV34DnigHfJe2vaWhlPQBuT
MaEl/BpTohS0tBFrR+wsJKEEMavdRzz3D5zxD17ve1sXM8Aq7t3XgFzri8NT+DU3abIYM7mF+Mcd
VpzIyJjS6E6t6nffacREu+9W3WNIpPLJzcSGxUp34RnIsO+01s7CxHlE9pFwaDp31yn7UPryR1pX
yUmZ4aumtv6cAunGEsXmEswp0LuJsyxfQoCK654pme2uee2RgNp8hPdb+8y5KRKlybaBzDdA7iT5
0ygSe0nqvNgS1jlv3XKPEFLhQifzLTN7RSTUPnh58uor4C+yonQkkNDyp7CBmx3+bYeeUS8x82de
f1hshW45wII9VvtVUtLOEtUwSsNpzF8darkL9uRfjRsSFeww2SjOh+z2u6uIa+NkW/jhStO8pnNG
xBFT2sbP/O4YjC7nGRYeHS9d30gKGoT+TgAHGIqa9pxm9X+GmWTnIARULkb71FMoU2AE3HsDS/rR
o8qotU5pFFIeGTY80gNiiI5Gbmnwk+yUazavGnwSaAVOaUPD84624I0hrY6BpeVcRv2cyJDYHcws
sffR9uATayAx66qtnTXtbGf4m81z7peotKrESbJZ29GaYLZB8Wx1Tg2nZe7rHMedKhUd1gYFkEUV
v5HJfk61UT6kTXGm+mpbtuu8gehnMhz1xMCF+yPwQlqOBmIqGoua0yjvKtFRtnwI/kqR4jx9Ly/r
ImD4mqhEzmwcPiY4SRFM6UsQxhe8VMeh98QeodTfOnWTYQy7NrK1L8nY8rxb1OuCxIhE38x8qFHE
WPNHyg+5YSf0N8YBtync6r2KivDsw/x78Cn8Y2x/n2YNASzXdLJOC3sqN8EP0i7/p8QwvyfHi6Pe
HPBJGvmnh58UihnVkCZ4DiuvwTOyYM6V6HazT1lXgVcaUIaBNz23n0IE7S1Eou8bnPOxSZHV7CNe
BWAnAhWGp29p4PtPYZs6yLgg/8DxzUeqnYxz5aiA7mF8eNbkn4Cgxidn/APVDbIzmndqIguNQTJs
eYSurMJfUNPJmnPEdCACMJxNbT87MahDoIMRxpeFtw37QRN0ZEm1T48oN2Sp8R2OpP8nk4D05AY7
eknKED90PNGiYaUD5YET+tVgk6FBy/1jaCZh6iPWZsSHDdMfb5nfzlcc8Nsx5NmKusESxC3T16gN
F6s+AMTvf+z4xT7rr9DErW+xetxnS1aq1SgWRoUTh+XgPyPugUAJdzu248GGaXyYeTHx17GFAoq3
6mKaTEPnXkmh8ENW5oXQBw49Gf52HMQTC2BfFg3vo8ioSXaSH2xS6/3ZLTAVURp4Vz3sxeh3SV5r
LzzjFmNHwUlIOVhP69ejNMb85ihvZza0k9utfzSCDNQi68bEL2iiiUbnQcDEMsfhwSduE4rbRBCj
VhIz6ZF7Yu37Bp4I2gehNHuYdUeCrzIEJB2uBozMN5yRPKELatmshpTF2PA/q/0XKVV85ElKbg5g
lIDLtnXyOWBqo8gU6ZRcVNd6+7oi0Fcs6EzIRmyz2/hOOhwPTLKz8wFurNXdTZSgEwuat640xbo0
MdE7dPStaBX6oWAQrNumiriqMUtWMjhYiHhp3v1KJGpzYyA0OFIa5Azr8NLNFRw6/hTs8NQmq96d
X3VshTvTME6JKnlsW2Qygr4cFhbbZgzHBEYdZcRgVQwjgvif/u0sWFhkb2+cApLHFMU+n4SkRsID
XKXauHqxOHOlPh1oMEcvcRaVp840vCMB9GEmRajtXZY7z6jkJ6lqv2YpKv2nRn58Sr55J2jk3sSx
sEL6tG+YEu29WdZfYBH0SYWuszY0zLuURcW5zyjX8xPBwUPR1RU2AqEvBwQEr5F2uQzx3tKbmB6u
C5ikeTnsY6hwui89UR1mpsatr+3il5G7ex878yrAInYKVO2/DxmzggrfCmk457bLadibnJ0OqKus
yZCvgzF4LcJ63HuZ6x8Z7glGqOgUF9a/NLflQZnpYluH7tLMVXsXaqDHLxHj+v85WN9/4hG/T3wu
OyT3j5oCF4584yO0OPylIBjnNAFKk5mKxxIVkd9fps77VY10Lflgrk6q/Y/dWHTEQZCc26DfsEEu
iFnFNLEJfFd4REBDKOsYU/149cbLkMzGpsSJx8szWYMeGW40x9hH10t+xYtvLNQxsBKPfHbmIXd1
rALOteWHMOUszKKWCZa4/+cpBLB+Jg89caVkPIAx51MO2RssqsmyMOlNf8Layw6RIAXbhsUP6FGn
qAymHTvOle9QCegpYe/aGBOFIrgKserLw1zP3tFlbO8IGou6+sgZsp/T0NKINnU3n7rkaAmAz7zX
6KklHE9fu9wNDg4AX07sHg15Jx/1qc1aH1LP/1VMVncwzJY84Tjg2h8xB/Vt+KfF9XazCwc01PKl
b+DORMA1heXDtcLNCAhuoDeO1jUOuCYGGuxGNv0720ZrdZYbGYIQdXtwRaA8uPwMSSbWcrmqg32g
Q//YgMK7dMuXfurdS9qPpyIvg6MwwR5a3WLi9E2eCpJ33Og0/3lwVA4eIC9mU38iCFP9C6q4e/eE
n71Qh/qaDXP7ThWbe7eNhreILelp9oqbB5Tj2PTTRMWc/V5VSy/C5JKLKLq3SVC5ChCuxPxmxLum
XhsThcR9l35UcRyRueGAoXqqWVoR/uzh0KiUPQ2I4azqDl6dfSajPhP8ehWZ9SNLGrERVQEsLSE8
7pxt8qzE79r3oIfbwO+sbODGDp270WUDX+/mhBTsTg52dy/+zPK5B9WUHGFmvLUD4RghOObHsb4W
7vhfLsmB2F31Vfnyg9oVMDKiuTkNedqB8OKHkeGREtF7PCN1cQw0MHJiXkkBDq848dmMAvWDIKY8
pqH1sEvUloxPkddf7Kzj5eOawLfwai6MF9NiKuaUJbq43lqRxYKtGP8qkkoWZlVOBXj3tQ7OutXP
oizgjgHraqqfXLh/lVG9WlZDUTM2Chn9MyAx7KJYPYAa2ZeQwcy3iEB/pp5MT+5iO2qpvEWB/+Bu
4IBG5UIfY4Tg9c94Av/YmK+tZhvezZRM9Fl5ZyI4u16d455pF1NH95+m+JmVMnPwoBrKcukb2Wuu
JBCK6upCcdtXkYVRqQIVHAz2jls83ei4nQ/9IKBU0bXQeoN7ivXWVHI41lB5HOj2xlhH7MCrT3Z0
WHQFLpGKN5xVjm/d8iSwOsBnwTkfFXv4hu12yMTusGVcUST2i0WTs5lawFN08Dwj3Q3vRWaHe56E
pFck46L0albKVYRFHduibbJnojABzmQ/RFvuxxATzLp2WP1CXGDCYqYKYXYEM1zxmChf7BeKBIu+
lXkZH8cq3QQxz2Pi7JwbQ/Fmt/gVJnYsR5fwbY3Dgyg/pqWyUQR22ltJDjp1zeJPVTYfsMjuvD3T
Q1YcxTjwPeUhiXJu9oDdLaT0F6r5yEJtJd1K+4EX4DEZapyc5smmiPngRB0wyrnsyWple4at/Mgg
spvN0twXhf2rgjCG+2bwr1kabTMdBEeJP1cO0BSsmdq9wMZaMMAyyixU0rHyjHWfOxBucmbNRgDz
LTJEu6jJ16oOZjIWWq6DTD3kMLDbDZ1dqOQNbRhKjfLvQBYgtPWpubd9sc2tvjiw6YmplubV0/fQ
8kyb6qBWhc2Vvq1frarlwcKIx5UB3r7KgOvMbbglLB6fMddXwGd/ngdT+rumst4n7DovKcbll1SM
7Yseh2PLVq7LFkjHPOSnWcd3BxRUrEs6BxweUxZZfCrrqH/uue8DT9JGVfkHjKROWFhPn+SlMBjp
SreszwTvPC5iTCwD/Cd0jBYEFevLtOvlox92uALp1JtscQ8QNPYsnjgHGgaevAxaHGigVXZNsXQ8
wdiuU5KcG6cNvHXMkuPsl5m9D8fmqfzv8xQNTKXkxGb29d6cO8kESEGFNy+SzkyoqCoJn6bZa2XO
Cb9+YXKZWvlLH3H5zZX3yh980jXgNeMa9wtPV/6jdln7EnlTd9KTeSPnSUdzU/37fjUbc3wlceoA
z+4vSemGuzrqurXD3x8aiT41iNKkUN81sZ6NYgrKxVCcuAtX/lSBzE4DLBY27vawJfXlSo9hyQUX
1CzeNtcdfKAkjbOJZDTz1icOacLuvGZApFa5A/gEeDex874a7wBCdpU9DUcZHYKh8jmZ6BELTvpV
jS4gQ43a+lCzJy9pRfkgG7MY55jBWziyp/GFzr3i3LNAF0L+ynsq4BSOuaIgbI99IELH7p94v6sn
EAAOSvTr7IMQwb3rOZmR4KxHXnaj8eAvIz09QXXzydZay7dO0yfFTDe/xPvbZURrEi74HfvE31Cp
oNYtdmw/5WfpGwbXcCq2/gw7qAmYplphnU03Z5kcWWSqUL0odjbt8zd6ounfAlImujKjE4YluY1x
dcJOHX8MKFNsQnugrPTfYrQPL41de9uQ310JE+ngUCHEvhc45GQdk6AgNTtxC3t2cRoCyO6h7OCZ
TYjApkdyRef+Zx/jwQSjDBvbkVwdrq9PHe7gdoyCE9XFDvuS4yjMi53p9mYok2m+Kd/YKaSYg8fw
lNqkStoAUcCTbKe4Vs1pmHceLkJ4tBjGJBoADiiytX497b/Vh9keiKom464PzYdpWZL2s601IJIJ
SoyDmjDpPMrmoH0OPE5WyBOWZrkJEuAsEnv6JpMWaIFEkr3N5q1ULNhKFZ5biinPZQt8BR9XcynG
SW9CL1x18A9/sIj56h2nOjp4U9Hx1B6oy23sgLOk1DhTfq3+lVE3XwX0grXnovTm2aFo2cZ7ZnXK
bf5t3bLq8W1sVLVwvyJB3VUU8cMPHZf4AEcTj3Z3ZLvonPuURX8T4fdzFo/lt9tyRAvn0oJO5pAg
CoOQcOwrMva2IdsVEP0RKf2NRYLsA78l2KAvVuwnyHRNPV0qFI+xWq96iPSArDk7iHlfzcZ84Pr3
sOznE7w+Xjs11cYOaawz4H+MxZZzoD3T3rYzjHK7RwbRRF3KTdCzN7aUwtfWHJFw9QeGnl2L85C8
N0fjxA7rY0q3xDiFfzrWsE+LZmZYCbBUTRUtEUUG+cQIlox6zT3tp5Cw8wHHbNu/eNbbTIvqteWN
B+l+gAuBR8ZYirux/lHuFSNPB21wkTU+V52mq6IrBbo/QzsqQ+eWG4OEfVoR4qwXDs/3FwDkGSsY
1pGeRcVOmGpeRaLN1jEg2K0R4nLi0E2HAY/xre0aO9rF7Wus1pFfkDhpQpbA1mCClkCpFBrbMo2h
Dy9Q8TNPY7q22/Er5jHXUjz5QneXz5GY4mQjw0Rj5jztnWzefXtF2LOJE41+x9EZIQsA7deVZ10w
YggskdV0S+tJHDsr706wiXAI22QhZwbJQxqlF2gGv5CnyQwBs4D7Rem0Mk1zp9mibwIq9hizOXPr
0sVSPOUnGBYEHNW5amN4DQPUPnfI98IxP/HPGXuVVPkKDBJ4yWbpKWWSz9aNy/UQiQ9AY82ul7ax
7sZokayG9o3aF1SPE/+Ncc4sJmo2hRMEKp7KFqXPoKvHYAOjbiJj0cQvMvv0AgeK9tTzrfjB/ftL
25CFyd2HlZbdySHSx7EE7uEImSHVnLGTlkSHh1VrISSgZBni/75EHLDmSdxUjverytCgUhvSqBp/
NhFmODKMHJIo91hKJKYqjy+jZ7Css19Juiv8KB2tiyVWXW4KcjrYzWjElT0Ej28cdj2Ef/CinlyO
Xys74GLSBu8eAI3OMZEYpgwXeHk/1H9NbeprnfRsnmYj2sClO5Zt8qxwLrCEy4pT580NxpquPkQB
W1/sA9gUmp8BC6F7ucjBPPchb5DMWTVxdbc8QglNRei2GVkuqCUvljEhXSfXZI/qsgXtXE1Kd4XR
jMLlgeRK4noozkNzymeHk2iYGSeHoycdqET+sYIythEky9uywXIm+XsS5HAq1BJ8h/4qQTx6Ak+F
VAiO72uixaUeCBcRVRMnSkQAbAXE43Q5/y6s+tNssGgho196Ncd74bMTQCX0trb3lRkZil5dd3gK
nQkdauvWHN8TGet3Qhe70Go5JzZutmVgax/+ZP5qKy46CGvVpe+FevWqW+rBIjNy+0H9TLzV7U4U
Wt7gPFXmJHaB1f+zxOzvqhJQtHI12IA2e0LepctpqGJy8sxAha4/XbCvksl9qZyjgYxtlZS0t9Aq
bW2BvM93uxlRO+foHrbYNrpZk6GBtIglp5zeWZfVW55bq6TiD5YT10+KE7+o1/YO+fTizNo7SZOz
PPD0E0ZuiryT6Ogl/S+4yX8x/nV3DlVtHfYM4X21s+wQWvGycxDEpDBgx0eYM0tjivnheyxhQIUe
zBHfJSNx+ymTYqPqUP2sMBoZqyTFCQXkQOCKuc7sh6lVLxnNSuvUc+Tb6jG5uaaPxEZrOArnPtOR
2kf23K18kpZ5yShW93vQJeMuQxvfyMhI9wlIB6oQlp+2EEBB5m5vyfGtraFbz426ThzaiLw3S//u
sJSmpsnHt8QVOhwDDZ8eo941fgRjeDC8yF88gGuz6aJ9sLB1ombCeFWoDiCtzDfZMOFKMoO/cJ3a
m84+Wqvrz1PJv43S+aWg33ERywHWhchCjVmZJ35nB7gWvGwHnRz70b55kiuRKsZwP+JUxj1eAFK0
SRAkxkS+rJjUYaay61tMNY0BVpBmPbHs8EGUD9cqqAaeiUWwa3olbvNoWcxHxUMnlODWVvxfYbNf
SQwBS8zt7m1KA1Q+hOnd0Rjk2zhBwh50enetaNjHJWiSWQRHJSJA0hjNM+rEuabVDeMM6nD5s8hz
0N/o1pg0vS3ZGuRFkcb7SbPsT5sm2/pZSyVeE9x9C1qKzjP/S5ZwjOh+gzWHcRkeEHsZdm1rI07E
oy2Td+KHn0npr7gEJy5KPsCAMrcj+IiOk3W+zkKDGotlSTFLe7i7+A9d4zCQtmKPFsivuOxoYcG8
tGE9G+xmnr7YzL2L1bVULgzq7LfuFZj+eKtGtqHdcIzoP1nArRx0qMvGnU0NeE5UeagwHMcMxT0N
W/NsHBtYICnD6M6eKICjpMC7cjRCZUXcrp1e7p2x+E3ZDnzOHl6B06wNYkNX5YXlVfgpZ5C0PVoa
ECIQr8+BVeo25WkHQhV7dNJMYqU6KFDgb1bAdGlBmXA2hi5braCi4hhiMUtqaW/l7HDkNyv7TOLU
JCus1JkpAoVbVNNzSN/Bti411XDraJM4Shv0QmQn0zpFkQJv7mxVkP4hrk+gnLxFklBRt/A4Oyf1
X9sRtAybD/fguniUhaIYakpK86pChDTlfnShCg9tM+dH1bMnheV3kR/gVwDwJpQeicr/QUQjo1fa
p9zNII8R8BTc1dmpA83JTTJ0xxwFpqJpJ0dhuPapBkdU4MMlwzU/oG1izKrYs37/Y9hh4jUTGFN1
bv6p3TRiYW71d2399gwl7jCq/xUj5n+TUgF4dJAbJxNoVlrPE2altN+VnY3/blbmddQk6Ar7ZjhB
dY7MZo/l76Vs0v7Q9lyD/YIddkvlAXxt/6Y9XTYe6/LHSHAHOAKVUMBsr1MPtQmqy/Lel38qIBQY
Ibc6GTtWsT97S3gPfqFL/wvltUGYr9TUuK84N/yXYJrPJFltS4mXzkV6n6QhD8FIm3ynrBOlSdwI
kjJcZHJvlw82+x/7Z6g76z1rreTG3HrLZvZ3lfbX0MKIZSn0ECQoxRyZuWcgoOuK/QhRQ+86ecFx
ylP/QdlN9GKg2U6pr16mCt+aM92IfiiMvQ37qxpwfJnP7YG12dLpMwd4BOoLQ2Xjsoud7Q0zB1Je
CzeRbiEBSGgXW8NvJ+F0knjTXlHps5YTwxuLj25D/UGwapBXTt8jHL0U8WLbACdYUtMj9LMSE4S3
KSCdOWJDEKmaHlBvZtbhNt5kvqcsrsXid3CO6chqTJIYSBJ7vnYi7R+TWWf3mS5KPHdkF6qVjwfh
plyFpyhn6ZHX/MJqlaD9Y2JJkrdBcRF90wOLAJvzAOX03nhqQzxE3iKPreDAJ1IPRn4HJXIoe/Ze
lq8nFpPNE3YeGkypDCaG7mblJOQC8AApb8t1yQHlEpFWyXODsI5jMhomS0E1tmoy4dO/su5+RXI0
j47eOjpVBzx9EyiObhs3NgshbXGP9Wqg6+JqWQCirHlRBt1TH0d/bFd8WGaGuaB+yC76JxzxVpYK
mk6Blavm1MjRHoch60dzMJ6ItreuEbuWOrwpsb5q7upN2Ix/arMv1kWaM7PtA7ZBeI/K21SV29g0
/sxpGa3oZbihur51ZEO3QQGMwYmwH5sie+/MP2ZuXqKOt3tjsDFSbb9B76+Ia1UnA5UHeduKdp0U
rwVU1dkN/mVx1O+vhnzLaRBZaw7K04TxMnLMndmWx6zKX43K/dnCBeDexvDLRPojbuaOOJX/Pkmq
gqaSC7cCFpVpClKHMPfWnEO/erPO2anTuubSTxNlYEgGRR3q5NHYrpHOhikDdZalBPG0ue1L/U7b
wA+V5HoXUspOagIZxPKCfDOp0t9rd5Fvhx9RHZBmaYnUJhmVNxOZPH8yvooU766ujHVQG39taHt4
fcqFhPA3DoZy64wDoIkxBEPfiwW5UmPrVHtWlHdZYdbu7epX37ZnYnCHwTMuOPlOGZ5EgqXFk2Dw
Pkj9ib1TQlg24cDWhcjx0bBCYc92dFQSevW9d/cY8KAHCTdDoxPYWXXuMkk0bzWmADp9rz5g91Xl
1ERTsHvB7buwJWffwBRigTGoo6UFy1teKx2+nK6m4LDTFcE4RiCMfutkzA62cMKjuLHOi4EctYzH
DFa4zyFotaOD4XuqD7Vv8pidmp1qx08tU/a0+ILEGNypbJiI27gnJxiCC+BOz+lPRsr0BoD5lAdJ
tRPWCM5esHrzlGHtjcoPD7bBUjuPZmgAovzrUSqw8QvvdUpcvCPkHks/3Y1ecbZrjJU2ZoNqxKsb
9pzxqc3BMrJW1ewfCJo+/KWU06MLm8F2iTW59DqNjg5WTp7vI7f5z0hM2I4AKcKMzzXRrXOpcbHT
c4ABmTmexVMjrF3dwnucrAI7VMIwYsLtMBgI+EvtT+4B6E1RplC5SlZw5i9j5q1IJebWnmz4BrF1
plOEnrmipos3ISYS1A24OaZASPs2WVUDPaQPxT2fqWiO5xcvzoafo/5kaf7Dsdpi62XkIvxkrLcq
XXKd41M5xmeekpEbQZgnqIcclN2/SYLajiHmSWkBs6BU+bbI/N+uJlqQITj3Npsg3lfBPsUMnhUv
tWP6FJzpgl0qyQYM9VcZNw+WANpAFU9aYayIgbEwJwyAOLJk7d3XSlFC0XSvsRF+wabP1/NAXsJz
GfWwXIYwl9Ad03+6ts4GxjjWOcPb6Guc55hbabe/lnFC2Sa1OLj+wmCfQbsq7P+aRiZbo/B/B87/
ODqz5UaVLIp+EREMyfQqgWbJlmfXC+GyXcwzZAJffxf3pSO6+w4uC5Enz9577fbDgzudCu1Mrvuh
mjsWH/qbLdrjmDj7yIv2Ppr+OOAyUaYipl+xeevf0Hb3ledd+IBerrIsKTk9NjHv5tg6J5DNQDO5
7/C4jnlkv0UyooQZcn97GDtmDyiQODxy/26NDRF2+VSyqu/0+Cj18atKBIiG5WVKCYXL+lAh9zfM
43U3HYwBMr7XXARf5racr/wkW5JKVPXMUl78Xp4XtziX9ABV1bveFmExor8kXFepufk269eUnwrs
xjsrmIc8df6R5aOq4Yz7MUbzrb+1qqclYHHOpv4r6OzeCkolodOB+rcrn5Gwfm7cgcdeHkfZBV2E
fbLK7g4+Ak1GB7TObUqlSYOGhSnlL9LmQ6GMo2rLNxK7nl/82Kn32Xb1Q4vIiLH9FfzufbUHQNze
6C1gdEX+jfRO9JXNxrufDdXG2LlDv69ccU1MHF/pmnh3srnegv+Eeskx2Hne/xeRSDY/Rmu8Nlk6
7DTN3yV4Fs4DepQmTjWQYluDke32EgyB64a2srpQ9L6577ECQtsQrWUFgurZ3bQ2uARs1vVzmoK4
ktg0cenj+MdnuxuxKLKGgZAq2WwG2SwJjM7iI6+NdjsmI16EBV+7n/BmtUkCY36g4clVlGZBWUDV
Yb3lkJ6jhaVjAuFaprai+UUngkq9WG2wOIe6o/esKQgayO7om+Lf7NR/hZEgD7Xxj6WoKtXYQs0L
6qopepKEy3gFqx8MrBcajRtxHXObzbT+OdKopCrKd6nP97JX/wgnsXipK2409tqpM7O5nRsiXP0T
Xy+E6CIC1DHOsLk9VDTsY7e2Xn5GcAxXbPVjYHbmU9SmpJgdhbaUWm8O0vXcg/pFvLfYXLHTXtpL
oxM36vz2lM7TU230IpTEHFHz5yLI+RHRjrE3zDCMTHt6gjf9mWqURysMz47vHxvkFZat1mH0td+4
XvMcYM1ZmBJFiPpsBXtG0wbxFsyPRXbCxo2iZfpTX9Ci5+kNLxNt/IohHFO4heBk3W05ybCoJTup
hoC+ZwE76UCwK5UY22h1u9QI6+Q4pgetBAxu87ZEJfR/9BpLWhGps9CblzjGoeys+EWJfpBjw0FT
stkIVzSWD9RG6J0BW4vk/WbQemIyJCyGFWk7CdaRfuVRIO/PfyCrvFrxlAdlUQBE822fZdytiNl+
DllOrT3wWhsVDqwZkwWAA8Rcy4rCCZmyI9MVmdMLeXmL8ZE5P55xNfcdrRhKkzunGTTMVFGYD6Mb
cCTZm79GBreer8b72I5f2pp2SsGldc54rcvkPYmra+mnz6ZUH44UYivW1a2g7GvDs/8U2dRLpeNH
ZGM3ha/zVRqZt8GUdLUziaRMIHXoi79DFP1zC8nV2vsj4GRvMn2tLLbKQwLKxR1a7dAZ1FNhxwek
aH6ZuXiXpfU4LpG3d5KCmyLPT6zsrzwZHheqckaTyc+vgM6jsXP6OtHGWAWvvPxXoolt2MjdCT3T
dDoCl2QQ48clojlOBNoEeARv4uJqEwUGmVtsQZQhWkSQTlFZ+DzqFRPDCM/6DlCERzO0M1o09DFz
t0Xch3W7bMuCpKnv6juT9eV2LLGiLEkOcpE/M0i8kSJq/uZ6ytvt4i7LpejgfZF689suPdJsOoWT
ZZ3KeNzVjpE8o04++BRqIadb5UqQjsHrNP8M/aK5SbOnF2mfwt9bWe8XHuRbauMiMupHS7R8HxMr
MBuNOUCniHBmSyvLK41u8tgS17YL/FGARF6yUvP3k83LgwAIa7Hs6psLqyzU983swz6r1rqUqoy3
RqX1F3bxHKisznjIsjstgCpk5x9oDsRWobGdEnKIwzipnqPFeh9Q4PYDigjngL/HdZzs8MSgMnNh
KXwQHZZ+TyfE6pWdj/KSYrWI1evSag3u/RqAsCxPVUfcup0Yi01sEanDnOfmj679FDUgSrhQAT5k
zcUKMnL8EAHhp0hZ0nfe9Dtq2HNz/+bL6bpKGucxib7ifjD3XJk5S8Kxw+m6Ims6R2O52vyDBos6
UVxJBf6Mff7eJsbRqlzOlfnDFNC7B+/d9pkfEizr/MRzmHFkE2v4yAu2OJNl/5sInAWVk94JOpzy
IUVzt+lcVrlzNSP9w57IgS2F9s8D/XPAuP1g5RoP/JK+p35CEpRwaqbnD7Nx5y3XrmwHl2aWsszn
TUbux8rKX0fM361u/zJs/BhKP5PuNWR178zyRlmfR0yS9tR5em2KTG3t3P2O4D9vU/MOzJ2XN3Im
PqwM01pkB8tov7SjcUgFpymuUlBYc3yGkfA8Z8O9gdVF1LzkNQQeXPpDvjXABYdpcppGV9vqLu+v
BCi8Neghq0jyhoXqjsSGQynZ/rrQOcEvd+2H7rDLdmPaQ9mGhG6L6yGbs0+n5xnD5Eu6JBq1wHHn
QGZshRdOlzglgb2gH4USYzi7b7Ck0ohObrcsLCIdxFWsEUSIls1fv4cm43k1tKTJ39lSfWf14j86
JoQrlMKrzlaa6FFNKNpxzoPebXvwSFwesEqNVc2duBdvxXiLIYEHPW1D+w666cnrKUvvtPlJN9lN
gATV3erurEifpSzByPHKNaufhkd3qy/my9KTehI44BXbX1jzVFYRT01i92/krNqi6p9aFxCAylEI
pPC7Y3lzNS2+eolPUVV3V+R0D9NCkEoQVdqOs0tvvcDiYMTuljqW1SagDkBOwwxnSafpp87QPztD
0nLZog9bgJh0079An7j3TlHvuGh8J1XyvGhcQ03bDfu1M0LZffqsSSbwlvR+xHXTdTuo15Z1XaTP
e0p0X5BDXjODi+YyMnZHECoDMan6CnX2PCTtYyqjV88czKMwh2gb6+jOXaF+J82nStSLkEknZlaL
TmZ3Kfe511VH4FjkbUsC1FOzKUUGCNlUXRhx4LXa6D75MwmkNrXDyim+6jq3z7k+TVt/GQKaG2H/
OQV/JQjzbDCTV50KUg+2y1ZNg4Yc0+nrp6OfqvFHW5s5olWyJlFGgwVoqo+xGjJeVslX0fLRGQOP
+9LtZFqad0XL1tyZ2sP8Hf9/MaU2tqaLqcyyf9SHVztLeMa5NbRnGF39PrdGiK1RBKqlIQ2tTQQO
5mQ6arVi4i1TxhBI+VOnXUB73hRDSjDXM9npArv7OOdtwMtxNzp2eeidoQ0oMl5yXnm9zbuTN1GN
myuD1QShDZtHc+lShzdg2VyAIOJicnTzRPXDq+T43Jha9tvNCA7cN3F6Uv24TEdR3TQ9zk+Tsh7M
Me/viT8X9K0145GrXKHx/opNpULjMU4r75CkzTPX+V9L2vWTvi3a3kMEqbR9kYOfxCsE3maJjyWr
7YstxrvOH+GGSeyVCua32Wm+WPHNO8oCjjI2b+jkaIL1dEqEfIopAtmLZBWOfQYks2ywXhdIAonV
87xIsuWOqf2hiKELU6/+nZersbAawLvDasUGHN5cVMG5DKINHhfSt49EBAgA2oiBxy/GMLJn7EYM
EFeSgumUWFcV+YTrF+qqJk62TVtwG9aa8ealcgnb3AbF3R/L1DACvdtY2go/95ku1cTk4GcwWoaG
0IqTrNYpbRsXBFfV6gCWDEw7XQW0oIHMEpx92IecoHGwcPH9boPYxNVilwBeZudaZwOV9cBNNokA
Ad4QKFB5lz8UXsLMGrlhMnEZGGfI/GmyFAEXgDFJdwVqedFKY61VgGCh8wKts3Cc9JIrARt+T4ww
qeOYju0RF1tD8nhf6+2/xB4yoODq2/W0S2nRkxTrGMUzPC3jMFyayioCr7W+dUYAwPndrdCzkMFi
zQ1lH7NGMTzdXbi0MJ4SHxn3Te9dsRw+j9NDNpPkAxkdauw0oQ5bBhxNCi3Y6c/y2Ur10KcK7rLW
GqAonhOX16GaO2aP9AbF2T7bFnNRH58MFTMy477sLegELkHHNMuGsG1Ev/PGr34Ax2q103ciSRMs
uA+HyQTBP7D05tDpk5LApHl2AHxsFbYDqLLjF7RKxhGqzndJ9cASvgUcV820muC3yWd0D5WnH2rM
CMPYy9fMOzy3F2hBbvHYKbAxIOI+Eg+mNtg7lm3ezFwMBY8LS4pW7FyEy4U0x129w0pxUKLR9rjy
8o4vTpoun1mM3xkwq+J8dahiwQuDZNDbe3BZ34tt3NC8NtBn6lPp+VexlrQ4HfsjQy10ioz6mhzL
7JtboH46BR2WWGUpEmni09iX5sbqGQ2h1UzUbLPrsxTXp8RXZ1Vkf9lc/LjVDGlY4TLycv3ZjqET
AOxjM+cPL2NOC3mBjFSUkAYB+QNVhcIFAH0l8VXiGYvgS+L4ExxiH2d40j+QlNy1TmY8mMtnlM/d
Xka45DTyliAloX24YleBVfjf316HcQzFkpc8IuPRFPHL5CkipwBtSulOe74NG0gUaEoFJSUkF4dt
pshldjbGTjIaF4w3W9eTdOHAywJ5dLdZT15ovHyVOO02bVLcgZoa1ySVj7JHVeYqsyScjX7BhQlR
x80GcB81jhkU5o2hGU4wVRUMhTwhiTvCL5DlwMdG55UY0pobtv+qlbwKa5G/8/qlRpus+6Ep2aD5
9vcErYgKh8wk9KQN0DXoPOSGPvsKlE6/qZtn3ok1PHlAdxsWBZuY8BS26E3TEyjs1PLh9c7X4sxM
9Bp0lRQcb5zB7BwcZ7wLjCRmzrGl6pwcMwuQhvYXVpNWEXI5jehYw/qyHs7esPOXCWdawn/TUnuf
A0mjzQT+prK7lLqqWAWlkxJawLMQRa7PWg8yv5tF2rkUy3PSR3UQ6/09VUQgbdBNXMQ5lm2vyg/E
j3clYZs4MrncFt5vT/3UxnHBeageYptfGqy5mhJ+oWJCYvwvz9Njinsq8HyW/E62fFaLAlFi8WRj
BYEG19ifTuaoQ3bJecmyji/tsEthgzakNo4Nsawg5xqwM4n2uFAi7Ng/J7YEFKsbmBYrPiduGVEH
AbMFJLydBrc5uM2LyMsPs4zZAZhsSF1bvOmkaneG+a6XeXTNaV7Pjppj831sxd4VwBpqK0YEoyU1
JWS10xN/7+Zw0t0xvcUWZz57CAIO9ac+9d4xWwnZ/eQ/LHNFwyec2LJFJ6HZNjAqBPqhyAIrk3ye
DfgUDim82wP7TK9EYuVVY90aclM4CzB3NK0dJH7/rhNQ2VDWQqAGq5q0IBA4E1qNb4mDuv8Pg6ua
td2m6QisHOn7Q8d8digdD5dKcpu0i1cqL73NG68Dly0eTLtMMdPmNU1EdzOHUd0mzamc4OG1ruJ5
gPDZ9h0RVVpvKUVA1sm6R2L8N2bqy8QAfeytPzqMlqDk7hWsXCXApAgGo04JeGn/kxa3V13HNJOm
TL4dMX3LSP6oHqwIwgkYgf4nS5H6bbOFkDOStsr+qNLYJ84yE5WIh2A0mHS9dQlnU5TXqIUoU6/Y
g/p+qBfJh9HcpevvLDC0bTUQNpub/LGvsZp63WOpozRYQ6CRn9YBJgSTo8+AD2g167A2xXCKlnjk
2rACOt2MGxRrGFwTAQX31PTJ8tt3SRwP3s8Qlf6Wm+jH0njk/omPBjaEKOYpfyv9smEOyYNigNtV
S+zN6Qpws6KBf4f5leOSRrTubrzmIG3U8iVfMC2QnRAMRbSpWpLbQDlWp4IfmqUgzlIpeyCixkxw
ijxiURsnj+Q46gP749z2/iUQkXBA8Q+2TGI0Eqk0Hui0yLTkobFriTGBh6eTvA4wBscb9PeLvpZ2
8HJ/mKtCEMsnXmIzoOylL2l3LBdwY2n1TW3oq1MNV5fc8xbTGAmEOoH/PdZD2JT9fkaoNpyVHWwl
X/AdxYMc26PuDsNh0BaW6TQ7FITkgsEECazcPNtpchhPkRpuS8P5GyOMfgy9+67kb18In8xadq7i
XuxSF+OxljKMx8vkANfKXmfvTqvDmaCDOo4632iVZH/Sj17h6RiYgjXVczhmE9QhobikjkRAklcc
b0fL7BIyz958kWOgqMqaJ4gJw6oCwSKoGuYN/riSDBBU/E4A5iYrca6c7pH2F7ZS8+qCSR32zm77
mtecmal0l4syAIkzI5jrW804iSlqtkaD2RlvAQpQPAUZztct1+1HfZDzikI2tvBLgHV35mc9vDOC
BjIGBDhBX4dpWBsLKQd5803zAgdiPLvtBGPb0/2gcrFV6SKjHZSd3Um6X0bFQJlFJBsaY6XqzMtH
PYIrwuqXYhSz27DS6hcJEiowJiI4yjY+xIynK1fEGRPtmGVVHxgtC74OPOcytvF+6POjvorAbKD8
nW9Pl8lMTuOEyDYV1aMuQSUTbbznsXmaCQDZDUtIy7x2BEQCH2DemsqM7mLGEdATiOvhmR4TmNdC
tkzEEfC2PDq2PbVIvYDwQscbFkG894PHPEcsFOBLwtd90EpqJtDftuWQjFuhFtquoMyMGXCqBPgP
6EKMjXgfsCrRZblEJQ2v2daF+PqiV7n/kqJRpz4njI1PiMo88WeiLzX0VPtF9nhNIAP14kZkh8Kd
HtvVRMhOcwjoTKcpG99JCLgwCyr24o+io3+hdN4szrrjmAMTt7w0KO2VVeBm/1oGIkjR9R7hhua3
SEDUKodwmBbmXSYj3672g98hUa3G26aC+UKVQuxgU0pZgmrt9BVL21nhQhwAA4mCuaw+4mZydzY1
xty/zijlt8UEXbboHeaPvjsW8REMCTGiPzEPnLfOAZbiM19M6k44hBlmdV6Pbr0yKljq5QTdDWQS
Hr3u3Jk8D1bC0ztpKZS65MJ7Bp3F/aUbYm8ulcWmc8SAURj0R+kMMfbAIkN1Fc4y73mM6b3IsFAC
eBkCq2BzuH7ram0CxOG2z2T87mlUt6FFX802asJ6pFOMenZSp8bwt9DZzig1jkwEBQ03MWxuqq+N
e1LgIZzMNxQMiuxsPAcR3SpdbfYHt+eE6YD4SsAk+yix/unlgjVQciWlaGsaBm4cDrFSC93Zx1BF
lxSAPVDHONhL9naVYx6kO17xw+OPpmcvYCRrSO5ISuwHutrj1CtW6D/+BYf5S80V8EXegaBxnkwK
B+4VkS0AomrbO8xlgP0PfWaJNeVKhXo8PNqJIIdGeMSyH6RWyitvXKZAprymcdDhaw/4EO0UJR3G
90VD7NfTg29GWmCwYHX9sT2UBYq6FoUNdpCghUGyhV+A0mWsThOoC2bNIA0Dzy9sbq0mv0FPZI8J
QlxkthTtDaS8iW8ANTfVwTM9czd57rl7JfdXHVSs3pzGRK+Fcp0gDfmd2HYOD6PtsQtK7J2NyAwJ
fJ1zPd4TNsEZLEYsnDiIpPLDOdfRV/gREzL3ca/QVqZl4H8G2z+paGM2ZRv05PO3nu3wJZ4ITmhd
dxw8LCc2w0iQltwXLbbP7GmavVXONphH7pmZxkrdGxim04zwu+4TytXHNxXhou+XJQ2tkZIvyh4C
1D1qX8ZG7ifXaEJHY2ZsnOmvyFMjWATeF35CuvpMxTqWeJwtSnwWiPXznL3kcMn5Jc9gp91oZ/uE
hjkkAopJiJrHhK74V5GB3A4pMbfFXGMlRuYQtCgCIpVohhEUlSbpjpWRsOnOCha6IGi3bZd5+17Q
UNUb4LQnc3ye7LQ9qZHYXC/gSTAKURlG3+w010Ugq+IPkeV3NjOACKV/rU0o3qT/WGDXfyy3v+gD
bOQRpjblc4hQ7DMBuVlEg9RQnnuB1MmiFtDuQHQFmyTq91tnNzMfPBttDYMNndqYT/OyCbCJmEyr
iLecKlKa33PicJvGhb2RrvzX49XfLqLcFhjtH2bCy+wgMRIkqxdFL8yjXf1OrCZD3ppLyMveD8vY
ANBdAoeiVWvruavHpaRpg5s2FVv90SkWDABu3gLaiUkz5TiirD75ToiAw9Dz6XqADNna+DcKrJKb
RaHRdPjQ8rm4C6mpo7SF2tHmOvIaG1uKf2quh6U8uUI/ZG49oIVLEN6gM7g5P1pY3M+5hRen9phm
OCm3JmugldT50AqOfLq7nnQ9Lw6TRQl03slHTDG8IjKdTUJGHLyzv4oJPg9zZQi089s3xI8ZVQwo
JetQJbQAo8yfQsfigRsEy2iwmGTYuGbTntZbJcR4VHrg4sNpiSGXg+mMA5jwzzpng9U6/Yn1D6QF
UEkhVb0leZ2rqO08HKky2szk5H3HtHB1LyTnXGxsESVY9aAVe7Y1jf6vGBnj5nQq9slYxJvqlxuA
8zXRp7qUFoJsJW+c/ezkh4n1QsWXX4kj3R91oCEaHGvk+8wjr9bUpO1a4Iv+cNR9Zy0D2FMWUJLN
1tktGdkDiH0qQ/l7pgH4SJxhk+VsetNipkH2vjWPt6HaW9NV/+yZkUSDIgOneXnEKUE8ka0tYuoS
gOS8Ud/BVCnteavZAjpkgQcJv8kWnAiyd+fusEdNuJ2TR/AQR60Zim1OaOqAoSXetDkqYbZSTzWd
qufG/fFxAwVpGqNXat1toQGSnas30ZVMrpMLVwF0OvCoj57S+QRVDstcwispOQF749xAWt17TfHW
wgE5cpvAEwRAbsc4+pHQgUHOdwR8PFObXlisMjBPPhiaU5NFAvtDPBNe5RiO6JRUJx1L3Vv+UimU
m9W5Sj7W+/Fd715YLlGH06NFO4WBGOsXOCbGNuQaA/6C3Vbvnph45HZ0+35LC7NJDDH/4Eljg9mz
syiM6teqRbUb9OGLOhhggj55nGnsDmlvv8/zyEXNl/bGm0nKlfQQKDIHrNpB/WRZg8snP8caMDlY
HMVZ9URghdHsakGsXPbIBH2ubfthngH/dTv2cLysQC+HrGsCLomCwNzaesqEajk8Li0cdhpywYfJ
zlJhwcdlYURj+q3fwOh6m8ZlL7m+2Q+94IK/ZBY+RDw76ArTUMD21ecV8UZtbifLWzPZdah+3cp9
tDGyPNbcaI3paj/bZmrCEZ94nw8lES4UWpVVW+UCn4zdBC0oBYBIN3wwGCaBS49zI3KQXLKUjlmb
YJJvye7squ55EpZ+UBNhPGZ1Fgkje6o0ejN949vI7eyGZM7aW7msTGmDQS0V9aUH2jhbRv84O/um
xlohBIdQYe5V0T01Kd2lactD6NXGX9GqdD+mCWaO6q8EH7ZjOjk26/Vt6ukUbuki4yyV6Wfp8oYR
8MdI0UR0W+E/7GL2S5V+n90EAiEqcQ6/7DbPxdsMBGEVVVToVcsn4NbyYfCBx8rqIZ6a4bHDfn5q
DbpnGmqJu7rHM6mW6rqU01GvOuDpfZw/0uLwsWBNeaFDGYYUT/o+dRuSwQThN6Yebcq49852XdCo
k9NtMaY6s+4QFbjGtMOSK0iWGJO2RE2qvan39tkhNMJ3Ox/dY+2vRtIcTXd0jPclK2lt6B/qjmPA
XAD1FU6978w8384Tn6NfqsuQOvM5N8U+LZ3Hvo2Nx3rFEpCdtXmdbciCV3hbIaIapvu8xG61KRLX
fxgrG0V1/sk8rAOZSa2wR6NhEsMKhgiY0T/917LRU6soNo5S4HWnKGSpjeqoK0IkZEBwo1I55Khn
yEPrb4yPi0alT6FrO3MY44sVN0AryCf70gVQvFqqHIjduTPcOVQF1LiOwF2j/UU6PSi9pfuStSD2
DsG7sHzAVcL0DOBJTMOxs0V8n3pZbhUnTgdGhjUfWP4CUrRZZtykFutJJmLYS7a7LldcjHy48ydv
j+z9DKzIootKOc9JRXGg1CiqHMLe1Odd7OgDWvRJcBg99N7qG8Wqa7jykVUfAcjcufkreq/SIG8z
xfHrPMeW/ThXNBk7tOIwk8UHlqskGgVLBe5OK1DZ2HijMHGRRvlmjldgoM78Pkz6Fy65BhcV+qaj
CnHzMus3yXTCZ77AOFVCx2Ju0PPlkYLzfkfS6AurGDAR2/wC0L3lRB4vC38CsM7zpqwVyzzWj8z/
DT7HTLMOYArp2i65anlaqW2WxTTCxb8wqALhIZ1wml0LT0/EU9G6VxwL3paiDAw3jnGKdHCEdfYQ
KUO7rvskj55HBARC6ps0mvr7LBZctY5D5nV4dt3BOlcsy7e2uEUC8JpNVS3BYbg56UwbwcK6mKTw
X3vGBzX5JwEg5KQyAg70pt76nHgxq5RJN+YDG+Mgzu132bfDHnDTqUFmF5CyuEe2O0sOiFV9GSxF
+oOM1JOZrPKrW2tvVWo8CPpTjjEYPYZMWiHiaOc75XR19YWuNTCVAT8x3R5l/NHVPqsMoKB0Jf/k
EBGDSkkEG5ExR06/WgRYvF+oEOew2cEkQaOsieyAsRjMfE29NA8mqTrHcmEEZVWxzRB2ygWo30Tn
MrkJukl8Ilx9Z3m7cRDPrV6G9IzyT2pHlEQKZdukv85T8+JBDYcMvXCfARauIguypgGIoschsMX9
MxQdtdi6w1E9j9DbkurV1DXvNOb0Idf+57ju2WaFSWlmm6RHM5v03BLI8vqV4HVEB+34Z5pXHQ8M
Y2m0t8nJ7mY19FtudXu/4k4Ef+6htbziENE0oruJPJV5Q7zGwJLKnj00kuYC2aw5IcEyv1ER7QvG
urg7icjii5u7WICgoxImCAwnEdRbYZGlt5zMfrM36n6PPcF8ri66IbuLhjGo9OJ7J/U3r6YwMWpc
+um41HpA5gOAz1FQSPVD16AbcgI+4Jb5ykxaxD22oie/sb5sAYyrc/tfePTWqVpdUBBqrEPDhDw3
1gnN7itCy8bYM/kbGMSv8VRYV/gj2DRVsiumDt9UOX5aMZ90Yi+P0BPYcxg8sqwB3Lv+FFNrd6Fy
45KD06AwGVOV5R2Xuj9w01pdKMjzks5hQsYhwTh2/lkZ7xuWwGwsolvpWPbBHhsPmvqaD1E/ZBUZ
zho4a+Z7SU0H672Rv6TXbhrSIpoZ+yFZtLdZGx8vY5wcGBaWPw1H/Kbr1TNXCO7plDRQQFGzgjT4
UpVVcqS7Jg780rE3XZ2Uey6k2WaUrMoLXPWClKzJdQMZNraNu89SkUhLs0+JS2xaOaodtas4vOe+
RrXnqXN9Sx1dYgzcrg07aBbtk3oAJKGce43XCetQzOkReGZ76K2koseUZVCVf1NuE50LYrRDPE+B
zwFraf34uNotR+ebK5+2tcTy4RjOl8FLpsySV0GwuwcscvITebM068PweGDaEZ89/h7KBOF6s6Ai
H9Tr1qXDRwTqQ9snA7eAuvsm3ob3RM9l6DdMCBOFDvgff+MZX03dgSOIrAJP9qqUgRhycDU2V0kd
Tpg73F2mjrXxgEhYDvIvjV9PTMQvQ5+6YayRwVcR0fOmZ+j0cmrEecmPoSGMHzUs8Wk2yz/xmD03
YwxSWbcvpuAyCZXjvbGoglA0uw01f3LI9mTiSeGcREGCjud6By/qM65gvKYN0ZwSWMdCgGqfSQ3Z
w0DpIgIBI1CSbeOtmtJHYD349GHotv+pz/S3k1MJEXvZyw2QhWxYE0SGhlM9dIfW7tQ1nYDEETOa
AkgImcH/T2/6N4B6qnjcF2Ocv/Ac6FwGSD41XgE5SG6mLHNus6ff+R55O7xyZ8+Ix80w8uALB0CI
l6tzOTffnQV6H7O/X8ZtkDjsepd0XfD77VMk++ziCpsuIh0uEReSyP1FNiI8MVn6OogFCSAyIAfy
g6MfNJXGp2NlLhe25DvFzsm00Pwkssx4BIAqrKyuJoYzSzUNuXmSPIRmymsyEhP13zSf0hEN89Nq
wQ+IZnwXW58t2KUeOHCmEdQBFDuw2FOf7MsENlWmaxTiFS44ugysdBnf+PUTn1VjaM8jbz1fv0we
iLl+4LtgElxsyvQYuywvWzZUlTX/GjH/MMguO66f8UG3gPjqjd1ia19I3CU5wrzXftEOip7a9eWj
GSliMdK60o957gwWvb5dv/gJno/K4LGUIuPmN+0RiV7BC08nv6D5RE+Nj2V4IEnV7coJ/SHXOHuS
ZEbsEVzwZYofhQ/XSFYVA+F3mtxlQ8zE2sKcPqoBEKdURFeEp+9IkZQ7ze1HjIA6CxhA/XtnSWhV
NOtr5llqL8z8DrwPb7SborhQ+4KSwzk3msvNbpAdy5bVkKhSPDyK1atFPNM10mPhIv11OjN5MQAK
Z5fNtrolnVDI9akmBbCVXkKuRpO8hIsGZWeoUZmm8chv77PIbf2hWwxOLpZUGD5G2jz+JFywz5oT
p0ShTbm1k7e8gpPQpZ6CsMv9cKoB38GyiDoupqVL9WJNqihhxk7StHmQXGjauQBWH2F71BbcMRxL
Ik8OwKtqTCyigJQNEUljPdh3Gq9yE6hg6+mv8DRJM0zlocVMf0rtf3RPjm8+2hz7L5v23gbXAxVS
+856ES7qRMk7c0N3a2jlhCcH4S906tinoX5WNWyXiZFfARnCjYxFfa652+FIsnYuHQynruzB7K3r
hw6PXIRIHgkmZa5CYdZYaNGVT2SEVWvspf+sockumXnkfVgEtT6Fku5c5ufiIMr8qNFcHI4z0ZQV
nirBbrPFiT5ncaZRFxwNMe2AyrIXrHT3kXAAaI7x3cvm6ka8ptsk+F1DTTVEz2bzOiaf07gaUGPC
/Pg1n7xFAYYgkvuOYkPrh7+DNeBDC+kn/kM8jlJb+ScFYBGGoJTOt3BqaETlFzSwYGE5aS7lbV5g
pNqs4Ig/0AbGK3Vb8rrc+DAmGfCKj3JY9u0y/VlNROyZm6csra9Wp7e7gmpdNljZZvI+zELH/cSN
0umc9FnO2m+OziibLN/btNbsosyl7kINx9mHCT+rtDx0Xkftek5cza0LfjNV9ERzmjpwJr7l/zF2
XsuNI9kW/SJEIJGwr/RGlKEolaQXhCy89/j6uwDVVHX19Mzch1IIlioSBDLP2Xttt0RySjiDR9Vj
V+j4j0R8T/as8YbbeFzmj3ERdAC4lGBphGqAA2uRMHAFzFOtiVshTkMPzrpOFG/GrR58EA1bplqm
lzy6SU+x9YWEqGijmBLnZAF/LfKkus1FdcaH/tR6Zb1zcriaqPVTIi8WaET2dh2mZz+nEdkATSlI
fd2ZMfqLWLNv0T1ti6R9K3XYa31IApWWKlTYnLrZtxGFD+M0VLZ/k7mAdZHebdruFPt6c+rLOOAJ
uei8OZI2H+9lbjmwuge5g2H8gPQLhF/Sh2tmDUl33VX9D1slgi5uSKtUNPQ9Di0q+suiPsVRdRsJ
d1wjZG53FhHXcNtvA7isO6o+jzk0jprcnG7o0a4NKKbpWfLZxHzjyC+QK3DaKh7/5EOlD7+JOB2+
VBKrInoAJ0/17myD55JBzz2Iy2BriI4qvN5mqzixPB50iF0HM6Gm7Lf7PuC7nqagvpywuupDxdgm
IC5XoQTmOMYeZeN0MrClyTlRwg8vKbDGpfUjpUiCDPL3dhwnsD3G98wgQiuWRnEK9P6h1/NwV8Uy
IAWeonJD4+9IFtSjHuJ9S+voUSWMq4F3xNnw3ksyjQtDwcxdo5Lz6Qv0ZVWsVUWKQ2x/iQIbBcZq
ZtN22V4P9ZuXuacsUBJAEWpMCCIiT7KZKFi5a2RKOezeVlvoXvEQIrxcBX4g74daN3aVAnYjCojI
6L075J4DEGmKVDy31uDD1L1JBsvR47Y3sZzjqn6xBV1S24Uk7jZNf5vla8NO6utq9Cl+R9aWwt8q
0TplP2AKWYqijbFgpOkKqMuqiQY4fnb8bKQ27nCfhKmm8Dcywt4koNvRxqPB6sE6dnNKjjWYwaXl
m1g7kmALI6HY00cw1gk+tDoX7+4U91Y6KC5Cz2q3SL60ZSX4UkZjeM8zN9qF5F8DoxSbokYKRqTh
uuwIXkB74m5BGi4wrvOpQeOmumar1+4L1dMzsbXG3sI2z4WrH8acKm3qIT5ErEsyVwPvoWhtkLbm
rqV83iZpsckb5StxqDLC1f3h4p/aZSms5IEZ5lb49U0p4uJYE2ZHRjFKDA/z9hLXziTdUUFBas5B
8aDnhMqL3SrWHVPpUF9q0g3vozAkn1oywk9cMgWU8cCczdxZHWRVZnY7sCc1cUnWY43g7pOW6i4d
pPsMKzlDyVX01ww+JZJ7n8QYE9CZH6jWZUQWEhp+v/bj3tioSo4ChGqsBUbMQIOM8UDceNjv1lYf
BjyIFG2J/B4EoEk249AY7w1owE2YgRigL3mqY/JHHPstyCsk8TZ0I7XKKkLdLJoXSB15WDCfpGSw
tYVBsaqBBVBIL7hCEn7q++BOaI6PxgZpgkZTG7qKxkREJxCtYD6YMR0YpX5yUdOueteoN37lg77t
03MQh9Bh+7zfWBQPLCezjsTHARlOHBovpFIvoyD0SOwZkLiPFAe0Tn0cOzyTgBjdRSdRAtSRdo9b
r+TLMYDnDCt0SC7wN1qeUFfQw8FVKw6K4ayCwnm2UlzuGtQx8kEYx6WQdVraw6Iz022vxgpDpHoT
a9x6B0dqm8kL4eekNAMgeoXjty9F6mAxY1AjEgYcehotNYWgqtTBxzWOSbseGUxyWaQfVlJf8qhA
TT9i8/M0b6PGRbk33OQtV3J1WfnZuxMz+AHs8or6JR6abgWXI9tovU5dWO2VTR0ZwMma+BaOMBdA
jeOtapKrTHaT5J25kO1skEafw1IHtWJghm4Jl3bIJSYTrSBymenR2q2CdejyjO4FKSE+5FSmZ861
P9AG1iYnrD+amIQkUyPNe2b0R5i0wBtijX5yZwAJXsKrrkgZS7xVbVvejimWsyRwrqoBOeqVJ0mQ
Jv8PrhWt5lxZGmb0JDR30nOk21FLToYesyPpmE1cuAi062dL8hZaAXXikjonjbKcm5OrLaUsd94o
r62MbhGTmm6tN8574d4mnsYMQUh16SVbOZFI1CkcPHbcPZApcxe2ebFMCp9KpeGT2KwVK5gbBQ2I
L0EuPF8OQlg1Jj8J0rZ4CBkG3TpWT50jASkQQLYwqxYbjkVbSUOvAuQ4x5dJaQdwF8GcSYJlF7st
4RgDmQuGv6oTgEnI8vFDFMACtOpGc31jhZhjWGUapJWuJwicp76/Htz1EMa3beSnV0KNqYo1BIF3
aDLiiRCl1eEh6kmQHoemPcQJ4vISzREotRMOcVTAdGzXPPeveFPvtUzhY6ubTWj0u95tDgJ71S5i
wK+TScNblCV7SHaH0skOXmGTi2CMkKwSnP76wIfkc1ttuugHMB9ogA03F0cr8Rb27rZQemzGdfyM
9MUgAUIyPYEK2fldvMvTdCcSxr690NRlG5fhJrBBohpyiiD1IoU5VU6cbFu9tFQqkOUChyhCSkpg
8CJEej4T37LuUMgzZ4AtDP4nUK+CQemuHbrjjeLh1QEjTnG13VTl9JGRX78QrsGghY646mAztW1t
pbYWN4fw03YtZTuGw4WRZFRNytpactvHleUURb8hYY3+b1AcJQXysrSOtUL4KEjKBRM/cLMO8VDU
QEKFaPHELK4jJQGhLsV7k2U56unwBllfuBu9ntjaQv3s12ZKSTVu0HLyECHRLIneikC+jCQ9cFUw
2TEN7WZKGYI7kJrLsDIfSoRlCywsr0PLMCHE2zGYwQ/EFGfVsK+todrlmdet3aZ3N4TPYBxmiJUc
DbiO9PArwCBgiscCZKXpdN1eVA/AhqkuKNbOMi1n7yAnG8CB4TBbmzLJDkYl7xGD7dCk+tRFeh3Z
h3vdUB9YglKV295PPxrFJmBL77bZVMUPve40KnD7k6hWtl2UfETO4ELBt5glOuYiTgyymGWKOMqU
V7ZFrRZb5LEuwda1uX0IVSt6AH6A546E0fVQGxbWq1XbtYhMIOctwyGAq+QJpv1ueuu6kL8a4kpe
osg7WYWAhN8VCOKmP6hDFE9lRWxDJwh5yveCmoKG6xyN/qiaAZ9xqR4zm+/cMGDV0oIyo2iNwDof
u2l0leDq7jX+q9zJk4C0iTBCvNlXFOZEbNJZQpCzIR0PKZcXHDCzvWKCi5EAobqPS21pKFT30Btu
QBKkgAiqQNmRF8vsXYgB6p7qnpnLM41FXpnXtXZirEDNzyDszmPyd4KxAyJq/FJq/Jm2I7Ot55pH
R0PvOnJdKISi7kXgfsCDy8+0eUu43lipi9QuTm2HUVU40auUHRJdvbTBl2G9UkzrMmnvV8TDdssx
wOpadtWHEQqi7ccnv5FUWc3oSAAGcq1Gr1dWRSqAXQRHglweMFVyOYiMDB+w0WPmDZMu3VmVwVTG
keoF9Z12h4rEzWnihykCJc/HfYE7QBIrEqNfaVPtbvDcR+SvBxmG9wMcraUd19NTrX2XlW7s4ZSC
TvEr7rwWEj6GZjZkvYvXcNHWXGayaBm2kSVGWrFcOczeROYMm8JBztow3Fu0UcsbnCUIXGxv30/y
VEctbvIqx1wNeHwFrg7BEu5RnPzDcXQlFvFRe03t3j34HaMcoZQrETcRDglup3lOWG9SpHtPJ8fA
dxpjOaDfoBSXB7uksxkFFPF95JJ7ABjowaoVsSlrCWgqJbVC2DKfuPqvUQWdV08OzghK2SLI9WiT
E3JA1EZEYE3hLZXWD6SzjJhIkTQC/2zXjKo6v91EUHAVJ741o6jHujvCl8SqGWjquEkKW65bc3Qw
najjA0WXj96R1yGmr4NgTGP4XbkcUsOGJQ1xOnepW42ExC+tBq8VAxI028rAVDgbCf18yGJYwihp
jOs2EfqWOSVYAcXkzpSW+1CLvpocNmQPqAzj3D6YblNV+VR2YHC60YZRE92EFW8cSuv7KHJ8WEw6
EuIMa32MxGtRF0BYPEV9bsOep7cCzBPfKDnHPC5SZyA/vXGvyVZY9Y4e7TSngqIZKyfunIy8p+2x
cN6ETTKEY0HUZLjXaMFdbTE486zwyVX1ixGSv5VQCq7ksM9rUHWp15fLwCLIEkU6edjNmwruEdRk
hxMN0YCwh3NUZ9myHb9I2fpI/QE2lnQBxDV3cTQRAVSi8PzGfwmyDpu+v+ZiC/fMYxhljqhXcVLc
G3d6T7dAk+Z+yMi7bSy0Ja5fHurRAb1uYNAHGLECWUex0SK7uUmDduVVQEmDrgW/l6v2igqBWmwR
mJB1J9Efoy3HTp3fCKxf6A0pIxtlnYP+8h6aQUVaKoddWLsnpaDezWXbA0UMP0C/KOtB9z+N7L4u
q3yJAG+PrHqTQc7mOaRfqQodRFHgNtUhxBC8y33VCJAP28YldElvUZIC+YFOQISubKPKwE6fAQKs
BVLylPq5bYU8BifNniBHkdK0XOX5D9ra5pHMbaKITGYUrgWoE6VU4Fsfve58mIgD0HrGa9HmV9M/
GcF5rUmjWOGtbxbcfMpFXjo3QZ0u9bx9DBuKbyZ4U70oP0N0GDXECt/IHrqasofjBT332YYWqIWU
JqO6WKI/WWNXjtGU6wsk4eA1FcaISBSXmoCXPXYuw5sRi1Xg6084E1Ag1hZjGVTqiT08oWY/DQWG
JTUnPFgPmOSPKESllr6RejY9w3xvbfHAoscDTNJl/hINRFT0QvkElyr3ZUlIYqOKzzg1oehi6G+s
R61kNu85hOPVAGBk3XLjt1D6ujRyo85/gM5Nx2h6u5NQg8bAbD7rArlmSk9hUSGOVskgKI11vdEd
QBiuTsFHJDQVha89NNCNAN8/6pVPKRoJDZToW19TTCqiNtXG4c5UfOLMAuZ8fEIrn2mF7lhvVmJE
YGuwGdJWfencDc0ofFMZoqYe53TlBeAOqp5QMxWF+6AzZ8216K2BDFRXIKogROihjfZBwYmmh6hM
0ckyka3CPZN6KoNR8p5gYlnmIkQ7r4GUglhw5Voe344ikzzGg0MeoJ/xhQpOJdw5lkYJwmpOeAU/
fQlBDbACih+h3+If28UhHcTBp+kGbxJQgZvtKMF9dpPp15n+M15IjbsAPWP7H82AQpOL/kYLugvF
tiVm9/Pg2xWhyKU1GXAdLpkUTm1sLCCqi+lBMdqhv65UpBFxAOfBNluaIaK+KvL0QTAvX4hS1VYt
ZnOn5GpwceeSrfLJYzIB0MEonl425eWzaVG/jUztxrZpNwylR9kzjY4meNKEpHnKh0wWW+wtun1X
DaNBHau913LtXgfxp9FVAGWVVMVnoBVvfWOQV1caBBpkZKRJYa3ifMp6GKMLQXswlol3XY214N72
OsDNV2kv0N2iKgadMB6RQerBNtZMokl1yN8JeYwl2EBNeSJV/rmlKbwQxAlQ+khM9UADRV+mgfKU
OOoHuoU6RvKppEJB8FhhyurD16/MweRNYgmSyFJckzXORD5a2y1XjuwROoVnReMJZXUh3Bm0uQpq
VNUan1EvfFlpjxIpF0d3cG/S/JUa7smFkQh3AlK8ajebXqvuDLt6bpPYxN5MGcAzuh/UrwSPQ8y7
QdV5JB+QVk3xZDE66U6h2clcnYYCVmJn4DNEOr9JvAcm/fTQtViggw3uxxDlXtsA7BQa3eNG3FQ9
DEipt5jmhl1qjteCCvDoczOd/qyu9d8IkN7WnfWIiO7BQfgFZBijevPexCiBi/aeKfseTbeEKtpc
mCTdeVgr6bZrH13wFKVQ8yftZPOV4pLkK2hfF1Qp9qmTv1EJovyDfsUMzCsMb/16q3bM71EJoi9z
Uus6scbwgI3udl6afzA1aaY2mXhMDYsxUhDSwlAU27qmSdNttAhC1l9WzsdY1jMaPe1kTwZxJ9Q5
IptsFa0d0lh2O0osRm3nx3ys9vM+v1/OnQ7pBVC6dhDF7veGeT+rNxuep8iwv19nPvX8a0BsvK13
1RXdK75QGooNw+3uhY49yESwuphyx5fqNAbphqTDfkf3gnHggJ4muyhCIEqJRsxaSDE9eBtHLTpS
20VH2Ev0bSTXrDqXZmTuQvHIdT1fGTbjfAbe+V5OkDpPi/BXYRQaIGJ4ZYELqrGJi8Kwy0TPWwjL
pYupcVrySfggqz1VqOEUxshGWz/D3zVu8fpChenrl1HDLO6MD5RJ+32g9fnVlM9M0A7MvaY5ZqV9
Jm5lyjVkrOBZ2H4155KDKbhraPUeFaw6y8HmlpqKySsFc3QReMU+wA2C+si3Cd0+ME4V26juv0wl
od7qvXC9f0HUXOWpW60GvJBLjI90wFwUzIqePeeUaBcaCBc8YBa2Jo9rW3qFc6P0qEEMY5Imhga+
X4ZWGEHuJGKmhaViw8WVAze7vrQ97bNp9BIoG6opFkageoV696AA+L6rs8d41A3Kue0jtlKqGoRZ
rAqbsXpQjShtVeS82P+p3CqC3HIeEUgEX/JpeKtKN6Bc62BxyTvilQNlWHSpT4/EpMemmgiHAf+a
2xbZbyplBA7dfbQHuPdSYaimlQRbkLYI6ahHXNQV56r1mNu47j0JSZvST7UFIXJf9GS5qSW52Few
d23jPUaEtW8FkUljr3zqWnluamrGnTnQKeiIkrSL/pKVJUmKY9gudb6tgzbQ5QFqHqYm0GYsq62G
wYKxGlMwQA/uM64JemlQ2xGTV1+hvgHWeOBh8ZG2yFJN239DU3JdtgoFmXc34V2pOSHvgf+Kd447
lYejHDvSg4O+b0lV0t1I7TIkZr+ooqJehDr8wgpjaB9MomT0jLr+FYVmC3RiN8RNd0riXrutZb/3
9fyKIToyGaqtS6vNLxNWtAgArqBXoQSnHvzpr1XAjeKMeqK/2Z1keu36VnOrUZWIQkykox47uxRj
NZMgc+OFdglvjwou/dtVHhjOQUukdTKZmOqjLvc+XJwNnX++d2qr7Aaz3oWlkr1G9/Zkr0ATWiwH
LcaoOQCKG7gjRwoiWJVc16A/St0A8B4aIEqqp5Ah0IEL3r1tph9Dw/McfGK2nRfnDZ3pktnW1+1q
XodihBRMIxI70YESnBcVtyZKwx2fElsWpzoftnFrUcRVq0jeukN3FDhTr8axlbfzqlhGU0Azk8Tf
6wY/cLa8V2g1p6NU1Ga3oVmS3EPWbp4l+YkvxwY5u3GqyeDpwpw7TknDwG6pLsCdTWARoQVyiCpc
2O5bIw1nZ2fqmZgKjAU2fWe3FPSJKP4xvTE23J54ylfuZGJG++K001y7RXxXixjDaOjdam35Hske
oa+TTJmW2lrXkochxv0ZGdoIw6M5B61KAZvAdNl4GgM5F3u9Y1W7ZqBZ2PjeWTZvIc2urdqK+9D0
igtySDJIHYYx/GVkVbS4Opt6pUZwEwLD/FE5ntyMtaKQ6qak3DOIJYzobDQqkwQl3BR2jg02aO4B
QVwAHgMCi7snIQuuI/5iBsQe/Cg//hQ6fcU0xOVL6rWJYILvAW2EpeDTWqZ29uh5PvfwBsSP8yob
5nU8yIaSjmLhQr0qMdcI2m9GFGB87BSMomjLFmaOSrwrlLUXT5epHuzdRJo3fh6g8cfDserQP4kO
VrwMTX9ld9Z5LML8LnbOtJGAKPg4O4QbvLVh/kOXXXTrtgfCLIpFTtbIPi/Mh7RL413XtO96K++a
Ij3ZoPuuYm603L0yeuwVbVxEuSkhLZTdah17YACcIEau36DNQQ95T3V83CHJPbWZiUtb5xpoS8de
FeXFRmUtrcba5LpWXUVxtUynmjxS64MmKEeqzJWR9Fdr8pDDXe7wskYpjn4Qyl2f9We0zZ/JaK9T
KntUvtWt4jZHHBLg/sRDmgxHI2e643gdOKo8eXEielGFuxWhVR5kJC8NRhzMcl1CFWa4KLpkztY4
AzdYxLRZ4TzodVyviDKQFlPBhBTdRdp2NaqaVddReLPURyGCgCyzINnkGOCllbwMho+9nPsvKkUo
cFpIkp4vJ6N7lqwo3ufo8q0Ipm6447660MoQiqeDIZ+Edma2PiMGT2DWJsYZQTtJm5NfDLTpU+PQ
CM+agfFodWotJiWA7pitkFvXuIBGVAJXsjJiOmohIGunimuvnrnlm8gygTvWCh6Xzuj3RksZIGr8
m1IfHlsDgEQTciWnihntMuVFDWEL9NL8jGQltnoHjszorWSXeM4pEr6x7dzXNurVE9FQ0GdoOB+r
qQ+h0ibAuiep70+RJ4mrESheEP8rGnXHp8pIzuazTINQWQdjduP2lJ/H0n3DH3ivRWSwtrXZb6ow
Mhd+XyB70En5RHi08Wy4KiFoLbXTtrXZyENt0GbMHcRipg/LZIgrNDmjZW1gEXJvLpiPp7QwUAw0
BIHi6xngSK+lB3Mu62oNVrXzHKFhpOxOMZSWQbPo0AE6dWqsAwmdxClnskxCtYvqB0K2CjNcpF+R
34ygjpCREHWyF4OLsFyklZE6PStroFAA3bobR8mus6zAZYeWlVotyJsc5BYAjd1Yt1vg9TphtMEL
2Bfk/9TLVNUHjWHnG80ly6gvs46308DbwPBt8EaokOEhhwO/9qPIWnrORTiP41DXDyZQa67WYYIH
LUTDVMToLlFO/hBXwIfa9U9jBEjd5r1EDzs+2jo+qrGaxJCYm6CmEAjpFmD7KC16OsM2daxMrMsp
Y6oMumGbx3sEK9iDGR6BHKgwFKE+2oPOgwaUK7DWy9GCo4LUUoZrw7jOiWK9cTpGZtIo+23WJ7de
S7NItXpwQ+n7qNMKVhoEJ0XofE3ZufgC0JMl7VfQ44QTRfWeYR6nzCRVLERiZRSOuhJBeFAhxKzV
pl+MPGqWbuWbi07wFZHAJJepiC+OR5RnbpPMFTXlemQytEQwclCbEldOOtwW1sFT9bdsjPV9HQF+
psYTI44zPV5Ir550UT8kIjO+OnkBJZd+egpddNrz+kPtlsG6D83guvh1dGWkyd+O7ot6eO6s/Ekn
9+BGLUEvaWUcctX7wwswM/JGiuQ9zhoKBNMeFDCMoxLAzkf2Zx8Dgmzg27hrxNTag06EysYZomgz
LyrIwcDayHCjGbV8oAaQou9w6RGFZbAxRUTxLbDKux7bYOnpt1GfVHfzmirbYorWb5Nfa9qf+8yb
B59ZjKlwIwgNT7tS8izehK5hn+d1qpM2L07bIMQn9wSN57vWG91nHclPYRfJD1QnCMPrIbltGX1v
x87ryZjlPIUNXRB7kHN2QpAL6FrrP8+DNiW/q+H/LNWgvrNSIaDq1HdZmPztF5oJ32v+fZ95k+WX
d/9rH88NbtwQ8wFIIpfOuDLW7zF3S9Pw3M88sZ9J8rAf1SEmTZo0FrBDFpkNuulti8w0zl1OKWI+
yKPiNx80aMazPiTOY5yWyooR6vOI+9DcjvQheqyeQYJtr3dqvHsW9xwGbdwDfq0b/Fw/AZXchA5x
Nd8bAsgkjT26p3m3+YcqmKTEamntRBPZt/M6f6Rm5dny50vMG1Qv0XbOCF1j3sWbXqd0XTm/xPfp
GpvXwWg8pR4hEANXaQRQuVbkE0WwOgIyDf2C50BHGuT5e+WgR2RcZz+3mFocXekR0sOq2GtdgWLZ
dXdNEIirmo/xav7NrAIamPb8U2TBX/b53tKGbrH//iAs7V6VSnXWox7fOHSpfd6X9dlq0uTOK37M
2+YfVh2727pA2/h73XwQKpxh/73Lz4NEGkZ3qfeawoS50XyEo0OeADLxQBExp+q3hJ8E9xMx5qY2
FdRP01YdKBLm9YSvHv4p5hAoHdQylQ9tqNr30xLzLvmAqtNGD159L83bNO/ntnlp2iYw0v3tuHkb
t7S/HDedc95TK83xnvBcMlwWrRrX5/nHiMF+q6huAzinZgyjuaCIeqvS90mDEoH2hnv7n46YT8B/
q72l3Qv2BF5dRQWLXLQ6vYCP6NfoMIJNR0DSxTeb+ogkENWhoyaXrMMtkFnIkFiY99ddKnttTUt9
3n8+vGZsskGSlF6IqPx5eACcditTvjyEOyQ3o6lejFSVpJdq30vzf/bX0vzm/lr6fnOn4wZfXual
X9vm4xqbJOLpnL/3/LUU/+sV/vdxekBds+FCKMju3khlSM4k03dLmmfqk+T7G4Bk/HLNJ2+oaX9b
bXrMLEt7RYisMmAzjQtzYgUgUO2SMmuUu9HowoOmSP0qSZx8Q8RQclahXv37GS2qyoir7fhIf6X4
ETMdRW797Idj8k562AsKxfZSFfTCY9xFWz4H7fLHDj1sxe8dmkAqW2wd2qVUiu8z6L358rcdZJ9/
n6GtS/dGDyu5rLoAkybU68X0myitn7/9Xkf199/W/ff9/vvW32fGmJLdQcAh1kaIr5jBxGm+Pn4t
zZ/etERZXJzm6+PX0q9tfx437zlfH9OeBIRhO5Z+vvb1QUNARMGc7jwROYw/kX90VXJsKxfnTR9r
N3At6HGqnffg2p1Y4C6KX2U8XAsYe/5i3JB1Q1SUTMSpFlX16tko0xlgJg9paaorKj0Wouei22o9
HSxqBUQqYv3dulWn3aRFL1fxn+fWPfXnuduVr0nvZijUYRXiPlOtqrvYhH9vswD/ewbU5o7sNYMC
kh3ixanAb2fOa6NBS9CKPr820wa3fkCiBMLM8snnKo1EHX5MJ3Owa1wYXJFD7dbEgdlB930yq3KD
D8eoaJkY9itzynCJlW5ZBXkWZVRngh9gXHUUFll6qB3uYLR19kjXx5cS2QLeHNYbMR0Vyqjf6+tp
vZzWD37zvT4j6uN7f53khO/9raGAZpgNL5VmB2vbUAgQn84/nef3/vP5UUgz5mE9jLi/7i/9OjpW
ifrKcxub0mi6B4G54SL1/uQginrBe/5z/eCV6gUQ8ff6cYBakbeVcuhb+O4d6z1dDt/7N8hWv9eX
hfheP5+/mtbP5/lz//l1/zz/7/0BKLS4qetoP704CCYA/9Mf+w8vMv+xf67Pm/znH/X7RX79Uf/w
n5vP/w/r5zfjH15XK8GQU/sNFnqFcoc4gOLa0hv9qlFySr1W7b9V0OGme9E/7RDEivfWKv97B5Mm
1HurocrEHMxMrUD5SYgR9dGuEQjCKOsNWoPnpYMVqoX2M6VE8RwIsDCZofoHGxfxj1r/0KfdrUAL
d40d5Jv5aLQCBxFG4wXiS301n3U+OtPI8/qHs6Ic/3lWP6y8J85qWKA98TdE92XuMjHAQ3zt6Za8
1iH1LEVXV69VVj5VkV4QB+CY1PoAGczr+25AINT2TyIZh22bdYQ1x0n3lLjkY9A3e1Uw+eEi88kH
Ncf83umGJx2zxGtVBBTh/3yl8d9fSZ9eaT7g1yslOJahX6n3ac5/Gjs+Mg/Lf0OJAWc2ZN6hDDhR
HYnXwLb04C1CEWIT+/hMTAepaEMV7wcuw0tjY3Wcdgg7SEoGORbfR6JAJYyeh8NiVBP9Jq3Vo2uT
u7lwagQLyGM/XAAy9Aey/tG3YOnTihY3aGzjXZDI4GCT8HDC1Q0It/BxyfWQ8Q3oE6//cCa/Z5JG
8lz3lzMpKYVyRMRkFzm23KMCw7buJcG6kJb+AEA1Bmzrp58ifEjiTP/COvGAVxZFRTCFnZbM20JE
8Lu/Ha2MmYHUI6ZShPb105MX22z8q1r3Ut4imZ1wNcPqKo1DyA1yWurMBqtqZH/41A7QejGBqlTq
gXrSpwgLmULN86h5Xa8AW/2eY6Hi+95vXve9S7Ydilq56W0tOUYlEp4kGG7zOZK7iqDgDm59Na8T
Zc1ktCv48rF1Pa+bf5gO4vQsVM5kpg63827z+l6m34dTEgoQ8w7ZlafIdFcwoUHcaWsPYlB+LhZd
zlB12mog81uViaFctbJ6zbyovqk8t8d44SMEFj5wKyMzqhvajsOyDy1jLadFZ97ye6UaSfbkoZrs
KYR88H1NbhG8pLd9Fdnb2CZipgAeNOVEsEUb6hvVSJvjvMvf9pv3kIW2c0Md2xDa//mvVRTFvSfm
4S9LqpZ+L2VFpdxPe87/zXnPX8fN237tOW+blggiOyiqeB3oYEChahhU1wHzih+2HSTneUWU9/aO
RgcwnmnT/COG0kPz2h12v9cVLyKW8fcxvd/sdKu2ijddy390cpS3WcZjWAWr//ff5q0yB7wP6vl/
7RcBM8RNqQRjR4X4BgtrcQ/SwlwojZG9EVK0UTQaH6ph7hPDCF9rSJx0qayKjAAbdnNWUvZU7fiK
qPgM/fkfhwNp2sw1jbgwwNxk0aspVHw5Bhjp2Cx3eZHV56Trmyu78h7mpfmHrXkKQX8hypdIrc/z
uqZQr8ra10//6aAkmrCa8ReUO++UuWRmA9+NmFPWk2xak8Ny3jJ7TubfMP3CZ9MNwgnK8V61UuNe
6el2eyC0V13lmfdmlxk3saLtvjeGqnHPjepjoPh79bf9lWmjUo3GjTkIPl2ib5wsdlBPOsapiesp
PlKRPyTuFVIzXLExpsUKLPbChCd0og+j/0i0Xv5IutE4lX1Xg2pl0eJK2oSj5Aijbq8onA8bO8W5
ODoZvjBC7QAUsWjitSUoY/pVbwdISbod/HU7mlBxVUbo4c0kh8ZlDMqxNsJ+USea9jAvFrnHotvK
h4y74/dWKoDlDc5XH06L2mxoo7vX9og6OS71n7/9XodK/a/r8j+P+L0fcazuVaEEnXKf165AK6t/
+oEtT5DemPgO1qfis1RNS9O2BIDp9zaNpXnb/GdO26i4TcgiFzI7OnNkNer9PGa3/Ckj5F9LwZwY
8q+l6F9L8wj+13H9pHzz1cyMTqRUtNd8/ZT4bhxH+wDaM9mPsX0Ngy0kntAIz1luRTeIHtYCNR91
bD6eXdVLZTFvtcY4OtPDspbobZTNvG7+8f88Cerbs0dk8c7Xx/IqyR1+mENTL3ozqa7mlSEACxBN
pH3i2EEuNK/8/WPesaVqSqhxFwOZJjSR8OQXv0IAqBqNddTtpCCaRy2+K4N/7oEiwUJrptbLquH/
XjPDkVNhsI7EeJ6XpkLgvFRMJBUaVr+3qX8szceR+amepz3lH8fFYUL4pOuLh8ZAVNBa/0faeTVF
jjzR/hMpQt68Ag0NjW8YZnlRjFv5lref/v4qmxkx7OzG/977olBlZaUwMlVZJ88xv1VUAbDHY0d7
oD3BeW+FzpVXztMNH89kkwMv+QTD95c4c8IfsJ+hldy+DXKYRBwH6Xk5buH/gC8cYSS5JFSy1YWr
mvKz1pZZkZumKT/s2pTeVDmvY3nYH8wRuHFeZ+/HQxZCdPVn+TBemn+6WBQjgVRoCBXXsJW4ydZI
8nEXh8l5nZvlLXW4JUhLmFdOpGMqckowsRleU962sBJRDhV4w65IsmNHlQCRYkO8QdYvAekWlX60
LdFqvpYzHQTS8SxSEKVDnLk1vDppegpAZH7MJ7jQUTOYHyPPoeTC16fjWaBsqepFct7lM911Z3U+
zK8ZdZbQG6SfTW+ytmZu5+f5gL6NskPn0pyXuh2cOUv3iYVVFZ38FUrqlonoMxqP7mdP8xe22/3p
oalzuGSzEZ3KQh93YZOSE0vb4aGiEJyZa2x9/keYMrSfdXQsPoZZ2Mvt2mC8nuo6OHXMsfjCXXSW
csXvfTjFwKV94ylDKeHcSuL+ammgUhNf66evn0RvvloEIUfeOd9KLVezjxDSQYDiySWfkm8Te2Uf
beIRs8y/S9VBfAFjfF0a0iTATT03uKDSP76nPgJpGrViNj57Xet+mzL45HovM+4AvBhXsYkIYQPA
5VPe2Y+yCrfj6rlNo5zdGspx03Coryq1QXfwDuxmqnV68YW3vvNtnl20tYtBv1uoRLsC1FWALC0f
Ir/1r4eJLVOHydd+NLv6DERKvJ+UrYzNeK+31MfLmfjJmfQ2kIvdNeTsTqmMf1xgiUMyB73oG3fQ
05ndPjb/4Pp+NKQHOvXxpkZPyy5ACH3V4pKih3GCx8dGfzqAeu/zoqe3Ud973xFneXA0r3tROu+b
1HSba3Ht+hAkp3JFjPK260v9FrV3ygYBzu5sFNDPCoQKXiHUv42g23yCAzEhrwW+zS0WGCgtlha+
4SUUSXPvZoVbvnhTxRJ9WEK0ldvyBa7u71Vr5nfSCS1EkeQvcPM1d01rf4XKrHopuT3+GEB6D3H6
HS2x/M4vqB4bUZFBBkUDHN2U8KcFS3sXqYOVV+3d2jHoIQVEHungcdS33TSZm0ORp3/17Kl0CZjM
vqBIT9e18T63C+/KNqx3HiXU0ld6YCE3QtU+kO6q10uoyGteGXbI34KSaTMMl+sPdjOhir+sqfJj
VQI+u7aqHyHpU/TRDgnb8XPyYHRwCGkOi0u0YxFYyZqGfa9uRg5J+cjBt5ixTIuuo4qAbTr48cNs
GtmlmYColzDHgLoTX2u2BqmWX2xS335IxwMgAEvXdnIYvRrMWd5pp+Fih7tyYYcaOocAyq0h3FXq
IGfrQWwuiICG/YOfPh/GrR1ylmseFaeIQ20cmMbZAB2dXTIYJZSfPBQsJBYYL7DJ4XCAKwHQAo7e
L+91HFVlJKOgIkckGSxirCktgWubl/OOZCmYc2f2riOgDogx8pqQ51/O/mCXN4Qa3pU6oA9EqKNK
s/d+3KJ/Oxo/bMdy9g3/hb1nAINpkO2TFkRw0GB7iG3/7i+dbFsc/Sv4WgPH85g2ONNFDmcTOEYE
AjrT+EEdHjdYGD4Nvds9rw48Hv5tOA6oD43pNYoc+XWYQvZt1q33lNnwNwdlpP2AkE6f/B+Ng8AS
Ncf2U1dUGiIHjNEOzP1lDBWI3hNYONZOcJUyhvJZ8HmDfy/7BsaUzhdzFkNqKdsKcQrcYHLQSJBN
g0bv9HtfG48bER9GiIfY3OobO8hfrCaed5MxOXsry7sLaqzgyqeKfx+XsXsf9RkiT7mzF48g4B6T
AWKTAXOTl2fSG42tez+gKlP4fo6QtXKec3t6F12cZaw4q+gydI2+aP2klMaH63SEOIKpVRnWy0tc
WhmMylCaQl83o1ttwtqZhu4VDETz58MMIspeXrQDXl7rUIdHucNdbBlA+XK2ZaDdo74+HdoHuKOa
B7HNA0WB0pSO1U9sOpVqD+DsSLaosdJcx/5rPDMtxvh0jWUkUPbF+vRCebkWOOH3uGlA/TFpeaIs
pzlvzGHaKS58cmHonVVprz9nAag7+cczCAxi+D2yoc+tjTR6asewOR/B/27NEZo2tdMUUWu9Gcy4
2Rz/rdD/Pw7efD/OQ3IjHh4lZDeWVt9LSw6sIinydrz6OOjYwaC+IoHnesOVU1Xz55L6SNZtwR6y
uuiuLliUi93SEXtJxq7fBnYGlTduTtgG+165LZAwQnCFvdURFs8PRr+tgbp/cJNoYk91cBJgX/qt
BM9JWTcTl4ycr36MJk/qu99+nVSxdbQwpzme6H834/jkGYfquXJUBYefDdum6oL9kJrfmXsV3+Ih
eEbNoHyeE/3NwdSiYG+79geHoPH0iyQP+u3vDlDfPMsljmsaWexogL+ukVNCdUhtK7qQuFx7AzVA
siWCsO0/ekGpUYmlnH3l/N9jtaZj00NtQ0rk/5+xayi5bj7zBUhqqtD5QM8w9F50lPFsYPQpX0LL
YZ2Vt/mV9ELevE88zb4f7WJ4JjEMyQuDNOTGbkBbVdynND2AIscY0isx2t9ijIsLJZyG6kydLgP8
ZQaY+fFgocZRDE9DDoJriDQTMAm9mkGld2+zuy297WA2d9Sw3UhnMGvDk4kCclZl1aM4rNHEY40m
vWs0myqUDRRiwSax9XifgHGKHJfHXO0l+4US5BgNpBik86cHRc/dw4SS8f7APY5A1mhSU8SA32NI
SzzWGNOot1fznH0BBnctU9XC7L7FuuY+eXWRoye1DJdR2hcPmZv6J+JRlj8sSHm+GpQTnTIvnW8n
cpY7jQrATe+RWI/b+RhLi5o/xjqYVL5LLIccPPpOVJUa6fFNB/gJEpQ8AaJ3GKjRQROuhJaYmdD6
chSfvkclXV56jG0fxCZ+8g5cbQAsfcC4Zdp0aGtW95FJ7WIWa8EOIoLo0zxDBZnO9V+Rn7kXQANb
RVlS/9WY6S3kT90eSER4oxvsk4kdYOXb8EENjxfv4/CmSZ3HYer2WjTfUp6V38k/efSpAnTdvLqU
+wOKQQ/MHru80qsfbB/1Ml5f0mvP9vA4I5cpnWJChYkqjyi/O95BMM7+MZr0lt3UX1nItZCK2qPo
Altd1r4dGtUUhjLD4sX+yy5nWQTfbBDPQnH/NkDG5+XksUrq9uLG9qZjUWJMTAo9t8j2vkUS3zlh
T65HDHg+ROdVPJr7LivIig76lQUQ5wWkTrfTMjLc8iymI2sXv+zD8+ODOzb8qRe/u5amitGR2dxX
U99SO2Qen3rYtd9iSEiwYPlGm/eUX+WfKve7JNOcRl+uDQ98p6TfEErxN/wjJ0UmZL3MORUmig/h
bmj1DC73H+ugkpwnXDgqSQfEkJwIRchkpB8hQYKT3/Ygkopd1AkgcM0R4nCWc5638lF8Are/9iq2
naWVGK15kwJuOY4f2/LRNHV4uyIK7mTQokZqeQW5GIxpl+InHZ+RuSke5XS97hrmT9e2s+7ab9jW
/v3acokIXvbdwac4uKlLNNsgAxtdpztp4QK8YeVV3kiHE5oQCclpMEGXmsTmpbTET87WAwTv9XlQ
wIAfZinDxOd4qvlDvmthxebJTR1IC+KekjNqrrPrBnAqrDRVk10nEPagExrA+Pmuf3WyF0oIDady
YL4uAQKGSiYwUDKBH9skiW5spDsuwnIedqufrScVRadqiCfyguqwdv/D1tygQ9oxAY+fdKUh6I3L
2+FD06bgSHGp/+yWM/Ehi/pX5rrwjfzq/DB2bfL1qi6binsyhnLCUgdKJ2NSveC/xdbWzVsHhaFv
HWL7145jlN9DiXPpRGzMqHgSClg5sPcWyb4aZQdSVGPZQr2upqtAmoN4nF8iNalVjEXc/5gHiv5P
KaJmy1I10wp+o+DNq64M0JCsuBbmkl45WJeWWiPNkkHRy+GdLVF5E/QM2zvPb//VXh0W/5w1OHEG
53zMkYLSFx3RhLU9wnemX7hZ9dYfuwHYiLU9ZhTVefmzF2nTnR1GdQHLHLQ740Gf7pJ6PtzFBeBU
uPm2VhA/J90yXBxvUXULupOZTTfSVr2Z9Mq9K7ZK+VBgRX4ltHaFpPGm5NZqzP7m2IpVLq9Smb7a
vnG85t5CNE59yQ6pdWFqsbbT1LoYyUGqKuaq3khz7YjigGmQGOVQqyXx2i3jigHeEeno7AHctmYi
cplBsPXBWQIA2wvfXVPGSsfHK31sly2iuXNiZWwcjegww3np7Et1GKrypT4U5Y2YFisrzlsLvRdp
Vsni3cImcr36R2H+UqGZc/QfUIo68ZcoRT/t54+WyG8t7ePp+qPDgg6/V6Bbx7/Ux59S/jTye7dc
gNLIiEkE3xJSSLMFec3clPNF1LmHV8xDlYAhcSrogtJ4NX/wRpdJvNPJb8+nuEhP3Dhpr3ktNe8O
HbVhJNxyak1Uh//LxegGcvWrtwzmhTScuSXqAVUN2YUTpMGVTLmLMr8dWUHey5y6Sg63U1yjlKnw
baoF1wrSSnPzuD7/ZQ1xWqQt4dlqO75Kivp9h26OJDfblJWweItPCbXgVZyNYxU/tPlcPR2S8LWD
qOHWUCl9e/ReQ8R/11ZU0hKIMBmHV2n98lzHqb61NaZPPMQxN46dU6okT7W8GeQgr4LQQSRl7Vhf
D5FLx9y0/vnxNSLvjNUojhJm7VjDSEeraK8CanFhxg8ElOtNBQW9JgBig+zoaVai29eqT2LRDOyI
TX3Ebr1qs5Me7lQ5mJggueADd/SRbsfsOhijYE47GucW5uczmFkDGeQkjX/tIpKsXrcZpZZ3jTpD
HRHit2nJL+x6pFzkg1Ec5WCr93c7AMIQb7FJLBmxdnyIH/k2dXlefFk3rL6r3p/3lqH93SowOPpB
T3AYLM/cUD0IgsbY/ouDG3cQhuTL/+CQqdRTk/q915PMMylYmbv6uRq8M1kqx9PQXPoI0h+btQm8
Df5Q78ao3aNbqRbe4rYszLYhSG4VEzmk5xKA2epwQi4qv/XL0Id6AfZ5tfB3zSW5tAw+lbJCF7cE
JuNboP3sbyzB1jGuzTodb1yzIGVaBGym8A8ub7EbtTPcUIjUonKqTGyy6cr1+P34ORCY9ubt1lU5
kzO7B3Od9Mn8Ocq7m7jV/Eczd/w79FL/FnPb2hEaOO+9kqYJHr0ZAk2YfpHVVrmdyGOZX9fzbk3Z
KJOuTLJuEa88bZ4bivV30pLFj/IS0zow/em1mn6PpcFjefn25qayjcqwIg4vCu2AWqi6o+uUTf0z
mdKNDkXKVehRHcbtvx6OU0KT6rqLYcz/ko53M711YqgC8DYB8mkO0XWoZeXtUA3lrZyBS33pkdnd
rvZJdcLpuC/95RW2wuIJRXuEjAyTZL5q6mOq3fTD9CStzupBDjMvYndnehD/CEj2SVbr7qV0Fn1Z
XYRsp58F4+HwZNVOuA63clgzyVR38O43nWGfwA3mOAAsGhv2pq5a/kZou3yJxsLetkVin0mnEQMb
YDZTXcIvXb10qf3KNqAOnZTtfqJ+Vay/IsgQiZBbvnUmnVBAoncHln/xD5RKBnEMhDO2z1E0q/ad
Q4lAog3J94wFCNOrH67bfaumsPl0gH57I2NsyGOPY2K7qdnzhJAnU2Ms+8fAd8ktjR6eIeMbBYva
p8VwpjMPWPod8wEIjzLfJ9nU5nfamKHmjUr3C2zTXwXsBLNFY5t//z620Nu3sZRIBdvSSYwLa+bj
Nvh6flJ7g/VCvdqBmbaXn0sTnhR+vSCMIEEJrJc+ujmAq/gUVct8+6dB4tXE6LYaFgx0dtDey/07
utp0k9RwV8jaf/7ZXJ+KX6ZjGtNxeK+rAevt/yvGauq8ahYveZTk0IMMRGNJ7zZwe9/nQ5M9zraW
PhZWZKPkElKno5rS4WUsIRuNygqxyWEK2IE12xGFJtxQqhGS8P850MEGPeqYzoXgoFqWtndDSl3E
bBy809XmuXV/ZebdX7M17L2FAmI0KZ1P2n6CH+nTBD3jfe7az5GZRC9eUulXXgfKXDoN6HzOx8xd
zqUZxyEVT64RXEnzV7x61G3iJSqCb9qJxDPC4S1eEaIxAv3hYYcuL6hd0Oq3ppXvJI8rKVlK84IN
hRvu2WqLzeBTAWXntXjIIKc+UHOkKgxcbQg2nUXVeJIu6KQYU33eBcMCpVeHSKKCxQnIjRLxN9uk
IHDSsdrERUBzYvNj/f3YD/FK5HLZeXNOO7jqvbMQ0p+rabRvgl4HV1YFLvnR0c3Bkf7Wbc69fTuE
+k2bavqjHxgUHIIYvU/SATHukGpnwS0jFwKeTHVonfO+I7BmBI98/mvriLBw+k9tWPEGo6iZaUA0
AOZTCazj7TrOMC1hWl/6zU+TOByfBGXKLfJky+WAQJLvncYJAtHq500OVYSaO0ptt4tVP7SRFl4e
f69yPCwXaOSS1kwyepXL0bu22wd0u8PLEUza2VtpWIQMGYgzFMAahQToNOZRvZm/jJpTXprKnikk
wO/2JtOso38Y+h/9Jc4v+8Gbysvf48MK613rQ/qjU7S9/RKje5lQ2uWWlLRuGhSx0rw3boTU1wWr
DlRJpdP8+G9prfYpLd6GOvbIFFLi/RpfB75xrlM+DVMcZRXs6yVnplvbL/ypa2iI4DI4vqBK/2Y5
BMmjkc/WY8d7W8zroGMTXsozXhvGpVVQpFaxU14h+XiVL055G6hvIPJ65e2oDr5rXMalQ8n6L/vB
dx4baoGvstpaLsGuD5tRodidujrv/VT/NETDR/timcsnD5mwD/5iT1QcQPzDhpnsMc7qP5mUqEp8
SMAjuzt1bCCvhy6/8aH7f50LFLdsNucehrhgvTQM3tViNc41km7uholk+rQMMUqfHlsWxVifoe9j
/d0b6U3KDstrs8DgJMNNRAmof2d4bmTVmdr7voghxAakkTZns5oeHJvAUuD5h4F0S0KvvRtzuHKo
WZxfUzZpTsTmWkl716uOWnXImdikV/xkhIwVm5b334uBIle/sU7Wz0AK+vROsRt9MKEPCzOaSjaL
h2oevy6mZaFF8HOAPHq2Mv0hhrqS75JEOxacaQNsy5Ij0brRPO18p9o1VTB99j+71H19bmxD30Ux
8peSVwl+OdkHZ7kPsnG/TM6uXcbmJkOI9IHCc+PBgC5Zz9NTC3JqFOKpZ61ZlcBB5TSXusum3QEa
pQc5JFMAR1qE+GoSRND6ZIV3w1Rn2bp82jaNZZovejkhHpdV+Q6WeesFXCIEjCc8UwbUdWWwPJnU
018ZBgqSCWLtrwDYL6CiaD/lBUJNBe+ajecVrBDh6gbXAoQDos5tD6HyudHF2V3DgohiM1aPKZVZ
ksLOZ2QIWtusLyVLDXWic24noEWkmVQRW6nUiRyT3nNV9Y+N5Z5Ipxx8D2jU79GcgCK/NZpvtWBP
1P5L3sdQ/Y/65zgY7gyDZ16pdB3uK1KdqKpBLSlNN58P9+5kdTvl16d+cb/ak6SFlBo0LsSkx2x0
wRpu08EXdyFp57lFv8fVqa+UnamaqrxkjNpnUsLUYgbDo6SwvYLaFWo8oPxV6W+LfacNvK2wFqjt
LEvn7zRNmnUjvSF1fogjuxcjsMyzHn7NPeU60EUtYbabQKrtG6pxLqPBB4Woehdly9D77QbWFtJi
Z90/A5jf8eaMxj2pD/0W/VYeuR4SivyASE6swomzhDvUAH2lKZfIYcU0YVx/8Cdk4Uu0PuE8Qhc4
SZ4j8susS9MU/H6QfHaobIV6+uCd+1GTfrZt2LiMkKUrHMzWE4wHG7jAk88eHM5XeQN5jYyKtBbK
bgumK+lVwROExZ71xUzvKsRj0KljlBvU74NTGQ5L0KFt7wo0cbdDfKBoPnnuPT/aSyFh25EjhEwg
gJBD1RW2RX/OjwYpkGrOTmpfh035va88rz1lJIUCbyPLjqVQGbioLqlyQxnJRKnYoJT9CqmBtjVK
vtjkMd4O3lJCPWdG1SYqG6ag6rD2is3uYadzpqLarL3SUYwhH4nMQUFQIsSTkrQZxz6+sOzaPwXB
Sb67rpNbe9Ya9jvy8sJY2u6xYccN4TSYDLqUgk2Y/Vkt1C91nTVskjJoTqO3QR7SDBeLGsSLMDiJ
kB64SA2+dl3c/liaeXqKUqu+yJpCLWyi4cEz1LaLAquxT38CCDT8guAcvMgV+pRaPTu7KYTjwPOs
6jOP07ESDGDpMRhESPWFNfTVJSJ+/btg+VBD7JRqX1iBwPGcneoDSmAZuwIXAmhJ53jZOdEhP5Gm
gGJMuOcNo7fvBQBjUFgKpS8DpPPDAK+KXP6UtnFi2khoIHj+HWgjD7sBW+i9kTp/R23TX46WS9kA
FdLGZRlV36WTzzUe6hCw3We4L3Ge9pdiCA8GVuXtVMXRW0y/B51zrbhfXVVgZoBMPGrPRYMWWL2e
LocXORudrnxp4x4igd/PpBeO5fLFgcoLJZWufCxhfD4pw/sc8Ypb3csdpZ1p31mQ31x1VvOymsSe
oGMOdXUDT5XmpJArK+fMsoABewNKRI0PMdy/hENT70Wk5teYazixlUo2zZni3ZoYl8y3CwFBe9Kc
ldacwIGp9nV+P3ywvWueRW75A6bFbZXDuJZ5oXWru4t9K2dZXNrXhxki4V/2zgo1VmsDxpp6is07
Z+WT9d5xxKEMEFpJ0Ve2+ni/6Dmo7sTYWaolpiQw2tM6KautNMNoHJgHGztpySFSHq3yqG33XQzp
lEAfYkBLfOcqnC3vxwm4jhvCqK4Z/W2S6OljSHnMja7WPqo1qbUiQgPdBZKL06nY5JDrJIN9g8QM
qKE+O1VBgCX2tzLiP4OUlfFiO0P72MQBA4uDfafxa8Hyc6g2PfOuVxD2pyy1im8fPNqhv2qOG3QD
FJ+wofRfvQP/Uz7yw4MdUc+AsnC7CTQzo8r9QRwov2kQ6rDm68Xp+ruSgjKAwOXwtaz9y1Szixcj
sQs2N+ZpWwDUeOr8+UkczNmAjryMedXAnH1lx8W/hoYxv7+zx/ESKWIYxrVh4w0TsoF6DOP0sHiK
Nv8HGfPg9q2V59CY9O2bi/jJATQTJfF/l8xcTwQAajI1gRMz9i4FHWqW+nMwxs09vDjhszU8izUq
9eK2QV3sOGaYIUuPtTDdSK+18FZsVQiJyEr69xAmMB/ITaLocYznfces9Js6yUYTEbWfJ0OhHy3T
zxPpchf9EYw1U+cOcscpp7ov8ebkLCqX5UqadvpUQSTw0mcluxCHDArIIJg/V3735lWwPIfQXcuY
0kI8BuPbdJOn8HLGNQyU/VDz6TkaVTeSLNMN20XZiUENwoV0HH1i9UWTEGt3Lh8uGSM9a7ddT8nF
h471KhIBuYu3C/ALhruhBtuqgGBa4h3OoJ5dYGwFKya21oKUq2GiIS0o7Qq0U80f0vrToDoGG2Cg
9YCCSHST6MapPDjM3+braDw8Hp8qE0Ho8yZA+2p98qYIYEfupt72bQSPKZp+p5kiDhW32DT+EQQi
uvRMBjiRwm3E5h7+T4QJTyE9hGaUV+i3Ov7CR8z9Plgg45AUSvfotC4XnmY1l2U7D/eIRZCATKr0
mza/rq6NzgSHhIOV3YCj2ER90uzlANEpmh5RrRg0mn0AyBCIMznM1SMZYN8yawdMJB6wMS6bxajn
jTX1zX7owT5Slcf0wobFpnfT5pTJybxtarPe203RXJeALWWoDFDXg1CsuhZTya721maBfCqdMghi
o+P1xOS6/rwprHHelAlcSrblI17V5reTE3bf1Ql8Z/33uMtvB2VRJ2L5p4/RfbVt2CTg4ve2fh0W
4YnrHVDRI5V/Sg3UITwpo+ZwZxQ/epCL90dTrdnVcYgY5SDD9GUuTiNE1kJWSF120lVg60d7Of5/
5d+IjDEynhmApvXWqKIkRKgrmbarbUF8A+BCdRyaGKl2/X8TKNTG3Qh7+Z79qq96UHVf1IkHy/uX
POm/ltGhF8uvrgPSJkM+fj3oxR2sxvMn33Uoo7Dz8hJ+avNxKuB3TKO0+Pb/5GGAP33sa4Dt/xZj
9TAVTBENuTt7GN7/HAmp4W0Lm9CJDa6GQr5Avz0smb+lsAKS1TpLb2MPsoQ6o5K+NNjXccti/GrA
OJj2FXXA0LRvnNivvnU5Hx/XjevnNVJp+NwCuVZdulNP4a7moUv0KxI3iPHE2uK2GIsfbdIYj8B9
nCt9CvMNqDbnixXdDHVrvBqst879KRku/YK5b5Hme+mPQ1i3c6b8d8PBMW7cjDykdEw2VeAjtJt6
GpTIWdbZRT2z7XSY4MlSkaHraM4aU8uuUdoKuAXR2YkPi/Ol5Eep1Y/CnO7tRxH7bz/KVLtMSg/N
/JR4EWLFjEs0pYGjcVuX+fD+R2mr5irijX4Wd+TCYsA0T4U+IakX+4/l2DpPdcFnoo+DG2lRKgKx
NpT0l1qCqzUAawzypj2ObMdB3wIkdJlu5O5TmzgTiCEWXDLWWMrqwU+Gcxl6DFfO/32pLlysSwm2
Xqo32uGOmuDrlgKPG7Mp7969XccmAGLn+cdHTTrAOfNsDt6wPb6p9eGA7I0BpZuaNv1nkDQ1hwzN
BgIAQ1BSWbLB4yMddAMzLTnrzBi/1iJFQq4qLUz03Q7e6wHRZDQdvPyxcZHwXahc3Q1RWF/PHi+v
UQ+nfV0U9omupdPvwz10TY7Dcxc2fA/Y6dUyGvn9j5DK5ftYzVIKoz3cA4aAgLuB6VSTSUs5RcX9
D3Q2WYpAWpidH7eix8ZcHpB8OB9TO0UK9tdZZqZvNnU2ZWUGz9svm/JDaerwqRzgSmtVXafeJePZ
MBfFtlLFlJShD8cmzMbvm44N4/LxE8Msq4MmFYC/lUb+heSoDhHaV3avsSNCMRhkcRF6gcB9VjdJ
Wik31w4Pt641/AVlV74ZdKN+XYb+VN4mAMthFh1S2JGSUN/97jFrS/7NrcAATqY9vfPI/LR5ndmY
lxh/8kAVbUYvGc1hIAtfjNxnS3fpzOfJ7L/4JJVvTYVIVn1rq8zad541rd/71pYad+jgz60SpCh4
v/oXDo/aVU2GD4ldXj8AQKtn6jmUnJyhf89bhHZTqqYTw3/UKYv4DDmjd7oM0XzP/kJwHN5B1vhu
eHGAEjnIKu85o5jEjNHFjUyr23pFZD+aNjoTkVac8VPbj6As7cee/N4mN9KR+kPbfhS3Yp5Px+7Q
30sLwoByOxZgpo+dalQUZ68L5VXXMgj6QG+H5tAXiSheA1+cf72weKBDh/qxurA0JZC6cMCM814C
UfV/OLKbzlF9EftGu3PqRrsBJoLq1JD2/qnXRDoJDYxaR632iZzmTt3B+GfdSyuzbO/NBxAK+gi6
ftW1qI5dmBXTsT9GMOeku1wa5x4FdV7FfnCmaw7fk6EPd6FrvR0M1GF3/21rQTGfx5lKXf3uLE0J
ZYLH23nzkxR7DUhgXrjkYE6k7EsOf+pYK8NKf7QuEHruUSD4WS0mxWPdr1DaEFNqKIVjLKrex2e/
F+J3tgw2yRzC1Vq041WdZ3dWuMTHg9il6SsNBbYSb1aT2EcrhLAtifoL6WBHTb3b9GXZ9FU0n74z
2npA+C66+xBBmoBSTo2qS24+XNtI4TYz2896kLfbFg6BOzk0M6TDOVsF1AreBjpTfRIcXgU4uHhe
vRbY7u9a32qQvlgStlV/G26FaFVL3GOA32Kuvr/HHXuXyhy3rDdBP4LCVgfypCdOUsRs+9EafXe+
lbNmqbNtbPkR1X3F+w7pBSuPUJHjROfrCPE79h7GdzHXwBKz9bgbxeak1m0CjHKHANx8b7kz2tFO
Um8S1Yx1f7p3mWHsqm7ZS2s98Aa+aqNxvF5N63CJJjGcIs52B4a7RWOfDlzgnEehfbCsuLlJzPhK
WrGLiSxafVMV7HspB5e80dFrNrMraa2mA14TV48RcnuLU5ft+0F/CK3iJOx2obqhriRNdPN2KF3c
2eQodqoIuIT+Th0PScH+g7Kuh2P/2iZHBB2pBtem2KIsZFt1zBNuCzG8O5W2q8Idwx+7judDrKOq
lOp/lZG9oWDBe7IVL7FkUf9muufDaYUQddrE9lMPycnGzJzkutGi4hqpZPa4fw2ZjDL8ARg1dr0f
JZ/lk6Spoi0SaYdztt+BCFV6ewL17Qidd1m9teUlsdaLrh1HR9OcWMpHBZsxNZRBaqNrMsnTt2U8
33uHpbydChjGI0X4FLSUL2VzYp94qdVR9L5YVGVG1lXl9cbTUtuHjemBMbdbz3iaoTLbDqNNjbXq
NRK4zNuD+9qFB5OpM+o0Yf9FuuQQe+6uMWbvTlr2hMpWXA3mu9BJzQ7PcUDZumgvB8apXOlXaEDb
xskUAvKCUCk/74zA2vqIOn2mEv1UqLjQas7BJXT2NkftWuyylS528t3v7OLPOyCnOuAfdokvcdjW
OnwyPHRXppf1txmgHAs7bjwxGY7OO8+cUKdVfwotJkPWBfly/G1CmB+26bLoxz9UXZULxBzlq/ii
etnuCS2/qFhchBu1ybPfhWb++xY6Zl/9XehluS9Y5ZxaDaQo1QSlZk9R9KSzM9d3sfNkz6Nxfohg
xQ5R3bqbDi2rdJesm/IdtND9d98kBZH9K674ziP8HYGr28e4pVWMV3FNnQNQ1jffKX+1vG8CVpr1
zLh2NVCJgn5qoiG9CMYkOZdeJG9qUKrQDElvS7IjQgj9sXez6IkJ+kbMa4wjGkrF0FQMaZbgENAt
gfi5pMzv1C769oLigNcEkuRrORRlBJOnnOYkkY9G8cuj8nU1iYeHIu1ZmOYpNeClezMM5bWQxAh5
jDH0zibTwuBMbObok2DKxmdt7tuj2x8G+YbuwFKIpmhp6dZ5b/QIsvqzYVwemhqMRBJWJ5Jl62a/
2bRuo2+PcD8The5sKJ7EzapiqIkVOtAcknZjF+05ZN4JVUcIFDXns89elpsppUe161ebUPQm0WTt
ZNevy7StueTuo9bO1b5yqotj8YvhpNddi0qODArZOz1H76g7l0Eo/bzFEGd9ii5tFYN5xg2z1W4n
OA8jQk6Xuel1V4QgQ8RWJzXwgAkdvaNRkCNHVMhPb2mJ/dAE5nap9OrEVGQesYZaJmqn8MQqkLA0
U23wtsvvzbVXnNex4iwg4v9hbKa7xtbP2AdmbZL2aDhkw95gsvBQRGy2qlYN1mFfR0l1OvWuvRVb
NsALNTQoluXTOOxTdUjqhcr5rrqVAQYK1+dT65jQRtDZuuMxpHRKjLwqKmTM57eQxjL2u0mFNEkn
HflsEDeE85zN/ZMjlZUgtygki7etYVYUIoLrOpJafTAeKbJU99qRFOad5QBRQPzZ2XfBF0glukep
Oy5SG8mBIe+30py4I69sExkRaYq/27NsCd78rWmBu9/UL2OEnramY2T7Ilq+HYnd4LA+Mct8emDd
2KBmyAa/r3jbpu7Km7rkS5ciZ2fDd3OV29UfB5IBanaNiWhcM/ls+/wf0r5r2W1d2faLWEUw41Wi
sjSjvbbtF9RyYs4E09efgaYsylpeZ5+694UFdKJmEAmgu8cA3Gsf69oxT8DP3qsEKt7B8XtavZKO
sq/GFP9wgpjN8K49GvQ3IlCdwsocMMPaERU5qPRVwX55kw6PSbkBQQMq8lJxTTIFMmS7LK3fKeW0
yKmn6F9lkwkuSrdED5tqPSIzs8xcHKdl3zM8mi7dkIE5PhSv+HbG/YpkAoxljX/TkIwusul8wzA9
JH5MFPxvP4UJHtTY16Fi3R6cV6sS7b5IPVCoAyftVYwgqi/rwP5+Z8gb7rwCUKbdJwMqCZLeilF/
FNinFEtinHyW9gn9EtdRfJOR9sGOtEz5PtgtUZrQAnhSH5+AYgpE58HD7lMDoZgWZvUPp3/FAsP6
mQ7pXykq2j6JNIn8wpmilwrrjb0HaJmD4fQpwPPC8M5bdkb1w+pf0dRh/Rzz+C8DrX840nJOWc7A
82Zk7nfbOvRcd74ZcYQyAzTivCZAGgCLgSd2VuIOb6ViMSkL0/ndNKoDsTcJXwQc9AHwhJte/5p5
+DkS1HmuvMI4tVLHkv5WNsh0UIrqVXhZEPVuIsepsZbtg+mkF+LqRGbAuriL44V1tlKVMWuU0vav
gxh/ErCosNBxinKg5qKn+ProSf+TViesZTWY7YL2crNf5Kitay4mOO4f7DUV52ZPq58xAkciq14t
9FQpBI8RIHF6+WXpk8BhMZ4nyHMcZJJ/6Ri2jGhoxPRmtjRD3OSWwTlSMygCoEewroHXEFQM5YUe
0AkqiFZDiXYZ0tYiBAmD0tIDmrQ63lezlnydtPue2t3HtLZjgI0AQFUfg4NeudZHNH2kR2Qrr/I6
1UA0DJjERU6/x9/tcxWHfv7C4vsgYfZHFNlc49zscxWn4WINut8Yja/qD6mhhRMcKZ01o9GXFQ6S
HQ2M4Fzgu5lqDQMNsOEeKuaxnSZdpDCbHCUZaRh/BfruRqLY/YdTZsBpD5JPi1MD9G30PLJ7p7BS
hVf0n5iIoxyLjIFtrg9BS4rKnrXTBs3aANH03w1zt6PaILBe4NTTsT8BqUcxSHnp8zQJeZiqPNzb
wGJ/bSPQqZBT6qHDRTnpMnghJ9EibRm5556Ltx4M5e9m45onxjt07CkkWtv23iawa75HyWiinxF9
qDNYK+TsdzntGVQccGq529YAYxzqgNCVkaEbYMFYrMwuf0G70jfZRtZhkXfo7T+YtUTngIJipIvW
G/FL+NJjp/OzSerdbTBp1p3EBt0qSJTAchiD+jZduW1xJnBFOSJtAb45fm4UhiQAxoGlKE3vTCCN
pKVp1xjmx8V48bVFxR+NAY3TvXhJgCNfNwm3qKesPni8Fkc3RcsfOHmrD3ZSlW9Dg4oRpSQRSi/f
bVdmT7kV1x+coY59Hgu+m+0zV9/jH1oHXwy0Y5xl6ODRL6QEAFX6ylENunZ01BZ32GmhUpgyraAr
USwr9mowWoAO5oHjz3MCiyk4mLtD07H9GUBqjOSlnFF7QMjc45UMeo+wFtoFR0LRRQDo3AdeVP91
DDcEHlQNKQcrso5SYVDeX1zegB4oZw72K+jIG1x8pd0QdA9zNQ0L8x0X+BxUTsMHq38xdG1DShIB
8enqQP4pDiW2IGMH5QKekb0XoARxVExc2jluqvRAouWymJFM9/g5VGYVy4dVaXcd6hCzNwucBIdu
qDN9d5uyNgm/dx7KVV2vQh+I8D73AMpYc5a3rym4c3ajzLH1RIn9uQkqc9OWSfNhqExQtzXt8M3K
rPVMohEBrDpq+We9yfs10rztq55Hzc7WAY1F7oYE5jSSruWqGK3mMKAg4K/IAuiRen51aYY2USvA
cWRXoH8CBOr0PAqATQdYpF/2Sk72ooBcw/HwTtU+ZspHxaJn1YPPH+5B91axCHz6wf527+Uz3ewp
Puplr5/pdt+Hn+H2s5WtJ7Ct0cVBaHmI6tSmuxCQogk2cWSkMSUExkXrNWx6DifwqSJ5y8EQi3N0
0LK3WzeIwRSiUEF4YYP/VGmXKb5UuNHNmLTUz6gp4z/55kPxCe0f1c5WMLC0ataRZthaQDZczwvm
ee18Ey4L5kUxjRMKmAlXthEjeFVz86zL6QJYIv07R7meHhj6dxcDEHmDRxOqIjcnGpCq4N0fbKwU
dbI4Lg22A/rW/di08cC3Sv2DUyOA+ochuaNH2rED4fgHhoZ7+uM82Cv5Yv97HPrjP9ir+LJgXwZs
sbFtxKYOzGgMVZjUDDCiZjECfOnztfMFCBk0XToFgN08i+buGRD+rEFRVjyTxS1GN5lfeCs3TOPZ
FwvUd6o9NtfBAoiU5rgr7C77AoqfMirrVzmyv70xc099zkCppXJMDTgvT0EiMVVJJdKabEDRu0o5
xbxDjkFNAbl31ZIvcCfT3fU1AJYlC8ij2Hck4FR4rdWonVz2Co4MAbre/joC3w97/f+2e4iCZTn/
430L1u7AHi/39I9tuChcRP5uONM0TKZq1VvRCMpkfCkAD/4P7WLsZih/TezDYEzVifYwdhkm2xHZ
ubkSlVdteUaFFI5/1O6HTPQazHhsfKcJ+NVqFAp69+5Ti5J+2kolLooyyN1y4vKMp/9/yjCV00oC
N/+gFfHTdZpE3iVyWxfISiATZM5YrcIE2VepFLMNqckviNMnms2KLgS9HopTQEDOwOBFF+0YZil/
YoYtweCux9/tzrD3bWFf9bOl1o1+kGVoKlQKS4Qq05BzbW8HydfBC5xgfw0068jsFm2WFZnGz9d/
F8MD4UyWYi8Eet1hi/Nf523gXEPv2Kj/zdoM7adIv5VS7EJQt/wNrHltFXMshCpUJWxLZjonDoCg
O/dJuXtVyMgdEP/9Z12aZ5RUvOM1wrHpxuIcxd/JGv1WwDFJJMoPU3146kw2vZb18Hc1Te7nwtWl
n0SadTSxc/5LlxEYbyBvnNHZCvAF7mgaZugPwub8PyXT7IPWg9+JwpYOkIvU7Sodewe6Xdyn7mcB
iJ/5dujHmG9HcbAYud7OEmK+XcqG4Yi2HADFEL5xN44xlsQaqqsVMHIMCJPm6IwtFjXWYK9tee1s
0Ds3PAXB+Hl+VJj4jziZfXc/1cP28wK5c3OYnyPqqWT/clqeQGSl4pCInl230MuTjEQ2rJC8jNaT
ItmeVNt8VSN7dddfP7fRh7a+ibVG8db96rlnS1f90mpPrfW9GP9hTQpzcbl6q7jBALSrpaGfgklg
EmyASdOBRwpJ/L5hhy412zMSwypvH1Y42zSQ3ZjnVGbY8gkVxoE8L5WHaThc7eYSRdKoWA92FG9k
NeKpuy0BVExkaT5qpuZtsqBPzijlB3uSZaBIJh2z65yErbSTcx6hRJrb0V8kosvitshqwU0fhGjx
mk4xQOpn7YMaaX51AJKoyxDlOPyIWYQ9tJorpgaUv3uzyWgY7ikBjHtvy+Etzcpm3fMp/CxM7y+A
rU4/3e7SMAYOmpYZ59QGSSmqmy2UrbvtB5xppxukVXSgYqTTfsyle5g0M7yMqI/btiK6j+hGWFdl
w/jTsy+TTP8RUQL0D4DeuX6yNIA7qu4dDwdSBDUwH88hb22/gU9bf9cdLP/UVqOdCv09VI33Csv+
pqONBs3a1Jrh4NM4EU+AU13nEskTlHo5M6OTYwCDqRjG/QLC1aMmeN2GNVI9CpPLUhbVLwssLKN3
itEpC8LpamugQpXpsM8nnGusyZ/ukCfGu1YF1YtXY0dXd4wfKtVvm/SgVWqZfEMxbv3WB/pZU422
ZYoyVOaBJpKmQKz9o9OotR5oCtHBS0XYemJZqIQDxjOdgdFp2HKGRrK7Ym1V1E0mOXfv3RZfkUXh
ftJAelFjY77TSqy6LQ2H0LLjQDU1veaDbgD/QdrN8A0nYGt6Xk9O9WS2WPMHisfIzrHm90TYzO55
hjU/dvrm7B7nPf4juTu7N8X01Su1eo9mE5ya1cmE6zzW2Ii2+q5E1zxJM4Dy+jIdAARSy6JakX42
JavHedxZ7JAAQKgA17vuJMkPXfdOhZ3Gvw9I9Web31X/xcaKzGyVca0FARz+c1ILyOaD0+QH+q9h
XBQXlMO/zeRhsdJWQs8PZNwHbNaS7YM/Tcm/r503mo2y8jZt13vb9ACkqfaLE2fdrjGLaker1PzA
ldS7SWkT5OykBC0fmrvlLsSiaEcr1/wwFiicbdAstgdLOna6eZ2Mmz4RYH/C8c2MMkQgIw+KBdNo
USwygi7C6ew/QhF0kac4otPUerti3BZx/qlSMMS2QimuI+uHm1nDjkR3l6IfLjRVFpnWD+APgz2J
dMIypnnmOj8mU0Ex3bQjaQFT/YWgJRz08R47PLrwNgV4pKUYTcMkG854pob/cYO/qxBYFmQlqyr1
aaq6JoESACzzGdoC3QrJHshp+puJZtkLEEkvNKNLj4JcXyuqektTYDazN3usQZkqQMGsZnGLJWqb
DylwmBCDLhpeFKug6MWRpnrIrnEdTc/Weg+a9d7p660FPpkM5Lko8ddiMJqm6OEjjwh5KVS5tqgc
V/dYgka3oMAiNy889e4+7ODG1w+7eIEgFcBpII1b4oqGpev51qCfjFcsxYbq9w+qRw5wG5IKVOyl
A/rWsb+/oPJInjwApBWlh/c1absq6IBsrayTGjCMhVcBbuHmV6mRnsSyArZLKU+uAcg2JZtDsL7W
TkP/H+JMxHox9fVqcDfEb0iywAHOVNSD+XwhORx18K/2LJw5E8mMHEwTLM6d0T7P5IeKD9GtvR+2
DrTbRdSKJPXBduNuFpmGN+d8FwpECrqLxjVAoyFQDXqWZ5OBSE19qZAzRIYkKdmOpgvOFwf38Z1i
BvtZhAvu10MYirB8X5f4pBjtzl03jkjAEw10a8Cstqt61MxdqGqYSBarkbwp8EUrtfBvenCUqNpd
1VZSPwE4u3uJxq5Y0XMGpKX4tXoAuqRuN4N/xhlu/l2C0GplNKJ9R1US27a2Fp/CgWUXjQkw19hO
9tfIy+9UfMHrL80ffHrbiE9BaQa7K+BJAexpX0Pt1arEC25D3/jlu09T+rJbaQsebLe+mpBivtye
HWRCUZYAdw8PUgNoxvOvmHdMG9sTrem4qgoNLOHgDDLsdrTEIwXrLX5CS+yZLJb1HxbEYGQp+m63
KG62ywoR1V/5S84dtJSheXKOS1rhhmKJa8nBQGsiWhrQn3GhbcFyCTVwxQJ4qyrNNtj9Ju96/lc/
jcWrFqXNVsOh/Tnn2XSKh5JtHaxq37yxitZIl9V/ezI+EJ5IE2e7SgTB1yJDl44bVAkIm5DlW9yB
pHvvPuIr8BT08fdEVnIX8yb3wwTkKjzMvZdqEj5RrYCRAeeakcxWE1gNTyQjBxxdYu0TKzYW5QD6
dJ9sU/AD22FdHQw76w7MyPpd6TXle2XyZtWLzPk+BhH6NHrva+INOCdphuplse3RSvAeNw4algyr
Pxmg/loLnGU+o8z7jc6opyjpnxvLeaN1JOnUjHQB0IVIR7ObrsN73UdDLRiqVB6Hzn4NOz1GVTWd
7sgHyio/1jHaIsmCbOnYWMnJlkTzefLNfyYqII+b/3Kbmz/F7VsXeecIlfIrZQuUwukKb67C0ZQc
XB581JjTVMGmMDKxQRsF24GKKb3QqAAUz2VQsknJCq/9hxbHy/ru/2C3RKEReRQfHRnwPcPpOCoK
h/GFl8aEx1EDqCAnOlDypp/4Gaua/vMYRxpYV0Pr2cmCELASldwz1xtfRqTCUQgIpwBOupXIt7YC
0nkQJ9aTUDgY9WSbT3lrrJnJ2HkRkRywmNPGctFtS4qYwDVII0YGZiQNLDvKnwG8ZGVbnTb2wCsr
jIvVbTyJdFAnx2nTp3oFHAWgtbd69aPph+grqjnRdOEN1mvA4vSE5TtSeZEefrXZxtRQn0yO4VBX
x8rIPXKcpsy8NHiGrN1BGr7pjeF2IZ0KUXeHU6v8iTilUumpqtfhE83oEgU6cIH/xckxJNt148TW
9PPQZRhQwAs8C76l39ai6BJhHdFSe1pE9OshsxTl7CvAq/EtaU0FSjJ54qmP3OJIno00T6iFjzw8
KgAMSndATZXt+rfAAHAxFbBuYh2A1Y3KIRnUrcJEGF8LfFeRS0q+hGkCxO4+KsAzHwqfpkxkOJhM
Ug10Qn36McqKTe8N46cSOb1DgeyKL9U0y0GjaWThMQRYKNjge74egeJ1ijNb7WIakaM+nsYkDiv2
S0cORcE4WvzgQBq6JHYNJ6OrJ/96biWan1wRNNnE1ZS2Q3QEIctWjJN+Fl6G/zU1ujOhYSDs6Bjw
aAuY2fpkO/3aa6x3q6rrN+m23lOmS7kK+776bLZ15PdgKDqlNYBHXPSEkByQDf2+RsnqRutgVo7O
uzlo1ewOKH250oeo+gy2r8jH9jw+1Q4Or3I0d+NXhoM6FBlOxZvodMDkoZO1C4y9rNxVLjMTSSeL
neI8TQJkpELjRHN2G5EsqFwD+zFlWYOdbI3M2dWRZHS5M6QhOAQiHwXEwSZ3E+mXjpnsqLYldKV3
mkwZzaUuBMzvjPXWdGX7QiQAU+20fuum6Z0DEvXRasSX8aWQGbpgteGFla6+5WizW2tCdYKBdkN/
alm4nupqfMH3DNX6yi6KwwQ4iVl1oCkpRICSR/L1qPmsyYbZl0yEN50B6cCPyWTZT6BKqZ+6ACda
heftWIazg9oDtKdZ51gclIBDOZscTc/Kdpa1oTBXokrNLVAVnCceSfuJ2V2Uxej9B1REZbXeM5Zh
3lvqugAxD5JhDfR8D0V4kLXO+By1mn4hUcon/YD2QEDdKYsOjPZvmuh+gGBpPJE9E2Z/Gpv4J+nI
yqgrHeAHAu3zKiIOCsZLnUcvXKRgbh3iABBQzAz25C9Hw362TbahGQUJvXrwhV33W5LZXZy/yWHn
eBzuk86tjQaksM3yiRwwaQYMHavxZGmqjxLHya21M4NMPlk4yXkOSxcnx2oUIFu+sniByqcMm7sV
CVGVgZ4aS898ms6aIXRrHCaBp1Y5BziBvlojst708ulOVGbVNSoFoEtZaOt20JxTqE7MY3UZmZx2
fQXUCVAvu5ccsOeTT8PRrj+gLN8FF5myM2L3UtARfC3Y1WWeIweEnIFWrAbXNF+wytDP1SiOWRtp
YpbVegjEO727kIUVxdaLNsXhehwmuTPUlBRxEwMvPHWaNU1JgZr1OdwiopEKibql7iLAXKqhzyRf
jyE8qyIDvFPcjk/zxTJLY1Wy8tR6rnEk2dSbV20p2+QI5vLZNli81KgMy9yncAkFmVg0PpHv7+Eo
pqY17gEbLySisFcXsbtJZY/mcjWz1F6bSIaWqR04mwrlmGjAUxREZEJauqCSAtVHOT+Og6cIioib
qFbr9FvkmbrojqZIaSjiEmb2pvnN7062GKr7kS/yfegSFvYrGlaLC3aixYVGdLGnwVhnYS79B8Vi
nKfBcC7y8+JEpvgbXQPNU9EY67JspL/YNTWahNIYTFqAtjlmyG8cewOdVyuaG4Ph2bPqTtoybIh5
mAKvdzFtnQxeYPDRjhZ5Va6r4Y98k85DCqvVA7fXdLM7K0DGmr4Ywx44gHBNUkfbX+EPOsdz/SY2
q5PYGgUwD3SeVPOFpJZpFiU6OSBMNMm99d2wDWSF9jtcSJijbijMTyQF1pXnre+Hq5w17rORaN6+
Y1UMFs4UGF84tebP6NKq1nXG5ZamUyL5M40EwxGV3SdAPIMZyfPMvAbIKQAJKQAYSCU6zIby7Dbx
rqS0RKfJ+hzktolCD4+v0fACMGkSgvIceGKkGvEsX8/ClBvrKTcMZ2eDMN3X0AqFPtMnEFPhokZO
wDJ9hSfZJzvgw55kXIJFcTbkIFzwmYxa/8FPNjoiDEGyt7T62xKP5I1STkZrXXBDPga4A4lmJ3Xb
5Ya3TzLbOSAHvbthqmvG5lqVovfHHr83sGuqfABdeFkda7cfD4uIRolKG9CoAcDXRZlVYzEeFvni
sMhuZqRMb3cJDBHvYsv+TpSIheJF7NAZfgCt7EyVeMeFCOJF/Blu6lmDiiV0ifBsBFidLNAhk14v
tQOkUbCF/prTCKnh34Rl47YrLXWCDV56Qbn6LzEydYvHwOSTaUXtxzLNsZWa9AisuVX3jMLM/IPp
iBy4uYXEuxB5+LJtUf5bRO+h89Saof2+BlUUmIrGAl1IrdDrgwWImXej9apDOISohFPTNC+t9/cg
4MnVEuBS9aGvIvRfzmSvoMMC1lKpz/VDno2K8tKz6peiBmc52LT1DVIY5ecpm+4scoHjzrBt9LUb
NN/sqLf3WTuIp9oQFtpChtjexBU2z8DHQJ8CS1P7rDEPWzTsiPClzMAfocw5nE3lTCJQU1zlSwBS
0KWvTRxJxy1HcjdpV6Y+yqexzMYPqFPfBro2foqTwd0ncgKwFK3/m7AFZD2/mvWttu1zAVZBW+pA
eUY2fWVrOnu2nRDJOztCmTOPX0fpph+7LLT3khXO1rBy85PVo5hQGYD3GetqN+Fn8vSMFNBhamum
PHXlGcSljTd/6Gx1Uf0tgWbXA8XcNDnQ9HUTbwVc2n4a/MgxnTVNgZWNEpWIrtKW4DlKCqAjwHCW
kSMzenmMGntfykkbcaIbMaTSXesaSKDCcQ4+62mONNxdsAJUDGEFgHJaktDixLSzfD925pfHpQrN
AW/5hSxodrf0UUsanArne2WxyFEwH54NZgJ7jNevrtahdS5tUdncj/Vrr2T2H2TWYCb7ocEv0m7K
5pWMH3wf4oVdi2SFUeW7jnV4zSfumidZemnGtrGPkQvkOsx4+5/ry2fyUvQ2UJs19V437oZbgj1T
Nzb1ZTPAl224gaUqyRZFUmwjMbHntnoHrk2NHbbi3YwD0Keg6LNCb2R4pepcSDsftIuCuWDuDAJA
1kSjU64XRcmtYAWmT23LeBzvQZ4e7CvTYB84k5/l5GTfULH0BQVv/YfFgKcV+xClw2evQcdXEjV+
XqToQBZA0Vq7eiL8sdXyzQKQusjmElm0s6KrhWvAVTBMtBepHadJhMG02XQcHWXubQIoP7VTJdnj
hrStAasD8I/jYky7V69NJ7maN7cubXHJAAAbqMe9RaM7WiBsuhY1l3IYtq3H8A0rGn4yy6R+Z17+
gYpURzQe+VLJbSX3oupO3vGIn/q2r997I/1ARbBpLoN144FLjTv2a9Nmnk8j0Md6vg7AV/AZYvSg
Bbkk4EWm+Eh/WPqDTeqvBsiXZF2K2sSf7tdffP5f4AWAy3o7vWqWPyo5k9ZWr8tFQRFoSlGl8iXj
RUGjJfJ8p+XOAPRBqbKKSh/uwfkhajpzyKqfYvk0jSujQ1Z6b01r6eegbcqzMNaa5eIEwG0idFyh
qA7Yaq4XkWaWgfM22KeFAJyjo7urSu0sbWRQKot7z3SZzKk4WRUOWBUEqx6lMNMMnfmeBBg+CcnO
Ver/zR81NOmuF3L086qL8Ptn7tz1XwQ7F8hTX3WcqvtRiFTwfzUQURo9tRz/aIQbgAhSyObrMATX
CODh6c5W6wLLG5waXjfqb7FKoLV4v6MYIE4OJOv0Snu2NbyOlZJESdzaG9sA++Pi5U35IQgAq0gi
vUHde27za1ySjXYJ6MrRjQ8UieIaAI0mJV2wN7I3U6b9cHIrG53nwB67DXgSvxj1pG0zVeJRqpIP
EF1dRyTTqAKENDS3BvmllI22Jbs7k8bJkg2q44Evrs6vkJSzT6hAt08JnWypjR6acwVQAiEjk+VS
cfRvLNM/mVitoXBC+Y7MvHREVYkzHTzFeWMPCbhxHod382F4y3PTOba1GQc+KejCFOUOjYpoxCmS
OZWvV0QPt/ueeKGLP4LQ/EBa+tt84cahsK0BRLMQaSItjm0nUOiWesh1jg1OrmSuhQdSC3uMXiKk
DMoqYbN/GxfuRqiYi8xFq0vYyPuYlQVUxLu7upUvBuBtGgpZUovQsCqT5CUeCmDYO1a/rnvd3pMS
bObZXstib20p26wHelBfAD/NKLElv7mS7VgBvjsDWuy+61iJwnXwv6UK4s6pSuvJBGcxeL/1cUsy
bIzQz5cJLz8ZRXEgGV0yA5wKYJSGNZCYgJWhnLHatJ5yZtWrLkzKfafOusx6xIGoW7r+gpg0uq57
8qbqaaQjMQWvREoc/z2D0Ng8obMY+EtIXXPfLRPXn+f5AHapWjZP/YAUZ+BMgLHEs2dV5022Y2ob
lgAH3111+T5nKfCT1DaMLp5WR3sDuehVFdlXGSke/BcPxEg0p0CNJcLmMjHRgxEXODnMtUsVAhob
3WEJWNOzNYnoAoRy4Es0YfBtAsYl2B5htmhpaqeoLshCAKHOxqT+PdTiBugJHI7HRjTHMxsA+F3/
Ufs6wL+DmMQpMYzCN2JU+CDLJ04ko4tTcsrQiZPZZG69IuFis/gtitmwEnvXTBqV3funrwZ0Et90
o2JNbrkI8KSb/eYx3ZZ0dOnGoQD7HL6pV67hMHSi43Ls8HCSwae2XMd1jZycOgCJkFUeVouNg3LK
E9OsFWkX+UO8hA8lkGaDa5Q8M740jqs9c8Hd1YRG5Ocidr2zFpSRTwmRYMKZSjxYn0Sm21tDw0Yi
smT6kfP0lQyAGOWh5qAynkPVjkienVrIK8+sdsYDNsXpk2b+tOLIivANug6S4jqACusSpPGDIsA5
txr9X42Slr+imtb4+z7Y7T4PsW73+eNn0T1A+oZIuq+swhvf9dZ+axTyeqcZKb6gjnEKu2Ja5CLw
/ijPBLASs7ExT8AV63f4beI3iWBE3D6oYGYZm6c/3ISchqi/u/kfblLXSNRnArnrqRTTc1FGwExq
ug9xbeMyWOsYlOivcRN0HyZ0AK16cBSdZosWHeMxMiHbWYvD0QOeq+matKhl1pdoqF6/i0YGQVei
uERF6z37kDatOZ8h0lld7GSgqgA7+fVAUB0u0qkgaYm7vIwESukhpxNF3cns3ie3m6LJywFw/Iro
XMnmKUWJueFR+DkAkDpWqM31NkK3vbPtdd5ZRx4Lf7pozPdD0bwbSeadWeYEtX+ndjNvY6RJfayE
p4GjXTnSxVSjuHbrtSwH3Z8dKYZBcY1fccm6s7uhW9G9yWaJU1R8o4F3+yinxmdYWcwv5OW9+vCu
nV+zy7sXlGd4Zgiv3SyG80t6CTH70HweGhpSX1lgtpu79/mj1xKPPC3lkygfUpjqxb/cIuvMZIXS
qHAo34zC7HdG5zpHs07co5O37jyiKSlINnYCuySmbJAm/8yw/Nl2tWQW8BEguxvS3M4BnoSEHeIC
jErnyNDA6k46D0lKl8c7hXbzGUfV8fbhE9EnmD9M1gZfs2JExUyodU8p/nWfwD5mn+zO3tCM5KOu
X5WZBBqFByqGVa9kpKALTdM+itehU4jZlxTokAV5dBZoeMhp7hFHNq3t3+6hx7G0fboThY4TVJbn
I5IUqzksus1kA3RrIdvsXDlTvE3A2bHSuJGh/N5AAcTdkIxoPpvnWrmq28TdLDJ04YMck9R37rP5
tyQV2ilqg/xMArrcOcxD1raoBB4Avsrp/lx9FDK9+yTLDSv1IUDU5WzI8M6HbLjpfvYsnJm5u6xI
9st5cKSXezyY5JkWESSPWYUsfeR9pJXGIpcli/3EnprNg+IWY5GHKoZTi48BG8qDjGwdCB+G8S76
ZH7+en0Ciqy4109aWs1yesi3ExIqJL/ZL/Lay672+ZRdXwrKvlTymz093yl+4Kxt7qD4RSEyaFjp
rcHBZxxMdJp/FGYMaIBW3k9tyzDujEn7v/su2j/5mgonIjOcf7nvTUu+jTfsYwBjXEI7GV9Kp30V
wdSexGQPL3Qp8jzZGI2ngxPKQOa2bMrsDATRM2k1C140Qh741USZ4Gk260033gj0oPt5nwABvXTc
jeN6A7ClORabaTENZ5pHgR1teqtX54N9Jlex0pCaLsu0w5ruaKCNvyG7uzizgMyzofzSObLckd8c
8U496uVwjk0RbWKme/OnmAM9fja6mxnyVWFJ/STyj5QlY2nYFzvH1N5Lz2agTFavOXWZc15kMzbu
nTYthxHvtF+yP+bUVDw7qxjgF93aPqYjnwOM9I6k+BQZtSB3kUnO3cTpfeUhw5Ht71Jo84tYhSZN
2DkaHpWgV6JCNODABXfVaG4CAt+2TdEHoRpXlstStUYeZFc1YTiXs0kP35nVYkN+DzbLnbL0pxYI
7TAKtPVqcY7zpNsoT/SrbBlF2IJs9bL2OdKbz6buzNWyVLua9taAUzPgAS7Fr2Iad5k0wCisqmh1
FIQd+rbpV20IROl1PwAWSdPCDqh3OFso43agmECdgjbCanyD4oPy7h4qXsTq6JkcuPUt4/judlW6
wjll9s1ushcUCdR/ZdIJd6VpxQdjCPjbHywaDyn+xuufl/PXrO12Ve/wi2bFOE28TZeT3C6RO5cl
4kLnuiT/g0g5NjpoPLUWZ6uDOaDm1jJq5xxK5pxp1ASGKsOdjuFk5Xy7aPUAQJ9JA2eSAR+zwhJK
OQsABl2HN29SICfP91VaX4Q6Y9TUgeY8UhU1+M7YR1UfsYhc8P8UvqeMSejZHs6PYUKuGtXh/B7J
ocPMxU6ZcDrsJJchdae9kfJzqkXxyRN1fMrE1BYrGi7CERveY4wv082MDBzl8O9eTOio57m50Ihk
5GKLEDdabPCj9ccpPy6S5UNwoQ2H69GSyR2c/Kld23KhHVriuYFfJ1l8l21+2LrFIFW8oBv8lqZ+
CEHTxkxD302x01jspIiTrbS6ZkWHUssxFp1dGVGW7gOPPz3IH2x1L0a/E3mgRgg5T0AeimZyDmk/
bSiB6IJy5pqZXBKKyD/vyhwFDJRQXOQP+UXU1+0MliTHmgBfSLtcyG0Iyh16U66RHsKNePP3ANOp
dsJiCQhy1XRJXy6hUFTF+4PDtezQ6XZ3ljAEOxpGqAq9jniPPpDVKFGonOJoCVCQUDtGD9DIxfxu
nubuITK77EDaRkWcQyxzGgGGA+h1OUNEda/Z5l+CA/fCMe8/Y8nqPveXiK0K9v/68ShMgJxH0aYp
0hEt9z7bAMw5GlxzjoINGNU5VuUkNJVmVpNwmZOQLmme9js08J0XEYWZ3VRUGv2rrJv+h7YvW24c
V7b9IkZwHl5JjZZku+waXP3CqN67G5xHcMLX34WEbKrUVX3jxInzwgByosolkUAicy103anb/dZm
DY2m9vcPR8K7TwRw9XFfWNlZ2Xm9ZgLBQAgU0PlgAjnfpPhbt4g3WWJZEWX3K8rfq7MBqWGWZ0W3
QskhnQoXyHGrZj1toGh1t1g3503rgQFvBYreAqMEryoLUAldgRnovOQeUnFypE2A96HR9LMsxbL7
Rkt27GfZMtnfa2s0ntocvFIlmlkBVDl1qBQX3dbS6+EbqgY/Ebh9P2ePwOWp38CceTVF9UiHtsah
23apWe+uWahBZgSIztPt+0Ob8+qZuD5brxkjV4z+gZReOeWHAoyGUTCB67PBwSyO1PNLk2HbEklX
UdhANJGkoV4zjJFhVFdXq5znsDOT+mGx6uTVAGQyak2TZE9TrrXovwOHJs3oonNegil2vFrkgQZW
Zg/ZA5xN19Gv/KUWqdrkda5rthv4MG8aQGqhWUoi7Rmp95xQo0hWo59kbI+AyR2ARC4Vuiai2PD0
xwUMNM+TvIBtq0BRIhAqqn7kWmgN8bRxJ7BXkg25reEpMskq20suSIgdKQrZ0sUqrrcgU6AXV1ur
aEFmmk34dEjl/ifHBoxaLXQv/3Nyh/mr42EZboEH5WJllo9XaO4Bs3DKXxsA1IUgf1JOhKfZ1emf
RuzNX0Xli7AAXPmReryorSRGq/pxGPW3yR4BkUlTQMxdp9wvxFFOqS0F1a1vfYLaQzpRpMPEFAf2
cTEFx7saWrK4O8YcE+fGtq9QgA1whY2p2zjZkg2gHPz2J5qO9mh+yevhdrpqyTipi6u2k62kd8br
VHPQvd8pZpVrtXKge8h9Z2AX02Orj9CrMKHaE1O6CB+c07nsgP0QrbaZtF0kddmQzuXzXO47e0Tb
Biu2DTOGtxRIMbulyPVDAnLnL+bs40wO1QpNqgNT3a1QaGIu2cVObJQmybQoEM23KKsc3rxgjneG
BjjDeOHKk7MU/8mz5WBvyepT6+soiKEht1MM7S7ZzL3ZHW9k90Pw7nR+dC819UlW0MRNfQpGhlat
uDveyOJcS7bXs3wcSA9HylB7vLSOHrZnNKOk910Om2Q2GvFTwPIjJ76kKGOt3Ux5rG4DHi6nDv8t
slp/7vVsj0Zm1JVTGTqohi9idOYH0qoif7vn2b40g3ebKgNHojXND0pN9e6utGmA64vC6zZDi+27
japmpxCdVAPo5m1M5yY0cGqwo82zG8TWts9zfUfb8iwDoSZNVy0Z0156NbbbwfyMNzS9K/q5QVac
OYeJMfSryenc2jZQxJtCTcsB7d1qCoaFL+jX5HgLTJOtgRQUHWUr37io3RfHzhpUMbNbed37L6h0
rW/k5CntV/ka7EO+ijq6E9o27+LbkuI8h3yNM+XNK5obxlObePHBGcH9XTl994kuGkjrlKyVNNq9
vJhpd5WBC6K/sWNoVg3JhIxX3zXe3T3IONY69zD4bTqN52W2W3VqTy9p+pPTa5U5qDJMk0oWiMgX
sywXWN+3pG2ZkCUgPykoSjZWbURaYExoSPYhk7ympQDPLiKG05r7+kWnmTe9MIcL5ZrIYYjxM9F9
8JN9VDmqQCD9VTHWHBZ5yRjBVKPsmpXuxpWsWFqf6yjiBHIpTemCg+G/QAmC4v4PizEImhsLcIb+
1dmBcVpjkEUnKbN+jhEHQ3q2USTd/um4XNvfYzyAvbZ/mHOAuSaoWlohHnBCGhg7NR9x6sXwUkfx
HF8WdB/1fPmSuuWmke22o+imo6l5oHJfvPmNpWCVbq1Sv5SVq8xIvqS6CwSsHH2SE/pMJ4mx6YM4
7rXDm9QDDHIBOIHXzsQ5HvDW2JGmbtaaR7InU3J6t8eOujqDpdBATbq16RpTewuWtt1VNvha8z6r
X6sp/i+RZmm693cxluxVoBb3WPO03AlWN99rgI2RgdH0qCttcv9Sti7qGHipR6T4CG1noEm2h+pX
oXNkVl5sP76GrttePwlZSmM23w2gK/7RgaJ9ZwJh+hDkC/tuWd+JMFU3En2nS/HCWPKz2MnaqxhB
Eok6TUF+ElMQLmOTuNfxi+NNAvZcF23gujsMqJF3ryP8nv8h+z+xA2QaQEW6TgMwJ3N9HSUWaCel
p6pvcRNEeM7tFC1IhnoEY6ly1dITmab/7kvP6+tLK7Gn5SEbciBQd533lUbADvO+JlKGLM11RLJV
yyYGMqOf7eoeWc67KGQnSxgNpiPVo83WN/S8nXWOs2ZASHvGzkPT27EMktcYf30scVLjxPmYf8IK
GW2M9OJn+h9M7+bXjgF3Q2ciBpeRPGCcvtLC4F8dPceaX4HD0gM3h1kRyF2AYtiVQDF0cpQxlHX3
I8+wEPkJ+rA1kO2ufaDmgVpqOGZYc984feAlBm7f/LfkT1WMx0xfGAWaeDX7dUkcc9+kWHIQVt0M
qIJPHbiuCaWOLr58chl5X5xoujqQvwBDaOQCO+IQBLJTxP9kWFr/girK9Bi4ix3SlC5pOmdR1or+
YFUOSMr/zcGcLS0UWopO+kz3H8Cl8kq8kCsdJCt0HgIDpT0owkjJMUm27rstyXlrawBW2leg0aJm
J7ogn4Yll1dWJ5razmTswXSabqj3CTA21SfpwLscdcGdDjrv1ThrOZJmCj7US5fXuUNFsD833qfU
qLK9jRrEk1NUOjiLgA3XGknwOnE8wVDhEf/Zo1QuAPfC365eng3THP7wGeuiWLob+nB1L9EUeNZB
Fr7VYh68ZmkJ6k2Jrgc0andHfaKMpc7TOhJaH29JNn+MVu06+nc7ltTj1hA+oLldf4P2tvTARfG6
uIVxposofPy7kMobQhqSkOx0q3pdRRZKa85u4WfnGVAhsrF4YuPWKoUJrB/mvprCaTYxs9s99RU7
qGBDgk/COsq+ZJJ9OJB7Z8fNxsm1du8vXh2lPVguVL5wzUKaleYenDhWOUiViJRZR1/lGj+yk2RX
m+zy/8lONkj+UDyyC5Ie/2oajvJogQ2VG1Wz72KZjl9UU4HgLiqR195qfeBtgGYVf6KLPVf4FYy1
cwhSnNmTTBfpscFqHLSaMOs0jz8trAGAqQzSA9X/aOsugrrCy6I4sYUKugbwmu4alDtt/MmT5cGz
YdcHdMt+GucF9cN+P4AegtlqumacUYerRGuaWjrpeZOcfxZRHCSYkbn+cEocmciWYclhzVp/xFAO
H5+Dao7J7CMGmGqAvYFnZigkikwPcpRTZxe5FqnhiHYqzthDlVkzmqZhUhOwDA31os00MP+8O5IL
XUjWvTuTKDeBwojvp72dRhBWFKgIP2lgDgwO69zuCs7PNG8cUFyK1gdjAgzp4kxa60Wr9b2G5qSu
/Xra66J/WYvEDEm4ChiYUR7cF9jpyJoxUoNIZ3jQhHW5KSajoa77oKWV1lRRNhArK9qXUFfsgrBM
FpiRnS9HNF3j3yl+dQ/f/HbdLc/gcd05EjGBOZqzn2XrHDW8oe942hXCEKoJjprlYsaLs90uqn+O
bOligJsZQHvajZxC4qcDFCYZki5rSLoDhZyXTIUEOUWP0s+m9YaTW2fagZjGdRt1SGYZPNeZGMGo
4aCJbgT1AykLgcZbJ07jLWlbPg8PUzU6IWnnKjeeQfa+V0rp32guCNM9/5loyylaLjkq7qIZrs5C
ZL/QWZmPpxnFvSca9XLqaUW2BzfTK8m5yW8t7mR3rv/bcKv/b2/bMi2lT/dbW/pHrNq7T7wqDGHp
ESs9J7I8FF+IBe0Bsi+LLmYm+7B0iRKn5n2rTG4auEjBgUpa4815Mn3k0qheGPju237yh+8iwDEc
q6wUS5C6el4tzKkACQ1fjg5D86mVOnW+MQ3kNnEsuHfyEdBs4ARfdjR0UeOD9m47P9MUyPbKzpN2
HohjtuZUcxTIAlwX+RsRzhY6FD0JuFu7Lo4zSENzGlkC6I496ti3dgLgibBEAdFUmKibBhop2K63
TK/srwUyRccqQBXjxOrlDxx1bj2k878uYz4fY7SRrPJAyicpJ3s/n/gms/N6TyfpfevvgWGfXdRJ
Okcp+sZoKnMbgOsLPHtuuTxYZfXmpXPSbznz9obu/dM6jgtnV/aNFd60aVETF94ayBEP2Ot6Ffaj
NKWLauKibi+aZ37yue0C++hkk/2kS2JrrQPmZdoPaACzEy8kGRZY9q6rljQiO17loMFGk3sa2b5u
71rLi/NtH9eHgjft+RexlGgc8Oq+i7XEVbW7dlE5QWuH7ljjnRpnzXiyOvTL7zygYkU9/nciEvpS
ExSmfzXyLQZiIOV147t62Sn+nNddxMSxQwHjJH9emM6fh44lYLCyjA0g3/gzKVzB3IuNVksStUaJ
d5VWMByB5RZqWj7spoS5B9Q11SGFWhUAttuXQV9cQAot+8CSMtmisNXYAIUcsTyrdS9N4G5U6CzX
+DNWCGPoY51zSLIAgIlEdz0jrYhjrcE4WbLXv7AdwDf1YtqQTGskCoBSjw2KvO+lNGcApwcWxzBt
KAbJJreGZzJ27vujt9OwXFgWhkKDAaloCV2ah4O95HvNyeeLTE9faERaG21rYeKxJ+BGg3O7TsqD
MQCDC/VeUx7lgW1Gg2aWe1IXY5e/OLF2xtEFv5AoTwAeE7fWjnQkar26PNgtFjyr012gpigFMHCE
s+u9ctw2gY6e+tGLjZfG9+ZTb37zcdzDHm7KPETH/k6Hwd0FWeWwh7XkBPuhEVuzGcVDVGlCRSMO
eBMq1HKhOIUiBtmbEpGW5EYadw/vW9+gnbAyw5FvgRLbNEicPTDBk1mV56ri3QyUd1j5VW/rkS6q
5vN8b9TeH93s2ujO8IflQR+KctOaTI/spkVNcVeP8SlJAgyNxXKughgf8OT6BQqd8Zs2GXKMyoZk
//Ahc5LmfaLMb2z+xecjOtlQGFaXX4vY6PYDjo/PdCn5ZhKue/J1QMZg/emV51FeWFr2YjdWcbXL
uJmFXdxxUE9LP6XSbECY1QsadshJCUm/FHWQbxBYNLN7uolGWrKmEVriq53ofRAryDve+DaO04eV
vThbD9jT1SYGHjdeVgAmnDud7QIS+lKohgHWJMfMGMGW7uIYNvH08YyTJdTQkJOQTmruAZno5NmA
RgJWYOg0S39iwOZEgxVGQAFAs8+QgMF8VQMXBQlpHVhAKKeVQ3K6MbgZUoAMpeVbireGX6wY5FL1
105iq9lujZoNJNPdM81Rg5aFA9qIdoKQ2EhTEYabEecWYHu9xxsZDVWM1d3SE2NHGrqQQtcXYOe0
VbnL0UyBb6btokE8c21A3eHln2kF0iE4mezOHbVu11I/Sv1sgv3EHlF20EV6C/pGX/8vamvcr2BF
FxtRi/gxrll69Gs0GC+mXz81HQccCU4yvxmL+yM1mfN39uQVy/S3WSw3vjZS9Pe+dYa2XgC0TJvr
yWbeA4GZXuhOLuoefS94/3OU24W8RbEqTemi8QGFBDSszRcUsqZhYLFks24oabP3q2nWj06kSeO1
5kXZyVIZWThzrQkZq/QPZlnNxdOWF30OgA5qCBTKObNdHjsbmdwarzK8JFDJRNoFtATAOKqrYweg
11fhcOVrLAYOQXWpLQ1WHSkBPEvt6vuryPK+ZEsXsiD/bKie3AW9a+uyYEQnaLkx+PQQ9KamWr/V
UmG1MRLh7Z2pfXHMA1qrlsciSAFvIWSfU1uaYmfj0C4kDckIsoKmXg2+Bg9vkT0pFKIFelviCxsP
hehbU7kpY9//KdQH8IWBTfj7fzSevfVm0TRz1w5g8tPi10Lo5fegHbNDVTnmjlKnffeZxOD5Q0Oo
tCZxor36Rll+b30zOyTDhJa1kv2n7bm+9Vynf6HLMM4XpjXLhWYdeNrOdma+JgNH9moei3S7Ogx6
wV88c7xxAANAHno46wgX88tc6eYPF7R+GxABzeeED8ujPc961E9t+Z85++qKwvyR2Cil1AoY+C3w
ZZxcj3e2fLrQRZ9zrkY0xYamPwl5WacjYFoPRSqOJCcLUt5N78IZnYkH2l0ossms/LXOsz9rAM5t
qPBvrfS7qwgEs7iGpWaWKDsyRjWcLNb5qDaME0sDDpzDNs2UY429atZgFIdsgHTNzzZOy0eDvRAw
vl8yHb3715k7/4W/Y7VrzFQ86bYNzpEycHfdVE9nNa3c0Xxsq6cbi8xJAO/hsKsDaUQH4GFwWA/h
jSHrRtkFPKaboko5jnMnG02wTt3s1Bzw8X95WZYdr9Of79w2rvlo+aBAtZYn3g8cjYqeDVAa3Pka
z26vN8XGQDylY/W3MWua50UA0dUO64aMRrR70xjHipf2gG61DKdwNXJbDSra1KkhqZTD3c5vdQpL
4EujZsNJN8jNxdNjy+YfoxujFaAOsEPK5X+cCaL3fuMsQmkcMqzfDdGdgkSaln2twH4LcLMOvRgW
6/xzClKLKAdoWOTaun8mmVIjCyLbMIwG7DjVibQkIpNpdtB1QUMS+oZ7Eq4oj6vdjclv78STEmEM
+UHIpi15cyzc+oRT+PIM4KnS0NgptTk7CdNkp1leaEQXUtR+ldXhOr9zIZtfyYq8NMNAq8fN/9z3
V/FItoYCbGAWat0iDrQmH+blZa5iHKjKFbpawNM6HXxbL1iCuYcOu8OzZ/AI28LlwXRb+1vctwd/
1HqgvenDJ9+vPxECtgj88qgNua6grkH94SgnQOcBCNvu7pyqcmSnPMktnK6idsJAznE71229oSld
ZqlIs2/AfMueWoH+q9AGBpkyU/Nxel2ctn8ABLBwATCepcAkxSUr6gL9KW2/JRldjNKrwR8r1QI1
NFfzG8926uHeWoAkISulIukaT+lJaFAUyxo10PHMP7IxsJ59PNYfLVOLaNaatf1MI9B4PZfIsp7K
2QXkExrZ3MgLknpnpDnmHKv6Q5mjVYSs11DDwjbGOJl8KyM0bmyfSNm5Db8YentqwAW7INnw2fbs
5jQho7YhFFcpB3NH8dmU8kAmEIgDJZ2Cp3Kx8s+gEoO3iQ5ugoM1dUfFqZzx3r6Rcdb487Sg7hnP
WsCOvcN538B7a1kKkIt4qNHcjEzrDdq3wvhWyN+rbg1CsmEEVOOdu5MEX3xDuA/lAMrFcVxaQAqg
Dx69MJjKS9d8Rqq++UQTVuLIeSzHBTWa0JFTWwxtVPD+6kQyFryamvk9BsXqEyq2gbSUjEL9+fTA
BGzYJD7bE4gTJ6O5yh3TvnhFLj6bUv6zfVV2+WfdCQl1Dm/iKWqXedkRgB3JUt8CVRdYm0OFU0ca
jzWRGdTzo5IB2G2KqtpedgRtp0yM8epHYRK/+DObwQjhZGCX4BJcmra9dOFzX21rx2u3eWaOOZaa
XRIOWFo9kNrCKvFl3K3b5H+Psca1chO7sj7F+V4lng1spmOnGi4rA8WHiIgkFlntIUWdMw/ogEAp
CMlxYHsv+nD8ORY5Uhjy/ohlGvG44WlVbEzqzZ1lWVEu23mzIe3x3K4AJiSnpFA2v5/f+eC9XYZB
nwDI1gJ0f+/jqWfIETqzlgc/b71jIUe/0v6P7CgyRaF448i6kCO/pZY19yucGDkqnOIFQGaTr9Xf
rqPITivR4b2uiciDpqtb1+YC0BGTt72/0+pHschmjfCrNZcFuLIwxRMKWwz+Qt9X+uaCXw+c8vhy
q+81yeyyAZOZ/DbTF5kuZRwvyA3iW7/K6PcgfclLBcDxXsjwSjLNHBxxIo0B5SjRdCTUZlI3qJDP
RHLCkrn+BlrckDA0W+bOB83Q7a2aes1nHtu1cgdN5tVsdRep0Xzre5R5+1lkmlkO7jvPOs+6cEKn
0KxvwCTTtr3ncZzI4Iy/YF4a+sWIxVpgtV9N9raA0uVbzhbrnA7WrZNn6Hw/LFO59XEikV/KzLMe
AbPtRVbclm9ozv1uzbbxd4OSS7/uWeiz7DUJ6v57gj1uhBoP9pJkvr5js6mhK7AGKm3W1KCwsdmn
NU7Z8u/1WJtrHM8HjY1v9t+trInctowT1GzlAC6qbeeIFc7yxqs+GrjGUBWhNxdQTblyFbW8lXm7
bAyduUe8MZIv1xofYdnR1Er2dC1vjy5w0E+goAfFgG80c5SV018Ce80jc3m+b2cRvDrLXClQ5z5L
Ix9oxH/GOmqguGvaT3beBCghLG9tBdD6foD7BZhNKY80amnH5sQBPG3Fo0DOVfPS4lsx+JpRMqfr
ALC0kgVcPSgb1US+rX1jfqFC0I9ZaQ/BK9qhogW4BA0e7oakTMMkd33x2RHc/CLqZ9LokkYKk84E
p08Cwu+wMzQ3ap2J/yiBzQ/ATO+/Wq6lYW6U02f8Ud0d713Q/oLA+olsRaspW683XWWb6DnDt2ey
8wuIPFtQAKOVhqODoR867ciWj56atTeHTNxFN7bjALQ4mipD1YKjxh8xSE+Xm2adNYZtgqYFm9Ed
fabWsp+SKva++bFRbDXXM86anwBnCAjcOLLQ7G/Iqz4THPeHKTo2r6a6F4Q4JC2fqtYDl7aF04K1
468SVvWIFhvgqTQ4kqAuwKYRLHQAuHwkuzIe0Rlo6T04hjNd+ZKCfCf4JrLjsAimJhxHnE8T6DV6
ONL9aKI6ROCwKNnSPB5MgIlirwE6K1wSid9tZCzdk0JBafduhr6sgudTELZ2u5G10QrARaG4cIFk
I7dKKpq+Ufy+4SWR+Uk7nsodRaCAcWUdrjdZKvcVvDfOab0sWvXgL2w5rCIaObFza7bKjDFFGzap
taF80ACkcuNL8sot3lL8jSfUqznAYeXB4l0AiL7T9Tw50ayTIst3UcqoczTFDx6aKYFqC7TUNA28
i4sC3cucCeWiZo5uCyQ0rW3d2JXCXC1sbDYV1KpoYzBmAnboRkaQZtMMQG4vbtKIpgqM1czeAVvl
CNQQQN+F72j31aW0piOW0M0mG1P8woOmwC5fzus5Rf9/ItJNqY3Ma3csuPQ4uNWPtpEl575LwJrl
+kuzWZhZR/9QkVVeftc97NaU9Zjy5IzTxVw/lnr97kiBUJsQ4T2xS51m2oxA9L2Mwh5PWGuAWLFw
i69eaSliaMuqjo0+zd/JdAgs/9IP49W0KavyK3P01ZQb/fJ9HvNr1NU0rfTya2zfmLp6PN+YenX/
ow8q/SDsAvmcplne6sF2NqnVDEea5sG0yf1y/NLOIP9gOSqFSF5Ks2xKhiPxoEgzI3UHZTYCMC4k
uRUs99HKj2hxhmhB6gL5FzygUd41QLzztdw58/TzPDjWZZQXGtHFnDP7MjCUxjIs2MJ7RTdejdsJ
PzSr79o9eWi5AeA9sjbMgaIPH7ZkQTol68AbS9HVzYAmcU17VEmBMxyQeT8UE1bOYFXEJ8MFt0FP
XZ7hXIXm+qDjQdGa5vbOZp22MkqFKORbdiNQVNZYNNKW9AllLMNhxKsfSxB5WqrSnVkJ0AsTdEaq
5o8OSvHbRhJ8YqbSBLUo/SP5KPcPH6UhnxIJVh6SDw7IIoCvF86FjmZJ/eHCCpbyFwr2IVOfxBNB
sqt9h29H8BI90IWP3KvQ5vA+d4sRWSVgHCg1KWiKzNjRZQJ7pQ9bkpPDKruPt4Ziuufe3mkNna4a
/hGc1L1fH7O5Y4c1zOxo7lHvcehL+z65mRMAlfeFoZ1oa9fWVf3oL9kDzeiia26y65LJ3PAEpYrR
DAfAB946DC14nTNg7snHroXSu04NaU4XIK24p3VKI15n7mmxjHFru+bV48aZmVV9lWpoQMIpLCqg
nS4ZtzlqArft3PEXQ9Y3Lon9SegTyJSlqASsyqWfiyfQpCM1XHeoWk+lA9n+wmG2kLmXDqvBr5wA
Va7uQmZ0F4tXT6p80pMfi+4y9yjlsRxWYwEIFDqCotNQ/bUXZvpfEs1ob8dvPjXOv5qSbcuYsuVF
vGwKvcaa1gH6dxBkbEtv5Ey+kem1HGOttwFGhrYh2fq+JsXqQcZkchfqt4oJ6eynbEjCqSnLU1Xj
b42kZp5FKRZOmwVNVOdCJPUZ24T6nCasdI7eONkPqQm0DaklRdKgJvaF/Ay3u/r1dcKMi8glAIWo
NvdInSkYKo+NVQOvDe83BSy+4nUWS9qGpgGA1BX0cwXsDMpR+ZKD6XjOobO1z+staMTcAkfujhbs
aKpuQeF+vje9b9U7mbTkd3dvUpDhz/d2c5Dvqn/b3e3IQ93z43Y31kGNpJMWg85WNSH5eXngrs8P
akqdRjetRD64t8B2IzuNlPS+FYlUH0FIS5d/dDt1xgyI13T+0cmuIbr0qIIRLUsV7QeJiOECDOwa
ekX64oY/gxRkUgNgl7xW2hH8owDtYJXezloA61Itubsj2EQCUCTsxGL4gSNUQ+Esko7NYjwIbL9C
bplluQWcHUoS+g57A5q7vvIgY+CB/IkUavlgTfwLVQTFLo5BFrtNz0IE2Sv2Gl+oguhOPtXdL+XS
nuJwC0claxxp/6v4uTP+Ui7jFKDLfcxb3qFHx9MOVlPwiPDxLCfjzx5IZRgIQ9DH6WgXbI/Y0yiZ
cucmYRtADrMD2XZVxo51wHhEWnLVQalFSrrMAkDb1fwjMbwi0uXTkS5lzSPAOpfPjXxEzrNoH5Yg
qEJOz0jf8+2orpJm/7PH4BiF8rBsNK+Lqge0vjY/Zj5aVeqlwZGjHHlSxnTks3QLlLE0Ijsa/Ur7
W7te0y76lDYx6nTm4q8KzHhnukx1rB8K1p9otgzuDFLQDy0JSy/Jz61kb6RpMZj6wRX8dCfPq+wR
e6kvTeBkL03de/sp1ZpITaXMZc0UpZOOPmtR5C+k4KXxgAZH70Kz2I/bRw+ZkNWJAmk2EHBXp7tA
gOyT9Ukjizo04oHzpnvpZa/ubOOYtgV71kOGI//PGtCkd4CU9tEpgykL8HbyG/GdZuSQt3MInJL2
xZd9wE6b3rqnhuvsAGzkb1y+GCgLih233S1okXlYN16dznUgmg0VOiqxaSOFgtmkodq//YzC2SFp
FCI/cnUhEwN9TGFsjfZ+sNx+0w5Y/mK9y5Mt4CV7vK16Z2P0IzaVpKf5tIxjAiwYYIeOrQnooSGI
PPCIPYIYEgD+9lxYGy8RQdRyv3oc2Fw/YjE+RNcaLFcDD6AsuFBlFUvJosVBNTHJRtBrg4VHlmak
juZt0ppdrUlNCj8ueLuhYYDy5MwtC+VMIrJbLzbIWEHp0mOrhKqv2dNA5dkA7BLbqfcCL9KstVw0
vSkFoznvGhcfU0yqeuzeBszj2HyrBp4mQbXN7+qp1/Lqrkd1DB/b7JfF1yi7AkHoar0GXKu4SQuo
l2qD5B7CINgWrCPI9/psCUEAivwT0egJfE/2JKQGZZLRaFWsrc6k8AHkpDwAF4MwpF6tfxuGFLo5
LU64Wque6d+HnDT+5A/JW91Y4i+ehi1QM/5yfLSPx0WTfemG0t3i8Ks7c6B4nmwnyXYBisw+Jy5w
tMhp+TuomaZ8islPv9gV+DhiNlXv/ymWP9yU6xUd0h7dNIC06L0UkEb3/62rkL4eqsrvw/nuK7NO
myUybax66PufVlO8ByofC9WUfiOegdNdGzQ1ofrNqJ+PtCShIXTJ5SjnY1+yUM1Xp+sPC09YHPt3
2zi2seXyYm0EclcnUIYH0gG15aFtkNo5uRy1A73Uk5AuL2OKBzIVSFHpFVVJ5cIItj5a98FsiVqJ
tXLqbkoeVIxFIzWl0gcaJrks66oLlJVXaNa7L/CisJbeliew2qm/gqGjFqvJPG9Hfw9HPlMMTTAj
JI0ZJ/6OuQH6hB0brJI4f/bRCy71ZEpONzFE0YE2Wj6DVne99XCeqFgNKiSINgqWXpOo9qDyqC9x
t1WiAD3qMokfQwFW+x3QYpfwRkgudFm0DqejZaPtFC4+CQkcP+l0irjaVjMzJXZ01u0mbQBRDKrz
fNSCeBzFrSaOHi80EgUrb6axM4RV21knXVqQ2Z0tPsOwz1vnPyQn91+FnEwAeAWxO6DK+v2Go+fj
ZbbO5c3sRbdOq4hG62fCIUAMFhAcPjj2EgDxu5CoxeCHOI8C/5/LnHD3Dy6HNF+NkDvv/L/xWy8j
bUCqak3qrcm/2sv5BumBNCIZXn7XNOBdQlBQGnD1oxE5l8AhV85LqXkPwn6jtMWazsCxMZIfRe4/
+GltHFfFnR1oS9tdaeK3tSpU8mOdT2bwADYo/biKmi6N0lIPkJDCz4d+NOq3cPML8fGLPeZjvVEy
WXVEo3V6U+B49/skm5uwhmYBZGOpgJiKMGnVhNdTiUU0iSp8cRLs0Xb35SxdoNdxRPUrokOFsVMZ
x5tqF5EuoMdA43K2QdkNSCE6kMlyoW9of9AQ+53tjU1UlugfIeFKupcGqGX0dWyebvgHJXeh++Hh
VoCKDwmV4CO0ikqxkkJv8Mrtna0Sko2MqHXOcLwmuXpzmVX69WaHp5lOJAJkK5Rs3VjaOe+2Lgrg
o/stI82lH/Ak3ZPSLgOgz61s3qArGHXtZatHLc5zdrzDcp8u5aCXp64vXuLZ04OQZE42fKtjgC6s
Zg0C7/wYf6lmcfizMtY8EJ0Y2hOJyJbugH9lg6Zp3JDuis48dQeyWOXyLvmoTeouoNZ5KEbbuHQ+
1hNNOmQHW0zxp0zL4082tukWQw86iYY67Z+xLwlNaUAiwIaLB1ReJWGMisIMFal6AUzNqd+Qmi7N
z4GVAoFB0I4Hkgw1drx/NsYyJF3Ze+wxsMGzKYsNVXmijQWX6NEclmYfpY5LlQEExGr+JJmyo4pG
10KrKMrisQmVEZQL1TVmID2jMHclkRRqyqo/LT8odhMvkNX0xuLkdAMoElBWRReqwZryFoVYVJM1
+va9CacqO7Imw1+YrKHWyGTmLhxd8OMcjpI7Jc4NXX8Q2pht5wmAed6QCf0BVRsVPhVo7/u4m0Ok
3bvLnGrpuPHa4c0t8vSgDEvLyLZpO5X4upamjv+jJt+4BnvtUAUfam0KsgjbtD/FbgH2MRC/oc7o
XebO/hINNtgKxoUh4TNinwgoj4E/kAtdyqra46/TPdKsLS3xHHtfaEKB0BrQntNKU3chkVcZ1qGR
t0+691uhivR6+zU0oIlEJKz+/fZta+HrhVMgdXuK1WnF3p5s73L9LVupOBAwP10Iv9+0gPXWpyDs
IVlPLJerzWpII0USQI6VgWpigM9cHVcygKBHd0lb9M3BzTSc7/X1t0L4AOacOgegrDgpZ8IJdmNi
oFRbTuO8r6IiKIDRKac4ZH0IrLR/cWrffK3Qr9TNVfP/KPuy5cZxptknYgT35Vb7atny2n3DmJ7u
JrgBBHfy6f9EUW16/HkmzrlhEIUqSJZtCqjKynxN2VifPGQSpzWAXQiB9PZyZF1147mzw4cwi6He
qi7g77KhvopLW+r7pm2y42wij7yt9E2bgZjcKVv0OM5h7xFeHLfoKudshFqadMBSgYLLneM67V3H
Ni5kXs80oAvN9Waj7SCw9DZ79pYEvMrTkQsMMkhp0Qx2cCDgDaP8d9N6+Q5Ux6Dn/bMw4xYI699f
6r8Xbm1/X/HqAmXodAxeyrKU9y5Pnoba0F6CInYPnVPUS2bG0aumgzLIRNPYhmb7ym2WVcysA80a
nffUOaASokl3MYJ2+cUEwvreq7NpvapxnEORN/+zXqa3/Sk23R9oq0dPwdii3adJebG00AOOfg/V
oDBNZehuDTqrOPqqnYEaHbRgBMEdjadbCm9xHFzaWjaM14FXclE0KSQb8pyDNpBBKur9kgGpf9f6
j57QgjOZubKQOexDH0Spcb8BoQnEqcgoAO5ER8iflcg2TbviqcKZ+0wmWirW0CMwRmh0c2btik+U
1Z+GRdc2m1Y6PyzFXT3RXU982J+X4A1IQ/q2Z0vDrpUWTzly1YLPT6W6jGQMLbwDw2VgyXDcEJyH
7/PkDnhGVE+RNBZvQwcpJkA7xIkMn72mACeAIhetSvP0erTyiMYn5MDcfK0jy6QvUrQiLyQIJTe0
y7cHAREkOgVE6FeZZj6fJNredKBWZ4iNN58PyFhmcTEtNM3Ma8TR2O2rETSsgF7ILlV5+tY6Kkkx
CF7jDiDY2x2OrqFckJGXFnAFKci2Z0eaoAtTcfOQXLIG3XpTMMtQaerj8UwutP6Hpb98PaGVeGm7
Rc+tF6I1YxpTvKQpeo0tsmI5DoICeMCjyCFduxCtfW1rqwcrhRR3uafxu67BA3BROt9cbgGWo0yy
0cWdWdVsH3aOs4zYUK9LxfXPuKOwc82LIg/ct9iMzvbCGG72+t2uoxWI/HNImO074VbrB7TDsEfZ
C/sUIwCEbeyRLn07gqdtAOc+DYXySOFB/oAV7QdUjBcQqk8mbrQSNPnnyrY/DmmWqNJoNoE09gfn
7J9Dmq0UXkZiF3GmWO6g2wqUnuiILPu3RPTF/chC/Qmnu1WNprtXHoftMbQcCbk7DKHWka9Z7Ve7
sLatV7er3nLp34KGalRKMNYrEn8d5CP7CCiaXtuWo9jkSkQQZajonChJQhrOF+7mFdi+bm496JG6
BflRBPmRiwkI/xwviSV0XiXO0G+nwwWtDeGeo1skVA138wWMhbehkdfd0i4rY0Wz88Q8HG0o/sjh
x1fhsw2dpR0+mtxYBWrxtNatE1qkpOKAlkoFle46fLlvnNbrF4CD9sghKyFVmqHxPE02R/nQxLSM
Wotc/Ei7reCQzCq3pLOM3d7bZFm/J6o/hm5cjaXmt9aAdDTzbe9SQ6JnV3p5vwvBWHWfs9RYArLV
fA8AriBSQQ2KU24ymN8AbwuWqZP4F6tnwNaHSha08bQNh0rVC8TmLgB+5X+jlxD8h+DfuLqByKF8
qGubIcS/CfP1C3aAzUUrOiSF6EMwM/1o9e3SJ2bq+YcuWn88RkDNTp8G/bzTj9UHYNhWIfNnMAW/
h9AqJalDSLX+vMxoJPXJCvsFHgXFJYjTbBE38fAmRWtA9zgWuzgIhjeIIB7wRBgfR9cTl4Yx0CsC
SvBmpQUE34Fq2dHwCzcKlyy5udHiGYQZvUSJhKgXnVYL+5860aPY7vAAHIVZPEvLzRZmjhMIUMbH
zhucC34N2p03jhb6AdGZZHMkKCAh51yKJtHuzBFcBuECZHLOI/Sn8gcHLFLV6NmPZErrvFhYZs+P
ZEuMxNjaQMet5gBXZ6tRkarQJRgLSAQY6CXJ09ey89KlCPHxbV2tttY0DrRU3KFrVtx1WQxBVXxd
r2fZjsyVYJepLAYmMPUXPJGXE+84xB+NBYcG5mYyTg7zFPSPUaZX/xBko4sjo/Z4Y0IF978OGXmW
NOCaVxkrOQr7nKgUFV20HLVeEZxmMyPxRjeIxLZLwAcz+36KZ+C1X7jAg22YWk6SmCN505jxy5AP
wWmOJzMNR8/hW/ygaCcHjtMph2NRd8bFtvJ8yZIx/1sO5rLzU/69jh3+2QOHE7ZL0nRcDXkX71DM
ArxSAQ0bocU7URbDCtS01och6HatZ5TzbrMO12/D2oQs26dYmu1aN9hClpJLmayhvaThKFh9vIQZ
s3Ydc18+2WffHJ3JYE6tj7qwIKI0+xm+2S4ztfBsozuKjXIs7JjWh4XnNXEKyZdm4w/rWz5XFUoo
XWll5s7Uo29zWpPs82SWJN9oRNsbuqM6C/L0xk5NTrugLjE3N6SYhmahSR0tc0qAO8yqh0YRlMqn
k9V0aKKZT4eqeTgdr+bAWXAt7BNvCW7aCn89mXOfjdmzi1zPawxazl1U5eEqG00AhaGEtKxqLz7S
7AA0zsiq5OnfgiBJaV9TA8pfosu2vVsZy4nCp5GZjd74lG1TRfhDPD7jKF8D6JgdicFnsq9F5Xhg
+wKlz1CXYNqsw+dpBZ0X/1ixwK5kyesBnPREGpSU7asb9faRFgLWQd9ydIstrDSOgG8skp0BRYY7
658XURVLHAr602zXC8i4Jx5O/NkYbD/ZaQgVtXibg5lqQUMK8MrcNhZSimiFXltrRUaa9nuvvqNh
LrXfrOuT3Sc7DRNdLP0suL2T+b26vv/hncx2CiqhzLIR0U/bsUF/9E43IwPdPbe+tUZn903ZnSad
zD5Fdl+cWs+GMjwo/fplZrZoNVV+kzN21ltabvLJHOmeK81e0wKTzcMyoYVlzHKQ+75q/pqKv/8s
DYOdWV8lEiIKc324HjhqyPO4o5oyRSMVfnOHKmN3vMnyNKJ4xLnTeOos0RywmwTrlRpaXdxfOK+g
/YyR8BrjyYU2vDHok3ta1m+F3wNupqYST/ZLt/TYHhw7xhO+YZpNH8T1mmZrFv3P0hmWDmNbRyIq
wMkfyyZJO1612ja3mm89zFuleWs127Ia8PTM6pIt2WgP9cnPw0l5N3jGtBLt1Bhpnc1+wWCzBZqn
k22KdEejiL0ISWCNfrhKAyigTkgCJx5PbZbaZwISCC1qTp4dPpnEMfeVM9N20HY+SZ+jaVldxixG
+zGoLiA5DuqI1TyDhPjNxxNyh/51EOs2QX8326vKBNFy6V+nRVCYFubCVxXmT0vRolD6atfCkBlU
8/6ofNPdxI2fB4G+7Rn/Tqz4H0j3S8MB80Cfm/KHUdjjYuCFtcRTIttKBR+gi12k4LnxqjNOg+nV
doQLeUFwT1YSHUQ6jh07nhlIltI4G6DoRwsYDgNjx78EdxavNok9piBKBywijKPmWBmn6e+YTPTH
/HlM8AdydsoP8AgyO6UFqUane5g/Q7tOi+2AxMTi04dLn5kYW6hrAsq8oQhymX9D+DFqVuTTL5LM
k5cMsINQS5Jt+uXQrV4K4BCq2Nn0NVACIit8ICyQUbE6+3cqjJUNyr6/WxdaHkh5ok08HIN1V/jG
ycKfIGhUm3RbZqH9EPhWCSI0t/zOEe6rcCc3P4cnZh2s3dKwFkMA8ukOfPTbARniM93xRouhDQIK
Rrob1CzdfTlrVI9a2GKTrqDgkiDihAdHPq9cARoTr8hI0+AQ8NDk1oLTqO5QZbWH8wcTuVCYJWtw
AykAed1ByyervHaZE1M+wJVo1udeDuCHojoOAkiVfBijna7ZhomdLwYPmri6ujBFxksXmv3gPUf7
Sd2dojxdRgpPGKvLCH6ncwKRcUsh/wFwrS50924nL/Kf7Tn4H2k0r1ONeForO5mGDp3C6AG7rQ1F
9WFZ2oO2mg+XdDefSccQiW/wu6Aa9+kUOp9PU9RC1z2AU8t/PfiS8+w3vxw3+6NTc2vTyEtWxN0d
AOmGfsyGxl4BhYzfFeH2Ce/f6N0zJF/s3YzuJ/vk0TXWts/737P/h/4AFgxT6GTjGshjMjvbV0BJ
Qp4UKtMqX0H0E7YDvv/YhHI42cgD597DxDdRCFD6Z2mXAs6IfMf7LHFTUAB5zPHQb0aFe+pi75Ha
WM10eRXqCxBaBbpOgAfinVRPJmYVgwXoD98e3cXDvdM65SHs8a21JFND4cm7H+qRTrBjkHHbO2a8
NFSd2Xq/+KpYDJUI1DKAq6ARTeqqTE1DLylQRAbpog0sPrJksw85zuvRxGjIJ72syt28wCc3EJyM
84t9cpt9MwDspxeMczteJiP+x4hW1cQpZlXyFBRbfek8tglrTvrIfuIrD4zJ6gKxyV3B0G0VKd5W
FqX2Z//4DGp5toJ6j34Ae9PwZkePZhkUr5kwy5Mme5xvlLntofsJMfebl1c9AlqlWubGUwdSDMhb
73PZI6NVZOzR1rV0jcO7vyZbwFJ5Dexda6FHapmOProd2x4tXIvCMZNnFNZLP8UjTtrewQCR2bGF
Ku/GHpv8AVJwwVKr+/a1kd1v0XTOz0irloI16Gey/AJPmFj7wXp0UfIkDZ9FJMFzNej+xewDqHx8
sSTO6JCmUEsCfzkvOTBZnLnLxDrqs3LdyLg+9mPjXUIfLSKk64Q3tOJ6F34rdE1+9kilgW5rA6yQ
rv7LLrJwh8NHdaGLJRygoONhspeWLDZFZeQr/Cv/jj0dyQfISuxKt4Dyk+TD8zjmT7Xi+PinQ6TH
7TZI9eG5q9NPDnGXGLt/cdAKi299wFCWhW2GT2F49dJRpQ5k+JS1HC1xfn0JE4y8MW4WrCmNI01C
gSpauciYgN09CJ78sk8hEma4a5oVbrBgdTQuBxHU2qPd2EDDoUC7lRAdCs+D8cPWSv49kB1ft6MD
vs4sMi6uK3AgVDJZQacv29zl381O8nVcdwOYFiqIfRWpXDJ8b1qdgfooF9l3YQ3+CW1+zmNapc0G
hBHRmgvXeaxzIS5DFx1pEnqC+Ju3+eTfOWh5TzQdyV3NNIf7HG10rlHVPyI96JZGX6Iu3erWXkug
3MbK1ISEawVcQRq6P5Wv5gXVB1/ohuJ00KMSMmZjsiQe8jHwzMdsAYI2vNEoDqGSltnVnkjJ+9gs
9mncJkuiJ4/N1nx0FxTmiArozzB7y6smOjIo7hAYgC5NHkI9uk8hRwJBbPxrK4jzjFgeWl87vEeQ
fYIY1L2PCPuKB268njm8Zi6uUpGD0eUrG5fGbx04u02h3NyZTozGFAYwy5tZpTa0OI2pIDjoWguw
BGCBVDYcjBDpv8RL8TxCubBwwdluBqOcioqCsaNfdMU1K0LnUa1BQaY7dCdoxECfWNUpCyBwtrRG
NOrJ1QSpS3quR/S8qy7NIRbIQwZluqc+TU1AvdtDm+feVNkUmh3U7Dwk5zl2dg5ULM3Ozv//sdRI
Sm+DYtmYQOzWBV9j7UCjgJmVtwptxX47j+swKB9adYnAS7/WDPjQkCY+2UQ3lDjbYy2Qt4BwSA1n
G60/r0d+KM+CDlhqfzM34Oc2dswHSNr+TMZu+I6nUr2sgvFmtwvthwPSAS0qnwdQxSKJw6ACJ3j/
BtXn1ajUSroI/ZjInrKz3oj+ouGffNEo0vIyR8esiuyd2Nz5rutvAk3v33LNX5FDxF1t6XftK5h2
7AdQt4Btsh/eTMi/H2SRy1Wkvlc4ZHiWXZO6p17kxovJwU2o7HXr5wdX84oVKpgg58qliQyJaTTm
kqcDDidN2+39sTAf0WvSao9o9msWkdTEufRa6zUI13qaxa892iPvpJYJVOhiFDEgULit2kBuQsVO
IsEq+s8gHNnZK/pYbkFxzks0Q+bmQY5JvsqD2Dxatjs+ZvFwJYj+F3b0nw3fv7ATFL/iwZ3fBkj1
pjh/O1AEcJqwXNCwzJPoAVD6LY3oUjBt2TOfXUXW41CeQibbzll3oskULaCrNPSj3TQs63KLJktj
RUNaPEtAmkfDyre0+xaLj44BnLJa2C07dmUQMkFVKlz4beM9AAhg3I2BjuNi4+jfEmhcLpuKgVsq
bOqnzAwPQ28Y34YhzDaWn/AdudnZG4vM7E1znADVBxmsyBy049u8qome8IXWcuO/VxWpq21bx48f
wLYZrSPhdg8iHNA+LZL/uUvs5mbL3u/+H/z8ptsHWQlelcpk17K92DJgj5nav0SxH4GNb4w2NGR2
HV/N9EKD2LG/jWkZYveA0rlleG+yCKotjcIIBFKQ5ulOdPfJFvO63/p4JpLdLVz8sX7lRza1cKM1
1ZbpPWThqEyvFqa7TzZaGDK0r7KToF2JR6BIofgXUOthVgAiW5EIQTuGIOhV7HMJ/kHBxstMPGat
+KcTmoAJ1qpd0lVQPQjAe8vUtocBqCsYR2wAYjAiQU0CDZUGz9JtGKRixaEgtZQJSLZXcZDY+46P
Z5F21qnKKnz1gwSEaD/IlNTybIIfgC3fhzRJ/B5kssDxSSO61K5jnVQQrYMOyG5VB2WO/m2DO8FB
IwnKSKlYQj5hW1R1dLBUQ31HMpV0SxdyCVJITUBhRUeBBD4fHL9a5/MSbS3Q65LW7TrRArEGp1G6
wsYadLQmSH0uUSgBMtPbdhc4mFrrxSv6to07mqRLX9nZwefZS8YqbIrnVTrkatP1FwuAcgioSm94
TFTaly51/IIP3bn3FRl8bsbuSbQuyiCYZ+qC1JG79VoulnOMG6IRbxhEvZlto+n/bH18hBT1Z2kj
65z7SuWPzdR0T0ZvT0vTfPa+dOSgdNkZVr2ipJkJThhkQtEMSxk2Fo7V1XKWeoq3SA5eokX7WtTO
rXsnkzj/hmHX7KY0W2QsoV3BgIdRX/GZDxY75BXuK6OT0SJBri2ETM/CqtMd4HPF3zjcoImjlO2r
HaNuadWNvJoZjhjYuLlnDX23O81vokMZVSUonjVvI1p/uNdYWK3ynnfPI+jKFlZuxH/xNrpPbOwh
F81wEu8v46aJnF4GOvPNa2uK28uMAb+9TMM8HwTorTZ0C1BY7hsji5a0f7Dj0j3QkDYbEDz9n2Fp
sGhJGwZyLtSQYrnQU2A5zec6kPkT8BF8OQD2v48hl/MUZ7q1DWUKnTs1i9yTfme3/B4nJ/40mSBb
Y6N95n4OHzUu9zT8FI69rb7yUu8GOW/ToYaiETacE/reRtvVxmzGHDh+nLBM9AFBYFOCA63OTfOZ
R8wFRlsNw9aahjkyzEcZJ7ehtDQw+hV8OOntU2Xx7qGQqQGWQwD+WA1FEuAC9Ct4aIyrFba/BrDN
Hcnk1gKkAI53z0B1mwMVaYAKwIYGDM3SIkBVZXzsHihaQFJlZ9v496Q58lIrGp4FmLF6kSQGHSJO
Xi+RG1UPAaR2x3VRm+XOh26451dIKYZmuyIhr0hmtyEJ0syzupLqnoc0Ozv/a2wLlS1Au7ATUw/R
0t7kfmadZhD2hM6mcch9iR1T7yznabqj0EbF0/DPIjMGe/Ynmwx6udI64Hvn8Nlltv1ZaJ77tCS9
I5B5OdO7n/1q9SUwD/8sROGDFx31QcZ7SFE0J6NrGqhG4UJ3pbD8Y61vTTE2oE2YPQxhrbvKbtA4
oTvQZlERFVQygEafnZQxTaMEcHwH0DkeSBC83Fb8HBHwQVibUa07qHUjbBFORWbbCwEKhgtPgQhI
mFueM0XjE+HZgJbq11hIfmf7mkBVPrVezTDRNlbpVBvyqgw2fBEEUESzqzwJAiSr3zg4Wh6TEv9v
WxPDyKoqtPQBU2T4WrXVIAqzNvX86ipOmMazzix25RsSa9rKdXKwzQu/OFkyqteJ3pevypUrqhnl
mihXyM1qK7vIrQUoaINtVQNKWzVF9qYH2jVMnPCXFufrIDLYD+aP2bKRqfVQaYm51XulKuQz846C
GhU0IChKb0HcrcY3UXWW/KEj37+yOeiFfN8yz1/d+ZD7+ffZ1ASsD4f9v1vh36DXJQptogMKnEwt
kuZ42htHglATeJuhP2fXGEE4wappQnaocwPDEq7bTIDf2wGBy6IsjOIw4bdrLGo1UXRP3mDN/7Ao
mUQF6sHRdMKF1bv1mgcxyHfMEGJjsSE3Vm470/MSdJZi6XJNTM9LMC7bW7RRZqtIPX1DYKDuNJ3d
02h6ICM8DKtbeMvGWzh5CC++hWsdfxShG+z41KOWgSZWEbkvp7ERJvk+TxoLjMe10dkorNQDFJnf
m0On3lGWFu0KZZTsQ0WQfOZCCt3NNmRUsq0Z5H9Z/XfXNfCXIHjub/PYxkaGxoPfdmgmQvs5EdDy
zosf0uivz85EYJuEZnewbeOnZTnFNgvwP8rmXgdKP9SNBTBoUEw5jLmRmiJ88INN2o7zBGU03MK5
A6nNRYtMG/RT5YobPrQxfeBaoh7f/rHnmReUQz0QSNXsx5CWDwEQ4c+gMXR2fJDOBt/z9psmQCeu
HFLPgH6e43in9D0S7IgDGp1cb0VKhwMHdd44Apv1rqRISoe18NhsJ3nE2X+ABOWsmGjmIKrMLBGu
aDE16VPvIC35zxegNSj0/QU++KYJzpPlUA9r0rkhxRvBq2dRjv1xUn5/H076Ofmf2WnItGJynrRz
0liuZRpUqNv39YraY2cB7wzw0XRFvbA66XYz3VZfsfD8YKRbiqx19Fyjh8VelqKqHmJLjhvmJe6S
vkm90oDwY2y3KzdIjLMGEMSdBrAgjvESjygUJu5qSmKlaLA6e+yZTABc23cx/e3kbR4uB+VMRloA
DDPRtmzaatlrAEfxrETzggLBxHGYLfSSRWdCvdBwniVnmiVnpOBuzl/FGin4/SYYTtgbV+QZtx7y
WW+V5Xlo9UVu26+Ee+8Frr2ghG8TJ9soH24evfShuuXFf/eOqNfRaKNjM9HbRwcFoouDfQWNemVC
JqtfsKAvD03I28dGGva+yltnwdomAO1jbqztjJX3roi6x8ZDWf2L5YxEC9GnrZZKRQEBAbVy09jV
wjLyX5qs60ujldUKcOcaqQztu0YiYcMCUDb5O2z0X9hImS9W5OGR3rbuXY5voT1vG2tXjfEtOPG9
fwZHUXULxpbZsfE14evhJZLxjmTPSOwsKPtfugOAYRQGzqNl6t6mMFNjEkv7F3+LWQ8ps9sHoSd8
gXSN9stbaGPs/0LiRywK3bOerMTU1hyCuyfH8LMTS61gXXeO91TbCiwu+vBXsAjl4P/KE9DsOnpj
g5eX488UENNTqB9qxWXSEGeJulTvd2SjIRRZyJUs5N9bpXEC6ixaNT03dkbofzdKfCqxgw83zfFJ
9Rk+swCNHvsCdBB3DI/KlZ7gs4W0x68O25/f5oCeTki05Z02BfdDDgLkoLoFCwMfvRvjl6ABoQla
ea08OypbzXQnhrRH7h07C+ltG5p8W8dL0B2oZnVAKO55l21o9CEg0d2jUAnwtoz8TRfarvyRGhZQ
nJDPTLrke15ryJirUYOs+CapkEGhybAqxQWzB/rdvfsHuuGfaFQpf50pLXCrzxbSxAcgNeR4MzBr
Xbve4jtIXRs75ATbhyzPoY7tt/XP1lykfev+nF2zTEN+aLCMne3UzaYOhdhb6tScggYbdBxasaFh
mbRQhTEj4whkuHGEdKID1Cn8rBb4DeGY68mDbB0OY9vKAtvqB+O84AfjFwv6aQ+9Td7spWAoYXqJ
/gNyjgvi9MtsAMvzZuweOd7eVhcVyMJMLbmffU2QARB/HvnafgwWRJDeLKi4ltjGGqLj+v1Umgt0
ieOsKAAMsvBbkp151CE+NPmSy3vAVJtL3FsAZ+XOaapiOlQBjrEqkR2/0hErkcbKtXv7SscxNZrn
lCfNkWdrpguI1mbnQkHabaY4wqK042ezeontECh3hYOnSbqjuZi/0mCeK1U0zTnOC5mdyogX5aRX
bDrWgBqbVx3wuN1lnQcit8QYpmFv4HSJ1uit66ceeMgi8ep37rUbauxqXWSWmN+81U4SrkA4EZ+9
yOCnPByaNUTdJ1emKjHk6kJGzCax2sAvkYHysuqUY3bBBxavDTyYT3bHQmNDtx7qI/Xi03xRt9Up
qkN/L/v0jumuvWJdkdx5ZSAPPI+xu7GL6oocGFKhbuf/GEBqiV9D+Cv0kteycavXr4JcJPKnINQy
5VlwGS+Yzvi9HR/zLm8uNMiNCid2MeRrMOTXK7KFg5nf0wRcC9HfXPFNClHKptkAApwsXQ0EkNMX
vgnS3xWacI1px0DifGRL/MZYO1VRPcw2yXNQh5b+MxFXFpFcTcSVHE8bX9e6pxDnrU2gl/LQtT2/
4H8eRXMR139x+NIfeZWjTgt8VfFYSma6W11G2WX0i/jksezQgqnmUquLa4jgIvQqW8dGjKy+npse
6mww6hF/NN3YOOR9ePN7jyeH2Y4mLLBLOhz0jJBGPLVMu/eAHNsldpfeW2h0WeJhzL5DEulIXx2A
vh3ifEy+R5kH+RBvyO81OzR3FISO2PQ+75CNCrEP+W6rX4X67lBBFTuXZWr/ckcNDc9D9DP2wfrK
hG4/ZWHUgy82KM5Mz+tDIdi4DXqXPYQWM5Y4HbXfcpndA67i/H4PR0HrFh6Geb/O9LE414Ow1zLJ
j4UU9VVzmxIAEYFLqtdXshlle1+1WXKeRroXn51ivKfRfwY5klV7Ycud/q6vaXN0+03Cm+WYTYKa
k23W4Ow1AwpkrR+vgDKQ2DGj+kR/LG47oFLyha2VmQQPpypdlTl0Qk3lM201KUaLUJqZxrWaJ/+b
fqRak8ZWCaypn/oOGpa4fYLmnn0S6kJ3EOpxV22b44Tybpv9vMSzT4ZmoPsgbvgL64BWJxvFzn5z
rPABpxiaZjWbPrnpVQFKBYin3V6X1pt9Pr0/mgis4sX0fXfbdAJal/rY2/UPBqGC7cybUQfRFlwo
0d5SeluzfR5+IGKZ+DVoqkVcreI+2Ch6YGgkRSbV3Bl9JdYZNwKIX6D0R784S9mgOBis5n96ss1+
dJz4ZKPYeT0B7fgLelUVLWrvjyEymp47oDlQd/+GTi6eE8L5WTkDKk64mSzvU0HxE1/ak09GN17x
hQ/3W+fFRXF3oSFH22vcfGAiaZ40CGQA4gHCZqOK0MokhkWqhk2OChbSj+6aZuMCrR+xxXzQ/GNW
reHWvvGQWm0DPDWUd5U58+PbGnVTFK+uGMpVFUHCoy7LTVkE/ZumiR+6nzf3jh4U10a092Suyr7Z
al5abkxFetxV+Q+RBs298PviOhb1PZlnL46qCHmV0dDcS+XVw4vMs1cbdfXBAm3cSpTOHrVa70WD
tMwWlB/W1gDx4guP2z2ddo2saJbc1PI7G4mWO/Su1kuaeI90x8bZ1nVlbfGDf4iU+6wZnj5AFxXA
lIY4pIBguS4Eah7AoeqyhtYOVCmGu8Hx12DAdI/kN8earEz2qVm+kukTmnJeboJD0jR6FRy00frp
ojKAz4pN5rzoQy32mePnAAk1zksFuuB1npts26thLg2kQ1GaBukenAdTfus8s7rQZDdiW5WE/pNs
Y/MqUmdLTqaI0SMCwrXpBdBBLPZcvQDNZlnoQRohYJNzbTjlsoDU+oGWVC/g+92wrqBajfqnIklB
vw1H2RidCHM/wdRNSTNGF49rMMck+jZrbL6k8ZQVL1C1nMYfiGzm5QBiB+9Q9D3L8I3jlnlzKoE6
udqjQNIOpWCyWw4Aydw3ja/spia/tNt/7FRqNmt8Dc7rM1a+eaaDLI8P3U1Drf/u/+l1af1/+psc
vdzv7wcVdX3Vx1aKRuu086Ex6GTlLkXlexuYLHwFamZDRX0DenVA7xjtOfF7BgEaoIMJJ2AK/WxH
SYANx39EOpDXPBsXOnF5cTs2CxmlfJ/aw4EOZ34VQzDZyCyI79GMVeiHCpukk5km2c8aG3M8aLPv
5mgJUIEb8m600+TYRVq+QbuZ/hzy+AftdNJWTq6t5YtVnZXyDmTeD9AaGu5K7yHhKFO5CtLIQxlv
+FBrqwm/iBNq7Ne3yZ6P2WLa/tSa2XUt4OQ6OkeRV0JvrngCv69+X/n5C6WNWSj0nS5HYJNUctmI
vGYZVQK9CGr4X0Fe/hhzH8LlCjKGbtrqgmcTLoBqrLMuRoMEDefZ9wlbQcsogi6mhe6juOYQD6kS
vmmsotx5wC9A9bwBqomtUf1NfhboMViW3SDwheI7O9TOk510Ac35h6vBq3Ryrfvg4ogkuRSJVh0g
xcSRqferK13qmrlLB2nf7WyDKssSW7fknkyfotDxUV9x3MSeTkXxJtpUU3kXpft+0Q1K9cvx0jsf
uM9XowNiEH01KCTWZ1+AU46GoO5oNlnRBhsafgpCVchBWupDkOb7+zFOgsPYRWhjt2t7HQ95BgZi
9Kqdp1vT8N1FAuzUmoxeYuaHVpbPcanZB+GC7aCyau3aFDGqCXZm/B3X9YJIuXoW/1WPtfUyFlG8
LqFsAHVH4RycADQLheVoV+w8PgQlzBOAapZiAjRDytTfeSL5Tdhkjp577JgKzSPbBEkmdDL5gZnv
92TL3CDdaEjBLJ1IQ80wBuiWSq9UkU28k8hRLaPKrBuV5R58/PqC5shLhw7e0kL/3oegEGArE0W7
IQcx/w1ZwwMD/0DDYUBz0JVlpvnYONEGpBXFay6a+tTXqPHSkLMg2Ig849Ns4WZ8mbcSFT7eFK+R
he2ZWgPJYvPRMLQ1BSWuVZ/8HLDrrsPvGyCuaIESULewi4Lvfc1pn2JhP5VdH/9ItP/j7Mq668SZ
7S9iLYQYX8882T4eko77hdWd7kaMYhbw6+9WcWIct/Pd794XllSqKuHEBlTD3h1b9YEjr6hKbC7J
aFRzmVLcCDRdteq1FRV+L3Jxsyx796VxUK60WDqI2p5QFxqsguh7UVrAStcQgojEpZeUAqU0zNBn
OQtpGbqVNATqriFeDEjVj73pMCgDp4e2TZ/M0AMpG0fTOECh1uaEaLZhifSJDeEf1NzZ+sAN+URu
oRR/PWp9YBKxdWpPJnIDLr9HnhzEVENcvXZAStsAcSUH6UkQ/RbhX57kWWk0ACDFO7GZzPK1sMIn
P2v7JzJX0utXJF/MI14JMscT3D4zllXrqrEahLMDfALqajreNs1dApzpFSWpmZ7SKqWwadXVyrT6
n20rsL6eUhC0bAwUf7+YoYmKrmbs/87t1chk+DcO/wiNtDL/kriDvU04fq2cwvbObVOnu9D12ndG
hjcbucJOV25Wt4Dhw28r4R0HykX8LG/c9YKSXJToN+iU154IeHlyihjgQJbmp8cjjLBHR1Hgu7N4
b8VBf7DKcnVuZFQjR54ED3RhQzSgaCDcT2l3E5Hcln23DRQYVj8soJjoaxgHxWmRkw9hIotnecxD
nSecJwG+tN0qujajGe4pscwQvtxUekppZxe1UxtapaQ0rWbCv61OWvk/25IyF6b1ZXFFnsl2cUWr
aJ8O9wFAMu/yVr58RM6ws6fMkN5pgd6g0Xu1eNIsEGpCWG9IebVS3WPjDTcTQJswBDAjeQxLfz9H
+3TIrzTdCGfHpNksMgoIBj7+eSrTcA+04LMKtNM6Uhga+7JW6S1iSOHFanSOClVqiwsaLb5HquD5
zC8pMu3l/+N32fCXvmkBSKT/53vGsUbt/MxFFm+YvKtZ1dWdqZ/d2dAZyIxK78p5vQEtcHNPGiSy
a5CaxXEE5lA39HDugRrqI9lmUvoQqT3Z+tJ2Zn0QMSr0SGXZop+yAzNd8LGTgw5RSpbI2xakhtDf
bYv5VgC1cnNPFqTj2uiDIPcj3a714+6XO6CR/gm4dj+rlXmK9o8MyALLXc3uc1tu59uiOweYKyrf
rAJIqfQPYwQxyunxA6cyH3aoSkCqwR7EBWzMTbLJWIjeRmQg1imaXi+BXunLLDOPNKcLOraBHTNu
0KOKCkpSqePBbO9oNc6TcY1G/3D2IPvSau+CAbgzscGiFTE/o2k62thhaq/RHzhcihFttCuig26I
PJqGeabwprJ88PGkRTcbkjqtkh8akUzV1mVED8uBRHR554qUSa8xBnCooOlvTbJ3rt8NBeg9aOeZ
rJq8TUYTa1o+cCC0iFUHvV2jBshRTbI25NgDva8Alp4aQ7nr8/K7AaSHs52EZbj+D0MiXyebZsi/
08wlqnZpDc6xTl2Uqzg3jgiilgCSwnTH70k6008sCuYUjbt2CroVqS4Ls6Jdsno1lIO9o5V3RBM3
pwuxxMw/QfMidIZdLBBpCkcP/Ei6qROVrKjrT2K1x0eqvF+OjJ7HQHCQ9w3aHJCojKpS7WnVRifH
zhmbcVU0yXMvjfE8RMWJPst9VJA4q7iX0zlWGVgm2v4+Cce/Rk8B+ZfIkkFqgyB20qA4M1LJtCks
YJbPcxNknCc0DN4NPGo3aTsiiq485Kb0qNcygaz/PCLZL/UAu3BSXqC2bVyrp4G53cqI8uQv0atN
HnHzd+kKtYm9rL3DwdlEyzIiT8bIh1ejy/ayZMlfHWiIVwiLt88joID3krUjCvqM/ilNQpBZaxXk
gT71VtdesDHDtF/ZRT/cT519onIYpbKvQ6emr1wafGunoMtO3Qyf0CaeJAwoJK/AqplVM7eYVYvG
Hzel05nVnyjsiU9TYRUrxy2Hay3reB/IulmZDugY6IjcNc5tFQcSec8dxwDJBs7mtBBbobpOemGx
QH8SYMeHSekjzM2CTuHLRn4+3iwq+QCW4GRGoqdChwqp5l05lmJN0I+AlzErtwTkuQk0yLLkuwFY
HOeq6W1vQ7oZAwoVVUY4Dn4FwtKIcRZ3bE8dnH98Kfu1Po7d4ROp2PM+GPZmORW/m/GKpd7wO35b
2bo3Qan81R+RS5xcVa+DJt6iNi69gqfzSdpjeec6WbY3Qp5sRi5R61yMYBA0Ab74pipsUzxbNk/3
ae8/uSZ78boCgZZapqC9xru8rTl6gt691mn4cU5GFb7dVnhcW5pbG6bzO5/mnWPkx8qIlfEMOJYg
36f2IC9qKDTafF8kF2CJTdtOAw35gO9c1chuXIRGFEKKYNW5ifelKgL5wGTzD2mJKrX2ohnt2YhZ
abhyg/GdUdtG6smfYnmKepBtK6cOzhlo2hniUGcfn7Nn/jYimQekBED7CjQ2ohbtME9J0TSMmwlN
hWHFu9AXfztkMSvOY4VK0XKVTNaJyT490A55Y6BUNUkuAHIQKyMrJ4zQkV+KON00PE8ONEWNSrm3
hGcBTwir4H4E0c0Ahk2aGnl2B2i16pKCHZsksxjtEaB6zZ6cxmMvtIE9GOO8QaE3YBJnfdI1A3RQ
lxO7bRCKfjhXeoPULcQLA3Knrjwn5DhAq6hLyyx7g/8MFPH+vEAqJJsR5mheofDKrIBMu8DMvQOh
WzyAdefmdVF854YUU2UnW68dX8O+tpBYiWq8uPL4t2ZMAPOMgxbJjYBXi5wOWoU5fNRf5K0KHlFK
mJw+lsBktg+yrSS+WFQrQ8sLaZgLvo9xRzpgtbvM9TSkM68s6g3aYQ7MTmZOsQ8lOaRGstA3HcTe
UMkcp1vKvDkW8ACSsEI8ZhLpIY2HpxTMBtsAXz2PRoKj7hwNC+dEHakryyqRI3aTQ9K4zSoCIjy9
UabQ+d1MWgAifHzLhL0/r+B7DiTuVpjnq9tjR46VOhdIQIJftLUBhoeOGtv6Wqdyuo+E96dKO+++
mtwYxRhoo/EFb/aAb4x2pEmGpjYsb4aeVDVCZNw93xIOVZ19ZwgAzuj5cxSWXqL4VceHnV6ZhfO1
1tJJS9+9h8Xo7gyZqRlyHGXqN8OqN8S26Cx5BMelsQZbWPWbN4JXMYrl9JczAKfHDVyAUlmoyuVW
+r0trHJlcFt8Bb1FtwlDy3gIPNRxjqDdPQHUH7fdJMgbdaC3NmQeP7a2G64tW713rDhyhG+Oe55l
32vt2EekChxso9oZKgvvRC/Hda8jEp1dHtAJWv3W8GrY4/ls7FUnhq9Gl5xN3XoFqLlyzQIELC2r
D+9CjD6zzDjSbwFHtWTv1uhTalBdg96fJyruAxMwYOw6Kfcko4ud92tLZtmVZmDKrE8e7z+3auJ2
eDCTAQA6KSvuuMMA6wDYxA0eHv7Z05fScEQHKgfDO/cpirI3gVta6DDAq8ljql7RCl3a0reKOxou
jtAvErPHKGn/6HPnVQFlwTiMfVHtZYa0Ms4v4PqczCk/f1iap3YIjjNe29YxBxLpGVhVfzVWjC7j
xvNBrBrI/kQtyG+rNPORONugqbDDj4HWUwvInRfTs62L76EnA4/y8LcKYCn0x+hl1RX1+cD5QRZg
O9QeKtu1aov+si1YIuWzW4pr4qABmjCcHI5ovNBTKkHjemqZTB4JpSmNkCMYjaBfJzHq+jNlgmgF
JL1fEADrLqHD0XavgflKx+0utNo3Fv/iBKo6JSJ27owe3xIdSoY3mRei8NKSgE6lIb7UUIBR3vtV
aYOJekJRP7JCN+V5TnqSdQG4UFy1ct0QBz4QCvt3XdkA0iIag12R4H1tKN2sRSuzkmuEh94vhlPb
Wf4dLdDF6dF16qcN35UBvosnM4oPIGguHpaLZ1cN/lg8/JL+vCB7EWyiXhT4X/hhId2qeDCK0tl1
kQJwzc8LyPOLo++4f5KceYiZrBKOnGsFnBqSVdqenKgys+7b95uSmLTKJt36KjMvi4jknmO8VPjn
OH6Qtz3ib7bh9vt5T9rFaGq+zhMFcBa9KRpbfPTB9qLemmgTWZPD5WIlSEgAzhbw+m8/E41k5LCj
CuyvH+STJdtLGQQIkuofc7kjFCwFIrtmflLvgePNT4O+0IguyJryUw4knl/LPqjQlGzJbJl+5v4z
2S/vwOvRDotX/H7xudyZ3QdsO/jIyMtJWVfD8axrL/BkZTa+y0gmXMgMM0cJ2YRC4tFnzR3zhmBr
W8m2NdpyP8RpsuFIJW0BMZW/VFkQX/DLDH5OPU1QW/gC0HJPWe4zTaa2L1dA3FRnmgbMM7Zxxibw
xUPVGfPkUlcgKw57zXIE01RWN1PLxLfcYmqB7HU2pa3wuPpsZzKnW/uwM7iqIvySlxPCXWBQIvN3
OzvIAHxy06RLOzP9My87kymt/viZP9x4C4SPkzvcBxXeYHvJS/Co1MJYAesrvbMB13NHo8ERKKlu
pgEtGcrNdmUvBgWmY4YrKbRBCcwgINQ7ieufZvVZKYmFdWz75JThUdmfSHvZZ9Yk4ext2UMVoPdF
exMc8yGVQCuOn2WBupogS9ip1xW03AUcvleNwSqiCtow6DfgquDXzvG6ZwkwhW1lmWJHU9Angpx2
AhUx6Vbaldm45uwqxV/hEe1NAcjfzP45Ek37UKjoKCK4RIdiyq60pcrxADJN0Digw/qPnDvVHTdN
YLTRsDLBziiEeS6dvgKZKVYHo036TdwE0TpNgMH/TttORr5/c0Pa6OtphtVi/eZwRMKvR4wqqe9c
4d/NfRmltPrLFMbPdGoFZRnwkDkC936bDc9vcrf00s/kH/QHqTErA6S/VrW+WU0tvkC8g9VXXcZ0
V7zByS9ri+oPrY848osGzhfDJQsBGQhY+kVM07ZS9W5KswxI1eV4JpIftJLKagUGku8maDZ2Cy0Q
YHsTHDzGfL3IaPRr/iBatrz+u/A9VJkuPEMZinTR+1AC1OzsBiGaj1wgexVN+0hxcacQR+FEmDkt
/1K24bxGQfK3NYq+/9uOvJCmtpuQ1drwqm7x3dJ2K9Um4V/cPna6oJBZlVi1UppfEDcctrGaAA6H
D45zNHj1DjXsxjMqYRAsBEPtUzEIC3GAd5YRk9kz2C37VWuhoKth9alf+Ejn4RB1KQCcEeec540r
NkwAFXdmzJGOeLV917+k/WuiUVHHUajTwG0Y6WkJxKq1q1J1AWBp/FsRvCoNiir7bCM6rjEV5R+h
NeE4OdpgUGCe2FJxaOS7KISWNttR4Wg/IyzrGlJgkIBoJjJ0P19XAjm49g5U+J8VxgM+tNPT0iVA
cq8R3R6gUs1qbiYgIem8WYSgdeQrVyOsCROoC3exLqhyeXE2EzDJr0qeFWeau3ZXnOnymYwWOheA
3BXgmteL8khuZmeLnylK4ZznMrxtQQbzfF4DQKPHUmAm6W1nJ4tTGtlvN7QskGze7KNzQCj7a4uB
rZPU6Yeg0ftdlztsEK8+DSPztijoABaB2rpdHrx66M/eN6ho3Bt+OP6Os3SG3qxXR4sLJeL9D22A
9wWvkSs5okASYg4UAADETruYI5NQNaW7BXfW+PvQDJuiwBEmAajLccqSm9wGfbzpeeUs/0QfPWtA
sxV2uGKuO+x6Y5Cvwu/WdO7pUNuPp5g5XIIhjK9AQ+MrNHrHfxY5e1ZeZ7144Ic/kiXyqrMlKThA
g9nkaT1clBPWF9kNL6GMrgsFq4WU35Z3XrmlvB8tRA7SH6OD/hKdCmzQ4HAHVqQbYSoZ9Gg+3CoU
F5OCBCqea3UIFheBeUEb7nM31TGaj3N2IZFvCXQgxvgbD0SDchZjnBBJ/aFcplN8QB7VBPwbII7m
VTJe9CIvm526pDJ7/WCidXKJhEef49+HML2KyTUPHVdfZ1wwJQ15ch15WjDAPuCCBXk7rjrDa3eL
Co0IBGzU9hOoT8l5kIIA1XbBnj2T3YHUp8rexcVnqUZ2RQ2wXiLBzFw1Y7fuSEzj5RjP7KhE2VXY
revtsv4uInDz9l6iN+l2EyCK71NiGqMQfb3tc5xkChzDAauxlj6KimxdpDCaaDlwVfXoRKP3UufF
msQoLavuOgv/BUJXJxhFMO7BBWJuaZV85G8+TPjwRsAAsKG1Nl2bzY7IsmuFPPZjOa1slQOLdkq/
UTpkznJQwoPmlEJxFUMqv/LF9t0yr0HXAyxoWKMS/RuZmEeJt8GZxrGf+AhR6BQMeRrdKkQlnQSo
p5Geg0wEV8HdAIkUQxzdMT+HPvOvTLcuawWaWfqN9qZu6SywDc0ogObb2mKn1zKzerdG25Ad4FQ+
24H203aLl5/3e7OLUHHFkwlxlNrYej6YOUxClPS5Bxw+bzKP89xlf8Sd51yJv5K3JjuLIH9dmCt/
bU8WdRDU90nugsGRi+ewrAUas0DU4/DgjkT4RbIOmdFmYCnCIl2MQd1L8FfcTaURPSveW4cQoGaz
Bv7jn0sbXX9vfshm1Fq+1iK3npd+uX1fDbmpNo2Dp3djF+HJ1WTuto9Gysr+LQRjHBDWJAoXBR+/
kZbwwuDUjt6AV/ABEwAj9LazUw7iVTouwDma4FPEjQnrn2a8FKtahxC8qI9pbdHUdrSGgpIvDFV+
R1/50R1dvCoXCCdM5docfXChTE4X7RM+Rne0Ih1ernvD3DZm4KJJFRWtyUmOSP4QUnwENNjK/TsQ
HWjhkt56aVFFvksCXyBcmBcX4B/4Wz/OgheDAQ6SbAAp9Gbjm571kv3tl7ZciUgwpGYjPCtpmNbc
vMwjVgE5NHfUNgcozW1VyxaVIIqy3VC5HvC3usgGA3uRVVvHHM8z1FYXxCvDcJ0zoXDVUZkD5Rws
oLSqxgGF+AAknwYrexySdBY7b0akZQl1M6oQ31pNTaZOhdPUj4gDteA+RsMtmtDqx0ZffDR1rgF9
+LnMQp/FtXRQ3wHINSvEW5BigZZnPoQ86r+w2p8OrmuHO2dy2m9+lG9JQVUdcs1tjhOStrS1Jb3y
BKD4ATbRffEHczp43Ah3CU4fm9TvzS3Fl+coNjgT23WE0kh8uxlFupnj1vOaUfYZ6tuEhkLowK12
Kd2+XQNxKNtQD6lkGgDT6COv2k3uI0AIjTtC+KYRAYHr6lN8qEan4g10fFGzgUm+6WSRbUiXFhY9
W6ny1BX26R3q+OJ4ssYH05LjkUSoC+32PpL4J2DoBqvac9u9nEx75jjigRgAPowiYEIWE6iECMJx
fHTqcHhBzm9NYtRnJ/i9B+oNoZSBqOrmY4Yja4ENRz5oFYwYs48wTOo1aGXrI4go17SGI1pyVyvd
nkmkSdoRazt7xkZbboZwzaymu++6YnxM/WqkmyEx3UwaoSWQfCw/kOC198IqHFzFBGgKJ+TOpvFB
Bq6C6joRWW2WgNJMTxNDBPcqwsde1DxQxzEteZW7L4diZZQeQnphbJ7jpCsO1GEwy+br3H1AYq4b
GJpO4fdjqIuZBvZzJVJHb+AK/TPOAU3wOcAJ8HCrA4BeJD2SWmqIwq+B/IueZu0YNCffbPONLFv7
iFqLcVO5yCUh1b2okgfkQ26qZEla5LB32hCkKO8cygFN1PTwXLR+bEuPWv/NF03/rZW5PXgNWjzm
Fj6jCtxmW9/mE2BMwWM0MxN50ipBsNS+06tl6fBVLeRrCvj34+KAzIoaT2uNyUeePiz2Es2zHu+2
Qwc8YUfY1qGqOoDMAi+iLlxr7Zq5xpz9QUkzA0nojr1mZLdVdKzeiGwWPbLtI4FiZq28LCS2C5g1
jwcXN8/VPkZP0szbXCAtdJ+y6on5HQJeXpBsC1bkj8TgPNVoQeurcsRrAxTOAlj1n5nSIt4m5X1p
d8+T/IOy+lGnOg2wnjzzepoQcUIFag0W5msOvEfUkKvkO1QJ5GJRjVE5PKuacaKuWdNUazx9ku/D
v7x+UCWvpJq6v89lBWO3MxBuD6pGrdio6kOfG8O11RdAX3Z7lzH0+lVoEgPuQuA/oEapA77WdblI
F1AJZEoysq8VaIPJdNELWPyAWiV25GOPluXC5asI3+5qo3R1cVYAnQKFIrcVmmZx159bq9kSViSA
+tt1PrT8QC8c3inj2HiJs6IpXRrrkvOgQjlKGaxJ8pmRUaCiOUYphNEgwF8y1wb8BzCanSyZ1iiZ
AOFRapUgk12kkwcQ5oLgm6vMwkndASEf1/rvhIBikvdDwK3NhBZPn7E1kRVOqDi4ER9GafN1ArLz
MZsaIKPTcjzU/CySZjfPEjAiTprokMwqGy83qdybq8UfqSRdN7tb5DTqPesfxCr6vY26P/2uoRcR
jQyzDqcV4PDkavL7bF5GP59nIigHTPIiYih/frOxiOQC1avNXTTsFzfvfHEksRIe/knuZk8Au/1u
1Nw7IL4ogT2Ow5xqvQZvZKBQ04UWfMMF3pHGqfZlz4++3/y2LAYqTg4T0rNiGyfx3w5/sMHCcJxR
1lX81UXW+0qI7Kh2GM6ZbH5fINt9e/K3RW5biPxolHYU7DQrx5T/hX0GLikpE+csSk88yNgsV8pT
zh7Url24McK82rIkd9Y2U+JhyD1U53pozT2VTf5EMrKjEV1SvFZM5Q53sy6wT1q0SUp3u7j+YLHs
MZuQGznG7JCgHvpcd+MXc/Ieq8iMLqiqrh9D/O2SeJ79W+SYPQAyxwIkoUgEsrzbAqTRwNcT0EKB
d3ebUo1yCI6deZWmtCoiP9zR9Je2VO6MD7p2Oxb1uItbln8xFCAoo8TLv9KoiLt/jWK9Gnk4c4FT
ycu75rtV4/gB9B8vQCwdNDz+k5Ih31e5kx/LhltXVD4V6xSQgt+ZMQMFkWrjTv4TnzIbH64Is/xb
dQYK6jpgkjnGzSupxlPMZ68/bqBG10Y7ZMnXpimB/Aly6XsrS+TF6gYXtDKx/KNDTVCjgD28aCSW
U1z+4aBH7bx93jB+oaOekwmJZozeudCpkKa1DzbdZUqri7KJYo//xTZAJzDI0Yny0RB4klPFFL5v
iybid3PBVJoooCYFHLRWqkr8vSu+lHp11u0HlJ50FvrwgpW7IZpwYU/AhCMCcRrSxc15tiumOl8t
OlIjJs4R00WxcaNqO9bg7HLibjw7bv0NT0C+AxQCAtZogxvP6u0iwhKc9sucTGZNEmrriPmwJhNy
Meu8uegMUNcETcdPmSpfu8pEyS7+5R7By/RE0dneafI9s+Nph1wBGK1E8Som46ZlN85TopmtSMuM
/REAgAjpxkb9qrQv5ydfgCDP96RFEV69o5EU+XZ063Jzi3sbIG0DyiDFxJ3iNqO1qI/2tEYx8bfZ
L+zQsmnMcfY3zU/sQhxDySd5qRt3B/bQ6kTVLJ6I0fhv16kPDj7US45o/o6B4HSaq1tGBT5mZCbs
HWJw9YpaZmP8wu46hP3X1BRLXbAk480EGXPR4bzM545nmjfa5t28cH18+E828AwbiaBKU4ynosOp
YkxK/luN7paNF6NjhViATM+4hsXQP7qoRETmUR1QBMZ/W4xIS5rDtKmMqDh6XiwvfT/9w4BnAksG
uAAv+BK46XhaRIAQnw5pEpQrko2Zkc+65uh9EeA0nXWBorAXLBqea2Ndp3X1is639jjWQ4IQW1C+
pi3/008D4zqaVnodpilelVptUjbD53Qdn0QZOd8qQAa9WWdmfbNGaGm2xkn3hG6gGhEcVrzir0OV
1atpdtaxmHQxwuiVr743/m32wXTt/FZdPTX842mtKG69jRKTc7zZ4iVZvY7aNjTQ2Ey2vcn+bgzZ
bPC3APDfQjgg4UG+ytHnDK8uy42wKnmqdPDEVPmKxWjAIrXRdaJ1YKfTN7tIy02W8m+9zLtDBNSB
Q6laAEHokR8mtxEKcv8l+7/rLV4Ai94cJ1SEgpd62nDdXhxL6aBAleNrIwh8/QZZ57qh2PAafgSP
901N9OlNLTFGAJX0U34Z2wyRSfz6mI3wTr2bsDVNI9OwN2OP0gyatkbyjIb99NFrY/5cs/zXRlXL
vqCmP9lQSLsYp+DRGDcdiMkQ6Gqq9lCgrRLUxgiIk8aYhvgWyLg40tTKjeDRbG8GQx9ZoEOyNpk2
IoUPRhRnL/Uui1Eytmg8hMG8q1cDdMnNEb8kZUewcVc7Pb7e+7+oT5MuSZS7AGYb5Y7oJIY2Nx+h
gLczQnu6m7Pqo5sCTZEAI4UPHmq3ljtb6//w8EGBtiDZD4XPtsh8k10VOol4m2WP/hSBN7Uvnuli
NKO3NnKOKjJWyGcDqGz3aHu/XzRYiyq/sE3cI8lAcA+uUhf8RYwDn2U9Mv6HRPfohVZdBLuPNrrn
3m2BWqRj2w4RAtNe8WxXLN7HTiw3IHm53YTVv7DQip/IRQlski1rLWdLCp/csz8BBMRwMrYnAwvl
XMs90yZ0z6XwnI/3TKtk9cl9D2MSrX05NBfTHs2NlNmMbZOiH/P6Nov1rGbJvJbV3bxGSDe09qYp
jebP1AAlEKEIewE3jyoDqNQCOxwV4htgvII7FzV716kG8p8OePt6hhrgeVZOeCTpGX2gkGaN4Ogy
e7MjzZ/X/m1HQfShwgH333bLmrab+o4/G9H3jrK2kf44KfSHh2h7lGxN4endwgzXTEjOb8sZKhY3
nGBzSwdMNTMgcai/0h2bnW74xF4o7qPGQupZAw3LNheHLu3a21xE3FtXoHvezutv1taA5qf58sPD
7DDneP8ZYuLIzenElZn7yAK26WmeWl6Cpu1AZ6mSKtg6U5qeQp35KlDTsb4FkZmZ4oY06Vpl1vnV
EjuaLJcgA7X9hLxT1sYIcZYFWt66IEDta9lHQJoSGZ6JU5zOThhxtU3R4okks7sxnT3RLCpyF7WR
6lm5jn2O2n7jjxE4HurGFPetvnRZJe4zPpwLfPCfJuG5ag9i4GxdZ96wJRUnYjChoZ9mbCc6fMjT
FKeqjqFzCWcrUPKA8/6H13nhzS1t0k34n6ER2YK6KFvnKRu2YTVN5xQMOF3UVecJtYnzpdHTX8pk
UILMk7QHfKP69hAeaUZmNCLbd3qLrw86y5QBeHRd5EiktY5hohp5kNugDRDDBRsN+LELQJWuaJhO
Ql4CIRwg3PlbIaLcOZIsx4dNtiHz3OFyG2tFcK1B+G74Zkk2rAH0vGhxxEUZUj7iK99nd0PSfMnw
5DjQrIwK645GBY1CkKL1xtGRHBUGs0gbkVpnWSagUqN/5lXwI9oj+gKwjDYGD4U9Sm1m4azwq+1m
HW6DsDjmx/nWhJGG+zH2viZDEp8r1cQoKcOILmAhEh9lpFLJUiJjohXFm3biRgfbF2CL+8TVR12t
wnLvh5fFhPak6SJbpjRiHd4sgId9UgVqbzJd+CN1eQ6NUC6dqlmIpxHfGVl806FluqRjId6ZWGl2
03tnvCjOdk1ozb7IuPMVOJ0/01nu6cMupFxOQIgCaRCK8nj83QAV+8FiLHlwyih9oBGo2fBfauXl
dlnw9Grg5OEuGC2+WhZo1GcqO9d9dSa1xRMtxjJBKwS4Z0lOGiT3Yjy5HVQp02y54A/3tv2iS6u0
fVMhJrgok0oT18FeoUEwbXFmxF9X/K0cvHzX1FO996M6+caz5g9wAmZX1Bt4z2iIBtkAtMKwcI9d
KppN5PXxN9uYhjUz+/JMq46PvwNHRV/9oKvvf+k75N0fsauyK8sS71nGwbxlMRrOEeAqKPGW9Z/m
mFuPman+MnjnPFbWiOKIEMl6ieHvoP2Z5Y2W+73brRMznRCsav8KK9d5nFz5Xl/7WeSkT35+lhei
AAVlXG/KCiwePJT9izDs9uRUnrPKO9a/WDZQNwJAMNEiicKR7+zGCADeKdRLbHVAvLBaII9p/TGT
ztaMeLil1Rxf9u+8DWFvXmOgS5Fu54nxaSY08pFkdPdBbn1TmrhkMosTAJI2QJmKHpta8UfUHz4T
OZZE0GRvBy4OmloTldDfFq3A8Q63VqdsaB94KgA1Z3ogNnInIJInaNe5s8YQIGn2gNoaNNPSQXUs
gYoP5LGzrJH3tjz1ShVqRu5/sQs/eqAZsB9uM53dB9XRPKOT89sanbH1rGrTcJ3k+DBdopUARClO
Zd08z/HIiLk5TUlDEhIF/m3yE5BvnxMdz6QFimySXJsu3n6Ws/Yf1YLwz7CjDLi0CJBSqLQG2gbt
oRjScECNe+9+IAK+N9ezypvFu7v6WbbEYK0cLfSurXb6jhdxik/hwTA8bz2igzRqA/dqMnNrFix6
6UchXtD0+W3qxuKORBV6ebdZVMc7msrYkJcsAjLFYgCEo5UygBRDItA+52u3G9AFoF3WkeoPrsfA
cKWd/7wfGHjFi/nTfrVi3RZICAJQKK14qUf2fj8raYvr5ISbKQJOTaqAfkn9Q3Qxly6lj3OEvY0N
LxGyeKe0NCINYI0AGkYCQM70qpTb39OdGcLhG3uc/PlnDxIrOU/d1IBDErc2/wOggs9h3TNNzCoG
a3kbVyeaNpVuZ3FxEKEfHcUA/UNshqdaqKRBCja9iiBV96T7YSs3MW5bzbvof6f+thXdWuWIc47P
61U9ZuUMysA0DANBKwxFuwY/gHc3oyqA7jRBlMiOZnyFG9QCnk1rFTc341lodc3ar0FnSUAMdCna
Ip2NwawLEOoqdgD28F8ap7WRHHMPDHWLQxq5KVAZl91j4aaXDF+buZ0M90PmrhHGcK9couSFLlEQ
nk0vQTmuUAU6VscYJLAJnh+K5pFubudBYSIfnUtjNdhRD8x59TSrk7OafWms0nogf0x7Rl4KlWks
s47LRrL1zU1Tj3K7yJzMdg4hs9BH+3ZXXdip+wF/RH4EzpBFHuNGGZJll0W03Ox8c4hQ4m9S4YOS
tiAHwEJ+f8O0UPdfQxa4SJYflyjqHDrV0ddF9iFqCgIBdpxyA8A/P6mRwYcgLck+6NEU4EDIEwX8
OxGe0YWo1Fw/u3GnCRG49WqZV74x7gc+PJEeG7lTrz7quKq3Np4C0KGDaoFsz5NiPUX+cPa7ZAK+
lW2gltxB9gU96aZ5ShlyMrH4H67Oq6l1rOvWv0hVyuFWyQkH2MAGblbBDsrSUg6//jymq97u81V1
u7Ax4G1LWnPNOcYzms8Wn6V7+d+z2150i1/poj3331/++4NcvBCdwKIM//Hbflttv023/7n/z5fG
nbzhWCuT+0UIRjV3f+5/rLn/16o7rWYXqp5hogEatbFKwzEvzhrOL4uMgSQ5MY9QWGdH5fh99z/f
QaMkav/7+/X9Sf+5j65egeh8/6nv7xv9tBw2af/nof/7lH/ufz/7P98qLVa2IHHHeldp9cv3ErXY
1rHJ3Om0fS8m34vG/x77dxH73+NbXc6n73vfNyDW3INDvoleF+emLNyjpdgUmvcbQU7ylYm4xRWh
deJE5a4yYVAlM9iuIwWvSwCGYjL972d2WmPuWVT+/J/fwKykhaCm+P/+0n+fMa3lfr2P6f75xd/f
8DaUcWpvLjuDg1cJu5p+m07sLLotXsI/f7KCQrc3W5VIou+X8P2TzPa7B7twou/X+u9f+f65QS6w
EjuD+U8esLvRjw6arQfM8+XD91f2OKm9/33f0zsjGrex85G7ar1fpNlUADn8/5/K29KGordl8P3z
3zf/PP+fX1WbuXZwtWI39JplhvRt6GAaARhj1V+tvoDddCN5mP611+006jYXIQShZGG5KQRoaFGF
+Hi+cwvkx5L78OkfNKv52RNYnCwWkgnvprVTrHVppFZ/oAT4aOlyBIdpTSyh0h3Nfs+1nSaZfSjW
am8q1rEYu7jPttBtfuujG0rlQE8pdIx1v5Yo5hKH5NT0oibwlXs3WiwlprER9Xu7JpjKslDzbTup
F7taIUOmMn7NE5p4kezzyTzNvJ291Z7qqTn0eRs7rbZvDVhLKZSjIlbt5ph6ZmhV5l7tmbtv/T6X
zSEZzZ2xsv/Nur2d5vu06iO7xRYyelEZbAgFjEQ/bU6okH9gbc81IQf5TMbY4B2o2s5LuYaFokWr
Oh22GghBEz7WjgKdd4ucrorHYv0x9vO5cDJIdmlskutlqDMHCd8fZOQkTlxMm7+BerNzJJDjFgHH
2GNfDNeqju6vh2HMRSl+mLn1ILBCtdZ24EK2wdKXurnvG5c3xH6w7CKmztu3fG6p5sRd70TgaFEL
kRVJoTFaeVw6ajSTMeDKbVcn18msfSa9SK6dQ1IXAYpa5Et2YORrrDrYKvppN9ly37iMsvXsUNlz
LK3ksLnWDs1rNE1h7k7BLLfDoM9I4RBMpBgPyhk+ryDNkH7hph2WwWUwlB02m5G3OJOcEm2NGU65
ETV1um+cbZeoZJ32LLLWemoSL1byaV8KwuOwoC3OGDotParkGSps7HnevhBJ7OVLmHQcEIsRV2N7
EOn2yLISF8RxCVbUvOFCBynYJvbRTFwQU7ukryNNQDB0LIzlHBQtf1GoMZ7mYOz1XVOxHtBEazM9
nraJCD5x670lIjUtLnqFhbvDnf+8LGtcLZj9sUoRFBbZQ3vYCGwq+y9QATvXtmNDajuXMJixjCbH
iGyL0IKti4s62w0LKtxSjwQhcIJ3rNer8J737pU7kEKx2pWRMOTOJf2170hucKbI0NfQBdUEmi0Y
l5hLMQtFihAqj4cOL/uUhIiqo2JWolLRQ1qCMQ7JjHPcSaJG8BowDAxZHw9LuiPuM6oSGvti5a2N
YS0GU17GLWYRlfmCUQyRyS8iFyuyc7gr43uqEiOghyKlDB9jOyXDoUyPCKwhUmpEsSmhY6ufMC13
GnHNsRTI1Td2ImpF6hhHYpP2L/iZ/6zCKgKjNg9i0C96X4rQxrG4ebmzk14S9suicTQT6G5ku1xl
buPV2cUF80fCjD/WEOkSKzkRzPCSZt7i9yltEzRYN2Uo/raZ+uouylldt9Bzy8/BpOmPNNOEhEYA
I9rYg+XZdfCUeMWbbsmPflgyqLXbjitkMX0ZDUnyqmcSLN8M6Orqq6znE1upyLLJg2uKCzl5x9nV
DybccDZZFfo+Ck8zXVzfrh82U3vL9P5JGlqE/GbC0D+/W2TfNIMM+g0+n1Eua6AN2Zt+339Kkmjq
3nly5o5Bm7B+NxtjCDMUjn4gX8pPzPSKoGHXFU4ZUZ8ELGIXq+o/VF3pI5Fkgdmz/hBCOESFvexJ
HH0cre69TQtfDgUT+am7mIPql5P11RlXUFtenJjd4+Y8zz0CUaV7S6Eb+E5SXZAd7Bg6Nb7r9c9Z
Z46+Ub8WpDT6aYZHUXfe8qw8DwuaRjkcGt07yjy9LZPVhFLtI9h3ZaxO8ycij5NZDFkAPGX0CYrx
t0F7sC01HuqJoOorWkfCaI2Y8NXIFt15yycM5NU9B74jPM7mcMb7MMVuu1wsDZX0QqNMN7y4SpI/
ztKfOAV/rgQnVr15IWGdLNhQT/JLsqU/l9n9hRIyNGEWLdPyTAr8vXfuj04Sb22973TjoVDT4zIX
Z0uQ713O28W0ol5bjqO9ETWUnADj7mpmJyAR83gFJZ/3ziVZ613brKQ0DG8Ngc4+rpVQ1ks4sF9Q
hkPBuq8vrhrYwxqk+mMzjpdZ5WL7mbT1CdTOMWuWY6W171jwfLx49I590VRfMGeeJ9er/LqZDkb/
mg4uAu6WNVLns2q0c5nasWNJJMN1XNoltVL9pShGwkXaeGPIL4lv0Xb2NL0nLtijdSC6a+0EsUoE
vW/rc5EnZ1Erh9omXwKv7rtwhpNBJIC20AdTl/ypViImjiMqsuyvzLav9HPcLGIcPUkh0A2vWp27
e2/+kPVv3MD6KVM+wEzavkZ3NZAIroz1LPX8QdeU/dSah9WYHsTYHybVP7h1c5uy6jYv0u8T720d
3atreyHj7ChVk8dypsnr+ZWlneuRI7bo01/9WF5lCpa6rLbQlgQkDiwU6j2zmPxr3qtL1eiR6iZf
aAgzwKp+v46lbzl8V80+lO3ckpniC7t7trmIj7py3lg+mmx6nNuzoKTzm2LZTxxuTWOe1sw6DK4V
y2XYrQUZZfn6QMYHk4/q3TXcaLD0s2qVsb7aQbkYh2KcXlWv+nLYh6R/E366fytH95haxU/TWrku
OOth0ldWDPIpnDkyWdvE4PklcsFC4h/c+guqTMi7ur8kjID3U8YhyyZBqDhVkFuQlfCJ4Q0qZxIN
stCjrWyzIF0s1n3vuHYANXK0OLDm+k9ay9hKfqcmoSEJuZe+qBLOWR1YaVGr0ZSsrzQ8r62C9l+x
zBsk8gvexCJMyslvFfVcjMZHL7DXgeA/9MVyFJPHyIe/CJ1M+yEhoOQVJhv9pC2vOSokLffwI4xX
x/Eir3aPzh3YWpp/dkonIrNbYrCQL/WCgaFcH+QA8X8ednPSHatVubVFnHPI2O5o+K3V3tJ++tGs
7qe3yEfKA9i01wZvhM9VgUuR4hwQK1xtjpZe6X1Xp1qk6AR1QxZnDQzVb70np+85ByiRuxvxGNeu
r6KcnsNKSJDgtExLL4CxQnR1/irFdJwt/VYn+bspQRotIh7v71dmcE1xt5eaiHJVEo1o/8pr+BCm
1seNiUjdVIOU/1dh7rJ1XZieV3vCKKSrv1ei+lQ+TCJdUm3+aLfuqA3DbUvVi01wb0E9oSOO8etZ
VhDM1h9yoOLS7c/alZSaKbpAcM6s7mhdH/Jqs30G5rpfi+kmYNLoD8NQh0V97la6K/DHiA+bw05r
OVm8AaBFssS2oP6UNMO2MNl4TcuBMJ+j2nrUzjcptGNnr3Fd7pve1li2thAxLcCOYvBBHH4hiwIK
bf4VW3MVw1FN8seyb6/kscBeGzO6NQXkdDayhvpoi+rWTuaLMNZHwwOmn6w3Fo243czdyBrvy9Qs
GYtF5jJeksENLJN81fmOC+vFB9l+P811OdZNAqBFkn037kuruYiy3Q1Geq1MgvjOql5nPnOL6pzx
8sWk1D8Nk6tnpoNoXeyWcWwFezWd1n2F9oR39w56qLZAVsn84gh9uJbC3puEZFXFYL23Mqt2tScC
0AM85E3XCTYTHSME8zPdmd7+1KuRxIY4reROkxB9KmdKj5Uc4mUwyW2pHDw18IPTVv9YsNBVcup2
cnotcznt0pnrlsooNev6faN0IMMQGtzybpKxpVVz0ClGdoNCMrh+tWkPnpsxFFWy/Pb9vL5B0m+k
RUX2msUOSgi+o7cDwrzJJZMDBJFLHmJjEey+Pnz/ru8f/r5pUgXkQ9UH+cIf+pcUkgqdLc04KXv8
V+fNDNtq+rKcaLUU8u113T2WYwNr1p3T/aSDqvcyyca7C4ys38HbKyJpm0Gfa4Rdl8tuWzp5pHAu
6Czfn1mntoXsdzyCMXKAvs1Pzb5DmbJPEtGNPtlx24Nyv+nSteYFCj0o12x68ib5p/I69mqzRQ4d
9uWx3G4us6/TMmbG2ZOkc9eLgUdRl596pz613az6jWLbO41DUmkRGMEMWF5Lgy65MoWWKOa3AgHN
bpoQGW3e1p9qZyFuhAutK2vzM68nlWR0k1o803+TayKvdWKTfmjk/TGxcB+MKD6ZObaPnTJHXibO
Wtq2cSJzwd5X+xoNhfBbZ593TfZuM3H1+2nbGU4/vKt1/5fd6XYrrtqYmXtExtIvMZ2Py5+KnGvF
+bm0qLXS6W8y9O1RUzPrmlUGKzT14iTfsVirfk1EbCDs2WK1tfN3S5s5g1zEqqoFmDldkuLUSeNX
M2bPOPWUN8vEuE5wl7pbxCberI4pvTZXMM1EG9RZ/SUxVp7VJVHP6axv53m9Vz7CfdMdi+vQ9ze8
uWt2Q/1r2Ooce5thnhe9eJvrbNgv93sZmD+YNPcvFfwl7ILK/T9Puz+0bqQB5XB3ImVCEtGowj7X
dbMERrKgbb4/9u83vr9ybRX/Zxp/P/XfJ3x/5bl6uZtGHRI1TZ+sWMVvCRCozTJsdLnjbxq5nc5s
kvWSsjXETZHF66C2jF+Mv23TaMd03iMrbuMuKUH9DPNX4uoyMBfdvalmq+91Ujn3Os7Rx2KeSEBx
bPFlGLM/1Yb8o3ZI8jZt8Z41dLyx1WfyxEmnnq2Bsn6slFjNmvTp+4YFGguUruK92NInUd5FPmS4
BcVd7G0j/plQmz9BM7knllD0J4PWocewxUbk8NruXC/MWmRUG7FIT6voTwg3zHNPj/6pypbLuOXK
oTXN/WCPZyOZSU9VNeAe45Dcqir9cjFf2UrXPev1UtxEsn0s1ub+FIvHGjPORqSuzfLiOeNBKQg1
y/r5mROa/KHc5RH1Dykn08GDZtepBXkaK/r9F2iS7ruOoSMmSgiUgpMw/6fizUeHxQto+H5cLDvu
KtGx76/zo9XAvR4Xf8HzkC5Pk5ZgLqrCez2yTmlo38/qzOeK7SuOCByieZcOHjHG89wMyBPaFWzG
gX9FjlodSZ4L2RP5U/m3k3+Q7wdr6zLG6WCeRnOpxxK/NS82qIa3bvwaJmzrdJ/UHLAEf8E0ej8j
FE2glilpaObARD31uUXw6JBg3VV/ZqMKcSz7ZFOErvVrVgvo6Xgth6+RKgfDWyhd1ccM4g80A2xx
sOQnsbk+TvZeQMNvJNU0JLL1ms1/EbqCv07YIu1t9aIbtt8WL5oXFF1kJr8c86PPuGq1eJxvuV0F
1K+Uq7+BitCAmf2Z36OPFpGof2Su0elhEEKu+wY/Vmh/DSO21aepHaFsgzqALZhWx7ymNHEP95Uf
D8I6RAoJHUpDnj0Qucb8QNziG8oWKE4brMiPFI45VSLG7Rvf1lVfZSrX4fuCqGTbz4ry5CYS2k69
Fw4r8sGktTeYPw2Kc214Mkfazaxl+pJB80z9u14wk8glKcR4rePwnkgql/bRtIif29ghMxuimKjn
Z5X3vxdNqHVJNIKrGfiXI3IPjBZCd23EDv/GodoN9P6KHq4PebIlTHheCX2WKhC0ZlpjDeDu+QoH
j4r/0k4IzaQXMdhXaGe+DhZXzg8pY6cJ0OjYfE7uz8bUabj8HQagHSOXdGrhqftBxJbf0CgoFkqk
lhTwBEKG8poSd2C0F0U7p68kNbDzHgPWBBLfYNG0mXKoSKpe+i+zPvcKu6GE92ZW6JNeJU9KyjLu
6NvWrHzYxahD2Of9sef7J7wEYqMVgRJgc/DCG8Fow6lqkkDq75s1hzUZAt41ySjhqwIgGVegSo9G
SdewNSP8r4FCCTu1vxOTSj8kPy72ShB2vRtW883zxnBrjQhjZZgIjUbCFKjegzrYcFoetCaJXDlH
qyiDlYNMczlvWjUY9Vd1zvzBqAIJXcx0zpX6MNd90CB+zRQT9k7FR+SFlR7WahMNHc5d/gcWzNjw
xV1fxfpzRfeiqj/uigdiz3j3qJaS9A5H9buoNzmztCIeSpvMGx0fA+Xpmocu0o/WYp6XIuHHsiGD
1isirlqXSQX541Ct6Lo2fnibmpJEKZHQuhCi7t68Ipket1x7HHXSY7DEUBZbEPZW2I43kp3dh9Hq
uUemhIGx7r0mlj5YrNl4IDR4fMYxcfzncTrycZoW9u777kwQuuOa7qtjNufWekpmzYxXAQoNM/z8
XkHg9YdJ8dgNSJPJr/Xn+3GJOioEDSOPm9jyQ9ILz88EB8PiY2AOTJWutZX0Xwxr6aCItCQWLnmp
5PrDVb1Yx9ztrwciP7IYuTlY71Q7F3VfPwrxDFKgf+qrRQnqZHDAauXMe7thOGgw5IJayHuPuhNx
UZCvSf8X4dTE5wRI3V/XB1DGHD699iVz3mlAHjmnk0z+1mt2UFrxhpqjVlLTd5P6gmTxb3tnVhi5
MOjles/j+lpovm5f2XNHnmeFpAWIdmfmT6Q1Gq+WdVPyiLU9KqmbEraFDrudVgeKVpT0W6t9bxZ3
R/Mdr50qH0bOtXblN1qlPh5G2/VeFM89QElLPzs0KyHV84r6Kq0IHVye2ml8d9Ok+MR1XQTYtvPF
A9OIU0Iv73s487BNLT3o5IFmauDi9K+bT/wffpZeJAqCkc/ffLVV4fcVjCyjCAbl1U4sLJg30+ii
2vbYBtVBoywIzsZjo2RRqyzLLpEltvsnvVhOmpKlvN1rMOJZLNLxcVbs0KOp7mXoQQpm3bPxsdKi
TJL3jjb+YrFqq/cEb85RFoDs1+qOIV2AsgXC192UrMfVCgUbCV0pvzaPJa19UpqbAXmQJgbtTgVu
pmSRS+j9m76+mjSvtvfCmf4w4pDFbVJyYHj3CI6a0WQsuyUPnBnFfqmang+3MvlZNrbj56PQDhMK
oEDaWx+moMQuy+bZNMuUB0R2zS5PB+uo1VnuZ7ObIoqejm7pli+lol4dTdg3qoI8zK6WSE8GfK10
2bT9UH0p/QeHWXr3b7KMPvZqnlwIIqxOW6m89g2DVq8T2R/TPMy6lR5xQccaLASyVAjNhawLmWAj
d2Aj5r1EdC9Du3im26BrTVgQxrIUWiQW2jXtm9mn4dD98lbVV9Q3FY51ratRUVNobFrErG1X0Ufn
TUUxm5ivcqUCY8zRLsKfpzsOialJiSfvUS+Nv3Nm+WRBvDOCENeiaZy9qTdBs6VbuG51rLMFBe88
aZHb129j3ti+ZU3ZAe4g1iPJMtMZ+qVhvvdceg6dqrK6THf0txOjmjzqeSUDq6m0V5VdbTZ4GQKP
juaL16J7o30XrLDJGWT08Nul8tqwWs8x7l1i3Jz8AaA1hEmLf6fk7dGz2grqonl0isI3B1q+TZIH
9yUQsCq0ANpwRo4FUtoHmtf9QZFWtKlDTK+OVXFeftkLvDEJOL2BEwXElk1I1flrXUEPa7rHpu/Q
vAFV6DT1ZRU5Oo1fnScpZchZjZ3OO0vLOYpxuRj3TntlGnOISVP4zcpnkBUgVQuxdYFVC42L7H3R
sDQIIaTtDuWlEDSi15IZWNYEWsnCAIMqpL+yn/PkT6+nR0iufTCJaY1H+9oynt7V1PWa4tFIFT86
mnML3f6sTP6AnqGyWpYLMgV6cAWFitAjPU3jQheQX32tUxgzOyQtaj0h6OBkStxXibVnkP+iTe1P
KSwme+Od6GBAzFbdMsJcWcSWx+yRfM67F5mWqk62df7cOnTLLXydepq8ZYRFMt3Jq3ugdFq8Oh9E
mz+YS6xq0gn7POXUammRfd+MA8zvdE6OtqYQ1ZP9Yvu8B/V0nUuPEyFZGkgA3OCCai4dpudgabAu
fj/2/Qto0nSUGYBzBLuIZV8WSZzN9FoRGwDPuFMqRVa+N4p1Y2N5zGTBVlXTWSmd9Yeekf9Q9Jyk
s1Sg1xlIl4sZQdk89BusY4gRRqIijKufNCxZrxgcc5oImX4eG2O46MzCms4N1gLsy8CCzidnH0DU
Nn5V0s0SDLzMeEZC6CTrizmqx6a5us4E2XfAcFfPM0JbNV7UZDuIpgyTmmVG7W2ij7vc32js7PAN
3CMjvOpZk08qE+GMmhocXGC5eXFiUCRf8/ov7GLvZ9nmymk0rTIwPL18zHoS6RGUn3onffVIrmSY
pXknA5rw0CrNE5foLrbnZA6w7/1BlDkR71SfWt2Vu6ZHSK8ugvOwNNoHZRuJXGaEgVqD3ow1TcLH
ojM8rJ7jnhpzR0Vun22tZlEWxnPKumMXbyvbs0e7TA9qm8yHyDILhGpgAD+0zPZhrCZvg7alh8T1
dETp+fi4GojQyQWJlckIWyZuPSLtuelCZqeEMoSeavtb+jrlt8bbV8UHEVTBkNi+udQUYw+DziSW
dbYompjW89IHyM7cF2hg3p4U+sMG6CSo5qIMV5siaujy4SZVzJUtybuhUaryqN+7MN9fzTkU92Z0
n3R9m/YmyChEMp/fHaF7k7lu+uHy3VwiEovRN/OBhBksJP4emXm96pFU19fNMbpnqe6Jf7Vfl9xY
9vVCpa855J9x8tjavF3V2Q1MgtH2ozLsFU39S1Nd+amsJsekORoBJGPNJ3WDcaqKf2Vwli+b6K57
2cQChhftkZpMF5icc1gL+gQyssP5uk+F014tNzsWaPnjoUHukuSiOv5742hV/c/dbeKfN+O1DZig
ncwWdUVWa3/ppON9lllMduq+G+oRr1bNVXpd2Mathe9kJPhCfmCkTg7kcR2G3xY5G8cV1Guc6szv
aIZ8KqpzWmbrbK1dG3qT/up2ZDk3nlYwS/c2fyU345zkCexcuRWXaRj+LNM7xo4VUrGRucVPFw9h
oHg5yz0ag6OR5avfOy3C0pG+otRcfxmbQ5cyC52Jegpal+2LWrFhWFt13K+SLqunFo+N9lqoXCvS
plvOk2O/aLZX42XOt2tJ1vicdcZ5MOUz8z+MNhepb2/QNCHlSjvIyGWrb/baDHveSrjmhRu4A2hv
QNqD2V5txmHWQsEPfxo4yeDpx0RKNzTsB83o+p1psSngAL+DUSZjlzjgFKcl/8xHL7tuIKP9ZJtZ
4go7wzeBRsQzmuppUPbCHMZDz5nxc8ODyS5meMwXu2CPrqX7BRB5ZNpohWvSnQAO1Q9GUXKTGxn1
1h3qtqU7eRf7dfebKqfdJYvmk+soa7cFC4+6FCnY2ZqoPysH6FeTe8vJ2Jx4UHMJRPW6LFQZhVVY
t8GJcBj4UhrothiwAYTk+s+uqaF3Q7rDbVCVW79t2m66u38b3VlO319VbvnXEa4NnsuA8u659x44
2azSSOsYHzt5cqpLVrJ+8piK7EZdaGfP7JvdOEy0xxL9PU3tg5Ls5wa5sKuqb/rGjlN3xojzIIt7
KCkR/d4+mCdtPXXmczHZtHvTtnwhOCasWjlE+eRVN8cYJZnMl6paaQMUKp02rT1ZDZU4ELOM4Ogu
9Ysuv7WYY8AwjvaLTphV2Sivw5YOV46AD2cq7L1k28Ifp8niupt7KOXvtTBJJcOW2bLLeUIr9tcc
9OLn1My7wsYKJdyhu0mDH2vc9qYJq1WZS1TihOcNaUKeXdZKM49sAA76N62lXpfoG83cEwBNVZCy
80e0e/1+zJk0IM0tU0Rikb8WZ34cU0JJJ9zQoTFVm+84eX+QpnyrvfIorQ153tLTetDlGFEsUTYJ
8SpISLgOyZ7ka91PIakwGK7YgmLoJ5b8LS3ZZwYYlQSFiBmlzEadCgvj46yCJG+QTCziqLCrEC0q
hflREtQokuKgknva4+1zfo28pbDqkVEhhaMJgEJCGj+WtImKYXmA6nGpIBHquhtXqkcOgIzWhuSA
FIp5lsdb+kvQdSg88ikcbacb1W7y0thTftvJcGIichHFcII9eW1/4kp0KGqxVz1jhtWeh3V8m1tz
vWh9d7JmJX3s2v7F1B15RXxGE5mV7lgvHn7cbqy5ZBbPijM9zNsg2Nw5x6HPHli2d1WXHkcAXh6U
vroANZ91UdPuNmXZpegVBowMS11PUd3gM5VLtfieGFlVcq0kMcdZgzZdb9bKZH12GBRYi7UjhCqJ
yyJzQmxT3VlpIclYeIUzTdZhDhEr3KZ39iJcHzOcqPMQLCZtDLoM+d0JgXpmcvtLQTGv0SOshosm
wYM0Y3/6vicdKsI+LxGYLYXJ0oldUcyOex40/VcJKoahSYu8jEeWqjsv6VYwdYfDvSnWg5kpLlem
NbLQRsRLrjuHFA3vfO2qL5RFfqOXwQIZLuMIqPsq0IfnHGZ9o3cBgws2F09J+j4MV8nx4tpGlK8q
O4PS79lXGuRW1Wg9TDxhKJtp1bGtwfKutgUf9zObwUHcpTgoFxAfYLMG8eOGJA4F4+wFzPF2U5eG
q7iHt8el95s424jom5C4rNDt533WOAeTXQ4qjMDqJNhi2lPI2rVRDYjUu3dGoowMm5w+kqsYwWYV
p2kWx2Lim4NYAzIJtIiVZjuTH73vAD+/uny0yfJL1T4bN4kYqoYshLx73ZzjIquJmoFy2HMJrZ2f
ZVZ3jFi5mTlRGQBdm5zQxZmBJmWnOb86tRrmTr/bNHXXIWO38o3h2Ie+bzTOIVuGhGZGWpo9YO+O
habtvHE8CWPY4zKnbkDXhdJIneZg4F/k3sfZ6anuL4JMAS/5MTHpuA8ogdgFYKn8Vvxo1Q9aPPyX
dpqvTDT48jaSkljhjkQCfQjh7R9oacH0YAcVzTWjz82nTcclYAz7ZgsVh1MCCE+uB5VCKFk+sNvp
WOvyAKNqpHVgSux61wuIUQYCNIQ5bM+jhR2Vej8m9CciLbr6hUhhP82Rg+zshs7TIqKsSk4pfTRn
A1TLdnbQm9i18ofNXXwTKWZd6OGE9XIZ1d1AIZPkaZjX+EE5Ru56wprQwkn/kToIDSYLsHR91NMm
1IHbDdRBqpbshcuwWKkP6EaivG0jexmOlbGdWg87O4jwey/W4x2xuMoR0hDnvAeViQ5zLl2NvULO
lHws1b1Jjz+2kzxqVboettY+qJi+RtyURK5Dx6Bj8tJbHGg0dUjlYMvR7lH8waBJfPs+anf7nbYd
Xc1vb1lzID6tAIZUL3t7vLEhoiprO3XPNpz+adfnjx1oNOa85anO4d8RrNHn3R4Vha+h+BiaEe1i
HXsVDaLpbBsHt0PbJoEX5yClh2hj+q2br41p+JPyQ2g0lxr2m5kVqiS6uR6KQhP11gkeOpXb2+rw
0XItv7/P1SiingawpZBOWCYnqP2xPmoHQdpSkSotZwlbCBPdvsd0Lx5mln5y4tQgp8A6uOro7RCN
OecWaWAwjeOPmp34uvRrqC+peZ2nb3mpYRzR22cPg9WZgLGHM8NehED6F5sN362VAMB0cscG4MvE
JuB6N6+eA9VUgTFn9wMH/aO97hxrmK9S781QbsThkuB+qBr297LwKMEg2f1Ry1ix0O+gB+nCrvLc
nanPv03P1F431QA2UKDw6DjPtrx/HMg430SN04qIemegEzBWu2Wjb2B3SD0T+/9xdV7LrWrbun4i
quhkbgGhbFmWbdnjhnIk58zTnw+vOrX23hfT5emoIQt6a38kGILdVoTjOYgM8y3UO7dXK6Q9sz77
irEkHDy9P2o7gga6VeTFfkw+r0wSYaTZF0OZHJZdDYhGf+oMEkwOoYYgkQ5sgjTcWvXsjI3uRXcJ
ukOe2NGVYDgjz/29nAGJ9ma64d4f9L4YnVz/mM1fo3/LmwtJfmodktzyvaACSJSJoLtPU1bcRTCU
DplTtkyKM7dal3V3bjaV5iN7ie2XMPIa60bejAg2iXLQ+m3Q7Epub4k+e+XyONj3qniYqCXgd0ud
z5/LpP6ZPgGNQKVtMzsrBm+JH03cetXmFnUL0I/kCJQe6/ag2OcYuU3s98OPAfGQMpMVyVEf9sl8
GDgokaeRgD/7mn0YEddoyn3KLPViReJZRJXyazZfrRkY37PNCE9dT/MymVEFFFghfzStQ2BIrmwu
6NmU1IuMwamU0JUeqyx2Y57t2Mo6tCSRZ4pJPdbsr2j/BQ8aFRx6asUTygFh3aKiquZ8gZuYPb2j
ArbJTX+mFozXdJjN9KK00jFclh2v/IRATm6Pc6f0Ozqwjm3ZEP3RkoKb8YoV0rMkz+QXt8E7XDen
cHoMaTmMm8e0K5S7vXA3lK2p38uJOM9dlB7kNGxY+mlASwYgMVXc8lCeHpoo35padB6seLjPk9od
YqvUXVVIL6S29o96OsWbJMfLE+dvg0Kx9atePBfWSxuNzjQPCKmuQt6vJ30Emm9xPa1SDLXhKAR/
jJFntg8aY5kwa5TijlWGqSsYIhwVrtdSy3ZrNunnOE3fpSrTOxQNz4Xatq5WjJafmlAQy6RVVJVI
ftxgplTCdPISRJEA4XdRPMisLI1ROXXSS1u4KsYRCCnFMSNxTVqJc7FF3CkDFCE7SAaGDgQYg3xG
QMZ4UPfJ5CuI6Et0eKqkfWip1rq4JTbRSp7l0FSNMxAeiNhGS17ntN9YQZMc484onNTqy01jlrWf
1xBpOjqMgW64I4ouBwTCXx+W2ef04SWHQDBdzc4IZ5JLn1X+KkcWMo/GvS1w081ZZkVNQe80uJdO
F87CTRbBn1vGn9Ey8Le89rCWX70c31XmuVImBYsiBE2w1Bp658udVHqU2xHPWQTfS0PiZmrJ06vF
DDKjnxnq4NTgN7piHXCDgoc7ZWyDejvaaAYX9d/6cfJl0qMey8KNpKHdNTpQSkuhL+Ln7GqG4UtM
9W+ttcTaPnDpYtzoerdbkMfk+oKqUw0vtc5Ab4eDH+ZFskNQiR49WoBXm6h2kZBB+CQV9YJQtGpA
xi+cQ9seksR2rWqGcZPclXFMyDuomo4FV/U6SuqXAQMi1ClNhbxuwLYVP8Z31nPfKp6ZUoEfkJho
6snULfRWlex1xrH3ZiGFR3OuTtX6Lw8bUminyRa+PiSfi5VeC9RzF8nm1VkvNXDpOKIugpSz20o4
WS8MZ1I1k7T/qN9zP3Z1JTWdyr7pUNrT8GIHnennA0BjK+fTSzXPO6nomuu0cBboBMJCFBabgfP9
YAYJl0rV23stJZpJOlvKL92Whhc3N2ExdFHnwr6H5i/gtFwCyUYuqj4jfDO6ZDNb4c8y6PO2Yeu0
m6o5dBNwCPo4J2YFwIPK3OumhYhps/oglZ3Nq6Hosu7kl5hLXglDjc56Kd7Cwvn2mH7EOBwRWPE3
zmcAFu1bYvIOumgTRKc45eSb8iF76pTnNkz/6eZb2zx3SuNTAI9+bEBMhrB3CR0Jf4Blf9V1TTel
5WjGb4OMuQ5Tn+SIXQA/AOKk14DW3ELc1OBMWtRLkiTftDUipF+xpMF8NTk18jDPD5Eowdrq6Up2
qzqkTO6ojmWAfr7XOBgLOtxghXUkiL+9mO19lWTF1q4t6Bu9YkkgMHdIZW+Uw25vVCJ/biwQhig/
FUl/Kdoo8YnttzexPLbsEq/VuI7CJKB0boCcD1DWjwYPaazHrWZT8Apc+hRiGkYW9YH0kkP8y13t
mImx2o3doViORcWM2K91tcUmMLVXFs2OqsDqKdWUqy01vd+LsTm0tUFPoTmd8gauS89a2tQTzeSW
TIuOxHgBQ1U9L0XaPZJkA5RfyA9Bix5OzrXhXROacHtafo56Zowv5TD5+kqEhuNbx5OXwd/nobQh
L9VDvbWBC2Jml10FAcJSNZ7WIIJ9aIKT9KwM3BOYvIYKv0L2rUOwuGIajpPgSZzK5l8m2xNRVEw7
malt4tq4BwFyksEsz3a5uEEZmXsF5W0/5NzmLGbXsdXeU9I95wr4AefXkxRxa1lkxgwcSyR7VtUR
9BjFDowoNHipnvDDLPN11hLolW8yXHeqQUV1VwLfMujbyjnrJIjpKXifTRv/uHowi88FIWsIp2tc
2vKSyiqrmwoniFJkiZdNEYb30IzGawM8eY2KqGX3AYCqZ/JyzSCXECaOxpWcTaS4kdEhlNDfQoXu
VWVTLIXTZtMObWt5TDtDPgdDt29lQOhUfVZlpX7VGpkrvH+S1AGh7fipKMantCCsRmIm3Kb4ngpl
gQKx0eKQF4egv5eRvqxAwnRBm0UqAopaB52nMdHJ0iNcszPOFRj4Lp02edd6nEMXROOXaqx8W7eO
6vRRjfq1WvpntfodFus4xAUKjGI31dFjpvvo2rOdjSpWbwkRqPvQOsTIJ7w4lUo35hKm/yot7sQj
vaih9Uxr862AEDACpmUkkYZJG26P/w9VrWp5SSTjBlvi/NKttySQzZyyd3t5NuecZ2g8LUigzSR7
UMyoPqiNQiTIOPiGZv+W+fiNQnLw52GgaHZgGNCnK/3oj0XLs9Lp80utNFcladYlgigKWHIx/05y
tTdW++us/cbLdLYNKjtFsmxUoMCwMH297DvXbhpXklndOxJRdXx18CCXYegQzWnHjMvOD6a8IpBx
wDks9AXOtp52/DmkLa43N9Gpx+F6jcIeA7t4FX36MvGoXsNOG7dBPjE6pyNUAgHVExHs9Hhu5wiA
aX2GIvbFMDyRFvpKZo+jLTAjgQ4trGxJm1C3VbdM9whWvoq6x7Dpl4slvERvO4wHRGWPRV+6HVjA
Gb0mWRWTZaDqnrZFA7NtRPTFajP9t2P0ZutG7xdzXu2HkhlQf5BX0XQjHWbinjZ9a0luOaoEWcRK
tZcacm95SSdbaezHTYwYhi12foyt0cKhNNC5kW8A7wVrbEhBTjQY6kNds5YkEvPLspOr6cMyw/cl
Dz4m20bGsr5OmlA+xZVVogGuS6+odf05tRDjRJzrqmx/JV2E9TD5F5cjRzOid16xhXzueu5iA9L/
hMCbDovDm3HRrB9MnVytEeXQD2SgeRYHvuUV83aJt+EnUIc5PKMy44n7Dg1BGRwvfY3QYGDFhRq4
4DaFZ9Vwke9T1ezmBrlwDO94DwjztvDHRshT6cP0bbAzZWb0DOMSbgDk0bJtp5vBZQr4viZdysPE
xBKX80lREAE0MeuQKSqGJxuaTbJ0ng+TXacJC/XQ1Gq7GXtS8rpFf8Pl2yEmoPeu6zqTM07RzoHE
XXucZ8XJp3reysqIWWPpx3uWNEjO//43JEryOHUJOjt05WhDaDPEBYPgRp+WnD8s9bj/+dSS6/Lh
701YB08gRPVBIg3kOrThsssm/CnaIKVXZX2DJnM6dIv4HLRgDoGVdPVUakAq6zf8fZkqc0oqdT//
2MbcHcsa6TrdLoCH4WWM8+jSr2/+3pvV6rPTg2D390mxZtf+vWfErexlA/mB//3E3zeo2Vzv6Tt/
+z8/6O/L6u4xI2b/4b8/5z/fAxTm9K1OR+f6i/++9O89qUVpBw+g4ev//4/o77NSp7UHij7+x9f+
93EY1BWIIbdO//3Q33tRP8kO6UzY8dZ/6d+D+Pu53KASX+nG3E0WE9z874ND049He4phYv7XM0L3
dHm0sXjvVLg540K0nODomVTr2OqhcmhKPVPdv4/+593c4sSPigFRTDs82KUJ+61PE66tdsRsOlGl
o4bmc15LoDTd/J4ibUdbMijbvy9TiMwvhsx8Dcv4Iw7MrwQR8FHKhOG3U/8vJiWzcdANBsdsNPHM
of4NjvP65u+D/3mzfouhF+luUoLz34f+vuLva//H9/796GqeSBCRorNRLpg9GrW44e9+06Wg+Zjz
Hn0dfXEPpmUJ+HwjAp3hE6ph3QW6iNuol/rBLkFLoV/EJWil4Vxkiulksxq+xwtqTzpJymPHc3XX
ree/D6PqmPatntre3/+2PUQOAezzpYjT4ikwo9vfxxH/N363qKgX0+Sm5agIJztDGGt02rFLS2Q7
qgg+ym5ThbX4DBQOro5qVYapOL3Ik124f5+I7dbXGm14GzIG3YSCTWQc4FmxXrpymMafFq12Xq2V
w0kMbfbYqyonMI0/T70xfg55Wb1nmCv0KP2nZvydSNQyfTjjJ82opg20rHRNwA4dZZwwMNRy6/ec
7GRXdRcCKEn2ImvINfhlYx29KBJM4UxZiWBrYhCxVzdOZpCzPWDqdpCGgL0kYGxACupjgSd7g4r5
DTMi7RUImGhcWpt6kKtExV6i88VVqIkBxwDisMZmcPL0WpsJZVBNN7q1XP9oEW0H5fKazNADLWCm
KxTVNaR4N1DuwXADHZFKW5HoAVK2zM+r5qUW+i6jKzwJGedL7QcHPeLPb02i3a+5VSiDYFXdwVC8
UdJOdOz51UhBlkJfgwHJirZTbY1zE2VPHOZ6H3vJAB6I9I7mwsLHFVA73aamqdObutGnwaDZyunU
euNQexMt2lYTLcgims8iqh77osCbdNFS+zTInYriYfpiusSTCbvOlvUa9XlyyC0ULgWYtxumpROO
Gg3tOaRVzvjJfFXW0iXGscpCB2vW135vcivNoke9sTxd6JGr5RjtA1Bo1ijMKCFX7PyQxDUc7Bix
2JiyLxmi9YY2eDN7ZqG0Q1uHh6bBIp6MblksV3sGpq+WxiE7vneRQLpm6aZyzxaC+4KEzVOPxMLv
Or/+0xB0B4l6kiWNQgfAgxasetya9kOMiabOlxLVrPXUYHYJ5GYDh+2Hhv0cS3BZE+tTak2eLJZL
a2eOXTOcrF2EnTmMPnz8LmR5RVLSOdSF7mYWAJWchdUkPVgDWDNIk9zUbmuNf/+VxfRjC0qbVGTf
sMjrAm7/JgFbXVX4BHvXvHSyWzGLQ2l/SUl4LzjynLBU3zJDjR2XaQkV4qDecgt9ouhwiamHAfbf
qKPMpZNsdQC1LrvcFa2HGWPsJ65Ird1hVR3btdsP086sKXnWBbNqvChsd/mT0t7ol96r+fxazmh+
Sbif6/GzMcz3YXancTe6EVLlMUqw4Jq5cCpIUbW27r2S+FKxMQoEsoyK9EGtCeKtWFFdxLgcuK+o
sMRBtRi6/j6bR625E/FUwEDx2axhiRxwDm2SUc9eiXYi7FOmJ5s2PAmmfe0ojkCdeJTd7u9LenSp
bo1dF3hx/fHjURaMmRUSolM4D+rGqkPFna0p4wlIDR7qkj73mdrBhZeUXc4/aClxG5TqekFTaYiU
kfrCuZgWJn+byW3937rLigfc1df/fDFHyEHPWNT/PqlkVuXpRt5vy7oJn+my4YVksff9fZaOpHqX
mn2MM551zq5EdLB0ri6NwLNdY9n1KZ4HEyNmH1CGkgUHe31Paulob7B/k5Brx5H6EGsFOhngBaT9
CBHFJ3WhGSt5TKe2nVKTJIvCxy+Dn7u/GmrAhpnoiARtdXmPws6tB1l+WvMoEllaiEzruINHFqmM
8wL2xMtjKeNjhbyz6qzPftQ/w1VLnFGLUzc5sSTBNpITPDTt40y6AS68bSn1Z3GKeuAUHTVdYGwk
XA+CZiz7sWpJo0gKn3PskW6ZR5GnO5N0O9wYR6m/iDS92haHcY5Dv7aMNc3iXWFapj31oxEDZwjj
JIkHlPf16m9qvKLVIZ8EcDt1TbyDwkyRVAtmgNpFinlMmu9QfUFj5Xbjecmjp142d3ObnpqKa8vG
HzziZ3bQiH+ry4pYivCR8rgbrezgB4nyMHeTp0tPSk5l0POkRo/litXJcbM35/imKwCxlPaMROfT
vndXcaRLeeGpcsRmF+ffwrUmwdCNZhks1n7NCH90uxbTeBlR0K495qqZcGaP3qQd9Z45mjsDtd1e
jfSW03anp8ZpUZUvW84u5LsdAWkzZOmBgiZwfs+knQqjRAUXaBa5xla5DaWWuImLqfJvC+okQvnY
MS4he2wEg/mbFtGuOyyHRse0xV2jlqGmpGW+TaTM9AGxqZxnQbX4WjJ6Y/ikiC5wpha775oSRugl
WRj1s6YHG6OunL4y7rbRuqHCT60J8p9+I1IokgTqRko3ENgivSfTvA2jD5l0ujS9qDm1Dg0LSfAS
JZgbquII2rnHsfI1xSzLOaDujNYyJ2FnFfUi1Ebr2H2rUCM2unAcq5syOtrB7xKH3jDsA07bmBwQ
od/VdH4ypH08FBqyytJ0+maNoG3Rys5enMvEHWQwP9Y+JfbTtwSCtYrzSE9vZRUSkBJRTN/o6mae
tnaTHto4dbibOJoEWwJeO1bKqVkYyrmHCbADSkEkq3oUYnFT9AH9yRC8hvJW3dnLuV1gPshDgmpO
C2PDGbydRO8u/PM7RDnBtJrWN1MndrFghQkR/hSlb5vvQdwwEaM4ZlqVasvL9GNMUmsZ/toSf18F
aQInR4gHKNSzwwq9GxVxrZB3BsEEIKNPs9TvhpJz+ZqlFb5Kc2cTimGvc01wtA3LQakUUhvScpnr
T234yc5D/lYD4AIvw3RgJwelqy4yBoQ8hLfrIm91v/cCMXdCr9l4kOxjZQAfjVz+tjsjuEjmGEsr
SYZVdUPE7wVdseltoDseHI0FMfwQY+LJShJXmrNrA4Bcs62q1egXHer9bjqE6oNopo0cXBTrU5qf
iuWhtdxAuel4SNKTnBFykE+eQESvbNaYOnqEPBkfTh4ixlJ8grq8qsFcO+Gze4lfatyymSyhbdrl
0cchDz1yUK/WS5VpXs5hG/WoyWl3J5TnWYt+qviuK/GmQIZiPbUAYGFMP4J9mir7GM7Nk0UUHllx
ZMw38b8gvS7KDkyBkHwYtGHNXgj3GUj1rNm+jsw6DAJvXIjgRLeIDm0mMD0oCMMzrMe5jO4ELF5F
IC5ag3O79ktLbIkJQSBjP2jyI6bvjTXg4zNKIOviImIacpDpoV/EsLug50c7mU/Ze71UlyBsGJSl
s47PZ1XswH/FVXhMx+g8Kum7jDxS1cunPGKBCO4IHdwAk1VmgeAs8E/mVcsmIiPC03pRKPUT7bYe
ymQCB6KdluIIEDSgORVakDwYD1FW6E6rmW9jn++WcvZaTUXbjj+IPx71D9TDtvGWvfyB5GFHlhRe
4DDqyECytgJiD2klmhCZlHJ3LDqxBSlGzqkYO+Ae+DLpvkjKa5rMCLgfU6w2XQc7HbVPRpi9L3F2
DGqEHrb+aiodtUbTBbwK51Jw7gz+vmIgBEZ1bdZg5ODjbQ4VIlNkLutUAn0ZnKlOuHVPrqJ/RdxJ
Ekv7MGoUt4r4bGG3GpTadqUfmylwo6E9YmIDW7LOwUQWoJLlG7mTKywd84Mph/scuwslqt6SGdFG
R15qy6CWZe/PBulyqnhobfNEZDLRURY/PKQpCda02eZD8ULyyhNqbGUYPiscswN3V8GPLFeLjBgF
oHwOeW+4RUQ6dXOyxmqnme3vTGZFvjqzjHLfUztWLdCASAgaP6EdT5LIcprFQ9kUCXzNmwhOmEuw
9RFt5MZidvmNVTKczfq7FhGIhyc3Z7Aqp95VFkg++MWmDS7WooAWBeIh+KqPlOud2am3pNVsIvo9
x66D58nvKaKjJodcjvObLhPdiGjLmV6AUz1zL4bs3mZI+3v1rcO2KBNYDB2S/TPkhgwS2pSkL7Kc
DnPCdNyvxj/oOS8Ora2sJjtTFheRw4fNiOInjh2QOipf4HjT5jpJqIV4EaWdzLMW7TXCoaNEk7yi
5VhXgXR7ZZuVbGjA0Jr9XKS/PcOgPcG4KvgwXHWCeGLOMbX+V8HSH4XFd0KA4fo86iC1GAPa9DzF
84W6YD9KMuIIGtKsnlqcOKhJt/34WrNW11K2kyMGM+zBjLmHgPwylaLpAMLZHrarsaqiijxG5q1E
yiYs4dfAU3KJwVO+TymGVmIIUlZdtZpcWw+vI8SlJOUU+B0mM0RVCb9eoyQo9ik5FDLeRXj3Dk5I
6j2JxlowQUepkdWlVAe4WRDcMfm8BEVVgQlicxfm5Ccohsowv5KSs8F690VWzJudHgFwMceEv6UC
9CKD2SLBWC0mn3aGQAvHywF1ftQ+K7JyAQbS/Ro1uM1uNCghQvf8m7pfXwT9Tg6wPcMAhuRqB0a8
jdTBE/acAtWfa8E6AkJ91XVxkusFW0kkRce/NyXOPkMaVzXr4o35wmuHyIm0JP8iehwR+63OsqZh
DlPL25Ca98ZUdxSIeEHGDT+V1pRHZ6yng70QZqt224WiSTxC5aZGLpkMHRwQkledpTBqD9G8N+vQ
D9C/5BWtHRIS26ByrThHv2jYd8VmV9GUBLVZNW6VTlWdqUILLI0xtqhB26RDem8mm77TVIMXIdxy
iGJq4OYPbs2EajU+EpjHSoMdycz4dYyLtwjPmJx05UPML+iksNorrWWeiqHFlCAV5zpjRSLCMhRM
UuHSwggA6MYED/VCxSSOUjK1VmECanhbTQz8UhJct7JIflNonaNUYInBiI8qNIk+UFhaETxfpko5
C9K02ix+lWkPqFtsbzmTjGG5uUAU3gdc5fOiNISfxHurkr9pN711Yb9PdXaFbPETGKsm+VHywe0t
ca2qldb5J3H7JNjDmP5NMdkApsTrytj0eLWIM0XJ6GHy8JZyG0njS9Nw0tlPcsS2LmIG5uBkLIE/
KLozBROn9V7LBbfr+ocg85iGbTdd9K1lfWaL7MTGVbP/mYHpDar5UA2WH9W03WqqO63w85CGHqq0
mzyh+Bz3ZUEuUzRgtJY3/YDnlsu4lkM8c/UmNT+KRIPEBqXVXmbjhSksGyTiUt5TK38o9H9i+prL
kQu0fB5lfafYL9USeg3gvpq+xsk1iCqXAnKfzlo3Rc2Tz7WDMNPtQe0XdN3wuKzLJlkWkCK0WDG1
kvRekXgm95BJY7itkq/mrMacNbReBkp5Q0HERhATGV0+BxkBPbN9bOpPIvVj0DXFDZv8OObqI345
J+3jFxFyDpPxu60XhL26MrhJUYNiyNBHZmuRjAqjMp6R099ak3JHnqeOkzfjPpRIN2OsH0b7SwWA
Gl/zITnz2ByTStrKofimu2v8iUi/PI7zrSMAuiZVb2I+nS35bFvc9btzoU8uoQ0n3T4pqbUTym4i
24Cy3tc/NcJcHcvKPouuuneU66mB5pWgZ2M2HeU4w76Wb6SWOiMYST3etSG3Ga3yAyo/5iTzBomr
bSO096VlDQyPYslchemg1lr8GOPPMlUfnHWvtmS+KGt8zNijqrBSIgmW5aOtOHOYdx6BLN21v7oH
Qg6fpGBE61QiWM28kUmA4k/XWhC4GSdkDmR8iPYhUcU2mmWwRo3jZ8DIg8mlZbvnJ6HkxjrOLzPG
n6nxRYzBvS6/OGQIYdQ2o5ztIm0lUNPtUif3ophcqJmNwKnXj286B5Et/QqgoKC+19lpmDwcrm7N
K0iTnrux9GipQLArvlWzPLSUDhJQOdWhpzfGPz0OsQcrEIwkSs3cp4I492v8pSCaKwI0sfdjrVsv
+zZ+suy1FYfoFyjvPxJ6E1hrJpexrfUdpNK2ar7nAk+sdjOUhMQj5Tbkj8swONHq2mpkT+kOotH2
NjQ61Qe/6urlt8ExcpgTmdKVio6N4UEf923GegJgh3D30I37ud8OoIPjjL+M2a+AZrY704kQyPdz
968CrUSf7uIFfZylGaEAVE7EsV2oM1FGo28wyDQJUVb485PqJ7RAR9v8pId8MSlLu05HPga0L20D
I9gMnU37WNEat3aqNmrzrdcvN5w2hEBusuQ3crCatYA0aXdoMq6QykoNDwgrZCQaf8tokyn14mo1
pqheJom+ZutvIm1ns1AfavEUFkTIRR8FN3gxbvDFT4p+Ga78Sza9gVgP3J1kw/ajGoyzVicczQg6
R0ScWCD7kDVVcaETvG7Eg8DSY6kq+GO6i7t4O2XfVfUzjO8SUUMTXbpt91zGmScEwbiKsS/H8TnU
QGtlDlSNW6xByhYXC+d0Q56eTqcqArm3KYsekI62StI7S51tIHNpEGWMbnNCz/CpV7lnlOCNGFAG
rfY0kqAUI/hR8UvwWk2b6q7OOgbMySkthnYUsrldop03vBkTmPqh4xwp6J0Ct+J0+KK3kFHxFPKg
Bbvx2KhOML1LpNiT4FHT2WM53IEOtt67eUCwMJdYTmKCXmGhV0nW1V1yi+vfpkNvPBVXjk0af7Tt
SpiFpX1t4MPnMdxro72Vos5ZcQysoghW8JPbhjMbp3S5jAl/tURbdnOSbnVClgZCImK7ewQrvYpl
QfxUgtRys5eKgyyhTkBXapMR2sovaTBbu1RIIGrlNUJ7QVQ1I3v5alXdF/oSf2yiRwK2FK82iXni
3L9mOi53EgCdam5hCQxuJvVwF5G0nZTEi3Lr1klSsLF1Tt9B0r0x6DAtqiW0bbwygJ8Fu4mkFMDq
RneJFKqN2h7DSb2GIbWnuqCwtYxUL+narWFyIwyw3XPf0bLXuV/NWf3eYtBDJePrk/KwGplR96EP
Np3OiG/cCRwrst81KXuQ2UVjUzxIjcE1+Gjov23GOSjsnVk8WeZyMj3d5nlp21Pbac8GmKwoR1ey
0p1OjFuHahMvEZJTya2zDxMAgEylrY0SXNZtqpoYmWTc8P0xKZ8srm8Of9egVkMmHzGGYyCLZJ9Q
55BkDGVo9xbdL/LvmtOxKz519WzwDNbVc5mGrlKeU5IPs2JXZ/MmxthKu6ijSMZnbRFowwPROgAi
acPTs2kRBKiB7atoX2OiBOtsgZe5oL5GU0RgDwNoDEuNLLbVXiOF1BgUoZWZuFEi/GGEIJixbi43
SVfxd8LJwT5n0bOJopoc8oj8gD5Gpp2jceiCly4B8yMbrg+jTd6+JQ3pjrBHgXyiLtsZhtdGeRRx
uu1NMEmBeUx/lOtncowCP8q8+yyb21Ic+/azLaDZyi9rpujSRODef1jFU1wgru2ThzRL/UD7kcfF
a9P4oEvKS58OOwUksWL7YzNMzHuyFqtWrwPhX9lyWGwbiR+e6ZBzrVePOiBWimypR4nTxoU3qp41
WOe6sKCPc08QOIhXnP4FaTsjPwaXnImP078a9bftUw5B2+1ra4NPAXTeEfqvNqinaJ6eLGQ0FjTY
sHQfOVugzlVQ3NsuPmJD3pHPT+Sn7ZjkfJ3nuFvzA+g8GdxwAZMQoSvz50mYmlWTM24aSDwNXjSd
eUrHdKcdLU6HIkGshWEkCPFkc1JGmDkTuWdfB8Ga0n3SvaOTdsMxd6jbfoLERuo1A+nle0OiZpYm
z+AwYO3OhlOizSRXEYpD/XE1a5tkgop+sog7zhWHwDivAhZLhw8imHFvKTwDteGmGRqNaD/XiS9j
+mhNRGMq1M23xsmraYzd7VVoOfQQUWX4KSaEaiL90ogenxELFegfSBJoshAj76sgC2S1FWpKtHJu
vkBMLJHb2pcsm7xG/ylmiu4UVzqWswVexA50LN9YOipaNTIhPZpmlJNIor0j6Xkjek47EM+J6crg
7teB+ftoMNMrdYHGasELXVLcCHYhBjPnNSANiDYyQOJCWhAjaF6spD85GhVWzeqSi0rfK52xp+Rz
G6rdddGaezfK2F5XTank5uDldvg14JVZHWFAMMxqmjvgTgoWbjoi48GXxjXSdN8o4kNhZc/9KHEF
qptwoDZSQnhoQanBihjWc1ruMvOWLNNxfe5SJCbEU+EUWRd0sp5j5ZboHwv3SAM8xEqTZwaPfY85
MsIZXUbTLh8nf66zfTAlO0N6HlntGpxhWvZP0uZDh/cGhsyJsnI72t9Mbm7+nJHPbqOHNkrhTjKy
fbBU1nR8y7tQDK/5ROW49cTrwOt6iC4LqCz9BtdAPqSeA04fikwdiUVqhHargmInG+wVDMEG80Ow
vP4/ks5kSVIkW6JfhAhggMHWHZ+HmIeMDRKZUWHMkzF//Tv025R0V3VnZXo4mF29qkeNogVrZrHT
jVmJs8Uu9Clu7kOW7Kq8PZYBpVDBr2nLP23imdg5NwFl6eQmQPHJmMGufrDQNDsnv6IAEGypDo39
SKQfe8BftVq3CIzwbC6UM1QxR26+LuS3cw/3eGAx47Pd1exzIjQqvrzdIFgC/JCK/PD4lvhljjIv
wjb9R+XRwY0rIJgrgbq+zzgGnI0AYNL0n2WNaZk+NmzpOLunFmANnGWFC3s0frp2RqNj2UikybD9
Hzp6f2vzUi8UZWCBHGh4CsY9JWDbboXswAkXBr73bHzuq/pYlNVDPL0J3934PQvrDCfM1lDzT+eX
1MZO6mXG8lpZBlFdsDsjKAHNlTbGdkQuNgFbiQgt13w7B/9CNrt7plgc990w0WXrnnOUHhaj5nwc
STMFTVgrh6WMeMsCVGuh+58FyQ7vKX7Cs2dQT5ISkGbdTI4sToadPfSPIy8wVGz0a+2DDTrmhQlm
hHBXXikKPReQoI58JvkGAMVjeCMQeSudCUZtvXcWrrKzqf52bf+qW/kdzM4Li7pku5tTPMwr1KeM
Q3t+gaB91EXwm9CAWVvD1cBtr3hiay8N2cZejT54Lid9lBW7VbilYSv1H5Q0Cz99HfOZ2EF3Y311
koSVK5lfVufxNNXHLmWK9ktIKvVRqDbko+dc4nJkjfupuTuALARyPX15RM+Gz7HttibpszJx9xKn
gMt1uum28coOMn4Yk/HI7EwK7nqQn3ZV7bH3HUjoGMZvDmJrMIg4tTkXP5Zxi71wX+POQSq3meh8
aMuHvke8LePqlho+SYKhpkePa3MhaSjL5KuXm7fGy/M7EXUio7YasU1k8kk031g7eFVphzWUDcK0
xLmUlfNMcio4YLhuLvwr3BcbwlaEIHWxECS2xYyqNaXGMR9ZuBeeeFVLVbyawJbMbEZ5HOzznHAC
4z/EENgMHP3mc5sbSejisQoNa54vyZKN59T9u5hLcSmLHJ0iYU9UmFV7s9yu3CI6lztNY+StM0da
2IwXTCWaNwon0dCl4WLXRygbgDoyb9cGJutyAO6J8HkXojvBFzhTwXo1QKcaqVP+i6Bqa687YuFv
L5ZpZHuuPvh+uRcUo71fHGRRt42fCArd2t4XNJ0O3NWceAclQF3aIRb7SopXFlG/Wdn0PPzFcy4s
ShqIvmV6rvfMfh5DS/uWKu+u+v7Zb7r/OkxNBzswrXB0cXUGnM0zCEtU9ex3lrF5sZ38wg73zZuM
8eBSsFSwBwQJMqtzYRcpAbbypWcNjacnQAQyt6M95VcjysIkruWJPqjzUKbQTov45KfTBPgMFb1n
6g2cL+pg37Dz/DM6+RRE80b8m7z8j91yxOKRZis12x9sjnawh4tblRIQxriHv9XCHJOlEW4XT4xX
2TH0C3/6iUd5NiezBRqQfbH0B5pfiQNNGA5Dvv1XzDLalXXKvgUWLh25h7TGExxZCl9vmTK3Z59m
Qvy4aes/ZTLUx5Gq7aso0RoScvS7bp7bmx7tB1zVpNa83v7UEcRVUTdfnh7+maX3bbBEswZSxZIb
FgO+GMxrNrFcEkHKdilIUErJUzQYxrZ1b7g77ECPYIbeFEx4DKTCCP2JgJ9I6h/ZkGmWGAPNavoI
QAJfc0qHNqnTp6jVUoblYnz54l3R6XtoK5hghWa6hTDECyiRW1d9pAX53k07//H8r7b6m1j/xuUn
Tn4dZHHsu4Q1qDXHcO9x+YBeCyYQggPv4ZgTLhnUt3TzaBeRwNiywlnIU4SdWZDlYKFqZda723Gf
G7B8UCVRn4qYlUw/iluFZFA1WQzsg81xZKYACZUi1YvBat/ZBSGrYLoH/uRux4yZKRL83pfarA+8
+26CQeW4zOrHs+Bet7o9K/xUF4opv2ChtscmyfnlFz7KckHDgnxUVdGaStnplsZDu/jpPLozGhNw
DDiZGhu75VfWAVE2Hk3KkBpfAuzHqzVOkoYZ/3PIKO6MVDSEfA1w4JhZtks9EIJtfCFvePGy+j/w
C0eiznoXwDnZDZpB0qifO80R75AotXPLoTWjZgAfmM4s0W1VIxquJ97B8GzjaiMiVjmXYqORZ8Os
lr3RMJXgtSH3azdf9jJ7MCmGjZiKJ8v+AOJlrREac0/4nINZjphlmzQNCyXvmIRtZrzh2WsLcaMO
eCSatkVaeZMpf1yTU0TRG7sbCl5rQRrEZ5GRe5oKlpjBXCVHnwrSXb5UaSiXxuaHi2NCzIk+kQfb
Rr6aQxB9TdhWUEPyevitavkZK3fe5mKgpLOb8Emoi2qTZ91GD84cDcd3LPg0SKSv+VD6Oxz7XOn4
TLKkA/M9B1s1xS3dzjD1SmGfDGuS50U8FrYfnArzta8bzYJh5QkLnkfeG/FumuAPEDOiOdT+dGNg
1rpFDZ46DuHGMZ6TJpcHR7pNmDgezLCpeZ5auCYrg6au3FvfpPrYZIA0PEjZF1LIloR/6Tj2Vx4t
xC/Rnvn8f9nFHeqif2Xr99ND+D/PI6rFGoFOyonJgzTcoAQSFtw5KD5u9NSyC9ySXMVFn/EERasw
3fd1fxiLiGmHMhDHZz1QEPBq4apPHZfOimNsyHX/aJTTyRRlt+tcwnZGTN6RkL5S3KItkpdb/BV4
MyPsPoM7ne3RDilwIERJnZCx4LSxyuaWszqkK2AM3aldWAqbyWExsR+WA9CR2VJ7ufjLRbn1Hh0R
hb2ZGbKTGrFCNSO4pS92OkjKdeVwR+LenXgt67O0DNvJvywtroKC91UVieRogpZYTAnpsntznOLV
k7W+jy5PHdPkjoHe22KRC/aNsZ8SDfnMqXjNKvs5KCoTTn9BixPXrdrLoLu3xUukC6oRuuUrxl8/
GaDS3di2WeHCoJ64tx9jTRsJd5cXNaCJOW52HX2La5RwDsFCQIv7LR/N0NwTLtvhvBg9HS3rbm2C
NpIpj8hxhCRk5/z0i4avSgosJFFQ+rMGP6GOnfFis0vZZw7egy41uDHnsPsGVG2ei2OMHn0mnghc
P+lDr1U8xT18S5Mcus6E9xDTRZw7ci3W0Pfc4gbZJsnRqUlMcq8Kaw/fqGFRppr28QkOxFYPBgQM
WILo/8E78Ynq4je3tIswELcIoCa8i2nxjoCW8e8LvKe8U5jNSGA5s+fu8Sn6kCSXjekUj8KMYGeY
wVMxYcfDpvvR1X5/K+S7nn0gBB6/TeZA7kSuKKC6INNoJBDKRKhNeaUXoAuBXVB2MFw9gNoUObGx
rOJDE5PJH+IJ3kmZGpj9osfRHL99aqBW2cjcMrBz26vM6hbRdc1+nW8+t7GHoRbDuU+JWFetM+3y
dYHGPRLwv+fc47FxGDcWnr0qYYgqppepMr8tOJCQPFgWwaP7G1i8/2EZcemUoNuRufuDPcingpDF
pUktlg9giLZujYo718m57rOjnRT+FosyDUPcSOHQ2PVycSnbsSy2/EA29SqRe7eMJPtgtE9ZX+QP
iy0vErfP3YUaK8au3RPF1RvHpeS4rfwnni0Cyh5930XLh48BkHWGStMDuDl2uyk5h5yQYa56GsGL
mhCvnBvSFmsg2a0//MjMsCDVXDCd91JUZ1ygRzl5GtJy3m7HdggFIKC5mKPTZJz6uLySMGtDLbpj
gqLZYgCDyuA4eViKYdcVbM7W5JOJCaQqT72PUpIzP3OwlJsxxcJtZudRI87ZUeTsS3cg8ghfBX7Z
wpdqW/Fh+ux31fw/DKa105LcQ/AAq5lzKi62Gop02Qfv6UB/TQWwgJyxYQJy1VmzN+hA3KAxLJD1
sxbBcD00MCxUh9lpzmk8YmM29B+B5YqQ/EXwD9bcmI/Qr7r5tzLIEVdBtu1Ti993cXHK6eCPfbVn
c8/IZ4zE5OObnxP4Trj7hmnDHptItonLT0dJEA4L27wyBV/heW/pYmHcmMw3V8Z3T1z/ZzYFSc/m
Iolfc96jG98l2G/nN7cT6gqqDFBS8sXVmKuMc4OFqXazYR3jLPDv/vAztYN1HqeUv7sS4ysPP3Jn
B/8tLkYhepUmruABEM3c4jKIUlAAc4MPOIeAu1Etd/VapjL0FiJdbCXYU/Ez9OYIWgCzKvSIR12g
6jpWuQMw/dQE9KS6efVUwAYI1djttCEmlEibtLg6G80EUMpJfyhXHcIlKFFGnadKDUxvSBa07ZBT
jgv7wURxOix2z3TM2Oit3r3AEN0uSl/NPr0UEO2ujs/1JU+Nm67CVCHvIvbff5AUhnsJDenVZ6fG
ahxPHzHrA9EB9yme600gDfeQFtVBZMOLXj+qoWzjfYt1hBp5vDh+46BS6p+lx8AY5M5nkLDSTEhs
0POBIhLpm/IlGTOfCdM3X+MBibLAtbTt0lXsm2ILO/AKEw64ZZoBn6IesQv3QXE9JjB7JllyyVkc
VIQRSbKQCW1HFMowwwOOSESdh7HZ48buBEddOkaYwwOMIRAHjyaP/cbrsdo1Pi0TfvGPUPEZ7mxw
FPPAPnUcPv73v1bFNfHnT9fPYJwWH3ZFF5bV2Fieg+XN6BmEZWqstzBOA3HKyskDNrjqv2n1XVWA
JVWNkuKVZMrLjGes70508CznpkepK5b2nevae2qx9G+I6AbezodnaunRIBHQwotbV3zCw4VOki0l
goKrOCLYlgsQa/1lSXy4zEnETs4WIX0Il1Hja5htA7BGHGzlunQjRsf7V+kXamoAOtXZHrfyirTw
6VFc/9OhmqJDp+BrLV31YVCgg36GxSa4Rfic6LSY63AIrLNlcK5LM7h2cYdO30GACKL3TCyveYuK
HKdXLwG0blxBRq8+mvEzUMuLByeHaf+PN4Jd8PA7Ry7vI9VHPwP8b59zMCwI4RG84h1c+YcWhVW2
1CNrn1Fd2kt/qM1pCcmgphhTczPHiDRmVHUg/aZchsDBcFhQv/Ahe95vi77Ern4lJcMuNgkIxMGM
8KZ7Vw0+psMY/tUUPwkvuIvFLcKuBWXav4MP5OIYWzl3FC/0jKU6couiVGY6xen4GlA5sJssdIqI
tpOjYpnUV17MQiz7RhpiFKrHj7IzQQ41NpZgGPObeQm2IPvHZ69AKFobI+2GaKeTqUNi2w/BcOyz
Wm7rrdEhu2QdXxY58VU1JI76viLJCNLuDbG5Odidw7MmMQpz2KxRCt6BUzj3GVRa0gKBgkSAzPlh
COOl5aDAl0AWtS15qflRwcdPNhwoxZiANizWrhC5nFOLL/3asyGH3LxiwN+6EsO8NWAZiv3g3sd4
99jAFcyg3VfAmof8Oy8xv+QYxqzaDF0Px9nhvjiR9sHefg2KGD4h3GzQcYrbTxeEbVNR2FnO5NNQ
951csfZhcuI25zDpUPaNArgD5yqIJqTclYKMOxRPV73UYR7TZNImDLGUhRxLw0qurNeAYfl1e9DQ
dSKdpziqCkp/fftmJdxNlOJfrMBtYAvSbOr88ty3zbphZtmktbdFUUweE9U8AiznpzEQjAT9VWZ0
1w3UaKUmif+OUDOtAhg05HFYXOTkCkFsYPVglx31cZrErOcPn4VJe3hJ+iCM0SmWcmp3wuyoFlyK
3aI9Eus2vG9B5oKd7fyX8ijkndh1zsbUUdyCH7Zl8Dq7aTjIlduRzE+S99kmIGB0aGj50Z14skWk
doKgV9g9Z1YyXFibfDn+sJP5gnY5kZxfN3GibYrjZH4pDz0g7dqIlxGo9zikYhK92S54P4gnUtxl
yFlMAcGI6RHGPleJ65B+GkGBWV26J+VwAkZxi6JOFL1R33ERjhY4ki6q/3pDdof2taFc8kEN+bU2
xsdYWL/Mpnw72BSjCRHvlw0s8ATcebscPdUSeQxeUt0MLETZKuLl3ipq5ncgr3AmtIBdDPBTOMMA
BxSGBV6TKIHnNv+chmCAlPOOjdxADpWDrCfBidg6y52Yuvzg20Rxxhhwium0l6HRWegAQV8KoR45
lFhSCoqodJNcJyrxgjjR15wGvcFts2vmH2RVYr0UoB1qV+QPQXQfO6bNtEwPbQ8frFyq5ah7IsMo
PayJU7BcBCoRnDtQWaJDOg/ib78fsNvGmdq0A4aDqn6qI1oWCVc3IPHtX68hYMMyaMTvgIIARqNY
xtdYkUfz/FPn9mxVBUIfLbGPNePufmgwzNuyYOEYY+fE+U/AX2LvUy7ToI4gSXPezlnenwZ+fTpD
0GDiOjosoOXNNDAOrtSPDJ3aqPgmrv+YDueNkgtvLaKWhk1OwIMcnXsNquZA7K1J7mUFuzjPs23U
C6AaJI23uVxNkV0NjGYavZDJ1d46UGjDITeCAy5H0MRJ7lCHFR8I2TanxvcH5OhnJkuP8wh5gHCc
xfVLfzKkOKHVCVorK1baE0RrHPFjf0c/OLdNU1/qtnJObZm/G1FzRHHzQp6soYa+YcoVN+T0zm5Y
xJ+pXn7aEqk9T+gbKkt09V4Ol8AoZvCM0T/ePqCoM9A6IramnWtZzJmu9s89DWVQo1dafHUuCSru
IL5PG0yBVznmX5TPUfgT/zI4sEKgeWcDgnUvxjb0O5zCMyY5zUvixqP24AwFCv4CG9BCi9nUpfXc
zRKzRQq+cLTG/7ysOWU5GwXNvZjOa3k1DK5gVaLPkUnigZs5PndzC9VAc7Kgwsmac5FxgyviBLLT
roanIs2GEAjzH7FKvtbUYc2K7cOYtmeukRz7hfffMIAcFnP8z3DWXjUwAocu0JQVqeKxW6mJ1Uyk
qsHWYCH9GPiKHwbSLdJzmov3txparIK2us6ai3RDGSJsVBD3dYQzLZHOIbcgYqZl8RJPOYdQgAUA
K1X3F1Ksdqe/wTzvfIOujBa+HcBqEXay7o6d0zzaKVa1oMhuXTqalLKypM8nqM8Bf7ihMyTr6uCS
yUnSL1h++nUqnnig037tKh0gmzDd9jb/zfkbtzGHczX2Wy91j0nE0mh2KqIuTfZOCRV1d4muH7LM
4N6NCbGynCA08e0zl8lvkeYFXc/gpRokZnD+tG/+gAj3HhfHefB6PO81iPuBEYOyTN5N7eL6B+Rx
Gqj+NmZDpA/XUF5kwJaa/QBAS9p4eGQ+3vH1s6LM/zp2Uz9PVvyQ+bF7KzDOzTVB0MoS7ysDXZUp
mOeU4gk2S81eNyW01/ojM9xsbxs46ALu6tsIpJOy+MOPVCt4etZos/2HmvRHqcR8iFOWD1b7ZecV
JG6MaVsQHUTNWX6QkJpOo0BoRICK2aGfZMIOfsyw3aim+jXz6YMEGk2foC2djCW1iwrmBShsZous
ZtGKFKSv4EjUZStMSgYzH2FTSPMz9glFzB35GB8vOo0X/sWyYnlkNLwTyTRDGUe4gNplW7ldR+2T
8DZDIK1tnkb/abHiGqmFnep92T8xylwzkByHINqvjwoeciyzWB51bTQUHw07xuj+6CqUh5rtIfVG
/dWP1jAq99qOE8aZje8iad7rBgeAhS28W3B9Id+AMu1oNXGqBlpeFZG9G29FRAgx99ieVdYUOo1F
C97y60v0EqyuPG4pty4L55llg6Ql0KauxIk21YQJjWmZ0Qxq5tYsI2xdFXWZfj3ZB1VaPSZZ90Vf
1NTPYGylgBlc2aSGsHXkE4kF7u5jsS5b0+ILu9ZjlyXlQ7tYT7gWL2W+pPeyZB0cRwg/I7G50PPT
l9whydO7HeL4xLFStN2bpzirl27EDu1N7o2Z+jbmY3aYg+UfQrGBEOx8D8ApSZJxjfPwF07ldK7Y
k4Ray9/Y5RIW0Id2RAp5K9zqXavKPPgLlqO2xramHagIuj8nynqE2ZkcFVMWEQh+9sNk0qxUaqSt
GMIEQljPt+nm1fLK0QfZc3ojugg4UIppZ+R/YIdwzayKJASYkew9ZYq9E/kvEyj5+lFP2Z1MAeYI
Tx+ydEp3co42fQNsjC4+z4g+eeyXva1qgDuQCx0jYKcBxRufM7t1E9sS33aa7Cr88g0Z9A326+Q4
zyyhelFFh3FsfbxsAd+M5QQAuN0ScfR3prbXX2fMjnqeq2OB39FscFRJ3MDtv8jOaXMY8fsVEJ0m
Z9eXikYsGPqNHPXNIKMWO056nAh507iLo38sy684KmG12HTpGQoyIfEf1EHIMD3h0GFmOW7OxcED
16oXqXBwEnZvuHsmgWuAxoMXm88pAOExzmhJtY66neK9GwxUOmjVvo3z4rBZ0p9xTJYzTcdHjz1l
2GsOOYZ9GgrIr+gM7XhBGh/m5h9aCMbpMf92XCxXEW2EoTDaglgZ7jWRu38I4aGwiQomq3cR5mMm
aOQpWoeCB3/5mIeWYAMQsZwyHD2iW2Ul4g0lRgRdmo0rRnxdM5gHzL8bofMujMgDsAge192ceXS0
KV5Ix7Zno/IhZwS31uusWyPdDoNJS4g7vkVBzXkCIGTBEn9IE/XTG5VBcaFEJVM0VOUxm0C/E6+I
P1aYVTFh9O57ySUyc+K8lCCU0z79jN3Z2OrYlwzIyXeFCZo0xc0wyXv6iqWpz81y09pjgN9BPNiD
U/Krpqdk1PKUOzBxZeDeh6ak3TRWAUJOT1nVwEcflIF5jTMOAJ3w9mErF8IAyS69YTdbK2t/hGtG
WxK+CNMLzvcchra2xcK8VlDR6MRkt3tM8MUpFonYuRjAtq43M22XKfcG/hGdGqy4YxKrlNjpXe5O
SdgDp1D1sBaa2BrZp4c2GhnPVkrGdVQqOFkZ+KGJepRMaiLBfK9oLu82uqTK27ZtCNM5FbfjShQ5
0KBA1m9M7a3rxn+KvgDZaQZuOHjLw0wc443nBKcvvztDc8E35smiKoK1gxHYT7hwnnsNGkUJh5Qm
X68TERsk6PWwJNKRAX6BMMNnYJQDNk2sl4tQJB3JCu/MNomhr5N/LLFv0kEPeNIwmNmA6W2SHjsh
TRCHADccrNGEYV+UBbHfo704Ytcr7vttB8iNIrnkEBhPfsF0MvK12JtF9dLJrmKaQS9aUoYKcBwr
96DlXh8oyok1VUjtLM+ou/NjPOFZ6o0l2dWUDh35qRoGV6y1Gb37KN8wLYiLieoeC/5wwrECQm/g
qKKsXvkcRnD0uAGNOtfHrC23asYYY6i+2FUzCg9RaxQep7osQrs33nGPCjNhEjTY4zIj33nsNLjY
2A9D3ByjNv6dI0EcohRfg0i6tTL9L3ERdBgOzE0k22OHRl7p9iew+3WPeOcJfaY63HlwCHMwwjkD
TjRjZKBRUX8wit6gNmvFFyj1AgjD39O8QOhx4dkyuoakCaOUr4fb0DTErjoUOG8eb3PgDIz89lcq
cVy6gXHqurR+qglBkyswzTi5jEn820ctDs9i+LByVcDFXwhPSB4ocOnEKTh5WaAhwul0XYo8eA4t
ANBuICDNE5P9+OSMDDgakJW23ISyragiWIA51yoJxzqNPYSd3z5aqIGtmIJ73BSU4Rru72BA6Umx
07lV2YcjfWQBDrkGNzE0um4n8uYcdCRrfEKtQNL++HXp/hPuS5aKB7eMb9IcbAK6/rGAGNr59Zk/
VnJXsnkjX0eahQWpY2I6VBTJn/uMHtQxoHWmFnfR81OpTfvdMnrrsWpd5+4KEnJZnN1x1s0ngPXt
ueXiu2dz9l8UFJzAnu/8/1+aBnoe/L6JmaoD9MDSdZ9Yzdahr+Mk8z7ZZQbN9cHcPuVOa54slxDD
UDvBxVUNdTAqRM1Z67IdRWAHLWONDGdsn4xaBcdEvNVTBdh5oeeiZ+HgiIoLULRj4VeHgZ3dAeLL
pzLNPjDzvAeNh6Tqca/hYW3AVHRr08ovACbwjwTLBplX4WQrh6jNvS39vVdh9nS8ID3QnsKlPKco
bRwp4lu6d4yY44PDYjHEvcSLrhgOrlkgk6Xpux71C6SHdkt/ThoG0pzORmI+gjnwocv2rModGAoB
QCtGGYRaNjti/IhyeNPSgXhObQ5cViiZozV9m63oP+rFrVezEd0GI13GEQO7y/vxCFgG3ErmeqcE
3VOs1no5Qp6uvP659WkvxnHATkH4cKA+ylw9+n0Gpl771xx86kehSIwzu+1Mv/wD+P/mCIbnqhpW
Drx+znRbE7Txx3dJwU5Y5fLZZbph27LGfIc1BcDsX/Rkd2EquQSgbbqvgb+qtUeDVCJpywwGBQC7
KeLojxCuWxalqYyzKz804EdIyITkn4uewqLERfPMcLV00ja3yZBjJy43QgSsGMeJ+iRhHAsFAjOr
rH5XuuhvmcZjk6GX77HNVTBpAHsmPIE6Wdr7qKOBoPr8awyR+mNHAS/HRVykKMedyoV/8cr6WzX4
ctKyulaEha5tysyVAwzzaphqLaD3caFJ9jKbk3EdsK1dfItAZ9qioZCb5VJ3MVRyBpuxUZm+0Q7i
X4cGGDQTKKHQ3YijDzb97LOQw0A3sfKqjo5VJEdXRDnpL2jbXlVT05BD9l7e6NPLHmxH/qe02WIn
55LDAvTENfnXmCu+h0RpFHRELEw1ID/bORfT+J2RUWdoplAHhPNG2CtvPsBghu0G2xg0+7jJiDeX
/b1LcTOagkWBFeO+9COGIn8B2itrpmTKap8izIYlYYpjkvTzpsFjnLWItbgm7xOcGIriD/U1byJq
lYjnUW8QkdpW2bGvzhRH4G5Jz4vS9dmBLj9nAX3CVGgSU0aP8XsMqrh9QJfDs93YNfenpCGRPjJu
1i6tQv/wTN1aCmtPlq55NWa+E3o5xt4hIfEz5sU/6pXp5iY3fLK5foV1kEso2Zp4Qn5RSXlKC5q/
nMFsYXjzvk0etNSnpoBANcaqOcH9oUKuyklARd17Kkfj2Bv+3sfWmxW1+OR18V9Fn/CxFFkDRTb+
Touo2aI3AB20X4T9gestu+NQTehnwqEdGaAI6Lp66W232E/2/C4SCthnay6OkAsIiBjTySn44+K0
gMiBhsDhuM/6idZHv+j3mA2akVzkgCP4LA0IZ07CBWQNarW+d9V6yMNFUkzWsXIxSLVucFe1rAD9
ZTNY5qFzHXC3LkD5mjFukBc4BgRJOxY9Y0PeWLTlkaI9B/Lrqv8oExPEMKt9j3WjUGremlbsvU4E
5g+ZVdIe4CanfoRag0vVnLH5IuPfozkLa3NMHxAdkr3bxSxcINAjfPbXXI1s4TWyuExxQiTdR0+7
zqHI5IO9gKfsDP3MJAJ81hX/pMfVo8XHgqi+6dom3gsjeSOupfnJIa4MMjrYEgf3YtmUalFBNqXV
lTYT7xn3kECBgvPKO6zZ2X2bvk9mXOwph915iAp8//RezOQ9/Hxr9uba0TnvI4VpXw6Af3DT9CSh
YH53/XEU+ILIj/+LpKz3y0goZ8sFNIe87nVbFLgXPYjiWJWeDJ2ZOG42Rf7VEFDvoxKUbqZ8XsFV
a+zG0rOuLBqxRqjlDb5mh65XmE+wgGP8DOwpek9AfHJh8dJ+xpO+wGtA/a0KbgdGWQDJ6CkCqBvy
1wsAcV6+Y4G5GiH4BV3Xu0d2AWffJnzv0IPxv+7ybdtyNkHpitmc1F8ghGn66gIX9HNBpWVCOFOy
+UFaL659Nn5xpE/PKXN5gvr0rib7jdas5Zj8up5lv8Dfai5+lxETCbr41YnEnpmX1kJJiVWnfi8Z
d2TH2wdk269VhLxEzA+gJBFHfyLirUzjKFX3KAPYVRUVKsKa/tjVOJy8FeThLXCg6wnQO26VK0Ze
a9NZRFFt7h87B5z4xhO8m+Fr6ifu/FQ2eZ+9rF+dsfnNXdN5rCrhnqZ67rbiwSwYPBiABR+SUo8d
LZIH0eLBZH9Y7mZN+i3p/Z6GVCfNT6bFFTwpXPloearcYQ7lFbXUV41T6ZR4vFictj+DLjKIqwRw
meb+i0OxpAmdNfb//hJofoQLkOGd4v8o/cY/WgHucsPCB8InKS/ZL5746Qyg9tTYRndenPg7sgyj
Y9jdTIYXHWGEjGzLq/4p97NDMpACHweNsgC7lQ6h2TssARasIWk71ID+rwsXbi81mVUstcu2aDBC
jSTW+1H2t5w3P8/3vk1ZvAVNZO3gjpILT8xLZi5/BocoTYmjbhncgk0FL2hMNT926cC3zKub6gcb
rwCNm1OCAsMGfMCLy/w/xB5hnfUvwmb0E9LTx2ltF0ojUoQ5ggHw7TfHL5JTMDpvk85/WEoOBC+a
b+Au59ySyCSrC5t/O6ObTMc9NivyCVLvEsf+Ri0m5mbNRH9ndoljbPogHswA5I/6tGEPsCkxTnPN
tzRmiIARB+ASjjb6p8iv0p39G/t3+hSnLL+WJZetUrXIgXP+w4wxw2UZi1AXnrmdk3kNqFBsQkLY
PNtLF07os08B3SivuPe6TZmpx8omAGKWBTmuiO68xkX+HqhxDr3IAPHgDXsWAupVYozl+0tAE/cd
V72Me+m89+kGf+xtBm/LnPcE5ChgHm+GbzN4TPZvHgen1lwLRVLjPBL6IlYAanzGLFNlH70nifpO
3tYryNObcLrAH+DV0tNDWXMTDYDHXHQzHqHWAR32A3UonPEgbc9+8OuacLL35ln5JR+YXLseE0yf
GT9Rz6LV5aV3aIvlt7cGLIv/x9h5LTeuZNv2ixCRcJnAK72XKMrWC0KqkuC9x9ffAe4+p2533BvR
D1u7SJESRZOZa605x2wdvPysi1GT4EtGwHkQaKyWQZXPS4rMLl8j/cg1Z8lhXczpg0WrjrrDeg8Y
YGII4xEHYkPLa2rjUkQso7Bb00VipZ8a1NDEjNxtqkbnweSJoXfMLKnfpHjooXEo9Fb0s4kxZBit
OReIQgt77H4NnjqU8G18q8TYu2vYJsA6NcdCq/wLWbDxdYTYgdCfw09gswXlcBoQHiGPHi+xAmqe
jZxL/br+BeYY3TemlZOd4mBBpdxv/GRC4wLHE94/BmeQMXYu9ZVpUIpUvklFJrPsYtk4gVXQeXS1
s/Sq+vann/pgQ/NAUN0jNSetWxTeVxeJTdGWF1r+e4JMGbR6ZrKRowwvCU39jea0xrpvOuwX2UhX
i0a4L9P8nJYcN11739ux/lSF3nCKTFoibv6SOlqxIdcRmh9pTJ1Gg6Dk7Ltuc9J1rRBga4tDi8/I
vtGNnpQozNxg3F96vZo2DAAhnQucy0mdy2Xl9AuPPvJBt1et82uKE4hDU+7tmFgRKxAQAVfYt6ps
py1ywWSlNS3CSI/yXPSo0ebX2KkTxK71w0CqSDKjOJLTUHIUHzSDAoNCdym8yDqlynjNi3SvBLhe
L7BR6xvUXJ5vjc9mm8r1+IMGkTm1Jm5hcxl6YIoJ7n+r5LBmoTS7tHMqXJAmvzzNeLAFGW1a1L6i
g+WA8+iprt5QixLoUakZZ8OIhmgmYRI35/k4aws/JA+X7HXBjKwfhgClmQPPuWcgXGZDhuAix3CI
eGY70+WYEvXJEXD7NSYya2plcUn6ZiJdKpJHkB5b4TCyGyvBFMimWrLc/j3LCocdssjWU0lNyHDF
OZrUBvwLg3muGR35KSEDfwmwb2Sa1XNWAFGWHdHXcdDVIxpDAxQGAGI3IBC4KRoilG0mw1kVUTQD
AuTcKhn7F9m1pMG74M3Ku7zW3oEg6UisQJJpqkgPwOTPOhXWKe2sLQTb4HWy0SMBNCa8MCQKPVDt
JV5UuWmciqDg4zrDAy1L9vsMl0DuNdWFEyzzcVxxpjOdyWTNby6Ipgb9BursZB/XsNmEItlE8xQ8
LdFi7gJlKGmLC9FDZkxaeTA68+wqwM11dCD52LzARm/NITn3eKEi03zEDv0eqElcJUOHkeI5DeA5
maZHg13NfTUM1VPzYdnQH0zC+27sg/o+Yla7oClMsxsK97ZpWvGAVNta+7JuKGasPxTS+hZaPp1r
f9CYj7mf5NkFG8Zjr+HYmmSSinBZdc70iV/81gYEyBMDAG5u6p1rU0z0c/SXACH13o3ppJsMWimJ
FbnPnXpIbLdd2Uqx1+H7469dpMj/aHWiPClSGiaoMLvYyzgD4Lw1fGDFrqaTz9AQ+Fs4fg5xltqp
b7vXKc/pR1QSIlNt4ZVPyBUdYvNctpjWbQNxSJQxgYfDxERHdTsZCMzhadSfe+dBgOhc+iydz0gd
EpynVY3R0p6O0Qi1jIU32iVZORJFRLxQkoXfVefB3BKYfYCvh2w1i4gWadZiqyS9jFlhiVU2q9AR
K9s4+m0CD0lAnsGYCvqSQ3FnzRAtnycHW34cQBqYrONQje5qkl60zm13IqeeKXzSCRBBTDUhcxfI
BsPuKaoImWrb0rjQ8/PttqUqsJJ1x9xyn0BbI/L+U1FdrGzfRoqBb9nRg3WRvVn9jxkUZItFpToF
AosDvwryVHAd0KcglpYBppbbWCMnLkyCHQLc/lmSqn2XUjWwrn+QnH2oxwxOjfdiDxFe1MS7gvD7
isd5ecjAjsdoVBKj/gLQUuAfrR5SyLr8GAgW1Br5OQiNfS7G8TwMPYhvWYMcmrydhyj7gUzG+m0y
zPTQFJRNQqb2Wx2nW1SlHypV+qMMpze3N/s1ugFI2wCuDjXHTk3Wp4iQROTWfXuYBkTUFQ5Ez9fd
BzBq9VZgWj5ajCdXzdyvN5kK1JQAZg95IfUJXyYkD8OkxTZj9WxrpKNEtGn+54sRNA8tMXu7yk92
VQv6Hi0UH+zWV0yhCWIjn8to7edI8Q7QdcC7Gq2BF4Fp0ziFOC3xdVf2Lid0jZxEqFVtf60jgxQa
ZXlbPSiha7tYnnGTUDcn7sE2yl1baAKzaPDpRqJamZH1mSPlzkETbNoQEVfXxNVClQMNDnBE2FwU
z1NnLrCPkBZuy3Us8O3JuOFUqRenQY+2DjApBEnoqyrJEUvRWQKLOCz1kPKxl5q+SdEE8oZlE3LY
rTqD/UNiXG2IM6ccUZ/CIr0scbGJdZrySHZHUIr1hXWsvdp4PdfOaBwZaZEOMmjTGlIHJ18tw65B
9uuJo/YJtgSGgpT9oDG7n1IZV6exftAOf4+oFj2E46PxadawLvjT4q2UCDGE3W8EkO5d4TFlGwAc
KvIt8gp7ZROkh8EPb7Iw5FLFDd6UpP9u3PG7T0MDwYJ7qY3uWZjVT9PxV2KE2wBXWhhTeuAE6dHJ
i/kQUnc68K1DjjZzwz8FnlGPA4mmudpGhiYYRJQNwepB98A2Y0JAMy9WzSvvs4EAHWqNOestXWZW
/6EYSnPc9OTM7UewhaKpQoB5DHjnLgKH9uNICp/ZvQmp24+1coyT5Xe/PToxiPbEbgx64MztaG3Y
4VnyKgJ0fAgPUfqqT6wzjoOdSrmkQWGhf/aQ92Ewd6LFgHFg5Q8g6ryOpDXHok5uefNDdZ0PuRQy
Pm+wQ9ucLZ9yVaJbTTQ6oYoYEIINp2xr92fL6p098V8MlkA98HTBqZqKKHgKHZzqUFpXvVYWvwrG
muFQUlMm3XSz4vZMYKlrKVbCaJshsgdzJ8xF08FvCaeOhVUsbIHGMEP2tDbqwDiOoeHtK5gsBrLq
BzJZSZwimyUwUHU7qfdYsxfu0pQZqDcwEjPr+UyrQbOCrk1SqL4VdMdAYIhN2E04DSKzXRZWi3O+
qxc68NZ1PRCrYGhec1Ugq7hPfCKyHUYPHltdmClQ1OmPMg9491yAhQCo6sdYS7/7wPxOMhAJbvNS
yXiWnUIxNNzynOdgTMk3WeXM6RAeZjsZBTukI3h0YaEUPDbsKYC0jPZcF/WuwoW7iDO6BEqFmywE
WpMnAYPyUrybifVRu024DoIGBRofyLUVEHBrmkwlek2/ab1jUMEJpCOyYBKKeqBC5LyIxmzRRAhJ
/EqNqxS3rDnAuPR1yzjRRXguOWVckkj/7Aq0vYjEOUa2m3y0fukaJqusrM9Za90w3GBzny1VLcDp
0g5+IsPcYrGv4KW5sNUC9zNwr2yJ+ko4wIkwsMygh+SKJ/wtDcADkPb2gWyKxnqgL7u0wurxw7GG
M5DU8c5n/o+Y54mcGH6TuUAC32h+ot2vSI9Z+RYh0TplIApI2BNlwvbf6ep5kBEOFeyzg/XT+Wzc
vvNJQF220OoK8fxALUSPy0OfhgRjHG4NpsxF1KFBtAbWO54lFJAZ1WIyfg0Nxy3Z4j3GZ0BAA3Mj
hDq8PKRschZ6QJR2TBMge35grEyLrASVQB43BNgC4kCrdchEknGo+cI0aMCyJojPcmyIurljLesq
f876xuLt7OJOCtGt2TBBDd1NiaD3157B3LCEgoWk6MJ+BKGp8b/V5P2x9J+0EK/u2PyBx/DJI9wy
TrgVpRHzpmpOMSCkptGOnR8dysY6sVOGSBmyWxQFVy2WD8zNfhlV/YQ0b488glbCLW4tFjCR7XP9
26SRRQvafgeFNyB1HHs0ErtqHNFHswbsktLc55aHfrZVIQWAtQ/AyKyacCJuhlw7zZ0+YeUjmUM5
Xt46HcZE4dc3URKrwcilTbKXONYx9CmwDgHIdbCB3nzGcvJViT6G/auDQ06rIfEEvR3s9EWWJSx6
7n5MxetgO49eJjnmRdgtJh91moVSu/I3UQmXgPyZDz+1noqZQRkwb28ixW6an6oeZ4YCRA2HD44G
A10kqe4+cmNescoYsKUUMj/c/0UiS7VJarANaFPzAvRnotswMEo3JCyJGA6/nokyBvqxmmPRwvJH
DAsWke0ooFZma/BnJu6xqS905Tjsz/Gsglj50QsMzmXRrUjEO/rSaO12hDf5Ya8WtTYhVPhUuUla
OWMnSCofYS+ZAIy1v2qZP6L8mSEL1FuoQ3SHRaaphhTDKhnCPkYDWST7eWhmmAExjok4aCOZ7qHh
BHgocLqV1mdZ+go0jaJksxy1DzGPeAkSJLuF9kCcw3frccCGm9SP0RlH7bNxcijg2PzZzHUcw0VP
eqpBhxXKWohk2nenhxm/lMUMnoZAjQv4dnS9p2uUwOQMR3QjMrZf+FQvw4xNDNuSsdQb0AR28opD
j/w360HPlTrWtfYCmB2gjWRUbKUsntNQ21thEcBQGG+l3ukgGWbZ8DidW6/e5ENKnzANPYZxalgi
QQEOycx14bMcI4NU0bmx80su5wMXWpq2vUaj+xt5KnmOTLWmOrJgtLBQkC721v9GrAyiL8Rn2MWm
sQrGOXqzglQRSxDPJafGHNTh1FXOMpx04laG+uj1hraYfJRXMQOGqTBfezj5S8PN3hzMM7wGpKLe
v9wvxl6A1py9xcTEsh/1qL6yMFfYJ50S9FD6r+uaBHuvjt6A97Y/AzbivVZE53hkFpyjWDzfr79/
uV93/5cZVvHeCJIzroEYHobTE6MazT/g/m1K1RgkevTPpb93++d298vCj+L9gP7q7+/4z9vdf8l8
Ez+kWUChDHd8KN1nohvw+DkBZ9L5opdbyHvtsSDoAZ2D2fYwV0o3uGEsowrrG4F7NYQTWSFAqwYz
u0ZdC0pZNyNkwCkygflLCf3iglbg0fBSGAnzVbpsNimnmLNemv51lF8tFe7D/cL9S5xEj0UHoGp+
+q7/XCXY2oMcECHbhX+9f8PIiBYCx5Bs/t5Vn2FhWuoEq7/XdaZu7FIPNcX9bvcfYFZyS+//PDKI
ZC5YlEfiuGnAW9WnK5lGdNKHhnK/Luj+57vC0+ttwLGTV6Sxn5yh3JumWb0ZQ1kjTSAwSeKbfIsL
x1tXOjPN+3cVPS1myk12vl/ETAC8MEhfmrqwHsOpuenzz+CIovaiqsLVv+6UwT/UA6rO+UdWlv0t
8jp4gFKSvSE2mO9ij5G65Oa3qetr0iCXBGVFF8caogtcsn/9635dBjCewy2wJHq6KCvvX40m+GMO
TA3v9/jnuvv9Cq2DolvUpHjMPybS+kvBNGNBaMgqsYL2l7Q0kirtHohYM0XvAvvN/XotRPiupzO+
P87jj8lHKMjN83H0NsTSW9sCGM6v6tvy+/aXm0Xd1tS8bHu/EXEPTjwZH0kT+qRUJxb0f+7r9D9O
1xjv+AoGwL8T2Or56hLHTZu5xhsYoHiPEQMGnUDipI8cD7qg0fNNFfvDMRtiBipRPw6Q+sMSTJEP
yXj+Tooj70iwV7dKJjkwtkLo7jBdO7QOOW84RFlvpeH+Ts3X1O/qryZA04L4pqTh2HtHYSjYtWHv
vk9i3Dl+Cg+4Yyk1m6661RPsryYSxc5RRXzzMZ4tCs11H52kwNBjh29Uu85jXdVIc63ojMY2e9cY
fe9kZmdr3RPZ+0iEAZt2WZyRTHuvdnorGG6+i9bujui7umXu4OLINBkDSRryizSSP2abxK8Rqg7Q
FSGG3fmibeDfcm3UZfeLQzWT3iIM0LId49cMyRMC7ZNqhwk2ZLG0QikfvaIKbh5tWkLGkxYROhc7
elu3iXc42Vg0Cv/9Fvdv3q/731vkeW5sB8FhrCrQeVKlMJyZ//X3y/06GZVJCuz1375zv00wKb7z
9+b/efl+d1GAivBp0v+93X/8qr8X5QCj+367/+s3j31XLIcm7k4UrRojfadCVTn4L4Ybj/TofGNr
kumpqw9W95Nv5A8uQ7sX5SB+wO8hhMo+q/k10VO60jB3dvWDXYQV+c5kAQ+YyNJSrlAsnxMATBeM
tc9CI6K6heNzkbQpDtYgjn2rqq1nkZTctKcIFsVLoEt3PaUQQ7VueLJHvX9RQ7yr4AynGKCHyiyP
4zQ5ckOz09sDncA3hpQxw3+blAkHFmjE0UUgj4N4USj0qly8D86HYeIBOBmkRYmwaPXPZSQYnMDx
4vSbsKTDdL/93zvd/+UQ2MtsyEJFkGxg3LU3Z5DOw5Tk372WV++UCRTDHeM1dI7Vu9OLN2HE3mNV
duVTPVQP91vBpQt2Mee79f3ihABnUZvtdEGBNB2EnVxbNU4HD6MuUi4Z3GyzDW6h1n2XeW8c75fu
t3DmW9wv/vst7nfq55/x9xZul1uHxKtejbnFasQu+IH5y+TA2q6LkjD2/7yM19CeQmYjGXGFoBS/
IjnUGJn9ksCdurhUowRyntvap6cMwqn08bVPC3831FpHq3Ts31DdILrmnsRCGlhCogk4VxY89AFY
3/s9STu65ErqLwOtlh3DOX87GGH3Tp7D6n4DJ9Kwh8iAmgPrL4VVbl98QyXE9iFSS2kCofLgOq2c
7Is7fzFt4hUzplQYQv7tG/ebGGS4Q6vwjg0+Xgao8z0EA551VeQDH24u/vOd+51L86FJpHv++5N6
tJFr5WEe7ybvxWsz+6tmRL1gyDs9qbQ390HQkrZaePX7WGib+y3CcE7uRQP7EKsqOjlljD2yzdIv
zGT3G2gZbs8mFuokI9+6pCmVvTtY1penFSut1boPn57Jmhis5oDG3bgmhsvYY/7tU9A/FrhfXxJf
E9tSyQxBluU8/+/DA5LF7HgIxH/x8IYmjE6VLP6Lh3f/5R5itRDVyH/x8Cg0/vXw8DC7z3np/P+f
vUarmvcu9P559grSxP959v4+PEKski98Jvcn6f/17P37w9OB8pBMWdKjCTIXJpWJbcmjg4I8J46c
7grlYjgJANulHdckS0roHm1BiLofB0+eyMMNwuxmpcoRljNycjVJUFbjHnzMU0pXYZGhD1iMrUbS
QFufUf2mK8STGaYsglKnSQOYYsMOiXCZ4VS42Jr/oSWY8/yJnPU8sL+iytnLYTrbEhIt+NA/Y1WN
2zG2dEam6QptI7JRo3moTFOsB3MVt2RudILHqBFYT2NraxrlVWBfo8anpgO7hQgO5wkUDAsSY85s
PPloa7Nc6cJ79EhyWYZ98eXVxe9cG1+E3dEbGdn9OgwaIcy0xgXhGKY4eoR/K1PSawq7fsMGSr2i
yXabJKDtIs39RvJL02AQe2kWy8lnX4aw4DJooUUyBQBQNBtPUdvc4WH1VjXEviYJyu9gGzEYW1Xk
2JNQwkR3cg+O4BA0Gr97yKnLtKGv18LApb9Eb9hgrC7J/8rRx6z1ch4/yolh33BlIIznPRrNZUUE
euWJdCHi1lyV0v6t8/ItEQU2KzZbAiPE70wzr6my/nVDZ80cI6SLPGUoJ1k7NAz5ue9Cycd1stC9
mbABCqXoovEQZPizJ7AmTNqhqLXwpFNoghBMHjWNAc0IXHEJv/NcQvhfVn32HRgJkj4q76K0rkbj
XNJ2ZB6hO6hlvCcDhf98NOEIGcVnYJMt+xEesW7iPwyH9kB0oyv1jwEpw8JP5Uh2DnXgStX1H0az
5sHri3NCtbkpshFLnF97DGGYeQPFwx4GepBJdYRUmodj29quMTGekW069y7wzBXeW5CGvM7qT9BI
miwzDMoJmyUwx49Jud/lxANEUgAayAkWGWpTsAWEuRg2g3ND4MeHsDtr9IBegdrib+H/Fcnn1XdS
I7oJbfluSNxLVjckG2EX13CIVzC3eHo1PVo5JTEWrjsBIcgpuUYcHtqTZlVyoTw2eicGKp8o48y8
eGE3Jt4l0A0L/nDaZcJcKW8mLdUYyYxu+nSC4SdqBnYqAbQ/8QkzoO0mc7dZVzOpjjHzuWe67jad
j/BVP4u6X6q2i/a0OJNl2Ch9HdKlp2mNAj+o6Ii4rBPgZ1dh4lzgqzJ0LeVrq4NRdwLjvZR4bkOI
smIgHUm10YZxWLayo0KukiRjukbnzqkzAsirltlx6EE+0YGkmi9j7e6NCGq3N8JhK5pbITLe7BND
k7oXX3QcWXM+XGvoj7mE4cORlk9Awyk8RjXmdd/GhCYmprFQmHF7LMp3KYaXwQ2+6JQFjGEgLJUY
QlrRfkxN/eoI9QvRSsROF+9KFbRLdjGSJlR4wCXCQYtE10nyvLt84AglvwR2lfBxY5mxJ21cy/43
AZQb38axZTnum9Xy2Rzb6VlqAIHCAK2gHcK161tWIINEqVD26z7IwHCj81rEbrgrfGPZMrRCB8oQ
KvefWm98yGuFYYgTo20Ye7LKCMSLh6NFz5OOPsMbDR5bFIonb2quBqOObXKuPZyixDATxo0ED69g
v/Z8mksRgKIlo99FxntnW3Sgv7ochN9Ewo3BiCqPP4ektndtQxrAZAMAgMgeQEaBHxtYL3lDn6/J
vbfJan7kyBk1/23r5W/qK1qKGJEL5zq6H4HI8OuRvYzfgnjCosYt0s/yiCR2F5Vp/2ihfDHhBwsZ
bAPgYSvdQb4lmo7VR38uIw6PIemMSyvrwN8MmeBDo30Iwpdx72H21XzaqHjXaagzriTC1uTvRJ+b
CTCnBe+YfiLwbmCCrMK0Zuoz4rJu9JNZc6nqISu9h4Nbk7nLC1SCXMWCt7KR8iBB2Mfl7P+c1cBQ
Lb6DvZ1WX/k0Ppeio1/vdE+qs3Bx2P20tJ8zhUcFOTKjJWlvQ4HcZLCNLRbqZ6OLiAoGFpaoX1E9
fnPox9FEKiJS9d2o5YydcgDgc+KcHzx1NdkURvbo5M2rPehvEN+ORSYegBB854REFBhbvN5D9M57
FnHNpMOLxjbCSLzwCN5BfePUY7BiLJpCPQvJ6oIKoxk8r8zGM/LQ4UgHk2wXvdZcEeb/0v2E43yn
t5CVEGOrAulUfwndHQiM1x9fpM+2W7+Ns/dmBl5ggtnEGcUCPfoQM9Wvqur8s52/mE2ywnNM0HCH
3BD+f7geLPzwo+7eGH8n8NJdDtDAxFqioRd+xy4Sl2JG1UOM8ZQbbVxQeok/vFo5EV+YRYOthZnn
6PTTcweEb2U502Vsx6de9361FW/flnHdoevTr9aZbpmVI2ohWacnzs4SyIAzK0A7Cyd+trkQuILC
n9gOvUfJppOv1lQsyBUet3URkprg2kv0Nie/8K5Wq5HOMi17S51i6nHdphuqmHw4KKb9thpp8BZv
bladLcPfhK4R7BGtvlYQ+rdDPf4Usv4T6S2DtDS9MvLeiTj5rmY5d4ARvhggpuuqHlmh0hfGLAvV
EwHWoOen0W5C79ZS3KLU3IRQUXcFEt5LDFkmgEOMI6/bYdNihXN8jBfRZyiVWnpNMy5ySiVHJyAg
BrKZBCXQiMgKVjWGg6RANE2DlkAkoqy7mPzWWoNu11ru1gjF7FtEnGQO0U+n424xyxgLEO6pXQ4f
Z80yMpBKyJGXRfLZYsDdQlV4wRYVH0LtKKkz1jFDTjHP3QJMxksTUHqLPkZ2zo/MNJecDOwyNqHq
wnWQBjTB0ZgqQsIN49GPnjsFZEdzyc+2Ow/sSDp7kmnWWNaZqVe57gjJ0nL6xyJFlpQ30TdBLnSy
WYCbue/vIGClbQ6cy3SUvU51AgzinuelMibqiEbtvPB5ZCi2SgWJflksfhQfq1U+kT2VdOcmH3D4
DzPCmhAahLnFYxdDq7Hd1Wiz7ugp7Nmw5Y0dof8+96b/oxcvZkkaQzmUE11v1vGuGl6ndNi3Nl0d
9CYc6ZBXDiRhdJkO6ncYTliLwMlUz7jJP003/Ox1/9rFhFD1PhQgRzJ11zu4BSVpVB36EjRPRPuS
BedWA9V03x9UV2DVxDGAmw7rrFDFqcWXDxANYxFQQJpsK9+u2Hr0CMVQ2L92bJUnBp4QWamnPirz
2peA2VxSQXR0MGlukz2R40UYK7qzHGOxAF1rZT4ondXf1uVTJZqT8BrasTGC1s/eEjjvDGaGWlR0
cBSJxWBu0Gvpu+HqT1kZvkEnBy2ik9annI4YPeenda5pJdAGMqbqw/pHJqQlheO6GejXgiEj7THW
rxb8PcT9a8Cm+BgaIvJskOi6lR9sZyC00smXHlo9yFlEbUGrG3fw1Xm7oixeMgBdExP52nb4nAT3
D/EUL7wJW4GHvoWzgN4GmyIkh6JuvkIjILocxsYw9s6m1eDeMy5wUEyiE7FJ9mJB9jPAy+zS5NC5
yyiNn6QZQWDHkrrARMxr5VWSoU73MaBo581f/I54XQZh1AsTRM6iw6iaNhDGoXHTN0V06kZot+ro
q6obeoBa1K1U2vTnahW02wrz2bK2om+LfM9FqTPbQ4tKRp2F8Jp1YxeUxqZkcrd1JIelyWWQrDo+
dX0f9uAKxjctD3jGWntXpmF3mhLt2ieoEdjyvpivg/zhJyGoBnznf/YFXmvOGcQ393N9iPzSZri3
yNrqhLAHmmxvf0Ruhoy/Jui3KxhOKXp+sgrUNmmwIgxFcITMejBdu1mN8yke89ofL6vLDZ3i4KQF
tb7nuVoPJTgYK6vQqAEPp+7wVrNGKRqg8YcOIj7bTNZJyhmYVu8FBDhMMT37DsPuS0cduApCKGs9
krzJ01YdJ4ilkRQhYyDxM5hT9eCxRC+UUTPXnC92jnpDZzgBbOvpaTH+jitU67o6uRZOkLqjgevW
O41C3wwxEPeybZb5xLsHuy2xysH0rNcujfkiT9aKXZNDV04qOSivRe4JNHCtR5Sga70UNQy5mBhG
K6M4LQLiktN8dsJk8QYu8rvrGmpN0yakA1HSPHW/WWr1baKY9ZaA5rEYOf3WKXrO9E1WPZYTnwmS
H+3DnEYOXJwo4MLSD7VGjBCir9ekYuTCoI/xbNUEDCCZClock5GkUePhfuC8nq1D24Gjl7V7DyOp
I+ZWiMqLbR98eFViwSU05Jk49x1i0GhXEpq073qJUbC2kWAEI4mgH3qMOrspzFuuD+jiNP3ZVFDe
zFo8qlp7jpMw3GL4uyasXRzSy4w8Nnf2kRC3nBGlpXv1Ftsgj3+a11S89U4t8yUCLtDD3URIfdIc
TcaFdm4up0S8hCX6Eb+Y+FtAccbJLDriE4RW/4UeFj5dATckQXJg5RzICQw5xT6WfHSHfLqilLyJ
EppERZooSCs80EBJJDk8Aeh8hlLk1lD94bBIOABL/EOjg1CohIlp1Znc9rFOJrDS9qlLvwyvmP7o
NT+BsMRT7PffxSySSz0m+UmGE6bvwjMFTI9nvAfNkkdvNjO6wDIkqLMGfQA/w4Z8UtjWCHh/CPC6
aqzyyUtkp+VyijMDyHG4dqr8VOSO/dFmRFF7VsW79sFIR9wRDqAFlIAY/kFLrBQaDbC99tHUDIIo
BKc7VAod0rgcmw5+BdKc2uCNdNkP1fm/XMFxViDhWLLluzJejYJQ+URDbFw4l6SjOmrC5NW1pm+O
hVvLqemhlcUfZyocQu/o9XUsZCPYosCPeMuzwsLIOpgmVCGtnYabwAMu/S46O/g1Z/K/1ux0M/uK
+5Cmc6xt6BbdjFDOBMBjYgfhIY9wS8J81Rny8qribuPF7usb5AO8VnHUYPZ2onWW0iitrOzVrP1H
SYlLyoEj1ji+DymDon0OHHdpCQalETnyGmEDjuMshIGYIJ7wmU7ROpo3at1uf1UOSKXcxtddjTmV
LZpjO47PZqG/dgpGt4WvbFF3KB+LAWWkzzqhTfLDslB6Y1xAURfzsbTK9McbM21nNs7WrqKXuieb
yDDiY100/CNgfaQmJJ++PzdOTkHV0uvRydcwsvIYRsS+mBFVdPY10itY0RTlFMIskiVtiS1Y4s3Z
xeNMQDc5otq2+9Pgc1h2lSBaFTXQVAYl4kj3N8Xgw5zYlhPyFGTjbuyomxLbeVAmQrIiWCNDPelo
Iha0YRlPpIySNKLSs+ZdDiDqNA8zogx4GSSmrFAwl4XU8c74agsGRWTCWhqw6rbYYqG6qPS39PPf
sa2etQYkaoariqpqQ//HWTQoXByBldZof8U+sVm65/zhTQfXycALHcXrkX2kCgH9lYSoLqcoevLi
MVy2Y7aL5twK9CUQdcYWILKbP06AukpQD5OuGPDkCKEzZmxzrGUx5vSieORnNJD+YmjNBsMZn9ok
f2kag/Qfvf5CWcipuV3T1X01NFxBAWALcBrfQai+0s7+TD2BEdiiBcBvQs9nnEdMQGn+SXcbg1if
vIQVaITEXeZRzyTWWPCjJIxMsqrwUQhfP/FOiFM+jibhtgmgT4BK8bQJwV0Go/sem1ZwACBVbfsk
WdkeORFpdWtq/z2a1NsIKXrTQlBbgEPqF7jVWUflnhBCtXGm6aI5Q4Lunt0AwiF2yDhTwAQPbsvq
gcJ128W4olDgUiWEXgq5hA07gQzoNmTI+g3BySRHk2joLuUQsc1B1fLtkBydcRvRSsf8YNMGpfnj
swauJMx0IpLd/rEJT53jFushmfPifOtZ9ZQlUc2h3YneE5yoyz40fkxOIKhZXj2HJCrJ/i0k8QsT
kA8aCrVbwYCOdrrosBbnLRWEVEcJ4YKgox/N4phgFnM1X7kktk1pvsk1DDw5JnrS4gPsQFAFU+OD
eNuDSa20nSKBLQ7FRKx4Lhx9iE9F6D+HkGdWbCsg7IBj1j29F6lAXNnLqWJt1kaNxOXKoKsPBg1T
EGdIx/3TA/7EPhHjhKVI0Yk3nlIdOEcbO7hMULAU8Y/qMcrmU/lY+f4vjOGbkFLixPGhXIqeHhTy
76uhs1yZSaN4n+0AibNs2mAiOnxXlQcS0eLIXYzyFb4yvw9byiSTJ7oXAGyrmV8Q+PSLE6w9CDSk
eYst03rAuVzQP7hkTCqQog+AWbwb0smfxtaZZISI7Gke9gMKJkB7NRok7ze5Tydf8a6X8tDGzWOQ
03UdM7ZTza2e01nfxhFvWk6INRdoAzWDMVRUd7R4BbCtuvzMAuDseuH+H87OY0luZFnTr3LsrAc2
0OLa3FmUFlmaZJO1gXWTbGit8fTzhaNYKFazT88MFzCEKyCTWUCEh/v/f5tz/ZlqdhBNqMKNgVca
KiruDYU47nn1c8xCyW8VLx2TuCPPX61jKYuCgcFarG+jxZx7cGwqxeKvliq11dlgW0K1BAUGU+Gy
/p4b/W/uWB5YWH3IQ/NrEvDxC/olabIrT5s85d1v0K/OX9poQU7LmoTkdUumf2hG+GHM8qibVFoj
an8HvSAt09+togImDhwRMrKqeenYmEDkgAHkgoK922KCZkJ33W9d1SyHzNVqgCyKP4F0hvc1ruEF
ADp48gfFBWIAqRU0rMJa+9ROQHJP8ta9cShMmaCMOtPn4Fi3o/7IqSkhN3p4Pzrdti88y4ejpiVx
weY/3XEFlUmtbwI4wFTcoLeRQlM2d/2YNtT0eNAOerZSMLkEF4VXf1rZYxga+1AUMxg29Mrx5orA
IC2unBGyuIwmYy+EFE8PmOZMKykWENeprPXpbqGciElx0X0Dl7o9mh14cqM8cU6qiv9K+q4tD6Ce
jDdHkg53dNBDWksDzUlUfmObRrXdwUxXOZBC+u2TVyQeZXi0C09QJNGfvVy2RgvvJtwDWkEy1GHN
djR4D6EVA04w8awMNBa25olr+X+muafaN8GGssviQwtzxNG///U///f/+jr/V/S9uq/ANa7Kf5VD
cV8lZd/9978pWvn3v5hKK/nlt//+t2fTQGBb5EspgKdW2DZs9F9/V1xfyvx/BK3GYkYDWmqOtLjt
T6g9jC77dQ3u2szvSAcBfmxUwZ2I5Kyc2ADnF8Qt/qzgiX6r8ed9vcuHCCxVFQNo5eBul0uM0h9J
2y/updPYl7DdBXdrNgR3sDpF0MzEPPIR7XIfuL1TJ6UBUWS5R1vl0WTUz7yJSbq8Gou/i38pFhJT
fBdvAYeblbinw6UROpfUtY/kKzjIWcy8l63OMgKOWQkHD7DGtFfr2p8NqcSk2+2dox7TPOoVkFmp
MJtJEFXTQcb7BRZ3fIkqCntgwyaxoox9MWa2QMRHN3ImBzo02uuYZtQpa97KQZ5g42U3URRG71zF
441MRaL+/b1Zodai7E7NqV0e2hJOTRZKnMoh6oYz3U5pSqozjTbDNWYpUFmcilrGrGKqgxWMLX0e
/J5FtmnFcLcRYSFCyjK2uNtQNBJHrMEdsM7/8++c3/NffucBv3LTo5PMtkGrf/c7L9iajVOvXx+G
tsjn+guon/lpvfbtjRWnwdU61qcGkJ4jgJFpCwAfB9F2tfmx8aP2Ahaz5mYsfOhcdxOtjgGopbeA
QutXjfiJzWvoN1pRNA2ly9A22h/j0mku9oB6Z/zJfcRX9CKXFyGIaSzku6o4nlgXH/keTdRdr82P
Xt1pVBbQ4V21y6OI8oketjRJgEYTD43kAlnt4Ea0sZ1DFOa238WB/vyFvYuRnY9EH8/FQhRTe+bT
PPMgErkHByLVYxnKIXBpc2OV2F+J/et97BadPr3cxy6jk+cwdC2sVTrbUsyRnTPpPU9IL7EYcW4T
6UzXweADsLSdLmENoDOdycO9A6zfSVCAViuyzc0bk4uWfl3QzHI62ueQ3q+JJ4l4bDIVOu0GQqsm
d/Etwb6jHDyZLrfLLRMVv1FpjqdiA80Zi0DdMYDTc5getzRdUiYf+C+noEtwqgNeerWdigGQvUgh
steA+bz6teeifMRavOXsTYg319j8QQu0/ibUP7pJ8EWDWbnufMr61YeQ6283KqfbVeRe9lsTy7/c
ynvXsKzhunkT5b3bm29JVPsN8B1ladVe7df99bf164jvpf+X35RlNfFVGLAbttZl8ARqZn/WBM14
DT6ie/C9lrY1M7Yo+2CPmeb78HtiXtej6X5bNSazDe+tp4K0Djy5OGlr6h5KnzSNRFN0QJO5TuCA
RiTagZE41SgkYPoHfEe0sLBrWMPR5zbeZ0btQy7Nn6hnWcMdUNRjRP3rFNyottKHRB0Cjzrzgb8V
+qQZeswUHnpaajeZDEWx29ERbJxFpts1EY+vGQw+Q1EbahF4lk0BLgZJsan4Gqhxb9CXOgzQm6xx
wLbzQuLKDCKLTRHY5+a1bm9kWFRksiZDa3gy6uZHGe5aMRbt/6cviL8NSC76idwKRUIZ2L7zTNWC
ujUZN7TGnZDDqo9lKIrNZh8XS/FiLTLAQi5mCHeS2E/uSpAoP2nDn/lqWr9VKQ3mixXDoprW1m/w
VHmndRVRxaKGtsMvQ5zMrFVO/AiUXLwM1UPv17p2tqq6jGhZmNHbZusenNalr3Gmnj1e7TI4E6Ec
4sFwDwkpBVB4gqvNRWRUFNKQANZOvDmK9RwVzUtIExiXK29Nr/rMHT6AfEsdtxtU5y4/sg+J59sA
JVJcIlqYvUegY8dHUcqhHz8yjS2f6pTGroLKKogxO6Yzyju2av1Et8zqXLSrlTkXEG1RtqK0S2u8
BCt91pOlTVbsrgNzDsqTwbvvyi9pao7Z8cgM57J0c3BCEj19lIMRNaBMuTABgJAA0G4yOl/YKlmv
Z1tLH3/4b7oGkNzNfxuD6/SHUZpAXXo9O4dR8V0Ku+WQReuPQm9KMWC5FulfTl89pVZ83qvD31g6
qQ4+b5rfxDVASukCnbYZWPSJqaGfZuZdqA4AI4GZm1m8/9RQtKIop/CRjbXxapf7Coki2ZCZdinJ
rPqK9OUHdwyB2JQIduSBfTSvHbyq9K6ITA56MNaAP6vX7estiOLny5Uls4B1rCZXp1fne6d38KWk
bn/EFKf4QA1287SW16vJHuhx5y5/diX/52MTlx8apjanjg57opjunqKNmkY8wzEBpE956oqvyzZ6
aiO7eD2HPKe6meBesW7XttXY2GjB4YAHM2DVUYX3cgaqA2usbht4Ssdk4REou1UxZr5YNrTuH6V5
a9HijUwOi51W0Bjk1om+zC8y0JCGiwqKQ5rxflzArJbpoKX9YQ8nDj8uvFtOTfpI9lf/5YXFxwb7
8Bq8UljV1PxWG0gpdgU8hTLx3GasaiorZ+xoR7QwetFwkQzTDciSDEUT9AHb65sRkChbCIc6IHB4
VNxtCv3qGfggxBi+c5WFawgtchBCVMwZFSXhtQkqRHu0j0XtaWBETVSv7PL3du/HGQzpu0sRRi41
OXvsRF2wNyij2a4l5qDcbVeQy1Bs4J13S+te8Pujg3wq4/kmD2mGt9XklqIk0Ljy0pputoPSaIWD
Rsw34XaqVExq6VdU5hIoYk4+sf0LA5iE2zQFm27n+zVMGNKow2mSid00ozBuKB3oHuuhAg2BefCl
DEkYMDe1jy1n0fNjmDfJEdW0aW3jyqDp4Z2xs9KM0rAeK4/DWku83/9hYaG/W0A7ZLzZRbdNeOP4
53v+zwvoJmup8qsy/3Esu4Ssh0lZHvgiLPwA+5sOaQCGW5NNwG0x2uWBLDt/IQOdTYe5xRpOdxM5
i/UZxLxXNzlbGsejf2mmmkOtYlW4X9nKZeOR5EyrO4Cyg1t/xNZIeS+HWZ15FmQJkWFf7nI7sdrL
2WQDbJfJmYNt7Se2yiinoGiBrdgEqjl7Hro7OViV093Bnv2iyLxJUQxTGuWqeoVldYpbo1vW+yqF
ELjLx+VZFCsEObcdO8n3kReDLDcGyzNVraS12aW95Tb/4jGpUJYKFWuwVeyh3l0Dhmn7uKpaclHD
3D8aOsDVSTDHFyMt7I9yGNgRd+gak0FoOcOls5CClaE4VS37kSN1FT87mfSSw9RYAJ9jzA7PY2CK
IRhz6dMInKe+XZsDvSffM3KMT2IBMvlFW4b+nYh0o3mxF2Xm+80B3OfvbfS7s7T+p3iOG/aNdNgr
Ymv5PJTGs5sX5j08ewlwr86DiMXKm7wXqyWfnsduNu91etMf88x6oO5y/bzHcup6i+WrWHRIJ491
6T2IuADtmBJawDITTZXiNI1+ZrirfZt7obUdjLXNrycf8rNXuQN7nEU2Hw83nqkt2o2VjbE42bXt
mpdaSxkSKAn1NW2w+YMXFfQLBctnLaa3nj7W6DwdkuUzdFAfYAVeHsSq6ipy+9MvrWbXXh6m2c0e
+A3/Js6DZ9OqFIG//xoLWHtiTSDbZzE5+KCifo258XLSlj4P+FHnqQc/wAzIIuNlBW9nJlu3qcm+
zTeFqurLXDs4bUbVSQtQWngNBfwxRbzVlZcDGwyqNbI3p4M8dUFhh4kuBKhWPfXF700IRzyVTd6a
1ZWr3hFQwBFNTqms58FN0zUP77R9VoWbYfINCgoKM8AJu2NWD7oG8LtngOQ3n/Kg/iAWbaY/9ZXW
f7KSAFD0rJ6v0rR07uxeEXOSIfz261D0nXdU4Y31pyXtPgTVot/SCEgt/9GiwV6r2dlyP0EBcRKO
bBfC5TXfy6EIO/3KiXXYnzSKZkRWr1BuOSb43coshrcEYDBcowlXibSZ5dnmWrrgaffNBOmo0ZX3
sR6X90mWfLfceIWTqmYD0lvpdglz+7soN9mricjEdWnhz7RC93sIROEWSOSvppvnq5l4ysGDR++o
W9lGpt44SUxaKsv8RieZeCNnTgvEz1Jl9XlJqaKlRiKKK82Y2Nz7YccaEvzLsVpPdW1hr0KM3sXK
SOj2dJJd7/LdbL9QzoVktCv364hMLjbOw0qHY6ZTWkbiLgBc+HbNE/AgypkkpgWw0FlDJvRFKPoh
hyQL0C+ROzUwYi8WY3XeLqzKKuWgN31NoZQ6XTLor/ZQFvsqYC8rR0IZrc+boJzuZWGh52yZFO66
XNtqnQF/EVDf9boCrsXQgY73siq8YlvSLDkt7LZhbCsWWafkVOJFoZ9sqxxjIBnvrM1yLco66P4S
zXVCfiDdQQwkYAovC2zSISS8BKvBwXqUBdSvguWRu56J1izy5TJzAKPeI73emlhUJRCFKtr+QZlL
LufNYjkX29Rrm4bJ7Gqf9rV6+Clf3Oz8nVymg7ts8xU3azqnJiBw4QSFAnVIjOlhcmeWttPyTEaC
aRbQMTdszM0PND7/CbTr8hxR7bfJX+0HlizPeWy3x4FddTdJE9bXnWtQ31K492DX9YYLin3Ses59
T0uPkyo6AaWz4zODooWX0eid9qAFP4zq8MPX7uqORytI1T8kohZDiUgMEESB4kuy9KxKjNY6SUzD
pT+BMm7da6vbRR0oqgUAcxmZiopmpOJYP3eS4MXSLWjuh/jsr57xEle3WyDlbU1XfdCSWzkyi6I4
1SlXAtu4767HUVvqIzl1y55TUW2nIl017cVUhqSTu+ssNZ+tcQBF6ZcuEkIMN5c5gKoASON0uQTW
KCLnvgCI78ENK1+RfDXDL2TBzB4776GWdf6P73P3lS9TAryRyf9ZDsDi+/gSi/U+CCamBe06oEss
+RvtQPPjdOgUparAPu0HkS25PpysOqw37xT7UM7K+qZWgWQwvEbb404qkKECZU5F2hrE6uPEpKh5
+2EBH2NcAGdIXbt8BBlnSi+fUD5rMCwvNvvXJnYS51cy+WZFscdres25/s8zftP1ft5KcF1dh9DF
8EyP/QTLfj/jL4bBy+smbH93o9Ds6ZMEBezrbMNUA9SG81HOoqx2P65KFiuZnIns7+266doYwb8G
lEKB11IZmXT6eNcCsP7g992XPhl48qqUnAW23VEK7iWdJD35O/bRjuyWXgdJyTEZhi5SDXWV3RvU
ULS/8hVjCbXyPL4OzK5TeG9UbkH7dxIkifbQO034kCQdXTPVGFyILBvM8AHOwYtq7JmYq5GCo79b
QoceMKVTTh2nl/ZogNnzGshp4FO0QhPSC2UnirTjHSLBRbYFIHikmHMlUlHN04mkBSUZiP8JbbrU
kL1mATXbBBnpl2PSPeAoJvDfqgzjbgIc+nBmj0BPypxPDhaJhAOPCqoMi/nHtFDNCGVuaBlWctDZ
ItsmiTP96epPlqmj+Bn4icZVznImYZpVvyutFBTj1xU0Ww3zTWinw7Flef7JQCrhZdUNEAVLb2U4
UuRxbCj17ifabXX+ahJmJvXS88LNtE3vnTk2jzkFq6AgiTaoCt4DVybMRtuOodpolDO3o9XkZCpb
46puIL1QCif/bqy1+cz/wmAbFPM00/k4DElM83ED97Dt/mGsOg9mw5ibC5NhUnJ9E8IeBfXFvCHL
FSBvCF4m/Shqja/uFBSCF+H2WbePKSkDsY9JHW0pA/lqyLdaE2SyRgUrJZrtc0s4idRZy71ZN8Fn
fnXsm4dB/gBdGWyfga2Y1/RpuaFzvuLB9zdL4n2Z7HgTHCkJaHf/bGuB03zWBq1qbWHB/asl+TuZ
X47X9dSEF7vcyGCZ3ZIF0/DNh0+CqhSK7i+N0j/nMbjwS6Xx8eBQhzUcac1MaWbDO1qEPTS0B56B
GImPhc+0rGl4I+qm7mBlySy+e5dODyNloj0oqP3d+U1sCWZCvQG4GFCTKvRu16rhr2S/uqN3xvsl
X29SAheTd/jPj2PHefc4dgw7YEvXdQH/B0gUPK2fEzBa5ZEn1xb/kRVxed14fnkw3bE6kFpaaFFq
khPHivibDZqiOohaDpoa7rKlSezrXDtz8pJU3mZmtFV+Uow5vSN2TomPBBCh6COLttKjsgjqK01f
6QIyoQUaatpGnc6/HfjDprU/8W+DseQ/K9MeZjUSkSjlAJbBU1AG9uVuL2fUeSdnvsdPf3fY/acr
Fk6kZlVAkYpPGM7VMWCcwakMd3NN3cHKHbxzkKFhztsd7PbintAUcxYkzxSyUxCREvcxsWGV1Kna
6IoGVukgtmcqz38cot4tYLgxqo9pFtrn8USvLfjPqDcNSyrzZJwrwDz7KDG3aKwvT0wQVbY4zBTs
6Kof8y8NFSzn71Kzo5lp61lBmfppWtFG9756ABbN0rlsp/gih0Nny8fCDFId1p616o04ghMJ9LjK
1O4H26eT2vKKS32sl2s5tNkKWtfsNx+1DmY0eKlz7fiNRk5tK8IIiAFWOHLawht9rZxAXaOfSmRs
tbsXuc8ehPomtg+YDR/Zmlohz2h87UYUhaoz0dyVN6981aUNAUg7L3+my1qln394wKarlSfNMLx8
8fLVybB6DeB360yCo16g/IDW7c4wmoC8F8+5A6+ES962UX3aTmFyPIGDfC4pPTdfynsxsTP5HmC+
GHr3xYQXGEvvJBppqkEtHhTxI9vDbDZgn28221AsJU7nDPQdAnD9EicGE14uKiaGUU+3fuBdazRm
sSln1efjoph5B4adO9MYEeTBgV4AtGqlM82fMicmG1XW0B3/R6empbCrIf9FchZWbODf1WLDUIdE
rRsiM76j58y7FLmIRCnD1KX7voRr6J1cLJRn0hnepYyYavpnVLeScFaZJ8lnSfpJpaUkP1Xwq3ow
7PWDiLswgB+yaiHVUQmvKe03K8lnvVpJFktiSf7rNZZYufP8QZJnkjfLauBDHQ9wS2lbKnV6KqPa
1t4kaUonVE1k8R978kUyMMOqndb8bm4kRyMiK2xpyaQLBNoBldAZShNUG1zdJjjoPJID6isiaida
WIU0cLqOGoUpBSRxdWtDXXWT2KfbROHnkWZUUCCFp10P8PO56F4jCA4VOxPWRTZ16afMc9OByr01
So9rtb6c+YrJcFBWOKgFqMhAdfNPK28FI0uZOGrxFI/9i4zdWFay+3h69ZNY4gd+FaXA09pcNYGT
Pg5krY790ksuvDUH/VTJ+rU4Jx1o3MrI9d35hlTEQUZygGurPm87oAD0rmGz9J+DLH51FdMy8VmH
qi7Ss++gOVFiVWf5h2r1K+DWQ/3at2kHgnBZP12dfvjo+aAVQLgdfk+7905UGlSkdzr9PKuLs4mp
6bWTDFBVgIjQHMkYxMDfuyYdN62I4rDmEcZOdqbxNMBnmi3MxXMbK6FytEx/OBtE6/uUVZPfnU6+
dKtef6FfCOL6KAlOjDlpvtiR9V2foWCgKZPSCLgqImaRX8DYp2dmKJxLpvTVlwOZ6WZzBS0zOJFI
r64T7IZXAGh+Ap+USl7Qmr7OIBAvtm3/lqdNc2YOTcRua6w/7BZRmV8BpuP8ZgFPHjuFcbHa6++y
FS271VHSO6fLWjogCrI9LbKFhpojUBb4C1e72qKg3NGl9YBFDxLeNN3138XZfSTOWrFjAvrf4HjD
kz3SIOYCoyujMSzHJzBMoRFa7Zsl1ccnO9TDM9MFdVyUo+nVj1P9IRqHALDjls7lZLLbC1F6mQ0r
E8FkJBFVsHEO7JtehZZgVtKA75dSAtbRy3thQQRykRkJzz0KGJ6AELAf2tkDzHTKWrrf2oHu1cW5
Is3iPL0zdrPEfqgxdgc1gx3W+iLpQOitZ5gUtSx8oGGf7vhgPYw5LD8sc0vwBQEVpcuCWu6xoojM
ryndUoDVZ+IhMpAKk6O+IGctdqJwFPSvCry59lNzw37xYXcauIktuMjErO1Cplwg6tNU/uw75Yep
jqI/V55UcMVD95CndH4Ppf7d8LSPQ9HFz3BQAdwLO+dHcD/HEydjDaFF0IyCf2Ie7MmYLyGYbS+N
SA8OptcukHSMHr0x9K4DdNPQgjawTlXXc1bYMuLpl9cbluBj37ov10uqJv7YgAK8XS+e0/70P8+A
Ddf9OSFB3pYSXss3fUCOHdf39J9nwHHqduaU5vaHOf6IPlH8Q115Q86PDNcaLuAImuWNyDZ1EGvT
lQN5rLlErX0L7EUHggRs2WKTuDQAT6tJxUsRwEHTWSP/GfSruiv/LSdU4kACFxfWASD/o9QiXXBS
NF51C4OqKTJnqXATmauQBcUYBDc6tFW8TUZvvQ5+pFaclsnlG2C/rYpDCjqk6CNWQH+pCyJel0D7
YQxVTTMqsjc+b8pF3ri/sZVw3ZhuQbZiEnKu14lmFrR8tx49bd54pbXZdBWog5zJQRRJ2jPlVibQ
zkQA1r7a7OrdWs5AmcZwF+4hRCYHCRNA2wrdl7qC78EcQgm8050tZQ8Rscq4y0HS8HI2eB/9jhSB
DPaM/QLdxDmYyTBOKaddIUPAKf2juE/bM1FI6n+3mwc6fMhHiEQOcjmvrt6G3O3lbA8p0fTQTS5X
NwvP6QDUDyxpXg4LrINsjKdXPvzLlJAoBfxeJPonatUURO2m3j28V9/Ci9aTAiRX+lAg6NFdZgps
EetHMtwPnmJk34fFnF9YQZFfuXFPt0NcOfRqh9AX37DjyOVeI+x+lV3W/7AyDdTO/5vSetchQwjA
oR/48IGDJfZuYcqSuMhBCWqeM0uz6eprjYO3UqIWxuPVkCTGQUR9b+sHGcqhUwo5a1gZAWo6XomF
2AKrShLFS5uLXi9PIxKR32jRjI7KuAs+8JdIG24WLldTaAe3JWx4xymtbs8DSZRRC12II7KIWZrm
f2j6foUYsL9PIUFqgbkG1LRhuR/qZ/5I6vBWRo5HDb1NUXrs/xHZUXav95UP5Eo7n9O0bP/WJjnM
0XoQ3/X+mn5q4j9lJp7G9XIwJwWxpCbmu5MMNydvSe6aGVRJNjPmM1Cfh3kC00ohGHZNrWr/IbGX
ocAYYuB4CvRKGVDGQXH/+EcG557LpKsBPl1P+9tcB+SGbED9vNpgW6pPbOn2H90wTB/pFQV9ktr+
a9in+ttu7l5MQc08S+Kyv3JKUAnq3AQb1feS86aCS3Dbq5DdBctL0vNOCRPQ/v/hEe75zl9+K+Cw
U5ZuQZZneH8pT29XY8qcfgmfe8XGZVtefEOTLyDmgXW/H+bSv8jZ2LrZRW6pURy+htn5LqPzNzuP
Y7bWQLi3N/+ZYoc9ZGNWL3ITIro95CZXnnSrPE+0f98WMHe0um9+zNzSvFejsTOtbWQl+aGZQOIm
C6WfmxbwCKlf3OsLPHDaVEMUoJaVssJrLKM7OLF/KRa7fJ0VA9QMKfmumGmkJKczHJq5dZ7sVuHy
lxO/F0amXvknq+tBL1RpzGnG2TgEcfIH7Z/MaUaPeRyNQ3eWY73Y2nVw/bILklskg4aefdmVidXB
jZPu4KXkaS9l3JU0TIvaTKE6PBH9VC0B9GCj/aKy0s43zsQehKO2ONlVYt+3dP+9ZPcslquX8raT
d6ac0cP5ucjZjdnlvXqhypB58Rvl/gIVd6U0AGy9EHlaArO8aG1zrmkT7YjV0tNFaRgfHC2Ozo0S
VmkIy40PYdHlbH7R1qTBjA00ut7fu0FxKUo5xNBvBv1kPIp7qGUsLqDXEZ3tsoaU2DKU2JEOmYgM
jRKmLUfFFtfX2IoW64zaGfe4ssmqDZlBs3oX3sph7EIHsOol+FBqtgEHCwoWX4BjtBaNjSQXfTAA
gKk7eXXeXPYQi6O9cY7ZNTlvW9L4dpODyFn0eXUdJ7N5MZMMXwawGiMwd4bqeoiYZR58iAAuGt2H
uyrtL6ETOgebumrM5ZkSUDiu6mplWV4Wz7n5XtwnTv5MRzm0c3+xJoinU0CbFMy6TEn9vM8XyXgx
ovXYGNkbk+F7mzc5pV2/Ob4mpyREAvXQceK0Og3G8XQmvVVyKEp4xzPduCvm8KXnSuSqPODEblmE
7b1cogAn92C1bNPv8r+LUapqsNawTsrVS3/r0+VJXizZah1Wyn4/W1nns2s0A5ayuulBL7zpdOF7
/tm0s9f1s9m33E0TwK2au9dZ03d3ee3Ux7RNF19bJz5uvXx9ZsYIF8PPFkEbWPzFAsszNQ64P+x6
HTtZAnGu13s38HD6N3JmaZZ3s8JmdpquJCt2xchu6Hqi3HzTTg9bFLE2WnggAjvvT6OPUZFCflXw
hwGnBT0ymgcf0WDrj3WTGY9LGnwehjI7iGjO9AHIifqT6ESUsaFG/LE8t4MVEhLvMWZl9yg6GADG
cxAfoCzJ/bU4fg0m7nMdWWTlfNARhjNJLeWyMy6ndHVaNz7Q4Cp/9S6TVc6OdQNF4zuxDMWPePDC
uldBFV7aYd7dxebU3dHv3UFrnR/cKCivRT71XncnZ3NRshCjyPjv5Lvpq73EkdAi+jn+fslXe4kv
cQo2166BbLoo65atOsWG3Fg6DCFqKIdcnXX16p5ALwGd48+KfTgN4MK+Ufvw/cD5+X0EOusMuiF+
N7SDeTexHOB8v3Kb4YKmcO9G5JuJjK3RN6ksJE8jxqLeDbX+xdccquAw+0VPrTbZZHYGSoq2jNgC
wOk167TL9myVVUPlB7FjeCEySVGxfn+RxVKLIX67jZOyA7zQz3vZal2pJyfgvLtnbLapPUC1XSn7
jkFDT+kAk8z5vispChkupgG4U55blLbbtXHJG5rqEAgJnuOuP4Smbf8Jq84JHzf+qkdgZJuFFj6N
ZEbAPwDYzW/c8IqHf3Yedbb9MCduewxrT/us8HA8uyLxYRmbu8a3x7IPwLdU0y2AISLq5wbtPHLr
9XrfkN06OVRHiJzJQfdT9nXlNC4pjbBI0O8ikc8u64jIg45LEpdV8smci+FOBpLnrAaQep0izM9F
JocS4oMLO/bbrVJNZEU4LnTSvnEXcQ2GHig4Vg7yMPDF1hI/SA2fHKTibyvzkzHMJacGTXWXb2Ri
s7t0UhS4j5UL6OFgs3bwtg16TGlzH8Ufa+Ar1RSof/QqYBkSk5ZUUS6JaqVe2aA36MV8lENWpbz5
rP4gozIwmouOR5RyEonEEUdKG8OTN1fRomEzeb2KVYJCCFUoVxFjCRDE8CW3GrSIpU3fLbCjT1sH
EKPVGJcnqTYAEWTTbb1DryOpU/jhZxigXBuzpoEZ5htOeV7YNBtfsor6wxyL8MyWOdaoGhiBJKTL
u590+5JylvPcOPczx37KVTGtz24ife2lewmHp/OkgZdxwWZccyxaAM7SJ78HPgndbh/VGsyTqlB3
GuCLBBG0P09hULzgOfxQtz5Xkwu/uYexodtwXLOHYmKCQOtztlzSPHWAOy//kFjfzdE1P2qZlamB
0ZbWNvCKP521Z978YqYrsx+DnjKyiw70SDCBqO8Atuhey+P6AFc5I9X4pURtfv/yNa1LUx3bGQSe
a61FT7IO8goAT/o2e5AlUjNl85neu8sGDS8W2WIcGaDnHYHFQEuOHj/2CoBT49X2Laf2IGHN+HtX
QsyYDr1zs4DjeGAimZ2aoRV9yZhrVrWRfqvJKEKL4vpPgd+Y50Ah+BfdECWPYQLGiZiUqpKB3Ovv
Xmu+RBtNraIXZc1OWR3qFwBM0l18Sml/eJJUUQESUWZ+0ZL1icJ/OvHpMl2HHEZ0HXq6ZnXXZ1OH
AbcqTe8pL+we2I0ivx3p9Lwws3Fki9YYbzLwhU67YE2etB6W0zA1jS9RZTz1M7Bbe8i27u8qFTK3
KArrp8R/CtljkGcRxXUZhCQx6752AnR+rg8ykqWgnElhmTaPxy7ss4etSm03UV7UPNYHMdvl09ot
F51WXLbRdD8uXv2lDwENjT0nvShHq/kyVcax2w7zpySHkr4aO5h1ldw3NTrOc1ju084KHn92r8Mq
u5BoFkRqFrUimzs0k+dzMS9HmaqZH830N74ephzzUsOCGfvHrSqyt+Nik6tOqV/Jd3uvW5vzl84j
kKyiKx8CsUthJw9VCXCgKnrl0A7j0ez5/i2NTFVIj7LdAJNiuGe+7BuJX0YzJMVf+O3Or37c3nry
n3OilvmuLcN1XccIPE93fXBMHcdUOdM3uAbWMkXpRM/z16qA6FMm0LJRK2e/nGSLurNzdkJAwoWf
06PmdbMUpzdz+nfhPJB3WAJNE6yNQRQDLKdq4swQmMSy8/XjX5XISe2c2I0+ky+v36rpdrGcyWEP
tFfY7VqRFYXZnFVOdhaSP+It3Kffhv4ArEz01a8d87iqrfgO9occMvPQO9UrBYClF3dj4PMksMcv
nh8NH1098s4ay/VYlU3AcqlYYgEYpcQC9Q+KIT9O3sfypurO1urq+OVxVVT+eKIZZfnBTr5KkdqP
gbwzwkQXjbwyfgxE88NMfH5oXt4lXXLxEr4s4vHUn4ZrHhisHSKQGY8CyCKvHKd/6Kjb844EDwLO
PuoQ6zE6hUY42LAkRKF8IaZyr3f5q78ARhgKiQJILhAGKag+75u2u2vVIVnIAIXMEkWUrdEb+Uq/
5I2I5GDH5ht7EbGtCCYrMCGUUDvuZitmon2V75d7lVP8/xJbbsOvBqD2u3EOP1ZVNt/G5NKzmyEx
QSr5lpRkt6zEiD93VnkJukf+1fRoZYlAJXkY7aG40mMDrggafT/bXnYp22tR5f72UjnWtUVw4yp+
B6sIqV/32DSXoRzq3+Cfch/tVz2YhN2pNZAag0nWbv6w8j5TOOo5CTRb8498S3POetUbRA9hd5e5
aXe3K2zVKuQlLVDmkWFdjkZ1Pui28Xn2LP8UPPnlKqdl9x4uCOBHk6z4ugT1eeo3by1ADvP/ny1G
+qZOYKL9LHW7b0qD94reMoIACMQMl3x8Ff2+DaXWV2z2GmE5E9mvi4S3uuKcHRfNDJ5XZlpnk0vx
UBQP41NZNtPj0N/KIIB5+2mpwI3OtbiiJg2DxF7iQ17238M6YWtw6b1HuhTWG3FIuiGBpYQ98bxw
X4Ll6ftg4VJXF5u9CgZE4ndYrP+YAUyiF+lvCr2k+Ks2tAu/adrLvaZrLwp7J9OGCiA6E/itdwop
/nonk8tmEHJ3psuuqZTBAWIXXszLeGjUIsaR0kon6T4Fft1fOKqqUhRysNRQZK5df9KUhYh2Cz6d
KtD8oRXFJotMqrRfsoL+UEBcABcDmwbj4P8D8gg4Oj+ndkn6BB4Fw15AqTVPHufd7hy5rcRmbgdA
Yko/01JdLi2FVV3Yw5dtaO0FZCLPg27m87k3Gd1N312JDtbV5FZncmWclEbyoMXzcLkNRVPN9Ctn
7QDztTJMrTS5tXIbLGx19n9YO68kOXptO0/lxHmSHvIqvYnQvREqX9XV3pIvGTTN9N7nnDQKTUwf
UP2zzc9DHkXogcUEsIHqSoME9l57rUxHUT3ZGR36h67ZGcQ89PAYZI0zbGD1CI9jBKWl/GhdJTyi
hwCM0OiuZKOmaBXMSKW+rqEpiFeys2WN8Dgq1XQ3tX23JbcPOrMEj7tdR4By8gZ/U2dd++kY3Da5
vq+d3ngclaw6RFGEjK4oFrArr2at7PY/O9V+ZF2nmRfcajrOUjHWh05WiTDw1IXdPlINnIhjf2/j
dN0C7c8XYY6zZIG4mnlRC0TckJg3aFCZ+1g2yLq2Io7VVtC4lg6R85WsDAv7pnbYVpAlbzqr/qdN
0pI7P7mKcVUgTLeNHGQtauHjlsW8adBvEO7w1+JrqzQukVA9zwnzwx1mOpvI1ssL9HyJpSRhdRGJ
o0DUyVYFAszT0b9rBzPzHxZLfyOBcnSon1RTN4hUcY+65ofFUpCbbZ9A8v1QVd9jtBguk9x2lm3R
Nl8EK2Ay9vb3wCdwP8zKeNdq6FFUIuxiGE1+aarDG9tRhl0UOLqkbdZXFkyx4YttoWVHr4PIdQZb
fNs4KMIhWPG3I1dL9H/dWqDMtfITi6w2saKcnD48wMn57QOmif3g2p4c/fyEX1LxySyLDGf3ZGbf
5MZedvBqCAVF99cqeaT2qAuI7rIkXQNyCLtJoo2sO3XoyUbmJfopUMijTLv8IS0QddZB3O9xHKBR
0lbIjwoyEGgBrtQkzB+aoou3vTW/WFhsBk8Ql19YFDi7b4hgvbEwYjX7+C3vx/AUAjCd7XgLBEWC
8xjBvnN59Prhz+pFoeke4lVQyr/Wf7D9aSYt7NbziDfgTYFhRNvkajxf5IP9cvRa96ujf8NOgWbz
9/sAzRC8Tm+CsA55w4aDPI1uWiYvYONDejYSdQ38YJ7zFVhseTZHLjsUm21Vpib9xilM56wGkHam
qBBHGpVq3cxeHCwDaPi+dFa5y7LA/FGmDnS3gfllCgMFQrzau0GNBRiV373trheBfROSZ9yrurdU
0kbbAWJXHrSJRQSs+PN5AQT2wQOe4yWaeUtOUYaClg6Si2qrGZNzFA6AtYoiS89yh7QN9M1FHTzC
gYtudJ1oO9kqh3S9BGUe0YqD+jSkOqBJJ4Yc2qm6dUa2BV8RwmX5JcLKiulMHYsoEXo2O6LOIvTs
Bg4kojaemiJIIHeVLdImVfznKmW9O+oIuegaoaDXvBurL1/qXtOVknjoNg4OwuUpr0eWZT8yHYDh
vZblOHEOq+aoTsEm5CHcDE6i7Os0Ha9ibUSJS8FJkQf7qW/Tb0nkwKhiuekl66HwDBISf13iOHwk
++2SuGT83S/Gp4aUh3uUGV/G0gN7uGIpCTevsChMiFwZa9YUkakwpZexCsNwAC20QLYkN2oSTxcF
0Z9SQP7khxIrwc5WoFWeJawPJkUoH9u+hpaFHtKmUawz9vLquSypijFdpMr4cZASslf4VsTXVPa4
+cNtrjkf73ODxGO2uq5uaNy+ZGG83+/2tRWP0OjE93lbHJE/i9dsistHIEvhKjErZ990ZfnYVdO9
UyfNlQFSg0ylhzR2i0dF17ILi6wmSHHpU2hFvoOTNFnLPnKIPp2BtYkhvBCWaDGEb7L56OoHspSh
iE+Trxl6TgvPVM27GZHrdY6v65jk8OFHTBvrdoDgVhfKMyTz+M/Fwq8m91n2GbLCvJusHgyq6GOg
QnQs2AMtgqD8agT19BQ3+Re8kvOVoiTpjZfW10jpTk9hi0IfmScdbEtYJX55sopKK7kJewjwh6n/
1IRVvmqsqj6fmtw4dyzUnXRYLL+pj4miuF/DpM9XtRPU5xrUxCB8uojtC5gVxGgEUOUV0AKkzEqT
6viKUJGoFaMHzIliDrgXLCq9rY5xpyJpZXntIfJmsedBu9p2/PPB19kA/qwj+105N9ISsoS2QajJ
gSn1Y93PvicTaS3qpF2bN/o2Icx/PiiAAOHmuquHJtpDNz5tqmrIP9XeAA9aHX3FD5CvHLgoj57S
RVd66BiLVDTUyfSmZxk1Lz1Leo61Z/F26NC0XtgTkqb5EN04rNi/N0iWKdFYPoVqEqydbFaOMfSz
x6BXmzWyb/WjMC2c1PnOguycoOCLKfI5KK/KqWl+gRG7Naq3ob2Hptp8LiLjw8E4mqea+a+D/3cb
C5rsDtb2xdiES8nzBR//k1eo8WNmW+7KnXwHgJHQTbezZNvgc7jJEN5ARLXIv4WKciIHK137qWJm
etMJFzUqzVm+JqSQ33VZf26pXnzZDF52F86ev8wrLdp1ogje3t+54YCvNB6zO62Ac7WDGwWa2KJ8
cL1oa5fQkKWWz1I46UVwMalRiRkhvqyGT1nYYiHqzdZNz6b8UQf/gHqLqBq6IBchLg6n1AkXTI/V
RhaVySRkVnXfFHXUgM2FUJXVkwL3OjgOWYSWTIEahFWtr1cvrY1Y874WJczjQ9/XVtm3LFP4H22l
2IZeBr2prn/PgqwL0FYLw3P58bPBzk0wR1CKw2cb9Db3JZuwAFWLi76tIUpQ0CuZkq64IbmOV26m
Gl9jxFocJVCe7Yhzparjo+ykZExeo+hUOs1LpzLm97COtdcnjwSozmYdZIVSPinGd7fMjAuzrKd1
MOX9lTxKqrH7eBTCSXiVs9j4g53Z+N+r0YydaqNoSbLJDBxO6YzPexRUYgjxPVhxpV1xs+V3maWt
ZTVpXagNoTmO4jU0Za+dENw1HvEOPKier15loZtz4yIZXmyk39dLkDFQiUOfiqkhOKAz7zbqPMJ+
LHUW9lBWn2xr7pYk0kAmgpP8nid4I+t1T33pbgqzIbLfdLes8inuzbNmqLJv4KQ3rao4T10Ro7yR
qvohGyLjyjNcyLCFRRKaJwsAicV66iBYHvxzJUhiVMs5GoL65QiYabwd/NQ/l0evrZOok3YRJNv7
0+UaZs1+zBHb0KLZ/0wKbrOCv3E+V1yi7K2ahesYdalPqLHj0mCVAPQxWUSZr92mum5vm2Aydpzr
4sZ0IViXJo3lLlUt8T8HkHGtEOxSz/WqBmFUNeG6gvBejhaNXCaty1gLtU68q60RvTUxf5tiipYf
lh8h+CoaXuukyWuPDw1qaZsbxApZNvrLROTn67l9b6luSFhqArUwmC/1KvUDzFu36YjHVdorrg/S
5F39q70xuB/t5fiiXo4f+ZWK6FKQshAdjw6SIigvOs7OC/X4Sk5QHkzRRPomFLzFBKWGKUG+MXNP
E1Q/e+Wl6FppMzxhU2e/6eqCW4IOh8yRQDMPRWFbt7YOJYyuwbasD1paL0mIg6OgubWUlngbUAJE
5K1oD4vpi22uooYkW+UH9klbBws/yvFBGw1K8PXstmhh1d0uTKPuKvTr9ipzWAfXJbzUsvjaAOkZ
0uh1fQ42vr3qxEeo694K8KK1krayodVj9Vyb+vXpK2RdkFstoWCb7xFfIT+ArGm7VnzPaSjRII3F
94RVaezd0j5m1Rje5napHasoeSS/ObyVVcAutEVuWcZeFpt+1o5amz3K0gcL2StJYb//hYUPFP80
Rh56Iv1tQkLpqeh9vMuqO17Jj6RxyDqBg2/bsIr3gY7UBkIKDd5qYZNa+XQyjPSnIeBujkWNrG5z
g/C4ryVbaWpXwKE916n2vp0eDbFQiqahWaDfF93MpqHv1SCaNgPo8sdfWOAdQjEP5raNQ5jksU+T
j2O8WkxiDJdvaeeiWBVVp2ZQ59ext7BSI1qiYRgeocdhdkRHqmm09j4oB/VS99tvsjqMYp8/WhnX
sgh1VgQFYRT9q05EitblKRMsgAzL43187iBLCj3DeEY6QHDuVll4LutfP2TdTzNZ/2omeyG7gRjL
e5NXO79FwGQhDWte+Ojz6euBYAzgn2R6AjccoB8VWZeRNYS3XW4fO3eE6WgIve0E+f9ampWT9WJW
wcZ/BRx1yYLytiwM+/swAq3k3f6UgXhbRbOXn7dWRqZ67Y7riFAu1+nFdM67k2mvIH3Qu65zCHqe
ujFrrqvJnwVzmb4rfZXtmpZGyNKn0JQiXfqu7EUOzKR1NO/ikTsMPlTSv3pA2BdOkaUbXUWYXhZB
ExYX8ihpK+heEvtHoYLfNzwoR2OAcqcjURfLOnEUJC2tr3bv6/5gZ6EVbHmjt3j1cEr35Wh1KbTV
muDq9R1v/drMBjE8TqaFZpc8PJkL/6iJIOCu2SA7FCVXhCv7i5o31wWhx/4iCRF51ZGM3rHHQKlr
bvyNEk/COwIqSW+iR3mkoD76mJPnsPhw9Hu7CIE3RAMRpf9oF/fVDg9Fr9yq4DC2LOHipYUs5YNB
EvjpSNYZos4SdfLo1U4eFaZWPHywI/eg27kwRm6TGVx+Yrk3EtkQvStBSPmhbY5T7+aEdPjL0lSn
z23jeWdGY5BXVo36RubsyA8QC186pFbOZD6QrEIjWqyAr3WROjR7IIWBK98E7mDHBDPLYTsJ3ZxT
ORsm1AQn5Lle+4sh87YiT0RkJsn6UNvOYsjaF+T1eTkuJTVOPLlbWwWsbs21v0carwAcyCs5pD7U
svhhQp9vD6XfS31SOG/sEfQFfw/0HcyB5JdBiMg/l1EtqxoRGdPzYjfkVg/H68+yjHfJKJc8em1w
SXu2FnH9jNs/2LtVAbuc2ev3bTLlB/99kQmmXEq/czeWL62yKI1fWlVyiUugpShjueG2UpoYiE6z
Jy/efOzQpzhMKssgX4DyRzUfVi47yj2AROMx9czLwoEmroeh5Rb/Btz4VHu13RyMzneXLVDmRxQm
oaiBNz3UZutOMVS0igRj8kp+FjOyP24e2He+jQhcZozJMREfbcIkFosu3s8usocs9rOe7rRyzLfK
AMwkBXVy6NqovXFTHdR/aoPYppTmXXsztYa3iYc5IFvQB6JUTEr0qx7SONdQ0gCHNm2D0UV4Nwzq
dSre1aZ4RfsA0npdv5E1uKv1dZraaL+JtjmPnTWC4OM+aBWvf0hKbjb87pvesMl5VlGRBGHdsErU
oOtbjKmSXTWaegZzWXg82YRx/GITMFnuUU75qsS5fgyNZleCZr8qdSbfxTAqaMjrg7c5laXNFHUn
m1CzsqtIT/KrvlL3WdHfjFqn7eXfWOSGcYR7Wqj+Ap3Rp0HnYtAqf1DvBeYxbcYH4HooL51u1nR0
N8YwqUclhbhU7WyEf0i2Pco6eONUoQ1Is6yc7VQ7xgUCpq+GsiFQBmsfIIw3Qk94lB9ksddHNo71
MdHibt+23qlRVv3K7LXuZ4e6QY8Rl5KyiueOJPGwqbv90M8/9KzKr051Zpl991tH28szLj/QsD+Z
oeqcH6PMOessPb7RyJM/tJ2BwIkoKn2U3MxzFKx7BLzWsu7UoPvfA10NT71qqKKvjXktzf/dcVi9
hwcYTgUpOt5kdnv6Dsr6lyMFiOFZ3s0axHkcBaWj7f4NO0XJu1XRDEb11VPMeT2QX4HMZdxvs0ib
7olg3EkPVtEaPzxdm29fDbS8mO4Nv7hLFHMX5pG2dMc238rJYoiifA1UKN/KiWYu3OxUlK0kF7wt
SmNb9JXGH/q+trYoiQJcdI8VztLzbFSH5RAU0+dGqb6hCu1dl15B+EHUO7o1vtbHSUkUDxBGCyLr
6IrtEbPc8Jln7KFXTJtsH7c5ZoFtLRUNT23YjOE28FX3gEiPe4h+Hv3LulBFJAECj63sID+krewK
AVW41OMI/+hs3DSZrt+buTpcqs18E4dtfubaGXpbVu1dKomXI//oDrs2DQGXxLGqXtjut8wNeLnI
qryorU1WIkUjK4fAwO61n6w0xFiuWqoXYfNd1phW46xf5myQbbCNV769txsV94XYj82xYDuYUyKQ
lHThNAq98a7ReuVclniHozOlR+VWFmX3sTHx5ogOaKi+6S5HrPT+zneys7bGNVFFrPXgRbiHNzo+
gCBM1xInJupJxzFv/uCmlpmob6MxJC4ZriGS4TQDwlz1Q0pcowdhbLFdfqjIHEuF1snrB2+98FSc
jfRrNM79VjbK+kJQE01jHQFwK+H0e8ritHqybE894z4bl1ZZTk+Vg6AFXJHVmeREzR4mKKqeullV
z+I+G5eKAwOh46IJ267mCaVsMw7Y5ITBdVwPybLwffNbox8GABbfOxWpJ0eJ55u0jvztr0yL4kzp
jXk/Q3QL3QPZ+67fO7eRYeqbsPbsg1s03nlm6OTMDgiUNX1444Tl+DzH5a7wguGzapIjAy7SuszT
vtqrWq5sw6k0rhWIwJYONIDfUA9fyE54TJ8LNzTvNbc31mNYDptUY+OWJ5kNn0LW3Abj4+Dn+l2p
K9FZmbL7lJCqIWmqZWaRGy/hVq9FCasyTbVaQoqCtOhQPRMMsc6Vmb1bDW+sXNTBR71RFCu8kfhV
14K+kY3BaWmIk+nUJlGvouSKtp/93lsGxHdiIyygJENFOIjG8RoHj7epDW86S8x+PLNHzd8kqGhd
24mnLpOgN548pXioVBM4Jy9Pgl0LPKn3gRnaT2maqUtvTH8zDIK3qA9yFyy0okkuXA3eRrZPzl7+
ia9F+dvapOlRpS6dvVz3ylZZlL9OFj1QEDuVXNp2csanYlAPLSG7W/Ta60ube+hU71rIPJSdme1s
cVsqof7GTK+IB1tC4bhUmk2uNMOm7ivQO01gwDJiu49+6R10Jreb0Laziz88gh8Fn2C+JfXN4fmD
tRrhNu0DHCWwUJPsHcXHbx+jMKZsjLFObsxWM28s4lNboqUKbBuleSM/gtG69Fxkc2Vp1Ekc96CQ
XMgOtujVpI2KEKI+70fENRa+pXfbaIJCc6Fk9DsrCm8stnAOLDPWE5siB2PDX+nc9X37ZIjA+Gg4
X8jere6UHBVgwDTudkibXxnA9pXv5Aj/wsATI3hyhNBfm2rr3qSjevBSbf5CiNckUShhd5yjeTmP
rAFlQ+e3X4PR824MthV7sk8msfhBPULkK1cDyhFTx8yYZb29kU3yYyjKGaHzDtxd7vLE9VNRbYO+
dtY8kcVjXsbIYoeJd5BF0lzPvUk1rqfYevC7xt4A4ez2fZIoO6dokwu9DLu1Otf2LaEID9ppe/xM
gtUl1YCiLc6m6ZpkrmTNxhXbb9Wyx0UaZaRvis27pfb1NcSAABbB0e9k0Rd2tZJ8ScmwT4jTo+0U
zf0hQc3bi5EmNobiWR3y04HzV41oihPVe9CUAN05shh/zE5u3dZRkN9MTrRga4Jzj+wTJFfD62S4
alSES06vlyhxty7Caac3Vh3W9oUdJpfg8vO7Win+9EYxPrB/OUiWqapN3N9x4Rv62+3cANwuWmtE
Gs/ub3ofivkMjtj1JAg+5EdYO9/TMYnOUpj+biwvm65bVGt/tiMRmh3ETwMX8lcfOQ5bl2ktO/1/
GIdHK9lNpQ4Nr8hKk/lpQ4qghlLEF5qoelMvs9oMe6oIyU8eMgR/pbWVMm+JULAm+71mtL12lnXV
hA6k7CsbTglu7uTaS90pPnkasBkS8V3/rIJ4cZizFgnMv4re7NtsDUnt3g1xaMPjHePO1SpzE0TO
gExiS2pY5CmQq4rKD2lhU45+p0PYxGrq66LMLUin/S+y1ORmfQ2fj3lIBgcBUqjWZf3PqizvBUhg
Ft5kPfgqG+t5HwI6T6Ilgg09wHmzulWrYuPXhvJgu01xTgSZSUcUodqHZLUI3ZUs4gEziStV004W
ySEEC2fk/fkcV8rDEA5rpXBn0oub6rbuy9OQioLuRSKG7Alrwkz+uyEVV38ZUn6DpnSnIeVfKYYc
yac+IVr+xzvJvkZK+H2DoosbL2w/FP9r+1xcfMmem/8pev20et/nv1a3/+vuHz+K+h/nt5u7j5bv
OjL8y9evvrRf3hXWOXvr6bp7Rg7suenS9i9tQWH57zb+41mOcjeVz//5z29Fl7ditCAq8n++NAkp
Ql0AI39qF4rxXxrFT/3Pf+6b9Evzj4f/87/r4Dl/bv7x326e4QD4x30efS/++9/Gef7StP/5T8U2
/0N3VAMYn2sAbjMF+md4/qvJtVTdclxH5IJrFoAJ1uhtiOqh+x/oIhquiiii7ZmGQROQrJcmQ7XR
erANB5Ey+D7/+dcZQfdEqCqertW/UF98L0pnWa5F0owcyIC+0NAFqONNkoJp961StDHp1Jn2GYaL
5xGxCCjmD3EERfKofTMK/XzklYdK9EPUVH+YPd/PnS9fD5uW6/EbdVbl77/e89HH9boEYe4kuPeR
LmQ3cchdb+3X7n4o/Ms3F+zl578Vm3R/9XNhOPBY+XMpWIK8/76wtdvYGWxvZaUsG7RDF6dLolyH
vKlvdDVb5Wb+XNXaZrDQLgZ4wa5k60xEzGfrfO6NM1C2xzD1Lkrdv4tcfEI9MeNZP/PKGmF57Twt
wn37OCX23m2ti7o+NmSwRXayGCtmgtTZu1m+mn0odoOQHH3kmbT6SC5Tin7RoCu7rk1XUXTwksvR
mb/5qbJwlX1vBde41434MOgxksrOXpjriXkg+2RTZu3WG6q1q6cwSBwExYymB/s4bUGxVzeOdhza
YF9o6TWBsksrznZVSQJTUa/9PlslGiN17bZymBRB6yfj2kNpWwzaIBaLZsWFOrk/prD+E+EEZ/p1
H3a68h6aJfirbMtgK/r+SiBI0zV5aHorPb+AynnVJwZqxEcfaV+Sz5a/v+6/us0807KBmRqeZrsf
7nLIJ5PC7i1vlUzV2vPqbYFjLq7PoqRa+WBxfv9t+i/vMptQI8+Wrrkf72onjiyrGzRvFavOdnb7
Pb8fNtTivvQPiuGhiE6KIdggNpSpb6MWi+MuSndkNj4GAvtb2RoRhOnbMBvnOFrIgPF+dOqfHgaB
x/rbFXBsy4NOmg2x9wGvFfqw0uSQUcEs5W4ybpe0du5yK7yw5uzTH86I9R6C/nK5gUQYzHeOZdiC
feTtPAPxl++kfFlqZ1f2OG3Lxtp5vMwzQAJ6Mq0qu98EEDPncXQgneaiU7ek8l8aPJTTBAO925Na
OK/wLV0ZId3LYW0P8aFpjhUJ/5Zp7ZJ+2vp9f8bm4qxXjZVZPCdVsGFvsfOQ8LHRgi5GaCkzku75
om7GrLEWPVS6uRsd3DTcOgA8jKAAG0xyfoa/X+sXHprpbjdAhxQsUO9YW36/yINorTXTCjWTddUi
RFRb6LsHG9SwFmry1OnTyhoM8nTHTV1Fh7oL1+r4pTI/+Y21LPEmJQKex2BJPm2NOVzrMPfnmrXr
tXQ35day0dNVOoRruxzOXAtdFz3b1ZyhVMirOOZuTsjVLeGOwCsUqtbSQfIIVotFED16yvVYfra0
AeHYzz5abzApIUkQbP0Lu0RPAv+QVYFfmINtp3drNFo2iZoRClsrUAO5cIcUUQ0myL/R83DrF/7R
drp9rFuEmeKl+DlBHa3bDIKuknxBg1xsI9gM8Jpk807Xzjo93DVt8MS68cZm1DBWNiIIpPchPznb
KR0jca7iUVlrtrkwkn49m+1Z5EyrZPiid5q6mFiXXmhmV+0iUvcvGhteID3eFkFbLasBpwck0/vR
Sa/mSe9RSanChTbBdG5Z2ULLlPCshIRnObJd2ipuvER/DFHqaFlWzZmeWUs1LBZpR5nzoYCUMcd4
N7bZas6UTRZZUD1by1ggaHKLaGS0NKNOqPvCvdARMgrh58qPmjJcpMl44ZZcqRiUgdusvKJZoHCu
Bwfe83jl/GPbmAcyzddWOW1rdGkCs92LOb4ruAHt6JBCIlRz3ewOTWFX38Wc7sTCP+xvSoinit69
L9t2zw4MSC/L98DYdTPnz/3hAakog34dllBFIl/umcG6KyFRCnqkhceLKjjzo+5MKfz1iHJg5cW7
hmsHJQrBheEii/Irt77UtejQlM7tMPCruQgNeNgpavd5F6zFL3NTddUo4yqo/K3jB0ueiSmcLpxJ
WSNVsiNBuMjnbRRYB91JV3E5rQJ6RR1ao5G50/x2Y/I4gVze/n5C0SyxMng3e9m6AbuVwz8bAK/+
YUJBuDvOrCbzgCT3Z06lrKt52KhlfMhhNKwm4MZwHM7eMR/gUnHSo1A9LKfwoGftZTy690YLHU12
3ZCXyw58NbrdouZ9qJvdWTz4a3ELWKG1YGe7iiuuhONA/KOsex5tF+lGUTeW3iKoNlCOg7hMjwHP
WJrgTWtgitOjg25Gh6rDcdrhBrC+pviBrKq61C3jkJIp1LqQiEm3nXLMdHfpqeliqs0DDMOLWd9N
Srepk3KPyFl/Jm4Xy4eCLDkf23kbmuG1TTZwltTgHIYthD87ccWIsu3KdNi6ZbieRnITG551j2uA
dK3dBlsoVraomS3dMF2FpGmHIWzl01J3p4VaEec0eQehRur7+qHwg7VqNfsRICx5vJvAqLdGv/YG
csbH8ODowa2im+ddCKQ5pzymKzFV53C9xo65nL15a/qIHxXheiAUJ4bOp2EtJmKWeps5N3ap4qxm
PV4BLbOc+BpqiaObAH6FZMsrxk1gDfzQBXnyO8sJ1+k0rxAW3cU5/xgVNadzhfvKDOON2cKTU48X
Y2zvQNZcm4b3WEgh+eLK0vqlAntTd+b0n4pcW5GCuDCz8SJGzwo83jGu+4sgtf+w4jDf02nxwmM5
TTqLg5OZlbpnfVjf9OZkz1rQequyKiBdy3bulB0TPT6MSrtUoascsmjtJt2yKfk3dktl2cck+zDN
mF671I0eTLpxXlr+pgEUnnjJZz/Mjk4Yrrs42sz9RZV1e6cdLticE9aIDoOX7gqQaVY0b/vUWOvl
viAMbENdOwILaLRpa2ckt8NERzz0IjFZ+alMIAPzipruVDfd/f4htf/20hfnwFJVU4VujF3LB0ef
DmnCkOelt+rDaI/qMk8IsB4epngAmtMu7ShbVX68jFSmN4TzUo/oCk9RAqIgZG0g5t/esXZ1Py3b
9kk85YnaL6zAOh/Bi82AKCbFRNQlPiRk//c9Q0/8DwickMh6gtXCyZ8j8td8Ui30jvek2ywLg5kA
/VxlSFdDr2xKk1krSHbi1Iu5uMnnVXuPWvdC4S3daulK1dtlbnbrCOohFQKESrGY07JFaZwN4Upt
3GUedRv8iKukAVLKa3IQBHVhuzeDdk+62DqN/5Qypf9tTStPLl4n27E8OOe99ysqyG9jFc5Lb0XE
9qps4yXklBuLp5zMh4WPYDVkuQ6k8BDM72wXabJphp0xO5L5w1yjn6fu7eDj1oPEKOjIHg+4F8XJ
dxteTYG1HFD7tvPP4skWv/v3t8avng5yBPDzOJpua6a4c94sB8u5AFnlxqz+iYhm1bDW3XE1tt4f
tpfvUxJODyHPIDts1rgsxz+s++sqmMdGSwUrMJNuau18L/78+1+i/W0ZzXUwVRQY+TrN8TyxGXjz
UxSvqslBTLxVVoc3MbehqgRChYmlPWvSJDoUFTMuL8yaZxMZq32RK2uXJ0EB/2WakOdW+R/O7q9u
jbd/knh3vvmT8pI/FhFn3o1+t69Va0c09Gq27aOOGpo79+s/nIL3TAen04zvQDMdXBy2ZX84zZZd
BX6rBt5qKMIbsx82SYBYb8tMBS4fSMCazMcrwFUbte83uYBw8ohkk/mHOVfu3j+sCUzmdljFDZNw
t/phvmHrp/VZ78P/xbqc7J3VCLS21v11VAEBn5kU0t1osnw30lUCgbQ3lItW2f/+bOjiW/72V5hk
e1mGrmrsOd+ffQgae3i2PHfVNu2+zzLgnONFwY7B84YLcTNMubhJ+L8ortC7XaoACMRTmVe8BYpu
nzefm75fB765E5O3WSd/OFFiavjdXyiu55v7o27K0tUi/kI/W0NaeDn1wbZonqayXBQdW7I0Z13z
x7tE/O6P38o+zDJE+Aen2IcJK5wqxbFZM618tI/zDI0qNkBmddaJtacDUocr4jPr+y0RBMLevOB/
f2V+NenYKuFfXbXxqRl/uzAjWfozs4Gvf57MnrBTJDZaf3jrWb86u7ah8Q2wrmpMcu/PruaBtVRs
+MS5G9cKi6GBEEYX2kvF5m1bBze4hQ8t32tlAyj2YAPqlBdTu5yV/Goah41YSnt5sSh5aQwdGqe0
uQGkDYO1UwL7PghBMU8/nA7u4zADHhweygixB03ZOOEnM37oTB8U2UigS2FvQw6HlR7HBBjnABJp
MAFhpcdJqy9j/hiyRWC/7ZcaXyoWG1nHDBV1y1H1yV0yD/DhbKsBDlz2RWJHM3LTwlG3VhJ9pSjV
H+7MX81ctmlprOvxTOAAfX/udKe0nUbh3Kllf1YH6EyIhXViLQ2d9z6bqN/fEc6vJm8yM1XTc1iq
aB+9ULPrsNNUFZefrn6LG/2bV9dfuiG9noIBUlZ74bAxEzMImmSXIVsse/SOTsHL1lDIPbcOucIW
2LxAHe9LodnQvfF8h2yxxaxnOXjjo3nVT/ohdJNPJv6MUouWLvtsX/0R1Wy3Ae0O0X1bkFqgmbta
bfaKy4lWzcWQhGsxIxhNtvNpExv23jEORXYm9lk9ez0xQ4xKvhx7danln1srWcaIbo3Kj5DsN97c
R+ZJdrkBtLFCfxB/QUl4o71yVXMZ81KfQgvKTiQSe5YE1tIf+q/jbB58V/smloMjSwDx/hc3qIbm
wu9Pvv6rCYHEJtBBBIFdVojvL3ZI5CxNI06+ONFlzGZ1nLcZz4Pf3nsO2/HZWkCXuW2V9AoRqjvD
RQBz64hFYyr9Oau6iRcR8hv/l7rram4cV7O/iLdAggDBl61aKkfLtpz6heWe9jAnMIH89XsA9Yx7
fO/O1D5udTVLCKRkiUT4vhMyCpKBdE8AzmwUjR7+/oP+pwcasgl6xIBwi02+LFaqLIoU9BEFdLfC
HzZiB05aYBMIp2p8LzUfsG7Fk+jm/xRG/JIov82rnkMQntdCU66nn5ZfxumROYM7wzllaYI0DMEa
O161JN3rB3ByeyhVRg96udEDijFCwo/TEUm3RRXRVR9vmy5eSvzeq7lyLvqG9ovircLcx3vMLB5E
dcF30dNkT4EDrJNl1MUPZp8lsCoeD10E2xmRv9lWvLcGdhIwaZoI4H3jSnR6sQj5LvzXwTN9M1m4
57qs20WYfDPcoRboDXrYy2JIZdVrbAkDKq1V4bHFTOKVnptTxM3GAk8IbmY1bH0oJKcuflq9ycG2
XsfPXARGOyzo9U8O/9Sd3kJRTJp1D10ZeYTSLiYNvpUgT3c19kxYDIed9aRY9q0p2N7ED53wQW8A
9bhrYbPkpjzQYyy2vWPGIcyqRzxw3hD+xG5yEUbDBoLx7qJooWucnMP+m163VOnSSuzlFGFnj/dP
fbCB0zWz7P2QtLuIqyX4VCsdJ7NwQdktxrgN9J5jtqeljq1kE6b63luO7UqPEBkCEyTNl4DDT+0u
tBEDTANau3s9THDw9rqA19mWj+IosFyCQvYWWVoQiBEK6LExdKbNgNteyBWQ+4HorjXWl32sEAVC
oA1iNrY1BDFDKKNRm8gbVnoHk/n49Ahc8gwZaWtRWeGKzfOmjYd1ivurK3AzILKH2WjdgAw70d8J
t5b6LI5l41zJXeHe6WGhR96Alu5Wj1KQuVoNYb+K3BSJTmsNcZFVNuDZnSyklcaVhNwsxGZBulhh
E7ykYlrqmalELJPl/doi3lVI6x7J9W1mr6sp2sB5Auh9dwu44Vp6IzAS7jZEYkP/TBEGqqazlkhY
QPwZ4TD/ClbwWyQhDAlJpQShghbDYkVP0LOHTAK2bvZbU+Cun/HH4UabfAW1tWmZXHJIgunxjWHJ
Gg8YmPHpcnLSfm7lXEOvvV3//UhiolJf10BgizGNfeGO735dG4AJQQsffnrdUGxLqNsNCdvmNl9E
CgDlpFzGLm5I7IBhQNON0b5p6R5q58e2VXsQprdT3H5gsxy+J/bwoZ+iGHOJT6KNXijqUJxeQ/z9
Z/5Pm3gPEQwESYF7Abf7r4NQKxoL5Gl85MT5NiuO1cwVyf0gRvxRRwa7qP+HNcAXwYTbsCcI51ww
F9mhr8Nea1eAQEcY9mSbbEqJyRSSuJgrvrmIqbfY6eaCnvRdDpWmPRGISGFdr2OxWWo9U0S7M4T8
c5pt4Xu1KEJxtLDt1RGSqMItBBIZ6UC27g88gw8kaRAVuc+9hzGEWHmTL7swXivrI5LF7Yv8mbi+
3H7mL4nyL8X/OiW/wS2z+r37mg7/Sxr9/1vi3MbM/r/nzf+7bzsJgM/7rzlyfcotRW4z8S+fIv9r
E/1ze1i13xLkCOr+C3edQ6jr246NCfDP/Lhlk39xZMeh6+Xa3IE1FqbGnwlyi7n/AhLHhQkJ/+OK
/4cMufvX7RyuAskOn3oud5HCF9AO+Ov9L8ahThRz1WGuoSGThR2ik6AAl+EAxTHqvxc1LRYZVFHv
fXuE51wbQvrH9csd1oQ7w2rKCYVQ9Gh1WKypFoajwESZOlmW/daBoF0NZUP4XBYxlGXH+pK24CQa
2lvfYVitRbaZIQOyhVRetglrrMhF4UDNcUox2ebz1coG61gjRLhIoQ3w1sVRiSiX4Md2Lt1l2Ch7
+icL2i9rE8CcEH738Y9jq4Odv/49f12bAOUZlmJu5mOih28dexIhna5YXiCBhKD/h2afhGme/yYl
kK3MJfW9hzDctoOJ6pZ4gLySMa4W+LvY9yRzgkxY1cek7aWgmCKuyPs0a9UnEbZp9M4I+BvJfm0n
5090OJiqSG+O+8ZtsETq7H0U9c0y099B7w+Q11KQ9I66jN2PU/+S0NG+lz5Yi+vEnU9O1sB+zQ2r
8+1VOS7kVL1ajQ+aiVfKlcWQrQKgF/xpe/o2izi+iBwULVtl9cpvwIxT40ect0WgLF4/zX48rJwY
0ewEUcR9K1IwjyNRPozA4S1kktL3srHWUBtpfxeJdYA4Z/6tgEx9VYQZTM5Bka6quoVfWvzzFcT8
hicIiCFk6Tb5lbXHKhmia9723ZYMrr0wxQTQ1EvneitIUURXU1X7zavnV/XJalE18apDWrXXxtc4
HXcZweK/QxHkjgAeDwXA6VlHEIol/qm3Ia01xEMalF4d9htTidttBfEaoJp1FwHkI1kWdtkARiEy
WNSHyHw+eWOSv1nwUdiWfuSsWy33CQu1iJDsVl3r6nlIxV1Tgc2p8iZI2tl+qfui2nekc5Zzz8gb
YfRdqLa7p42I70RdQYZ6xBzuVxXRrqXtLh2Lb03aPkxVCU7wMCMdqYbiHjyL8lrZCOOCNA4vU0Lk
CgxtLJAsLz4NMr9OtIofbdHLA3QiZNCmw7FKq+JZwHBtSyyQ9wHEtF9YXoAq3sXfoT/pLJpiUc5X
hMyTtacUgwtw4V9VOIzhmvWpWES0mbDf8+HGLOa7kLje1Y9zd4cQA1252SDfZXdk0Of4BtkVZ+2r
Rm1BvWHPaepvfIo9uNdbFbAc5bB1lEiDASu3eAX4arkYavx2nwB1g0H/RKnzOs13HreOnyj1LEIq
KUl4uvwUVPJgvTs6/bj7rPqqsZS72Spsq2IZhT4DlTiKD0zM0N3RMsXmkAK3PKUZDK9K7FqJOhqZ
QJZ73qZ3E447ikMYEIIeCpnaR6Pzp0aZLmNBY9hbgfGej9MrreMmmDyLnjvlFVcRpVuw7qfXmUCr
oLAdufrsVoT9b7/MOz8n4L/Af/SO8nP5hbkFwCnfBeiY+D4SM1/H8kQy0L1hjHmUwMAeExvs1yAf
GYc/rloaWaO6VSBh5lztTHFW3kddx+7ZlBpw7uE0lz91ZSnuu5ofjJxSXpbJ0YYSU2DEloa5GTaI
Xcwr02quiIFsul0R08yHI1YQdAZslmi+K3I41inBOvvEsh7GWVLFS16G2C6ZStM8C5DcJ4+vhsoV
a8OViUcsu5vMEmtDjolGf7gVI4R/NxBeb5YSGmp3DSTkOqQrG1AWKwT2WFgfSOaRR9ZW+RbLONhA
6KJVgpg212vP78njrcZHbMHzIRgyy9J+LKCquO8GoeCE+UeXCAAaPyqtiz1bGYg8stsW0gYLvKKv
ZRiWm0zkybaN8+IFWgcbkg/ze1y1Kf7KRB2BT2cXoFDi4O9/Z/+vO3aE3YAzAczHQVrYQY7B+TJn
A6PKxrb1rFOGSR3ArF6dkC7tnao49bqA3PVH02XhwtAT/JDrvZv9YCRfoR639DqBkjY6b0PvlzZE
bZG6HxAdG9PySJs2WcpprNZmmjfzel+rn3Wm6DobTzUl1H76vAiDKq7qQ9zQ4pqngFRbjQcPGD1q
hbTsV7wREPjXrbxsdxWj0rlrwim/jzkyZt8GHcCxht5/CcO7XIzFezoCxQW5hnCftnN3j5RUF6QZ
77/nSXOFuYJ/hU6MDVHH96T1yg2XTvZS83Rv+njgQMC2Jx3vfGdUyJM77dI0/PvVAebHJhC/J3ud
RxqfwBzH3UMgtVilITxb+Wui/UOVo8jaRyh3Yx5i3atpMbQXkKvvjG3joK0cPw+uMX2MrQLDBx3g
XO6BnpFhXGhpX1wblsCh3Z3uY13V2BIiymCX73jGs39YzpiY/C8DA+K0NiOMeNibIRiI/39dzShI
hqk+Svk57exoMcO9G9CbaTrHAmz4ZQ4pYazyqqOpc3WDeWUDw9Rm9iVidPgOlu+iJnn3Rq0+W48D
BK+oAgZmlBM2rbpH3csf2IDKR2fo1K4ecuDo2To33ystR/UwQ8LHKQCqMNoMNWiH8CfIEsTf8Giy
Oo8fMabhB1fhXdjx32PNIOpD4Bs6Pj7PvjVAetP9wepufM4TNzq0GhxCdKMW2t06IgYkDSTbpxb4
MiiBQr9Xtv7SRZQwQNCiypaKA8yQOTw5gUJe1eC6IMH9NEKz8hXb93kBfZzpHiF+se5tNh8yrO0O
NdlCvcOGFChuEeQSM3GcZrHlvEnaFUSC/yEsBgDsX0dxDOPIrEBcmyNuCPCaCer+EhZLaSYkZNSK
RyirkU3juNOx1QeZDNPRFM0rU0ddiOphgb/7rPrs4bQ2jKVNi4TaeOBCt2X1eT07R6CLzN2D8NMB
MNGE7nsNyYbF6BNUR4qLKTkLBTGu5yZL5aUOy6ulgeCRtPk+5D3wRbpYz7AYw0CMYIcucn29rJAU
Jn8o6uv1fVhcTAl50D+vZ9XjHY/3OUkuHCMUYPppjIejpssR+Zs1NUXRpwfFEHsGzja6mgPPQBsY
ocalYm8LwrkNjzQP6qz6UAlo88L/BpoTM2hWXxpMETZaUO7p7fysYty84Jyrl4jDLYOwqF+ZYi1m
LEtLVh5MkaXjBkC64TFtFL93aHM21UXeAhsiwmgJgnIDbGpT74Y+usRd53yMXrfNPGjF200EmjS1
s0sYUn8rR94Ba1Z7FwRG4bs3seHdAX+7TsbxrCbIggIDMj/mvneN8rY7icidHmGQoRVBAVfKdWOC
++Met9CCFgAtL1pQzAM8jGIXO5Z3RwbynHLnuRki+000QMvAFJPuSpaNr7Z/9ruJvFFwo7ZlGMfr
LC/mfUVCxH07xztBhwfS21MkTgQ2XBkyuQdTj9+iXmPIzgFnACeTlCKA25d376QWv8/nOD3EZP5+
K+n61rEKEPuBv+GNg24tgTtapF19oTS78Lr2rcfvfkjGGpQEXcwLmRyqAoo0VEKfuJVhH1i+ghC+
Ys4xBABoOcPo5x2KKFt7qsJnF1pX21T6wz9Mr/TfH0DfBolSMAZ4B/L3XwLipJduU4VcPVrwbVtA
MuF3z2tBNiRd9HA79MeoTvL7UNfge8+PpTdeq6KCbuc4jYhPNkAYmK5uN9TL3HGhDe229NKpI8fO
6L7LMPCrcZZneDau87TeUInBZbbBvAzljD9X9PCEhzrJsRbDtAOoY2906QYCUZqbQp1qnsN58HaR
1k8ygndhjpHu79caRjz516kD6AsEqqivga0IYnxda/QJ7d3eFuQxsusPD0owj5zL6RF2GUsJAtxF
6FJFR8iiaNyLaSTdHJ1pSS+WvndNlWzlby4Lm6Mp0dCdAY+R7h2E1P1tAoHZheOE1oM5JLR96FhX
n5jTRI/1jDyzQowiKHwr240jNFNoa/WHQkIPLphUhc0y7HoWxG2htKSLRB+qCeH1FqKNwVy29zmN
6Z2hIOvSOLX0rsaeFaD85tb2Z0k42T8M6UijfBnSBSQjkZ6HeawQBDyEL0HGlBSZNzl++uCDcQrd
WNsJelmrh5b4zmaMeLfjCJ1eksKH5AnLyDusNJZCpsVHWXq/xX1lQ7PC0RiLFkzbKW1PRQJoDO1g
vBixV+rnYpPOeR20csBQwOoou3MnG3jzzF55uoTkYHpn6s2rdJYrasvhaKqyslJBNmfVJgcl9kyy
ZF6T0feAHvDCs6m7HdIoPg/uZZyhrOCz5jzTcd6Ccd8/UNVBxUXbIvCiQwKrdr4VMzyAazr1p7hh
ThDRHHEAq3SWfGTxJtOrnkhne7J88gIvHJIZCR6km7jIwwMG25+HEF6Tt6KbKneJuFG2yEs6nvI+
lsjRThDHLGa6o4SemhEoIGy9pqBVtXM3OKEN30u86qekWgJnBN/mvzbIDEo4EKnESkc3SD/ZkiY/
Q6dS7WMNLGxIAYdrYNgaJ/3uRzQB6sPJDpMMjy1gi9yK88PnQUYyhwaBv4L6ZxJYjOyFcsF0jBqo
XbPQuZSyVIsshNRF7DSwaO4BNh5HkV9nMkGyXEavtTeWe6viydIUXRd2fRPCKvuirtxV3stw2YAt
aQdTmFVrAsRrULAGGtdDhENqw1BSF0copq7KdiwWXQGqBxyhpxkSpUjCZBGH5fmANe9EePxG4GCQ
O2nzw/LYh4waciU11JNBsia7ThXOxdcx6mko/OfZS7a55wMhPpd5dJqJso5Zr5CIsfx0h9Shu7sV
TUvip+FihmwsotHxSIOaj/eln8R7mMUBxAIBQnuVUWTYbs2kSsRZ5BPkOstLhe84aJupOCF8WiAl
0xd3FoRhIVhzLuB24CKKhno7AiNEIrWKaWOpGJDkEZP0bsiafDMBnHcE/Z/vMmj24oO14dGRhb1m
fqaA66VIkVA6XwGnswJs5fO3NoTEquVjFRqVazf3tZJRBWQV6Su6h8cHpVm3l7z3oZRQo/6XLreX
puPnKT+7ygkjfIzH+jQmsTx6Te2eZyiGbPLahx+9F0JUvXLYyQHYHV9Ct3cQgNpgmeDdy9kvYDHb
9e8FxwqEpfXvHmJr4C8n30SHeBEYsuE/5Cd03PnXKIIAjgzLTgGsk+MA8/UVpNBCsjSvaFJdozLG
Izn29ltlIw4WgVl+ygqwse0wuqv14mLybLqCkRvburpb1iCA1UOCcUhVuM5zd9r57WnWEiiG0AuO
KiRQ2mxMEVP003OvoM7Z1uFHluTf8rQQz/nMLNgbzs6pha832EFdhCkiAalZAgKSuH31InL8+v0I
F96elydS0x9RAuMkYOzFY4w0E7zx5gtCROLRo1WyZPEArz/dmHWjvbcg7hiYYm/BLEJvXhEsK+aj
pPLkyra8z62ovC9mkZ9BYgJ9XGEzS84+Mm93iG0O+xY2bmvARNzrRMByorCBXXvugPS5PSDeMvYg
w1iODxtii/bInSNQKyZIXOZ95r7VcXo39XR6JGMbnWjrVQshHfoWQrM1yKBRsIwtKKF2afuWWX3x
rbOgXQqSqPOc475aSOkNj/Bew54tLEfELUS56uZx5VrQ+xtozB6x5gcbK0ztg90k9ePfLwYQQiR/
hZQIAX4RtI99F8w9Ci/0r1tJZk1dW1Nvug4MC0vHB+3Bk263p6JvzxATGpa8GMjr7GV3pGfqI4Vu
aI87Z1F4s15y+gqSAmOPzG5tx9/ndn4SQskrRoNm56peruFI7bz5gxNYtJguEALk7rYtUi+osmcb
RkkfEEMDdjUd6NM8kmQloTV5LhV3dzRR2daDB/ElzbBabKJqhK9FqpawxY4QFCfxY8xE8pD5CIyj
ADSWBDotCeFRqn1mbWT3m6aOXhBgxp52Bi4ZfrrIucHRq3F8/0qjNH0A9GkP/rD1XHlDecxIjUww
DYeHFiS1gav5qPQhK6r5aIrmFYx+NzFt6M6UmrT6ESN4vp9EqR54EQcta5NrCsevawSHBiBzh/Ro
6jpK4jUsc4Fi0l0a0lnHSNXv0xyD50PJdIIthlgivOMcOOGQbqxnCmkTlpydeYLe9KC8o1WN7jHb
Fm7pHU2FeeXpplt7zhZ8Sij0w1P3DRsarE7K+rvbYCk0lI44Dk4Lfy+teT/qBqNLFE/dc91wvulb
m22kHY3PrbAAanCr714HdQ1N3r3jMw+Pfj2nmLjRUBMY/RHsP0RpF2tYqtu7LI7HRy8tvpsOMuFF
MACS8oCdMd07QC+sREj6d4TXbpeOfHc5pJ17kEQ5lzYDR940QHLyEVBEcfWHzt36E4gSQsr0FX/m
+nZpPk8LUg3JuUOw/OxPg1rcGvAEqxr6IW4ItQbsdqDH5/jhlZTl4+09oTWLoTklF7+nUNPJ4VjR
ZIn/CpkaCClGKVS54K8c1jO2a/rgN3V3MkXzqkSsAJ4Wdga0MhrMIa79X/tB2ivecKvNAgoVggEW
c39ca6iFBVADhIN8pGQw8/xx3i+X6UHTFEkGG2LAyX29rKYJO/hcixsnBUKEEwxgcplBiueXFvNy
rEQqgzFq2cGUsTh4TyaBKUtfwlTd6nvmHj67/VLXaR+iSDcjLxEvGOjJS9PR1JmOpljBi08h6bEt
CosfzCHTr3iSSvxU7OOzfogaqB6aMiAC8udLU67HyrudjBByvXBHK1t+Xsu8ElXmbrEue8w8p3lE
NBcCaVAzgbDCuLGxsVgPujjz4dmb5ABNh5BeIGzzzpuZvSa+p4lbvrUxvcI23XmiuK8QWD2wESBg
kB2GRRp602mOxvlkXpUxJ2spK3sNRy/7WLse4kbOD+Mrz9qsT8+JKtlByAeWDNC86Lv3OE2gHj05
zr71FuHQtPsmSdm09VvL2SvAkBcQewb7Dc6JwBHZGWj4NTtQYAcA/SX0Kaf2b3YFG6pRFP1m9tQ3
ifzC0eNd8eimc7WDCz2UihEWrBZlDYnQCLSoxId7QZ6AY8Ms4S1M59sZEwGAjnDEJHB+OE9QnMKv
uTRFx+uSLewtffgauhBmlFNoBz6oV+tZI7JwdZduhIOgiptVAOGYdtOVkG4491N9KcoOhOcuGc9y
AsY88P0mPwHr8PNkCebyxrbC9PYO5jTTu6ok8gbzGt8P9n+knTa2VisLSxuI67HgBwvT6GeV5GBg
wL1+HgMi0w7Eu6J7SMO0XPR9NnyLvOqUuCVQNqMP/wNJyx/+bFUBcozqyeITALrMbc+kL+rdbGMU
wer6xYcYyALhh+bOHDqVNnd3Vh81gPLq2jl0cfB+WFaRnEUsMR+YqsnhSyFmfoT9B/oKgQx3J4CT
gtPJIsey60yiyD92NnbSru3x7xZCKyqR3z0wCpZOq6ojhmR5V5RIwNduy783sBmC463/2jVespYz
+KGJ4vFDEaVNcOtRsvuijNiFEXqw85lushrhkhb7tD0d2fOcZApITOue0krfF6KCm60bpXsfd/Vj
BXO3A+SEk0BGjFeLkVa/JSFAa6RGuuc5a0R3RPCm2lSQTVsye3AeZS7z+wZygaZkGkUqfvcciNKa
g9By6Z7EJmlMXj+r/T87mDqHl3m2/DyBZQ/aQPFgjTBZutV/nks7gfSqKZdpBxTwtOv8JHyKkP1c
snBEtCDsp+extfsgchQ/miIBN60bY34xpZQ9qKJrnyzQsh5oj1S8PoWr0TkXYCabElIa0cHrkR81
Rcg9iQ0cRpOVKSZQkllZEeRta2fckchuS6CdKw8iX38cJLH4HthGb29X8FcITIspk6lWwcA110b3
/qWPOYfhti0hF4/TTXsx2Rl0mEaybZB0AvqQOfsh9mClokPuA2HvoYz7wJaMX2DvVh1nt2qWpiH1
QBpqhv41RYhyA336YmunOXnuGrEzHbIYAnbDbE0nm1F8RQ6kcUyDGwrshJL+ivy32mHcgilP7LNv
EcLE+i2h8lvpMOzPj9Lm/S8fZUx7rjOaFTgZaYPES8rfY3wUZKb+7aMU3P/lozSTPZ1qKFzcNcT6
kFV6AUUcWt02gdaiUzzJAXpJTJegNIKgPImvkxraa5ZwWNWiOrH79JLl5aM5JXeYPNqAkd0a2yLL
d00X5kvTylU5rFsXQiJADkf3So1XuIllQZjV3tNYIk0Nec/s3EIxfgc2Xrkt6jy7pJxC0s6BPBpU
tJ9kCh9nN39Uaqg/bIV9qzl7UFgee4Bp3c5GXhQU53r8eXYau/VrCZ2tIoeNM2OgElv1B5lYFtil
4E9Knw2J5l/fu0Ru6/bec50ufw5zE8RdzmUtwi1zkCrB5jK+Ok2RBGTuYVFZ1btiKMXrJMdiBaux
4khGV8AKoqiQF4nlO4alhenq2i0JFIbue16TEJYsObldLe/Sn1ebneaXqyVlURwZ4vSnkvA5wPZt
HULT9D6ycIDj7O9jlBDc2ol7PwNgdG9FzaZSZXM2vaAG4V/odDBNphPuDCgc+u05HLBLWoQSXKKY
jpCe0Ve9dZmQ7ih9HmEdNQERGPocUR0qivXnZRQCqkGMaWF3+yD6ZIlZnhQuwmHm0qT5kL72V9Ft
1Zx758HCXKE/pHkbf3YTbJ/i758fnoJltakgk7Nw4SqZ+NgR9E3SHRSkNO9YBJKfwTPNWOK1bhi+
1cRqVv9bDyuD0GCx7FJJ9szKOCQhugFhN2mPS0Ss+qVvsfCMmBQo7boBKq50H/vp6bNqHpH06FxN
3PZSrBKqsTjmVsmvysW3AzS/3Ka6CH45gV0Cq1cZgj1XpSClOafAglatx64tjBHPAyFP5tSZZfKx
kj9MExZqzUIkQu7ra+orOCA1PLl4GXsyWaG8bcgeeOERbtpIGfVVi710R+a1KUJkTi5mmKbspdPQ
+0lM26H0yLL2B7UEGRTulFHW3ZlXPYZOOLs0aokpqb1j+vClwXRmFjbbmRpdvMVMD7Ev6IHDtvhQ
dIXWj9eVUGZ9URkFy+OzzvQxvT9Psbw5hLT9n5dwrCzbSJ/gb9OXtpsSwX7A1ixItATAK0Cxv4CI
+VQk02WsyzoMIHMC5+HsQmU3XUy9g8RgIGhBNj97hAzS1i52J6bZHMLRnbAUup3q0/D3UhTJA8RC
fQdjiGroq4NYxgsgNuWycEfnzo3acZuHIwDUYwMPUkX4MkUsDDdZzFfV2EGQGU/lwU48TW76s+xj
nFtVirW3OtMAjkTzs89suvPyheQ9hd8yMj7ChdeAB6AdEDA16zZV3UHHvG7gf42kkDcn1Up5HhZI
MncvfhQ9ptlYv3CLZvtwhvvx3NnVSx+yZoXwSLgxrZ2WQaMQdDkRAESWBVAfK8h0KWDTcrWSFBqc
5Qz93CVjFrwo9UHlUq1cOlpBxWssVZTdbuPYfjawhiaPwkNXuoFl9LUi2TrH0X6NEHG5jlO9QGxC
PigYl14tfwb7o+0o/F3QCCxuvBw6pItMK94JTvPQ3VuaVsth7SFJvT4wrdAEjoIGi9ZFjq0+hF4R
oNXm0n1K3A2ngI6bIqA2p9QvsHUFQvCEABnWp23X7+cazlkZY6fEnqarhEUzmJlgyRjfCF0/59Z0
bcLR2qfNcFf108unEP5N5t6Uh6TJYPEIu6KRddUL8xS/vWrj/tdXkTVBZDCkHA4Y5Xic9MHu/OEI
wQ9A6TumXWk5/JfsefzZYvpASTVCeEqrjhU2293qvAVlc3Y0Xcs0R4fPi1oQ51hhaQpJPv0enw1f
O6aqkRuviB4LWgfEbt2zow8Wcva3gywGCpK+KlefdbC60FxKWWG1V/Z4pDAZ5HG7pYPqLuZg6gEC
BaY962JQ3v9ocBEsAYcaw/5nXTUL0IBYtOQRT8+mHtEnTUCY54tbqh13Ouz1YN+06lmVHTGFhSfb
A1kkLaL+nXXISWpLM4LRKRCp591HVRTtRgpagtIwg84brtMgdwiK0AfHS9rHxAZb303qFxL2+TGb
mQi4LqoWdmkplihQNqTqPrMcb4DONp5NUUpYIXRZ1S6x6KgOImoWCcjKm2L01oXOxLg5fBj90T5q
BVQfmnEQqGgm5oBlgtayU3Dr1K+mbAC5QLbfb/Wc7SfYTZ7scci3qQNtg8Jl5IXWSDNGWfK9hOTE
wpG+c5otws82PAUWJhw3hsMRq4Hi+T+caTrQJHIWcY34LMTAhnU/5fDyVjn4Vp+rVTehwx7CUWbp
+lltFrl1CsIT+Obg/LgtxBmRMeh4I2r9q7vHBvqR8CXDwRSrEuSFCS66i6mtE6SXoh4CJ0kCOSrm
LJHty59i6HDu8JC0i9oBcA14nxRIYcwHUhfnTrJzn9QQbEXJs6fAQ1jgEhbVKhRN8qSQAH+CnovM
u+Ya+agZs3QfwkP2YpogFPZh16QEHZ+iN8ggCxeQsL1phDYsVPxy292YVmCRFUKfM6xUnPxFr+7d
8qUfi+ZOOex7mxfViyvHHMbfU780japC2MaqwQMxxVEHHYuqcc9JwDhulwiR6Ac1zAiFDewbaWws
N3QJIfjwvl1oMfcMUVW7PnicvyvexA+x136zIyCTxVS3m9yS00aAsPkGK7qIx/43CEVjrUSJ2DpV
nL7Mvrcy9dA03HEesXbtcwiSM8eOt1zbTyuo7pwBttt3XtgXSFb4NoR9Cai1YJId7JSPF1HlTlCr
ePg+hOmdz2n4NEg4a0DxiG8G/CLPgIGd8bcDQ+QoGqQ2aS9RkrNDLBRf2rV6BUkLOG5Xps8dIJJz
mxGQCS24pRRdvjFFNtcrhALbp47TaNdIXHqG6tP9UJJ4ESPS8d0BsCmkPfmIJ/I9Zrx4xra7X82h
TYGEBJbRjqZ47XmjdS3DKgviLiQfdX9mtGp/lM5kB4xN3jLsZ2sZzr442yngkJNGdSbu0K96Vaht
ndLwahECw1YFTXjJnRMMubUlsECiusLOYeqz+WhlMn30APsiSBg+hamVPELZf8HguSCDPM/fmJ5U
zcya8lpsaS+vpkQKp58DMyGbMpKiMSg8iNf8D2HntRw5rqzrJ2IEPcHbsiovL3XfMNRm6D1B9/T7
I9RrNGf2XnFuGAQSLHWXgcn8TSs1THNbR7sAu7X2Lef+vbIugq2WNbb45lBBJkM6R/vWQpkEAzZ9
m40BvtdV9eoGY3MukbB/9DsSL8yC9/XSUl2abYmNQc5vq5qfD8U2H2Bmn2NrXg226R7VhZTQn7uv
pvqFD5GE5v8VjpxxP9pp8VjmmjXhW0d2XzpxuBnS3mww/K6MZlXgNHKK7c4/MVvKfaDrT9nS9dVf
JcYrimIVUEKclTeRibVXp4WYV+jmtdIy91ha8r3OBCTOUpQ36tItohRNcmdDiHlADQ+pESMuP1ok
ypUn3Zj5K1Q1nfu50sKnKSqsDTSdZtdqWZasZgc5zAG9g/MwtOU6XOxjnK4KNzxiHbvFNSbvr07g
yzc1ql9MZkLQ2Gj9ato6zyL7OFPgsMySnVkYGYsuz5+LkDruzlMOndOoUa1zhg4TQyPajLVIn0rb
wp8HyCoi093/uqM4jG/o/3+cepV5GUfB+H+9ytcrf42LolXRsE4Hk5nfczov7mEhFveOJR+Z7kJA
PXSlHqzACc7ByhrLp7kV1T0+iM7rFB7SMtNewmFYjC2sE/9t57UBbIRZAblq1YSKON8h/sv2f3mm
6K1mSyFf33PnvH7OOv/dICEXVbRr3PmHGKK11dTboMrYovdhY22CMPvVDAaytGEECxTQzdvYGZhG
oNj1xoYU44ilT92pPhX9r+PCAS38QjQr1PJZhVegfbuNI3gfEytkT7e4mPRZtBmyanpDbyg61CE7
WvgzGIjxHZln85/9arzZjbcKkuYRxZp/boH0oGv3oWFBofx7b5QVrnWIAnk1nWHM2HoV9VuZkol3
vTqqmHvbaTXH0YsC7g6yhNbcBE8K1Lu0imwpXS8TTpFd6jhjmYEyq45SUxuzu6nK1dfpSh22ksL2
LwjW8j5RaS8Sezu6FeYCU2kupYTinS8rX+zpvSXtdPLhA62DOqUg2RXZNajkP4diO6pslJLZxnVZ
Ve0GinaegQBuHYXxA3WI7hgWmNF2ptO9A7S9c3sv+/k1ArKFPFaiYUSCa+TQy01WHvteS8TeqkSM
zI3hbCxzDq2VkUbdfqF5rH2gC+jUug8NIsQXIyI7rz6SyW1/TabhPDQiJdc8R2SLlo9wGT9Xkfvg
4sv7X8dnmY9axeINV3fFL5E2Yq+1kCYdL+c4I9hO/52HZg+U3+smuHBEx4HGDghjVRIqcBkbfEvZ
pnzkPda+OLHV7pWk7GO3WCH0wh6RB3T9k2py+kcXwn+Qrp6+CGPsN3av53fqA9Xa9k9TfdpV7P5C
EOYupJ7+rWjrF8OzOUbOE56Y8EZWduzU36Z+QodNR+k8tOz+jalsZWq8S58FVaObWexhppVoiIvu
FtX+yRQSuklitoepzrTbJ0CHTRN8i8lE6gW8jtnLaWdTOfXq6dbFXnEQg/UTDksFCKUP51s6mOau
dspo/TkEHc5dH0WwD2QuEf1kAjHsW5OgBcVeLI8PFArZ9UQt8Hq9ycdNwT7ctdl9B9LdOKPd38jX
QzvjfHpKa+C4qQONpTOc+L6iFrKm1moeG9tlq+LP+sHPLHPVWHH01FH92ove/xjL0b+56fyR1oN5
EAWEdCiopn5ILfvodu02gPBy+7oY7KXx5a2X7/p/AklXIbnWDWdQ1OWlberyou5kjNdf4rb3n/3B
IA9airy5QVbvQWp2eIjicF6pproIU8t2wHArsh2ciaSX6xvJDBatq1n8hcQFxfK/m4u90rEapuaB
mry1Avzye8AL9jQtF3WH+jdFv8hPT+ru/+r7CqjH0LwtVtJrqq0KUL2OkIH08kNT95hhulNfrQNO
mGu98UcNRb6Ur0jSV5q3rnK+tDU65BrJhmNntwB70qb+llEAZEV3vFuWO+UD4ijfVb+dgE4gO19A
aErDDRRCp3/02e+etEIP16OfFlc8meb7eWwgtS6/TVkM4dokY3md/Ni602OqlsEcnNSlNWa3wZAQ
3Ww9da9FENJ0K/9PeKoQVhFx2V7GkOqEl5c/3c4GCYZEyHMemi4OSYl7HtzIO5rNgBtSV+gPZQTZ
nSRO9p0p7gJbz/5LJtXGdq3ip4edBbXo4M/jYeA4Z7It3pGDFH4v0RAfhqbG39vSjl4stWOYZX/u
vvoS6UDZ/WqrMZzOtC3qOg99jJFIXrj8+Hzn86KaSEt9j914lpuG7eaqKcRwiUX2lDcDMhpLS13Q
fbUPc9jFgCmpCKXD+DqOurj6o/HRLS1/hA4zokWwVkEP06u72c+cjYpacW5vLZs9o4pmDec4u7M8
FrZkfA1LEDi1HecXFQWyfgEyEz8Eqd2sI9F1uxjtzksCU+dSWEl6AeWobYMZXwLVp6Iq8K8mZBCJ
61hjbNJwZlo1smReJZXGpGq7zcbVMZ7SOEec1CXyuIt7jw/7qz2WlX6SqC6UpFZCL0wOSd/0b63p
4cQX5/doIYwvdQZfZOmu0zC5lEIDE86p9c1PQ7HDsK/ZqWgQ1mIBYDRn1VxqqnObT8/tVEcPRYhy
Mql0kpjipBZTtXL6rb5lhdTPakX1lM/Y0sfGFnfzOrilnRNvcYxMYDD4zcOwXFRflmoklJZmEd9i
lFYPhunnZysJtZ1DSuY+8Zns/darXjQfDUVmZu+7HYYPWTWgqGVlD6U1T9Fq9Ia9bWbjz1YLSIxW
uvEWSm1CnUXrH3WgLRA8pXYZWZfuhp40nV7oOd/VQoMYaXT30fJnRFrW//ozbYl6KYnWf/yZZjaH
n4aI4pXMs3Q3ggtbOwPi9pPItFOe8QOtTFLBgyQb8K+AaqrL2MgNWQ7zOhp4UEkBI6irMiQczQZA
1wQwFKmfpZ1nyQ0bJe+cLzjyoBLOw3crAWXuzmVyHgvB6lAZOcJwTf99MLwnzUkp80d5fM6ECNaq
X6bdW9jY1mMkI5hYY0XGqXX676IpP3Kj7k+fW5TU6m34YXs3c50ntIL658Lof+Gi5J+HpYVAaAuw
WUdYcmm2HaD+Kcy8tYpm0g6vfmS/OPl8K/0uW1MjheOkQVruO2GyOwYvL6UzPev4ld2yZrglSxCJ
7OlOb/iegy/JqINwEV6BkIaPNshXXz512X39HRlcpK0rPHp946yyg1T/i3ZTGCvkaO2z1SORCOZs
lSG+cKeMpHM2PJuv5lT60aYujT/Rqrb/REGdJ8jKUJjzxUNicCCHpes/RH/fhWn7p09FR3m1RCpe
NV2+kgKc77W8gYxVSfyYcVWu3Lw8TdQb16o5O+HO7cMRzVH3Pazy7M4u8vHiLhc1gWmO+Ze0y3kt
LU8+TGX7rVqWlBRv260AbnVQK4mbkusKi/c49Ltj4LCzJVvrHUo3FKAkXLFN8UTZqh2KU8bBCRRb
ivdoUTx3Fkwr/5rMUfR532igLI3BZfdSuEfXNoLzzBF002ZejYH7fsyT+ZWQhwhxZT701osAXfyj
6kx3PaP0d0VmrwXkpJtb0g7mm9cughpkCidv+kAaMXnJZ47ftd3qhzaWzqVMvR31oek4zqO414EY
rbo4zX9aZrd3E2fgewMjzzeeq1rzHj4ZvK6b7EghBJuuzY3r6ABsHk3jGiV2vUoWKppTzjXCJ2zL
VHNR1kym6aDNFQobFpSTRgKChXgnKrc4taT5N6Wspu9TOfyjf4Q38tWv9X1+nPuITbfRjEdnMoSx
Zhkej9KbsnxVpJQPNGl0u8yPK5PUfbTvc4FwwGBN1zjppmttVd0RgAve6AL8V27je9i2zWEe42lr
YHz5vZuDu2H0+pcqNZ1jDxJyg0BB+X1M+8dUJ4uKkWR7toFLr0WHPKPRe7+TUW8eIoSKryLHd0u9
zhzVV720P3A4dfdTG3I4rAImBtXOFKdECraRkxz+E3dcUkWqnaj48HdcYFLVh3166r2647+c1duS
PBZzL+4vV3WZohDi0gghMlcRKayM4lybX62g9baTqElDLaO/Aqo5dKzefW0GpyFjV1MJMq0R1PKP
SffeNDIST76c41NaLvbJhZ1/6JmDbGrZvVEmIIcWdRm5UoSioJXn962JYtdotVfkVHDw85LZ2eLi
56+ntAAzPTWwIexk17XCfI6r4puc3fxn73rfh8GQz0FA4kWS+hhJ+JxJv99H2oR2QZF17q4RlQYM
KcbFL5fpY27x+oCSZ3Rp6IMVi2Jt2nn70dWb3ZxO8Y0yYbMLR1axf9+lHDqwC970ChBruPVCIwwe
JUlYlHhzsUkC37+GWNihy5dC7vm0wfmckRso7JX+JiMjUCDv4ob4aHGLyY3jHV5dOgrHfwLSju5r
qx6Pn30NOko3MWJJ6OKYh1LuMjDwPXkwo2C6dJ02UmvTsMSKws9WkNXxuRXee5EEnHjz7BXZUes6
5VoCvk+3N3ai2d7GT0Ry9Uyg7wSzOcO/cNar7dC2qCRJ0Kunz1vU+bVNQRYUJe1cuFRlO+sWtcam
ttlbZlN0MEOEbxbcEVXLsDzxExL80pfbuHVgYKnez1tmn4F6ouNtVKd6yM4jjMPVLXm1dJNBBsPI
KRvW1hiKe7tPi7sePYQDtJvupidhukmkHn3rsvDGMV/73TsNRykr/8h1MmMyZl9DJia+y4XRHRwU
Xm8j7j16Mb0pt3AxSyZKewDdrczG2+lXYvL75OzuPHmNdHZRha+BGttZiXvrGTtGMm/WQdD+CoEX
HafRqe/Ut1fGY44gpBvvmGrI6S/fWRVIyinG0ZBNTatZ8Q2HdPSOl+kqnhBKyqfBuIVFl/yfgWyO
E9wDecLmHHIMYgRza9sXN5fcCsnG+kp+wQcwwiUMhHVXkxphV8sIm/+Vh1/TUKw7DvroslF6bDTO
tM1oXBLp/bkMQ2ZeqrYVSIAJe1tXOrVg1anGeJlpHRANPXZLlhN1+Wk6GaU3gdXjou5U3+elT+eT
upMmPmUo0Bb6cajebQ+b0jyDL2GLAuR8Wr9RAEZltE300yiCGnkP584Le/E4CzN6msDxqO6mnqiD
N1q8Vg/V9VjvmPPcHYzf+i2pUIOOyrQ/q2hoV9sua7Unu/VY7MSittc8hEXjvfWCogCe1mKjmlaY
o19cDYusF5pSwp9RFEEiESpj8mLm7gRze/jlIN/7Zs3+iDD46G/Vk9okTUwHxviimka9Lhq9fTOi
xsbFC0iWesjTxmY3xgggqVGz6SUrvJe8q4sV1EvhlivVb0f4k5caesmqWTJ/bqt0avhx++5bXsWv
rqlZ97k1O09J0Xy+GHX5/lgglOziVIHc5lJf02YrvJQk7S6ii6JLXBfGmnok/KG/A5qDK7rp8RY5
noz5L/TdvYGL9v3oYBqgqhBlYScbvcLPSwsXe2cZ8HMPoUEMWbF3OGTsYZm3l9rIqvU8dtNDGXB6
Ju8d/2BO/oniRQwmNcqPTumaW59awYfJ100IyJwUgnaiC8pTs7idFDA/vweYbMsmC36YPtaeoizM
xcPMPNtG32+aQc4/rL9skFUvqVW++445rnStcr/lufdj6nE2RFzvEg5u91cAXsgdsVBbNVUHWnlp
t1Bq/4r41zqyi356o/2DfZD7jYzLCG8J2o82lzYoT+zF5eI7zppZXlUzqx/Dwq4vn43Z+dOtmhr+
6k1aX9Ro9ZzqZm7LNjmqZCDmqH7qXcrfTZPbsql+VF1lkyRbNr/GVvX5yzCJeO2YiPqqWnjWNIip
mr/UgMnLh8dZS5EV12GGfI5fXk14JjtaOd8HqEnuICqE5JJqI9mEmAGddP/uswWTPT4n1ij0w1II
PSTt9JnfF4M37pKA/IBK95dZ/0h2MXiAjODcD4b9TXWrUSQLYLAvNYL8P6MEpQPdG7yjK2vnYi8X
fkAeUtoINcQobwKUAlz5GSn0pqJ+tP0aq2JfTUpI1Ran8mKtXkkFvh63cmRHJOTYzahpLhn5yr0P
286ntFVZe9VUgTRoEZ0cbBgRlu6yYnJx0oqp2Y2/q5Yam/mUPZt0pRpQNyqNaXJ+ZUeqHVWfGipb
kMlBo2O9tfzRgIrJCpeh7IgkX3LMghKaueC4hTxfdRSJjG5VXbVPuY7BSVfbNnrxNJ0EoztDe1KN
Rg1gB4SB+OjtSbo1T77JBCKa+FUF1TDT7v5KZeOdVCtwOvdukGmxnnVzAAeeke1EsnYzDUJQG7Xg
0wycTa5UxErcQc1uUwBhvn5GquWWOj2HHygdu8GLF/qNQZ1SPZMH3V9VGiV3apx6TvWrSyuYkoqy
O9q1NI6VbZ+UgfQEPkMLqu6qzKdVFywDZzs6nr9WzTBkRc94P3dmbhXnzAzLc7Fc1B3yhuwMx/n4
1f81TN25GVL7X33DAKIqn8ByfQW+otLXj3h+VIdsAR7qHlAFv27TW+pxRrC1qn1PC/1RQv3/qwmG
jTSz4QfiQHgzLMpDQZtn+8CHdJiUTXbnZeN9nPbxsV60Hyzy1e8I+6Bs6Ho/xtSL1zLJzZvpxP6p
CcTiDmeig6LfSqvxfgzGEG6KruPYZwEWnBrg1CrgOr8MpBc/0lYm2w4a8akNZHyfIEO6UgOMyUX+
oMnfycM3u2gwUR4zmYE7V6I00DK7TZnprRGN4GjMBpGJa+ks+6q+RB13nBJcZpD62Bj4J+6/AmHV
PpZ6SMYhDaNNjBUUipgwAzvP/Jg6I94UxaCfx7jo74vZHVYmsiUfTl3+LM1IPFoUP4/AnPKtvvSn
OrTuQn5v8BDb9UVWHIrCjF7GrLpXL8j6ka+9nvelKgCm140lrlK2/rWf5/LUTxYEg8i/wrImyfsZ
1fI37BxbCt2M/QzEbutsIdI2a89w8QWpBm0E+R6D+i2mAD2nELmLMh/3gw/r1B6aa9b7+JcY1rrz
PHFpNbsRVPYh+eptSapgibpywdf2E++6Y73GvtEwcdGlgpoW5sciL97tHnfKLfoQ7sol2b3/fCmz
KcyLBnRjdK0cO95wSZ/aG3CW9dsIKOpsulT7Nbeu33RklzgqOMVORTVDwiY04aipZtHPd55m/I6q
ID0CdnfkCuqoea5Li7WuZPWuoVqtjakzzyowL3dfTcNvL7ETQnvGvPYt1gqsx1JffmoaZYO7QgTP
edaFkz8aENWUiJFWDPXZG1IbPdlAey0sw9jP+LlsnRjwyBTmbotDjSeQV9ew/Mj69BjxyUL/l+C4
p9j4ge3Ci+3k3jPqxC10ow5+kh/2rxJKlhowGECHXOnZ92Ns1XedFa9zklforU7e1TA9CEVZelEt
DTLGFUlI7zqNgQYjUAQoCPUuZXkkJk6wV3BZ4FGRddJCmpKBwi3/mse+v1MvoLrUHfsijgSDTipc
Df76k7bN9kb4Mfptyys3ZRdusLQONrJxgf6hD0miyxDHrsH6e9aGCJ3m5VZddLY06Mwv8UiT/d1U
TukKsAIeK3X2XtiZPHoZKwwg3+y9E7W9NubJP6roiN7DWCbOi5s0Deky3mC7YDHlLAytepi2QgzN
bWSb9hiWTYEGRPy7bODKRK6/SEBY/ecJo4nC3+OYNOe8JFmnjh/SDczPYOzZzo2Z4E4dRtQINBR/
Zpkpz+UyPguEudNHztkqiOQbriIm21HRi3OIiuM50LmoO3VRgcwo9LWObgGF4P+MU1FZ1zOS3Utn
Y+Kml3cShYTlBWzbPDlmgqmNZ+yMwsxh8BrMaHE+AjpABqcRXnWAvWGu3FSMj04/fFhaM4I8K8oX
UZYfkNv9y+DP5UuvN5RwReKcVDC39XrNH3EPKkqRtN2EPaRs1MrHdWQKb2OFvjOvnd6ujuTVQA+G
aVQfVTtIuPtqfo5UbUy2CyiVus5pCzbboRwaDL4zyDSL4HqdJ3/5o/w2uGBhRIDHmEQZ6lFzo3Zn
Go1+Jo8BDbubi7uwFemt03xvUwZx8jKF1DTLpk9+TJF1gLS++OySf8sCbfpNWfaHyxH1vUkqk3NP
az64raC86Nv12Tfr4UgZChaW7vc32ZWo5+khNi92mq8DXQQHqIp8/ZbdV2NQ6jetOaGaO7AtH8WK
UzmYjFxnmB5Dql2G2TDpP4e5jdG+tNrK0iag7a0t70rXzW9hNhQ3dTfpOqwPIy3Q88voyx1hwygq
rY3eMx+pgZ+R5bmSDNUO/nCAMmsuDpwPqo0JAIvipOO99rjH7AqqVru5br1XUxjaukPf62AszaBG
HsyYrOo6keJ+lfyk2lyIpx5v1VvW/e6MTp5S15Qny9XHLUDPfKX61GX2F469Cg99zC3nkuQkxuds
QGJTBrX1ZqJGh8ama6L9R7MWfJiVX92KxHdePFh2JurDb65N+eNfD41gQvaRJIn390PO3Dm31knb
VZjb6bNtoA+YSi35vNOcJn2GiuCtVVTEaNn8a1wZ6x91l5xVjrqwqey2VeqibmlaL3HnWXu+LS7C
IsJ80XFvKhrN2cXAHNc2QmjPssE/LJLWb3NpNSD9H1Nqyr3gbVs7jYbVYNDfq6F1HI8rH0W4U5GN
xrM9ZRk6A8DVF9vr0O8/fbHN1Plw3LF+hvPMLgnPiH0xae7XAH80P+zCipAp8vyVU0cnlQ9Tl9Qy
+j3or3GtUmaqD3hPtRaI8u4/c2tGVd35Y9pdOSWv5skJjjbEtFd9wvca0tJ70tr81LR+WHPgid/F
qFfrKX5orGw6qktLxf3z7l99blCV+eorjEqAjzw4GuAc92E74xDEDxMnt16rxTbQ0+C5NTtMfcYh
+O3tSeYW1wDTekpo86NcSPhN021NVwQftYYyOEco/aHTAZUZdeMgwDLk10/saozdyiUaJ8jutY1G
Qjl2wQ766ngRmvE4TaDBKxdtAvUbTElVr/2sGE5Sc4f3Z88O/SPg534ze+V304Re30/VYhiaRnco
cs7Pnht8i5I5/5m2zfcun/85oB4nyUyTuluvSh+QDoXWhmDRLQ/86lzMlrl1WlhSsmvr+1JAaPbq
vvyu1chPaoja5iRkMGEU3zS3QWYpgALAtqEz47xcV1762EijuUAiiJ6QrtarawnUdp2mrXYbEPc5
kNrT9jAo3QcNqvYaql/zM0djux1E99sqqnhVOlXy0qJYtRNBrJ90iAWXmWV+28kmf2si50WXqX83
ZB757RKxOHXJ+u7PnRN742dfOGrDyVypeInJcc2GjVE96kLbfhzY1HWtcQSnMW9cBGG+Q8R67uTo
P3Lgx9KwzzpQMGFK4cwhrRjY8b1su+HGGVqyieMBoNf5uuyH/tJWonoc5/JdPTD6ouaojsSJNLv6
BY7mYfNcMRWc4mAqcf3x+GHVdl5dVNuJMTd1Z29ed7plHPwx/p6yFj/XGMkztVT+74OWOMHvembj
VISu+zyVrr8VPRjpKBtI1RolKrT8JoLY3+egEr8jmVBuNRwaD4WH2wfGAXvegT/9ga8Fh9kL4lcA
nPuJU+OqHvWCr2ZQItGFUgSZZ+vNdlILeV6mC1Rw7DfKZ6huzK+CVAwCO6PYoAiLR0TbxD/mYN5N
chZvtozLfQIY+W6oGu3Flu1FDQCUjsCvX+2duHRvtm50G21wnUd1l87yf98horBz4fxRgxLhRV1K
d2rX+lCZm68+X2u1fQsljxrZQ06t8NHGWuapQVoWsY0EgE+l2U9BjUYOH77FAbWSO9wi9FWipD1F
h86+Bm4Y2iq8zjgOnUOiQAOhXvzoh7y7DF5oXIoO8wPFT8INcc6jnyR6c87E/1d8mtq7z0R87rOW
k3uODyPJmX0KjPK1Tuz7iI3wQxPYwzo3+voNaWNEKay3vHb7ix3CB0bAwHrDBAj5+74Su2qJ+i1U
Eqab+KqBs14eUqP+60MqCqfyvz6UjRylsCN0HswFlxPLHlewJLT2gaMh09eVTnIXGrm+8vqKtj87
HGF15kvdOZYeFnJWllfOJTDQjEoguyH0fgvIqj7NRp/Y54xkx3T65L3O84C2JT4U1kl4GSSy5WLU
Al7h3xfVN7a9fRfOs/2sGea8BzA/b9PcLd+aCnPEdhjHo2pOTCjwa6sH30/F8zSneAf45QO8oZPK
h/MDynfSs6iKLinzasY6YBXwOyvDaDo5TWNOpwDqydooUOTWm8J6mYC0QjGx7D3HMutl+H+bX1ED
AusLEj7OhtUjBlffG5ukqpnDCrzjP93iy4nCdV7kkJwWu/hydv+062WMGpj6FSmz5Tn1iLKa/+r7
12vpYqbm4ZIuwPJhAZWri2ZTGGk76DQKvYUNXP0wVw212Qxkde2jEzUkm/G1g2jwUmlPk2yjt3q2
w1vZeD/1pRVm1nSIBdoSKtjKEYLK1On72XKIJlhz8qv1rKq+hqlxdOHCHtmAUBJYuuq/72JRIOCd
92fVbyPFudKLsTpm05RjClH6u7T1khd8xJN9H/vRtg3Z3IooafDFIPtrmMbKkJZ+VNtMR3+sIM+9
1YZTnzXLydeO3pXbGeth0MoDLrtWqqErEfh7DgLyrhZ9+uTYQb6ak9L+KTXIOFHbveuTPW97q69P
oZOXNw8lVqASMULYYpRUWTs2tOhdmyapnbzQgO6HTfkthtmRVG3xY3KxR8lQ2750jlnd4tyM1mLw
8x9DM52FPZVUR8pyP1Mmw70rCm+tGViXvviVL43ZEjhVq2BnzB+ZHQP1bfUOYfAQ/1psSa75jFOl
IfNH24/zR+g74FHGaVwPrfunb4cx5HDmn5W8y8Gj8Nvghx0s2x5jpOJj62F9Vk1hbGKQTW9+YGUr
vgnVfT9GJtBY233U4dnuGz5QAMiVuM5aVWzifmi/NYOP0O/c/5aUZ4DtB+/GjBpng6LJleJtfUwQ
m9qjZJM/YQQzrcheHWIWjXfbxQrQicCScGSdXxt+XDlJznd/hgVRpSJHUddrYeD33Y4kMvrnrNln
BcQ0S4PqoiH6kxb55REMTP3mpIDPcyGfwQGPD7P0r13ZNm9CI6Ost6BC1ShgVbiB5aazV9FUiApt
oNG9RL/06b6scjIyi6gZbqPjZVgunxpnS5+dOWD525jMbtn8Cci+TqhCLQPdJfz1CgKY58EGLtl7
Zs8/3gvmY79c7Nicyef86jycbtKuHHKQonSpy9ewUT2mOqU0rjGnuQsc1eEQIHBHAb0zXlCZBUmp
cxLMatd4kbHpHYxgrQPiYG1ml91FevIaacF419tJt1HNOogLSJZ5t22jKH11ZrLShk6yXUW1xuS7
AUwEsxaiMw4q67gDO6iiFnpj6yCt7aOKujai6bPZd2cVnQIP5ZdtjFg3TAJEdqigblRr7lMBaYbL
V9O2QTtSm4OJ4jZPZLacJ2O5ZEZ0n4d+dVVdvlGM23yktu9ZHXTItPB27VR6KGoM2UlfplHVTJAY
OQQpwG0kd1YKvIJyhLGxZ5hEkMHt96baKKBum5ndAX5DslWYFt/Wf2iyDB8a3UjupRQxZyrwvF9P
m/309bQV4JOMH3uyLVs89yQnOqSiKm03VIGz6yZvfNckx8nEwe0jksODFzX7z6UCmyNUGkCz+izL
RqudHOR41mqF9SmwbgMbsRO1Slfp/KMEF3brO7ScNXlM4sjcuWlpPZsGabXSy7xfbeRuitzNPpzU
JLOdblmJw4G6QUNGw3IFiTeBapmxaGGLxn6oKgiZbOxn2F5QI5Pelx+4CyxSnjHlKuobiXMw8qF7
DpP4SVZlv3VE1W95JLyoi07BegjxeDVLn4KwYePnVhVjcQz99Oygj/FNnz2xNqHB3zxt9u9mQAF3
hosakj71gFj0OL0yjeGZPgNiA31uQVnw2eqPKfnTBTLfyaL9R1NFbYlRjizGeVW0/XQN5RBuqR4j
xrlAlBBtSntfe/eMJjiYbm9vVDda4BEwORgSll5+MFN4q3ie4NMXYIxT7MtW3YIebku9vHy2RQht
KKTWt1MRdRFsuY4SZ3GrR1gfevSsI7SXfUSBUe39wtfPvmYMdz2f67Yqw+/OWHXVOuy1nwF0/fMc
Ns1T1eC9oxdzsQ6Ypp5UX0kGI0/H8V6mVvM0zZ21TZgNtyqIqyNwgKRZq6B6yGGFR/m374LVwGbn
zq1J+K6ogEWbliz0ujO7/sSPBC9mEDyfd//q+3ykreqdVoXUJOLhLxZ47dXiwHvoMxSmhs7QXqVl
j1sdrMFeRe2lnOIMbUrhmsFa3p4KR0B7M5v+GFiYXXpTADZC/x/Czmy5bV1b10/EKvbNrXrJkizL
fW5YcZywb8H+6fdHOGsqM3udsytVKGIApB1ZgoAx/kYLuiVw83H91Q/M3l7aXVajbhAE7DfqKUcN
o1Fm9W03P8p+iCvDUqs5dBv1VYYh0TrqCTk1wZqO571nxVfZ4HL8zcRb4M6Z0uTqOJ1yid0nOSQj
lrDMPScpsZAxt/Dr1e8NmlrbB88rAxITHBF6pR82GbDiO22anDtUZ1vUsUv/6qQjHPNSN7+PGfCz
IM32dgno3u0n7U42fWgYSOHNfc10tbsUdP1kWtHhNkXGZdcq1sGETXuDT5ox2uVjpGfVY4tIfk3+
6F6GzDHrNxX0m5U1zyhD4W9GBAoBignj4kbnWtHt+0grEAJzsD1YaIru7zA8NS5J6IU7j9QxTmCo
ZHv2lJ+D0Xc3BVXK2cj+z6tATfQN2aGLh1DzMRHF7wYjFTiU8Wzq/q+4MndlLFYslZTPbJAYGyRw
50bpYaTXJnZwIMU/ZFyGbs1fsTLzVfwZkMXyq7I5uamn76bMvsoekmQodM1xZb6SXSQwzGPm7D0n
o5YuQ57Z/RJWG67gVET39tyEPhZlU8UvmHZtdC+bQQfdqdc+IstK8ixDmoI9hyOKYhNSrj+puti0
ocon758mcLPvo2Pmh1sIaVFvrYA6wvtEqFvI5gV7n8A5N3NjhRi/VUW3ByEtjIWe6fY5qiJ9g9Yo
rnK3oLzF5xNUFvpsGANKKEsCPHQaE50L9OKesT75hY6f/zNPLsi/T59WZPUL5DaMvd2zPcooR2I5
WMY/1DwiZ1X24QJtL9AZLKCcOLZx10WfaTl9jB4aorafBssYgcUnpEfZWcISjKcyf3aSIN3WOf7m
4dz1cE3dlVaFHv7cHQsUIlI1eTHYjl6jbiaddO695DeRoFHu3cm8l4wXy7LgZ9ZGsU/4ynoALJ2s
+xB/ZdgFMIvmmC/qZKvbSb28xUw/HfbKgNW1vE0OwIurjy2k8FvI17rhPlQzyk486BZPDWWBB0mC
uPJ/4uwFLn3fKncyJB8I0JWtHKa4i0rJcZPXs+IcuB7ZQtRVN9qkJuoWr2SgHEEYbayqr3fDNBYQ
ZNBvKoYBR8GRXF3TliYgTjM+67pbbFA4aC5pVSPBRY3zysbTWXa23T9nYMfB+Yb1m1b6KeQBRFyy
1npCyHj4NLQRbezWw+2PbJSL5gZchdxYk75PQIuDwowbo3wpNdZ8iMPlVnaxOQowqXSKvd8m1Uuh
U5xKcw3U7jy5ru1fhq1Acp17mg6SLoi9S0tl/oVt3lIBcA5hq1bvvNrX1v6gJhu7jLQnWwhsAEKl
YLXS1KcowyfYnfyrHJShGTQ8DE/IegfQ6AzL5JWRe4lERbcWBKS/S3UlWKqjRoaucIcLJ6voNCX4
7rSK/xgkvv3p5sWxNw3tjRcLawsFkdKo69RVHvj3SBBbd7fGmEkW2twI08hqWBkRYMScsuttjpOX
yOOU6hnQLrUdG3WVzuz05zizna9u3ZfGsxU40YoN72dgj83KS9CaLRu9vWSKilRgpIYfgxu8tEVW
PlXWVO9rYVcbeArec4E/YVEkwCn5t/hvVxC4/z+jRbsaMqhRYNDbXP0JdOqpHfX2WwhJhoKUZj13
7D1XpV9ND3g2IfDuWM6J0xJeXIU5HXC6re8K3ba3eZMZ5yFho6s5wXgVQ60v+0G4LzhhVIvBDLXv
ABvvR2NIl4HZvLZd69/pWci7X9IxJDNDcjJkwxqkaYF+J8OF5n3vLSN+hIrw7ClkPnl5PHar1gCm
OxofjDDR5sSk8aNgQwnK1d/aYjQgtKNn0M6605Pp/zBc09hxMjWNhVQ7ULzWXtfoT37Na+zJombO
enPEGOArpg8WnDerOJCxp0Qni3IV6oQHHRutsom9P2p8f3XF5Ia7qeuNHAdHc3pNyGmtMkVJOILX
9RN42LPEJdYT+WvUnJM7Xsv6yRicr7icD1cUs2JX+0ALuiM90bhgzjwBP7UXT5kAVlywP/7wMHcM
DSrWC6Fz/G3N6YewyXdFtj0+ayWSy51hd0e5GPoC6STLQkV/3qu6//RmIQPKFc3CQhXl7AxWtJvi
HP7+3O29wTzLKxwhzXPuec+aOzZ7AB3408zp0rAuqhP/DSRq5iQp+00YMX0TbPn6M14VRAQXXViU
Z6PBy7OJ9eIYT+O+m+FsWoqHMqCx/Ny3RnHOa6tZwniJPgAI7j1dcV+yXDW3AJ7MbYPA10sUoSb9
7ztrMyzPCRr6tzvbaUqXWdaqrM6UydSKI5NdQTVoOihCRkXxFyUMmAfZ8JzAObmXg16prYxJaR7d
riufu+wB2FH3ovZj9WDkydGcH5BrpoVYcBsDoGfQq4V+8INZQHIeVZH6pYhaI+wxj8JGtNYwVZWN
HG2pKS9gJi2ALUVA2/Twq7l1edWXZVChxDDPuMVvc03nxU45/fTgMctOPE+lnj8PR23Ww1kC2V10
aqE+9rqWbLTKhzIg4ulINng8lkEzHSn+ke7sFAoccwynuWoVUhxeZhTMjk6nz8ni6hRRE6U8TmjS
QkCfXuA2aErQlyOaYdUHamINp3VKJ2Oe/G6muRuSOt3xrkji3Vi6briIgmXP7xouYkwgYOjrH3Hm
IHGgFuNrD5gNiSfXv8aqLUhzKsEmQBxjo4IBO0GoiwfEE7jsXTibocb7Zj7yOFFRnuSVnCevSt3Q
1pqLM/st1hox2Iu+HrZxPwS7Np6mte1nwZtTVyT2J49ar6fbr/XpKwp26xiHKgCVeZLGV/S6tkFD
61G87ig41rvIYhOUYRzO1uexshvWO/MoO0NbdfM2eVqi1AGsdu5aoGCOhe98yhk6uYbHAH+aMRHo
5E3Ne2FU6gK1BsCinjCulmngP5BN7UvcuT0vnN19E514sXrV/bRAmAlFoDNfnHSsosCkokYQ6Fr7
OU7Tm6i66NvAtxBQBz98KWeIdykAKAkl78AMArCfhr7ZKrGI+T8O6RbxB8yDo6Q4ySaMUXkzdPHV
kyFVaYrTOOnBsPiap+kF77tS3bT8WpS9nHQ98aUBHIBKeuGiWySvKDi0BzDB/l5eBcFo7vsTJk3j
hayZtqvySmBlTeV/nStPil529yLh0LOAG4rlb6Ah+BNO3iUZTaodZdgiO9L9vpIxltbm+a8rM5qU
Jeiuco2awgpqF7LQOR5avW7Yx3E0zPu4hC6szso1FIIeWtULn9F5hMuUGSuwurig4DzoT0qEdovZ
34PuNdBpo7aL8fhS01r7UzWBQlRNtrPKPrqb7FQ7jrMsuRQekFdV1pY7qykfZGhtwZM98/pVxgpZ
1W+dl6/M0FXfutnmyhDhR+zqNWSQqYISWlcXd/Dhi7RO+IFUzbNba82TZmPZUg/Vo1U6P30/cT9R
3SRJNqMg1KHbBmXvfiCoNPMaNfs5Zru0avBNu7f1edUs4CeR1iFdE3o+mjueujCroF4JWa50M2fp
Jer05aU06KOzKaEwrfjSYKuUDNZycLX67LZVSEESuQl8vz5x9XuEPh+9TpmDaHg68B6vbQsmg2cA
LYi0BRmVYVM7NtClsFLinVvz8vpJkC/gNmfHohfsNB10lTjuVjtXS21Uq3PMDDRw02FsWU9Tp4YH
dBfg/0R0OVJQR83VZ3nr0OnVY2H9kEOjSLy9WpV4euv2o+jtCHid/Rj0ZvzD683HuOf48a+hf8+Z
hxLFKc+1B1/DCCdjqaeif1N0/VUzkOZc9B94RgowJ5H+pKpd9J60zbC0xgxJQKHCXuBsAOk27Fel
WcbsqoEykl8Oz6IV4JPiLl10GT4bCGCmm1yrOZbloPrccYx3wnQsPjlRcNYA6KxrICPPiQJPStP9
8KcyvY2t75y/zElDJSi3GvTIYcUHABmGXlEvuWIibZrUDtLueoxWVB592qm+ajR2Y4ueQ2YyudoP
G9Enko7h8OJqSIQEqSIueYmkUx1XH4NVfNg2WcnJ0JxvAwYQRY084gLrrXFOgCywf30qnbFBmr/l
bZFUzhUFFG+NBUN5ioceFnzRWLupivJNNybeJo9fhyzLUKmbaz8OaJqcElTbU78hKYJRa+Ts1K41
XspyqnZZp0AnnbLs3Uhs8mHAPtH1Rgof1PddK1qg3ubwM3fz6XvVUBqsipkrn08/kE3qD4XQTtUM
9cgbq77MPbm1/qenuyBHf1firFlteNbfA16Qb3MAhmh/zoZcNXLr90Fy1WryGOvM/mVFvsGJ9TEI
XAvleVcJPuIuRw7ORtzbt61gadYifBcjCLBKVdU7YEbxq2+ghABo/h1h5GzPXitZy27Q2OGCsmYw
46aNB3ayL/p8exAV0QZ2TrBTyflsWtLCW32csG/LKTuxyiekWNvA2Oh8lbKrtswH2UTUhVcdx4VN
r7QxZFfX6cgd+TmVh9T6mlNlwTnNXKAu8jHU1sOpQwRgzMu9VsKs85wE1TwEivN9lpWsF9iXdHUN
T1Srs4fcFS38lKl4dSoV8wFR2yfDCcpXBYke/Dgh3+W2edE7Bxx/W742bj7Dtw1n2fR4qWclkrtj
0nr3Q23yeWhdexOCFrpX55gc6M1vSazp51t48nD3bHNexNkwOwx0UBX/Z2pQJg7/mifmPKKaqd4+
xc2jtPR5y6xtS9gH1qltO3fTxxMpPytILwOsTvDeWv2mKj1ViMD6FZiP0FTyn0aKJsGURtZzn8bR
OsKJcWOI6I3P3HhxNeinGn8CoAy8Z9xm/B6pZYaQIUVi1JlR/6pwGG3lidQxx3ITQxeJLGCyrCvi
SjGrObiCypDsysbKhL0U3ZSBEgj6JaAmgURByP7zuzpWn7yI4k7MzWQOv5saQt0fXTlwixUkAUtw
bNyCaCdqvrmh+xdXH6aznlvRPnYcJd17SR2sUYWa5emzcgNSiRJ/zPEKZUm04gcrQ8vY3Y+olL/+
3zMGUyk2dl79+QwO8C+2yBFeazLvSQv20igJRd1bxwoaZS288aPgCgCdUqNFh0+yqGpxHxr1K4Ic
ZFKaXFsHVG4ApoSI2VV+OB2Dql2VRpwqyHlZ33uUeXeDNvp3ReuCxyv1EW9g032aOBQth0S4T4WA
4y5jt9HblZwnR4f5jgJiwIRZhKzoBD2W6imSpSCPKPf4ZplfUDXbiMkxySSo1qM3o0cL766wIngb
AgTXbtYsbOrBOflZ7pyi3vl9JWOcDJfFgA7pX/HCFcOirxwy0cOTMaGzqTWuOKrCTZdSToddSrSa
kRpfFePa/5qVuKM4SoCjLCQrwvtzVlQ/+0Xz+1kYtEEkldQTEcX/ftZtlo0OGwDQC9Dr+D2G+LIY
mjx5L0anWsjYf7tim1UvClGlCzPuvWPq1M4x9+Bs+Jl2deamnLDzRjHa3/SRo37FQFS0GL0+yAge
qciHsXmBesN8drnNKikUDIdcFfWROe8oG8cYcjiPjf0EjHJWWHKSo5eMyREVpAV2abDphvixtSwO
YvaYA4QW8KnAz4Lqs0BL6HNQXv0V6+REq0NVvgCKsQ+1JHoIs6m/o675aCPbHmDCxEcJZq0J0CZB
1+01H6tqoxe5v+8n4T5oFXajORS1H0UOXzTu/Bd9EsAYuhzj86I2r0OCwYac4WTDg134/jNq6/VW
uD5k0dp51jQUZxyU9k5qXMendsgbHJN1F4F4NT7JATMGgbIIujJb1mQFt5Swp5OptiFUh/Ih6PXp
hFgR5WsdOWVE2FBatrHfWYMg1V/bJO6XsIBjCMSl/hpacDK6yX+czfIeoN09ynAP82unQk5dyZuU
RhhsJ3XtIEyEKfMoXfW1CiQVGv6ik20WJ/qxw/AXxYXxkxf4wKfTf8NEAkS6C3s28MR41PQqWY9D
W79xKjoauTV8Vq734mxRRSvfrT73l80UiTtT78eXFvJg6Bni3Yyw77UhOG5kN1c4FHpCe2S3Op4y
k+SmjLdZUy9J9k/HNp3cpyQvd23PKQV7703doIVHbiDTF6GdDecoH4bzyBfg0piaaf01IoNyOEYC
OY1G9U6Gbo3lWO6+E+rl9pCSevTX4wC/dStoQeVK3qA70Cq4DB7zkOr5bZ68V3cxPqlLuIn/3G/f
dcKtkXsqeKFZzaxljk7qG1/I4PvNrj/oaEW/mV62alHOftYCuI/VFGaLtOhAjDimg7s9AlhhrypQ
D/L62SiyvZbn2Te/KKd1o6YFhz4rePPB+ovQSr+pfu0hIaLAZJin6WKtFNHwDspD7IoGeqG8u2qR
+LVU88Wy4hAVeTTOv57axbie9elTpwXOnR/ye349deg/QputT4jt0KkSoIbkfNVQ+IxGTXdvCM2/
13VyV/Lnhg1mP4Zt1ifRh8W17Pw3+SB4+9kqq6rggPRruU2cRHmQTTSX+molRLTdVR5Uil2nrrKP
cizuWVNU6CqcSamzA0DCtyVCI3y+0vqs3jep+Rj5QpztLq4pwmZ6ATYSl/Ekac+ib9tzWGnKbrLb
VxmSzTAPyivoGmJdtg6CNINhaqQWNvP74iQHe/aZC9c2yo1pWs3ZSW3FXAWxdcq7Hkm3fx4iHyeM
xjjFJgl3TFdiwF9v+G9E1MU+AquBW5En+SkIUHTPTGEu5YBuflK1oKzbmMF6BJF4J/TewNWMjaGc
kKuoAURx8B6GbNqteanQo9RbTlXZvYl00xVG+p4DftnzTG/VzF2cxcJZKyq9tClggCHh9DrHOZdg
bpqozg7rwfQdwj/2Wkn+2qhZeWcbs4pAmmbvmtFDWymomBtd0T2a0HrkYxul0jcRfm18vHmaoue7
vguNp7Az4hMAw2gp4xYLwtIqTaThM9171kdjhQ8jbAZHPaPT4l1jM0nxMshZdK3euxpxZ57ZWe9l
TzZe0+Nc3XTVVt6AEJh2yWKBQeSg50tDs50VmqzJRk7OXEu/Wg81rujXr0eYuO9NpCjWsisH0h7R
4sEKH2QoCDuSq/nMehviXTxabI9RESFL29kne26+rgIzWWoBL9pfA3IyJefpqGo/b/P/egZw2Hjl
eCwgcuCvHyNj+kiFx/KPtztvU9s+LjhQAweXP/02cJvcU/ljka7Wpd0XC9iMhzw1i7uUfQv0IYSb
luWglFjPzf0296nSdLGC0JIT3keODbsXH6MeJYIUpRKPBKgWPY256f/KRH3ImiL+YKMLzqZo2+eM
XMOqQNHjvvBNbRvGmnLog4EK9WQmgPYjEhEdwklU7ZoXLG1xr7DC/EeT4YVa97NNGke1WITFz7Se
PmIQbW8thFMM/cr4agk476CCvWNXizurqsdFUGNH/VWan6/IhBfHW0zRrLBZBGq5nQKr3csB2ch5
SB9a2OQOcBnduGoWnedURxM1p2OCjNkCLqSy4q+TmKfYLX6PdEBiV0XUd5hjD6BB5T0U5NNlh1b6
ttE7a5ZtsR5AFWo7DqOgSxt3umKVN4D6sYfPsAECo4zDh+gwkk6nZLq3IrU4BI6ib4p0CJ4zHIHk
1Dzztohj6e8FxSNkPaFGqqh1H21oxOtu6lCRHJV7OdVp9CuFveC1qI03LZpYU7E/mpWV7+RVVnZN
LX1H7vLZS0kG4ykQVPbcR9F0yTpQ0D2+Dd7u/W8xeb8VuALGMfhBuHhbkEyY/9l62G7hxE68qbzs
Ws9NSyUZ4KOu7XLXmHZel4drXR2nlaL29nrsdetB8yrroXIBSE695exktwmnGUfovoLtn85lmk9n
YywPbO+9Q1cpDWrCcwzr4QJ9texF9uTc5J8bMphlS8dVN32IUQac2vDR0Czrwe5fZUfNs/LcxeF+
6oHZf+mnSdUhX1BPbJQAkBF6Gxy5X7QkILvJAfZsYuW1RPtp+MaHJV+YZT1e7HlAnwf8ngwfKh3R
QWJeofc9xurosP8Uv1GxlHrIhhO6AWXxMqfeWfLXmrGzMv7/CMkbG083j3Evzi2G5iQD8qUTtjBK
UJvSligT+8CbreIRnf3u1PnDVfZCoyke+ySAiJ12+sFz0/Jxyssa1F/ZLeQUGdOEd98khnuSoQn1
i22L9MNSDsqYls6i5Fp35syIGn6pYGU051yGudHZsgMO+YrA5xpIxdBMJQo3sTNEO332QsgRcVMr
qtaVCe0vUuKeZSMy1n/0q7kvXwql5gst7VAhghQTXrS8/cjVIXpLrb5gj1hxoJ27vYtHU6mK7qw1
vf1s2/ZCxrXUAYrXk7iX3bGEB5ymLW4ywM/csd76iGPBYveKEFHpEf102Z8lkHeBlRsLz3E9XGoK
/9JWRXrkl2ULZHKLOg7exdhmXmBfbpPQkMWM0nW30XwxmeoFe2GNxBXfnZNDsV925UAROuE+aZV8
MSGZBIn4P5PrdYCt6deNMhqbJM018nE7OVM+wh9yVMQAXi9lVw54vYb7e28ckpC0qVnYxnKc/GFj
N3r21AJmB+Mgmp8c9r0uaD6dHhvAvmaJSrWsI2Fm2fvQELioRgiDaVqqvOvNtK9n6ooaKgB7UvsM
huIhMscQO8UiRKCnhtouikOsuL9Dt8EiqtJl3JrjWs6VA8l8q7zi11E3keNTCpljtwE5ueo5M8dJ
tnJ/eNhxxYvAvjr/uVBLNspzxK1JTKaBDmJtDP0zX+RYpJXFvezdmjQR/jnI1DvdNP1DPvdkSM5w
xqhaGVnxyR4OTBSuCNLaIEkNzHVQNf+yLrg5I/zRz8OyWutNbHzZHdxuNgE+b760XAtwEQs4hONA
ybXO1g16+Muvvh924sQ7HZDRfOVWwbT3gIcUvc5sGYOLKvCQoyncjhKRHvgvPbYA2WSUb1Xjom/g
41uJQ674VvY2vNU+eE2DbsJpF1dEW3XFt6xvd2ivm8+2bjQHT2Fv1MZOCpFEeRhLrd101AsXDdYV
JuIobbfQzTSiljv3tYxUEVmNsAg525idE+7KFhjLEIjhLDrkLldZrWPkIvgr640+nOVIKKxPPkcc
NQvOy6A7zVNoQuIxmoQ6+YRvsl3ylxOtTa3U1sxN5qOHOGDzvrawYnvsskxd9kk1vVRF3y8EHiff
+kF71YO2/cy6YesoTvMzYOmixLA2Wt14MEeOgKWIfzRO/KGrvUlRfjapRPVtlbtDdJRN1BURFT3n
z66wXWieeNIuPT47J8tEBrfPUgrKgaIeKievliSv2hetG5VtADzHacXBZjmBKNNhNdEPs/TZ/75G
BczBQgHyH7ACGnnLrZtTufwaSP+5+m+x0HKavW/YawxgLWzmXetn4Af9C4Z0NuYkrTiz1Ex7ayyz
XYkj0qVsA4/jTeS96Y3ykFIq+NaPWD+06WFeYc++K7RrQG7kgFBpvZDdzjK1K/pp1iISfraXMbtk
CUuMfM1JXrvKUO0qwzrXdbwRHDKky7wKt7XaZPcTEubXvijVPaCBaSG78g6kH8CMUVjHgp6neFGi
sH56Wzkop8GbBahVoPRcVw95pz9R3LPOtwavYeucWM5PZDyBp1QmrC0xK2VrljHs4sD8lHOBFwPU
ibTpuYqDbv/VbT1/3PqmX/JFHW9qdYQeEnnFKkpGF5FE1TkLLNqWsEK0D0iPKM+kzlvgjPmmRGJ3
72S2evViO17IGX0r3gYtbp6yAhJ5QEZ+JjLcjbZtXKwwMy9lN4LcMPCQkTHZAHtIsRA2sU2Zp8hY
BTMDljEk2VMaqd8iMW0jZAG/Kz2iiLbXK5du0oF++FG1b6pcoFlfJivfmsL3rHbPUWP6P0Owzny9
x99tf2qXntpC149H7aBa2iY2Le/SoHTzhBkS3Ks5LrtDhNpIOwKxDnAYeYpUFa3ExuLTP0+GFTdd
Wp1VYB78CrExlU8LjKh7KnNVRxio/PNpDj5Ja1A72PpajwiR/vnAsa5U+cApsce7saew1tdOVPfL
qG7bfeOL8zALY4fIKiCZjlYJeK7sImO1CHK8EUbWNFT474q5kVdapQd3Xl6Ed/JKJHkMh+efvpzz
1y1Nm0a8A7TsbGU122d/MO4ChU9OQ6ljpUSUfxA3Xwgksj5ZNHDp8XrxUObxD2NIfrjUyNHWK/Gs
rtt+W7Vo+iJMhoFZjquFFHbMYZal9jB+5yyRYmEVtXi/2c7CnMn7YgShmbulg/UlXdkAnvmIeLkx
ACjGa1Gl06nXk/NtQloDNNEzzSUZ+J+bSChuRFdU96zI2Fv7yJhlpWaucS6qD5E6ZddhYj2KE7v9
ML3uvUii6Elt3HCPUJW5sQr2SXYbbQHoOo9x3adIuQ/enmTuXGcrf18hxDywge/5vYsGSUJBiYH0
iHHorGNf6QLEn0+oaRVxJ/v1fNVN6SFBNmPXZuS0AV9lP/p+p8Cs+wgy4GhGglxqiXs1Rj+DzT4V
1cH/PSFw3eTM7v42oQfv8a1Tr7eHyDnyp0i64r8eEgXCXBdw8C9qG/xQ+0F5pXoD6Kto1Ic8aaaN
xxfn0eIXPdS6rmwjxWjvM1gwq8oekXcmn6l7yrAwtWR6QVks3gdFla84BI8vXm+XYJitbiNH0eGJ
yFsgXQkgB4pQ6CAU4dgW0lt0QSLcJ2rlXOQgojpCK/pnDP+sK46eaCIwR8NZ8KzozU/5eN0fzcPY
F9VSduNiULdDoRRr+Ty36BKwL+2lCErsAoqMIlKcVUeOLuoebYBuH4djd8SzL9qmqm4giT7yZVrb
4rG00dBQcvwoWp1c+lQoCJ4H0b3WBPavpmoXDoXplZrGzUFYfVffKUMBXtg1IowUagAtXkOWjO2Y
7HWVwTkqJdeS2G65kzEqcW6EbMyps/a3tyvO9Y/U2XhB5newg+3G0bLTl4msZLas4nZehqONELm/
kjPkR4EvbnTCNfUiQ9kwJHsYlwCilAI7F9v3yEWwIzDKSH2Iojo4sHPHkiDVvQeAzMDAhfLiG2kE
Wy8xqQEOrb8dsIC76nXsXRzUcBXU3UBilchagzaCmhL45hWhsexQVdaw9EffX1RV0Vy13hXXxptc
dDl8aye7aYl8ox+QseF/wXYRcZ2dObPLZYOggrhX/OTPARlTWzztYWMDInVKCjwOblQtAiBX2bA7
2U7jqJ9lL4F8cYLtfJygnh0ttRIYHw8grSHkbccp8E5dq7vgV3MMK/WxM7dG5z5WUa2+hpNdbAek
GbcmnoDvMIwnI9S/gWe0Nw31gl1chdF7l360Ua9/S8KyoRqoRVvTdnZ8IaNKHcW4BpNzW7Wtg6FM
hgeB7E4p8sb1POqnLExyVE7usFrqreA7C2b0aosGiRAbwwayk7u+UMCFieRJhSH3SwcCNVQUoBuq
XbjU+Bic4TW+0lAZuy+ROdpmWvZkDnyV+G4SU3EHG+jhtnaPqaCyirwaCWFLeByvk/Bb7RRPujd0
v8LoM/Q6Bb1z1CuawSnxJ0/QzKpi5aWMY84W0KvYRbt7IxlH6FC68RZSzln0Y+afPJwnn4TibpJ5
WmYEPbk+d6AWTNfwYf6UmWHcDx37ACMf7mWcoly+1Vmbv+5yPffJiyL9Ad5mCMWLclqqd3ChVVUs
xz67dDAQz9WIo2Nkd/WqG+NuO+CRhwMde4wKmXd+ypTgGRRirGkjEC1vxRTjHTolxlLzXCfvonVm
QoWTT9JLWznw1+4WX6OT2+Hr8TUmJ9QIeWEjFCh38tlVHbnr3Gn1tRytUPI5RhX4Pct1JoG869kq
eIv2Xv+Z+7gq9fFYvYMx3iGw7IDSjqxjhM6NFJB8VwaRLJM0CE+xkg1PYMT3BmvBglz3tCOzvYRq
Fol1YcB2cyEDAuad8V+808ZNqYIJLOumO9VJeQDypl+qEgCiOlPBSuGCwaj19OoXFkUh20JMZR5I
/HZpoF33lvYsfFkaJbsKZbpXwXuEImq5V/TO31VQ3WoqTiB72Kn3FRjYBDz7m9X5y7pzp+8+/qWo
MWYQpEvDf8CGHfKW2/CDkRKaz8YeaYzp6JPkWylhqb139hJRh+Q9aljmtRH4WR8b2rsbDY9xNmrX
xMWKwjFGZ9EHjvruo6lAYlvPTlqajo+2aZ6pUpJiE9Y2w8nvUMyNvCpjtdCW8rKuQzflIDN2h9/R
FIKVzUFx26qxso9bTyyiHgOjZVv11VJos/MWDuNX2bQ+GYA+uObtiE5iPqm7cYiDpZsW1CHt3tuk
OjUmfaheDL5r9pIl8hWauSHalAOXqCdtAfGUaXMzweMyFkabr3S3HI+D7MrhSOc05TROxtaEifIx
8oHDGPanRI1469f2uYJuv3KCKliZmHCf2Mv8bqygTHeZO73cQvJKTqvJyvcLT8dWJw/icYNSBf2v
aD4/woid8eChLmdXqGlvv8b9fkCFtOe815OuHg7yecPJjyimft37x8ONfHKoaiMaE3QY5AXj9FB3
2fQgJpU3GPKaW9mVA2pQ8D2DUdFexsgAMg+5aTA46d0tpEJYiyrnfxg7r+XGdW1dPxGrmMOtcrRk
2W67fcNqd2BOYObTn49Qr6m5du1ddW5QRCDUbYkgMMYfmnPHkTFacvxdoBbjX+QcegWPrglfHsN9
Fqsz4PudCc4MnQnPVo8cfr7J4fIzFFv9Q+AEIS7OC2t+ytm7o+rqMtTS4SCrXqU+91biX8EWdW+F
Gi8wSMnfk6CCscLO4F7FzkLsCFQrK9k784RWnp61e1l1Wv/T1dhKTK2XvI+gVPgcfI3bC0emH8U8
nxWl9b4OUW+7f2pNikDJEbeX1UhjrXfKLHuS1TgEQkeI/60d2fTggH2THzNmRnvQfQjnBJ7yd6Gz
Alk1C6DsNcHsLvp2PovNvUMUwTLMlJckc6qb1WmHycFFFKuvNacS82J2arWOTWCf9VwVY2zBSOcK
bbxiUcRqAw3gvzrK9tMGAPD0aCbtnh+6JkGMTmiI67reeVDcGnlCs0NyyO5uta9Oz0NTTs+ml/p7
M1ePWZcYpxj45rnVc59ojevzdXv1bmr177JppnTg0jL38kvdjdZkHkyLnPus5V4oXXM048F4CkfP
XopgGr686htU9PhX2aFk2LlCuWIhpu5FhFDpkBrhW15ZP8IofOZXEG5akSD0oMT6a4eoztk368+U
k91rrzXZiz/8ll2ysHpy9kGdXGUt0qtpgQ5HeJTVEZFS/FiGYCurnd1VO9+xlfvUhhmYs8BZsNCT
+UvXMgxMrOICqlc/4xXg3VBmH/bYfuks9dCtl5pX/PLrEnBL6xDW1vzZ0MwHWhh1ar7s0h5ocU+s
FT/ujhQLSr6qmiknknfKyZmLIQBb1XkuGZe5AzircpJXjyrSDgvF0TOeqsp8J5VDNiREs1JFKPQ9
G5yL03n6c5ANwcvA61SOsvMiP9hA5FayqmlY0aus5/uEYB251fSlyXrz4PWgACGqse2eC3klC9kh
h0A3dJZ+VGprQ1H6DXDlccPmjUelBXoWhGI6VnafvZPePii1k99MYcavItVAbfoINOZhdPYNpV/I
m4o8IZRehRq0TERf7EK069CZbY6qbHb5bOMe/SguZV2OQUZNrBuHTYWsukkfnu9X8www7bDaImBK
HtAulPuYf032uMdRoQEXHu6U94+Rg+RnyTGyaoZVtHaiCrsNOe/jXyHHKIHasdK232005n/57Edv
boc/ldXaIKAdI/xZKHr6HIKEP7kFyV6rLEcYVxgVB5WJwFwIWTlFwg/hno4tt0EGHpR0cOR9RZVz
ySlIC2SrqYUdIyK/MZaGbg6o9ztUCYE+G+OH7JOjIsAtG2PU7VWiFWzqjabbRkGWwqLGGlOv9ec4
z3/l4Mz+2OkZwU3llxdifjVYavuaVKg2sr3PTh140aMRKtmmcdrwlUg026oO6L0nPuXNRSB+hCX0
DNHHKJfC33ga0yk7pIMyQ7RLC9wQ0TBQlOoP5EE3I94Uf7Q2ebJhJn730BRf1s4YAkaMMVrBrHCn
ZZp2GdIkgiMdKB9QKa/yJkADa41D7EUgHbLoyiY9qXb70+kK8SILy2o/AUPMFqwq/O0KcZDBEVh7
zCMAv1UvhOiWRDiCZ9k0kt9bq12O9cXcaSaFenVq3s7z+CBKyrWiGuYSAzXO9MgY1EdZTApn+mBU
nzJWkC0ygGW20R0O/7L3X6NxZqiPGTTgeJ82OsmXeN7Iz1UW9wtqgMrJJY25C9IZ8Ti66PmChX3G
b2l1r81NfOyv0PaGk+0WwWsOuG8dDt2wliN6zc/O/OI+ZKdsIvexgdekXmVNLy0LuF9PfqvjFzUk
F2wB4qssVD9OrmXFauS2qbF5dMT9DA5B2Uu4RQgox7L1VWeXCPmH7iLgPE00oyyPPTuC2s+xlEKq
5fgo9J6A00p3pgIwuF4fDB05dZ5IHdEoUIJpE3gX28MTvChTsbTc7Hff490UN8bBmt2oktmxKo+F
cayR3xgrnx3pf5pln2wTjo+/QKUDDoZn/ZzjmOKhvS+wenlGOS09AaB6lV2yiB0htr3lDmCcev9Z
to0x8ns+6q4beRe/VW1/ty6BsDgjEEPCWkmSPwPJWQujyV8NT81eI3wQ2tAtnmRTajkC9RW1Y1PN
eKPKJkyNWSfuNxhm9lw0OBaVDuZwodvdSkFqVY61FRfkDlriYToBpQMovvNMVMmM0ocMih7/FvVL
E80xMglsdjlNmLm76MYu+BxE9DZNXvInzHkeE4H2f65BpvGb9pcwtZ9a0YgrfguEBf1ZRpXjGqJm
ycrOylTdympep3+r7Evzw6BZ3w2y+D/Nsn3VI3V4AyjCksFDsRtGRX3x0/6PHKAzABTa3wFGDUhU
U8I/VWKMNyJF8APJrOpOO91kUzZVzQoqL+ad5M5u3lxorYeKWj1da1JJT7hrYEBPWC2CNsKLjwDi
scmzFF8L9dWc+mgVuHr1jXNovVBbP/iqq+YERIYTdL6//+eRgD8WXiS+esLBZB0G9VsKZQPXrmJ8
LnWd4JSdZeceKZ+9GsIrtI34QF6mx1nHN85DlabbyPLSRUGWGP+tuVEW4XwVVWB6wjDMNhqyI/6h
gAU7VcpO17Vj6fL2RJGzBDkyF1hy/b3636qPtuy/x42u/3tqDIysdTS+80aNVh4EzmMUerNx13yZ
y1ZFHwGKZam2hsmOxdfcM2al6Db3S68HPz760apA3QwzaApddWDjmRqY5zC5N6Xz1aOq+S20pkd9
bLsXZxDqVt4v2+UdjzmTUvydShDJW8Maxo92dp4u/ylsHUtqRKMo5iucs0mNIQUhRzzGyk7VcjGo
9sH8bIWZ/ZJDUOLNtncUYGWBaqhNP9qxHYUjVXctKlL/1IcRssVa5Mbffgmc5qtfOC5qp1B3s1d3
wtwybK1PRMV4EDW8ibWx7m+ys0o447VTOxyMxkQfcJYkIsMzPqVm5m+wSUTNoOpTGwCoO3IENOe4
YInr1TzGCIwK4ZZab57sM7JL2ibynXKBWoQH/nxG8ec8Iv5SXjZS5gOFoKNzlwKZ6/yDsllbfqk4
BZDZ+9f8P75X+WV7XauuUhxjFyqB6OosfyGlE9cbBfrXKs8w7lWUYTz9j6u8SDFVjt1oJ6/+R68S
p96K2PkX0A2DBGC8t9q2uT4KyGkJKrpT+q+OEBzkth9tdeFBhv/XYDWdloDkCqI61t9JYkbAttiO
qYi2Rcg2pcydZ81Lo1tXD/p1TPvPam52wEttwiGstnJ79M8oO830a4eEIUDoF+zJPDwCgKB7dfpi
V6597uvAfunBQa8TT+CREPOaYSkUC5iw+D87Tn/TWzUjnmQbiyDs+5s3t5VpRLQtj6O9bMNbNcbM
47esuHo+3JTQz7aNqTpLMWoKvDhhL5ss3ZdKD5gStMhJQZy2AaMQ+s1CNlSqCW8UaVruMz5w9e5O
j/ZHVV6NtvOk5FZOaq0q4dErCJgKb1oiz5Ae71VCQ6FRWm91IIYnY2YUy/YJM6lNoaK3mM53ldiR
wIIM4A0ide0p081Ez+s6mZhCm8iclzNEQxZoVeZ42qblXlbdGcDhh2q6isfeXdtBp13TYoE5ubjM
KChCt3/iGoPuwrVBcN3bMXWMObqdZY0/Px1jKZaKriH4ON/0uD0dilUyOgTD5vZHpztU69btDLQA
//NJ1Ux2mIJug4xFDVH6P/PIdkOd9VdKHCf+mSecr1pX7L2oNo+PeWR76QXHyijb4/3fLTq8cHId
RyWbYFkeu9a33oOsRcY72KRztUlQwbPqsN2PEGm/WcaULcgZVAdPrY5+30QvWTZ+11lo2ez64VLN
vekpxBfyYim+u1Dnjr41Sa53063wAcrjmzSsZLtLFKkyRliDEAJ2BOb1zeS2/WcebGV/V0XBRu9y
sQcApr8JFY2byCx+lC2HNFNz+1NaRFggsqkhps0HmSqwH43A2LUf6+FMigplu7lDFM5zBGHk1cVX
6uDplljLmXJvROsxIn4RxK+GYjhnbS5I8kCVzfh38jO1mm1r1vlZjfZyRDVo4Ltml+CyrtUlMjvF
OrX16UkWWRGq9ytioAvPQ7hbNglglKzUldFt3QLMiGws5sH3njzlPYH9Tb19zCWvpgFWuF0Mi/u4
x/xqUYm16uWwUeZpokG54bNCjGiGNN6LJqhXXWHCVeFIfm/zWi1VIT0wRjbacROePJho/9wlm5UK
cKRs8++QSH0GRloOZNxsmqbVpNVRs3iMkjfpgyfSlSgNdW+Vw+bRa/U4Byidt1HBKF0LLWgIL8Xu
m+7WDVhRvfyKi/SAqh7aMP10Ac1p/4nG9NVOVed7Ap4Gig4bwZKHAEyD9oTbY3uw+IZbcBvObMCi
PZUeslE+Kqvre6Nlev459g+Yb+lPCn98fSHHdb3CG9E1bHTLQhcax+BvFNQqj7FtYvGbl73GJjRl
15robL7cmEZMPuJNRAJlWTUl6F7EC7bsc4i+p1Z+gKqJQIWsZpF+S62f01yRLWrh/EkSvT6ZuR+/
YgWnr9Wef6OsogKJpBb0VGTr6ZV32axOqIe8yJaKrPliIn98uPelYbj1fVVbybnxq0yeaufvWNlk
NKjeZYl2VRWdFIrnYU3dqxbmiMzfA0DcNeOkLuVscD2XRFv7o5qxDtVpLtZFMHoL4AwRjqu0mQRz
+n/VlaZrZm043sf/jJEDZfFoQ513gtur4jFb2cxwn+cxqBpsd1GRo1o/2uTVvz5wHEGvhQhskTf9
73+FHCkLDhg/fJMEF24ZkKv6z25w+iP5nP4or3D++Hv1f7YpUWfvSRssHzdkRjIcH7fKq0ebVaXr
tkVzQnMM79gTqLoXnogN2E2xj7WW5YnVo6eFqyOgTTLyX5eyLucAHKKu9WioFsY/U/6vA/Htg9It
bxTChy+XJrvHx8i5HjPIDqAo2LeXnXYeRL0N1Xr8PgyagwXdaJ+8McSlfIIYrKPr84l572Ya2WI2
LSDr1J7ql6aKwIWSuwCXXOWs3uCnW3Kgv5q4XGa+XWMo8A2pi/y5nHXNxm7cV1ER8yhSQ580AWTU
7Sd0CJKlB8F+6+Q22vWz4JkckjR5M8tkwMKc75Ad/8ckcoAsHhOpVoiR2f/nJEPc7uUHqCpLMMdd
/NTfcb/to4VCQE1Du+43b8JnhyTZD5cHdVEHhfhIFLIiIJ4R3w7gpqGvlNz0uGrXo+mKC+ZT4bbS
K+fUjKgG5K01HlLX9g55lI07oy2hOOSWuem80LoQ2snX9piNt3as0TfM2ulNWBWe4WHgftSxQgiU
cCEqCEmy8wsHUdsCj51F0MbZGsUxoBZZUTSnoJy7BthY8eRY2xFyH1jwflWpjQIUPkEqqcjSYpUN
dqAACOz9AwHfb3gYHlwQfNOc6f6hlOjB4LaKE3h9bfPiZQhH91trYrLKHyhdys5hKNOtGcRIKc5j
Zz3JVZsoaM/M1T4mUzcIK3vq5ntrS6y0UfgvpkHIaNCUtZxSCQr93Ll2fv88KLbRntgLkYF5jmIE
PxWGbr+9f6DN/wCImLMAnkN6LOLdZDgVqiyi3JqwwP2vKOqTbaz6752Fhe6+bVK07Vzvtxcr0YsR
YtpjNWSjIwzRTNch2ByQfY6m6AWr4UVm7nMwS1+pXrnLWWb0nLJLfUL2Ft3HuUNNbfKlZP/ULBg2
WosQ79hYKrGm/MuG4PyVpwCVsTBRbz5+4bsMxHA9NCNp0Y5NDaHZL/ZR0lot8610lbc6koylHT1F
M/CGpdP/Stuvns3mjwz08apy2Mrg1/enEHqHBPJgQ0urzxby8s/V3BQWuXF0Uuv10eSPqnYISrSM
c2wq50Gyz8uJ0oS8kBZyLssU+Soe0nZbN31Aekw09e5v/iJO29PUEnfMYm/n67OiQR1ba2jf1pei
mjABoVO+hlWsYeaeF+cMxaNlA15/U5fBeHwUU1f+rY4pyfPlo2fWbQsD7D04UloDIm8ZVKVRjD6R
1fiH4yvOh4gyIBWswC+mlVfr1K3MJxX1pl3itMaB39J0NHv0ScKE0KbLF73K8J+BSaLYCKq1ENE8
78XMtIm/eYiLT3Rqm0a/3mnE1Hw7Nq4SjTD3gUzVr34zPFkg2Em77+oizT6mUHOPKWHMpazmwAJW
NYnCvawO6DIbVZK99nU1XRxN/VP3AW7BWadvBl1FgtwdmaPNfyHSf2om3V/oeD28sOKCXQ2KV+G3
3otsisUwb5eLi6zlVaavTAPxZrcQOL2m9YVk935SQw1kdF9fZNM/7ZlbacdHkxwRgk5AG43nylf7
51DJv2VWZX55eB3BzM3HGyExCwgo5G2jL9QPUlibxnWML1VFOToCx3/RS4RuDdUdVij7Gl+wGapA
/0pekKIqjmAwqyPBtRoYZOaQnyxKSJl5IuDRNOKYGLYoOSNSvw9qnMnctz6ybjUKNui4di+yQPFo
EwASvcoa2YoBFVZMlWUVaSP9klXB7jG+T9C56VyzPsg23Z/wOx7nJWGeEtpG/4IlEwGHEvT73JTG
YbYOxRBtUAfANApwMpskHEdB4KGqDY9YFoErxJoUYzfL/Wj3ttLHMg1W80WO6Hnw95YHzENWLZGq
u1gnYgHaITnZc5EhEoZtl76XtUe7rN7bAGktlCIujyrftxa/R9FUX4Kx+xoxJIBYWybk6/iVGWZU
vrtlQ9zCCbydrCYVFhYVPPWjFhqobdkosDZW+0Zw0v9NxmSRGogJL0Zcg4IM0yKlxxShHNLvU+Th
1kb844VEULgudOCfeQ02p1az9uiYmnUQ3vxk9Y36VOa8v8Iu2JXWuB1wNjlVaW+sNd+vXkuUAHln
BP1PqJVLmy3xn6KAp5I5Hvy/qF/6Wt48W/4ktqmjaQcN5ZpC542aFZN1w/JV34SceVeD2vFwZ3V+
6EHBPsWZYt3SPIVSFWSgBCb9qSK/901U0fcobZMPrx+8ZRHzwPZePGzbuDMO9VCMiOmM6cbLTDK6
Ai9mDlvep5cox1gLkN7wSyTuWze/9SrZWFI153CIAV66GCEmY/uHtOMHf0/1g2VlBEES+M9VNPWb
UhHiRAB1ZPM+utuiUkkiV6qz8TDJu8gi4blYKmoxrR9t2lCOZ1YnNPNjRExywH3LXHPGTaPZ1IMU
qYb/tR5Y8/he0/72O6bbX8aidQl8uzlKGWa/r6bGNneFFio7u6mSExjZhPcKSsTySrYhE/q9bOt4
K9tHXbQ7pNrfW6KMy1TDGFHa38iq5fXY080iKLJal0V1INxmvGmGl6Poq6mrPsGaPTBLTi+pjQxH
2Omnyif63c56aq4H+lhLw+8oAmgboaOZOPlwnO4KFKYSphdCEJ8hZLaPCErH0scs5WajngVCVPfO
qsCQxGprXOgIFJ56FWNWWJ7ms6s0FmmvtnnvBD6qyGq4Pw3FXTs4dfHjVpVFW0Ee8ezmk8Q8kKoK
dFCZVT7kMIxYHpMb8+Q1BvOnMBazeXRoPputYSEA38XXVgufkOmM1pU2IQ4aQScnc7U3hau/tKmt
XWI01Ram4YiPUYiaVZLwmhyW6cqbU0XZczQN0U13Td4p3I11jLvNDE5v91GZzuKrxc4TqBrtVe+i
jT1P5rGx2KO2pK7kMNsIg2XHwnpiU9a+i+YgP7JS0uao6BO/ynluYQmfAyn2f/AHWYh1Hk/AEuZZ
Fq6S/klzR9t2pvG3SbbLatK149HzAUb+M37ikL9L8dpbshlF/rttnV+lXqx0X2t/8KTZS9WsiwvQ
7RIhm9Te6GU6bvzBDTcxSS3UecoUodASAWHX0FiwHHSauqy26rU9rVNlSK733igHqK+1RbOzR0fm
CNVrlglrg2tvjYBnpl1lRwdd4+y2GmkMfYJfYcftU6G0q8zEXSdTxlOiB8FzWmsgGpKSUG8t4B7M
bZ0w/9jxZBMowogi6IjhTFi1LPTAEd+JQH5PMZ34VULMJJmP4xW4z0WZWeMfhOJufmDZnxPplIWj
hfqbjj7Hqtfc6LnNt6kXqmvTDIMryqPaOhy14Zp4iljX/RQ/m4rLDyfqtWdIOBdi+LcgDK2VBzWF
xNiccnfnlDvLJbrh3pxVjwGc3vvtZMLKK9O7+ChMr7gQhmpOvWbcopmGTpBVea4LpdwCziUiPOrY
eqvBhEKmjZxuiczPfWA5NK9G3aVg6LhN1/vyOR12jznYFIbHrFd+ylvktJMF2NgvwGFIxrsci244
xPpAz3ZyCBz/dYCrAFHY1LgFitUeQoB2i9ax9Nvgwwo1EQlbaDxve1nNtaC8iNRlXXen5Si6btvW
g3MooYoeJpxUZt2Nf+oDVmJuCEapSfTibTAXMQS0V1nxcFpTiBzeAjcq3/IwfGqxP4E4yEDgLz9H
n+0mETu40eS7IAlFUALLq9k7KiihRD1ZQP+/ggDtrCmvpnd1Qk5YlHn5omMyt045LVxqsxZbxdQR
EnXQA6iTOtyzUiU4HeAzbylEy61R7VcBTjKvHEzRl0Oe97to/R+NEOmvVIsxroBzzgEYNXLS7ziv
sRm02+KnXbDhihMEtToEgfuiDa6yKIw4urj1c+8h+kqSwgquSuJ767EdkO7jGJyvB7IGjomahsIG
xF3UQGCQJw7eQeSn+ToP/XJph+OwkTdPXg1mPtLXdWMWbGkpPJ5iguleC3XZC3lkWthjxNnStWn3
8d8eOVwWhb03CHCdsdEJTiXqEamtFvpCafvxKVcRotADZT52Nc2yD7PxSXbIK1kUk/JVTcqwk2NL
VIBt3EqH6oYCYXAJHAzkFmqZBRdDQd03KJDJcyLyxZq+iPhbPCVzoXQW9Lz5SvgNEr/DSEwlzw8m
svPqv8b5aD9xitQQaZkH67JbXiYDhzG/ahBU+e9ZY1JJu6FI/wxR9wN7ye6K2Fl7G/Xi4ilVBwS3
BN5cI1CLsWv3kddluOCtpl6cKGxeKt8+lMB0PoQZiR1GesP6flcUlwj59Six+kK8epnYynanT5Rd
pIJrR3G1W4x6A7WsJNXfzgUOa7NWMnGEv5eNb7ULNq3ubqi9AQi6E447gEhwvpJLnLQobYQheONp
QrhIoLwxaZy+CbTEp9DJfrqjk+MURJNTx3+QZCave+LnUrz6CtRV5DnHFYeB4tVqXPXcjaj2zJ2l
GZavYYCSqWeKmxxgE+ddJDb69LHWWHs7jGpijSYI8XuRLM0+1Q+P9kCtxkMbkmnt1JQAjYOT59Bc
+P2lt7YBPFIG2YuWBdlNDkDQD6kxtW7v42UHr+d64QSDua9cJ7g2wt1jzQ20xc4q3BizXzhh8dQo
ZYdbeYBNNM2x7bo71FeitawaIjMXoRqUuFvF5BuUH1NqlR99lKKJa+KapsqbMsWBPljbB9lrcD7h
aFN948ylnrOR//n9rgbSGdQtdXe/C5H8yY6ilzazxLXp6x896PRNOKUgd7MByc8i/1uYgHQWY+fl
m//RIYfINlXNsQEnYgJFM26GRYyUiXCj8Ghqo3uFbrXTFSc7q3npXWVTZ6DelGJov0PkauTrj2po
AVagrAJSGAov/Yn1PS/RNzW7/Oy4rX1SDa2+Rr3gMADBbD8QNL2qgyKu3TiUu9jUu4XWRdmpCv2X
zneVa6C3PYETIb4q3XopEsV7RexC3fUVnjW5pmrvmh3u5ACr1DD9RGrjCfeADkRAlSzTvEhO8NPq
dR031nuHZLKeRsMv3FVevTDVvumY36x7PxRHHK/EUxVAXRpL3fsE3LeSQ/kZIXje1BZ2TH4Ds0Ct
90Y6WFd+OslSN+ryV3CRIwmhBUsBkOQ56Mxkr5uGuh2bJL8lnR9vyxhPqRNwCrb4qT8uk66yDk01
WYecXyIs+hQZPhPvz3wBeokGMffJUbKQ/Y+q7G0FEf8clIOs9S1g2eV9NjnxZEBXAE7iI7WwKvrJ
uaQxfNa4qQxINnpySkIDopyGAHZe81vUezX56Nvhx8x7/c1ZKUuBvi+6QTk4NSLXuC4CMUGx4VWU
SrxmrVSfJs9Qd8aIMInhacUZDzBeFXao3AQhjWWOwuh3bO1uUW+PqHlu+lFDkrpUPnh5hfG+6x0O
4PIydNR0nWXKBiHBGDsRo3kWetQ+F4bf7VOjIcc+t8miCWA7NGrVLyZT/G0zLUx+GwCm/PC4DRcT
5VyyNzGURDmxSzYOMCdQlxz1GercNrxrsTxEdwWv5ML4Q4p7peMq8DUELvKebma9iCyKNkQ8mhOZ
TTBi/nhi3cWOZC6wG33RiFzsHk0eE55tMEQkt+y8JA0+/LlXCxR9SB1P5Fw59OWNqbxPcH8WiVKG
P7qu/ualSg7STuwBFGnBohViAVaAv4NfH73IcUKQPeWGoFH9OwkruOdB/OVPFXkuoGMfhSFMXqdp
/C0RDTYuliZeWsCDKzOd7KvWmYBno6F7stAYxtDSfiYwk+9x6XNxXS+sG+/jamk6zMSR8qP0gArm
yc8OsQjiXCYh784SX1FGAhy5XA5gbjhgteL4lwI5dCK2TnLEeoZUBdL426BW62uZiWrlFg5xWmRB
eKZr/yuZ0DrrTDROKhXhEiccfqM/9CPu4u5DiWBE2FA9b0TlfpkxgDCex+ZdN/pz7qN9rgQIgKcG
hmA6Jivb2hibXZXW2YscK4cIJT2owVB+IGCjrzVsrI9AqIuF3YRs6pFldZds3osjWrTCuLLKBIvM
avpzGtv+MlOJ/lpR7xxd7HQWcRUl1TKLkosa6b/jwHtRjVJZi9IbPvCsCWDzTjbbs0i55QhZ64EY
P8jmu1s5zJyrZciBXg5DCgW8LZ4G0+BbuIgMz3k1YxxIUa5K1RyOsH+slzqanvVS7WGc4NLrtpAH
J/WjKgz7V8TZB/vyPnwBdKhuy2zAFaYmqq0nOUr/XX5FvbbfOWB1+EQruz46Ytd+BaStH2QT4gb6
NqmbdlXVL242pb9ijQeG04HJgUAtMA4a0kNomuS8C79eeegafzSj/ZRgF/S7Cb29jzHQpx0FPprW
ykiUz2M1bDN81WNde86qNMYrr7C+LHwJsvkmZcy/4rJCM2EYtYVwks+C3NT8k0UHOyqDnay67F3i
Nmpe5zcqqgqE3GC4Ox8xGYJVTfzvIIfx1Jt5GnzUGgu2ywlliZ7dNS3h1wXBwDYz1gCxe471oTXg
TaNpio7oiA4f8acXt9aHyZH6wLEyQniVQbqF8lTntClfIHxeffZog7IKEN+9BA3KALLoFWva9o5W
L9MoDW6eAaFcQeYMJivsElmVHXmnv6edD6t2vhXHNFRWbn79n2k0w8CbWE8+Y05L8bKwumnTTQ3w
r3lCOUNQxMUy53HfyjY5j+74Z0NAkpY1gtvJNYpZoObPkJNrHaqklSOwO258dYs4lljgrWgd0Aez
Zpce64AHglgnCOAvFaC+W8skd5Wy1fuu5TdnUK1PZcLCzcFLd0dY331nx76U7VqraetMkCJxlFLg
LmRsVS+yP/F5VlatYnYHuDEOee3mrKuFvSP46MMq9MbLgHbs1hpbbaF2I9y2uY2nZ7xgjhOuW3aE
JNapPjrCBtGqKG7rjexIEdzbEvILUdG1jrnQzWtX68bbPzUZGioTdGV6w1sLfHUndHPtyD9wHNAu
hhuuFFfHM9I3nWnXm7jXtaGX3Oq5SMcGFVc7hAQwV6dqSG5B1JxZJpGamGsZhgJPHVhqWRNy1wii
bNtHSrl83IRzdg1gAT9NOa4b8H/rAta4qQjdk6g9H5Fz09lNotkMdq3Otpk5gogaMqG+wH7VVA6B
CXldCwfxHsa2vp5mcVnZ27jsP/OmQ0p97q30FJzZNL7ZEQYasajfZLMYXAAKAU6l8iYM3Cz86m2d
bRk3uar6y9Wd9ALJP36vv2QjW2bUHow6gT4uijO7RrJAZMvfvDGJ0HoMvnA1xjlAizxAm/qb7LM1
TgF8fWjC6Hm2tqYp/FSScsVqUP/scxh8oi/ra43o1CH1MCxzc2X8CPpgJ0fkSETAII85GJCpXU4F
RpFAZF9kQQ6VHCDphUMjjLnNDY4dcHLsVZT0PmTMve/OVMFune9yOGzvVcPx7yPkXYGhHwkhg1yZ
b4oAh26RQyMOO98g2yY01kHS/DFU3ACNWDkacaMck7zLN3Vr2C+TiseDNdb2z9gCO8Hr4w9OEG+c
B9HaMccKXU49v4DUTvZaP3KixJrh2nNmWzblGH/3s5IYPjephrqq3YzkQ63OTnied8t7VAS0sC+P
RVMhGokS1LqpG4vtLIKAVVsqv1S2u2S0/qDj9INcUPBuG7OoSx61gGoaE9RQgK1y7rpXJUbLp4u9
5BMYLIJWfKTH89aaJQq95BDxGzOCm4r28rbOu+kw2GN7Zuku17Hdmm+FThSNlZXX/B71/26lOTWb
8VjtXrREJecD72eaay7CwKvRBPxC6L5/yQOjeRKZe5adrZ93LwWrxmxzWR3HMLL/ZmQ7MdabfECi
EhMh3lVhmC5TPbLfcnsWuXei5M3NETfxG814VsGHITOntVm46ofYX42DYpzHJKsW0gS2rjUXRhqR
LJ7x8r0gbwBwrt9yet8oaVBt/h9j59Xctpau6b+yy9eDPshh6nRXDQKTKFHZkm9Qtiwjh4UM/Pp5
ALnbe7tP9cwNiwikSAphre973+clWFh+nR2Y9oMtPyYLpfCpgrKQjKXyWgsxEXy8WDemOqZByy/u
lyBRNPDLTxMCwkvozG9ijd7NFtPZz7aYg22RHhmVAEI4z+pqullfNCQTDAaAjYkuxw95K4/B1FRj
UC50FT3cNVqxJ6ve+pDxqlIsXf3S7m6qXUnQxVQYGLlpVOBPjFrlOYrIj9ie5eu6xQrl5657kQf1
stRuiMDlzMBvoUpvF8p5qeRdamBoU2Q7vU+QfV0KyvR9VVJp4uJoHWTKMK5aM54tUe1flSZNNSnS
p9dI0qjwqqTM6og3PwIP5DUAwZqIRmYERxIaMvCPeIRtw0KpnuyySffoDudu6EAQAEZgXkmSPPg0
sJevkgpapgNTZy38U1q5N/acmgeaRwitiRR+yIAKIkdFYrEtFnJcPTSNxlW+MC7IvcUd009jX9O2
9QY6kQQ+ScaV3tFmadIyf2iUUttLC+0bPdEUrAaJ6jdh2d5uW5XUGOl5xQrgj3Xn9aGeTrGdNfdZ
vuQPWLa6QMyqHGzbEhg7d5n4/Gtvgih6v5SEvvvYHzn5xazRSGroOtr5UlIeu6fDdy01pgBouS5F
GTQWaoiE0cxMMlsRH7gyEPPXx80dWkVvUOuIQsLCcCGTovu0CJEnJyrDpHXd9kDwz5UoF5CP66pk
IiKiK2t/mRflrBeOeqvVEP/BDMrPC3/Hcxozf3BKkLZ0AlCAxtAsiFdPr62VIlQvxTs2/xsGdfqp
z3TERgSwP0iMgh9S1Xy24gQ6sZY4Oy77XWCNa/MpT8NzCZf5KVZ7nzKv9WILwzwAvWoCe110JjVx
IVqQLMHd6j4s+rttN4IVjZ0MInm/LQKqRx39wKH/hA+t+DLxTYlDNjAU9VjfjVBQOquKL6OMeltW
lfhEFK3+bE1IsNf94xSCmdTp7QHzJNziXOeuuXSt5+Rg9nU76V1RDP2XTu9fJhv8P4qs49RDHUNJ
/q3THSRn4cBwHhvuTdZHa3yM7PWtLHFbe4V7QmZB0+v06RImoSV9HKvt5e/NJB6SYrG/DlHCDVvN
qlcL+Y4rWnRAGiZWTwaOtesSudj3inhXpgly76Tv21rotJG0mYI/oouOksU5wqgVKEqvftab5pLL
kvA//fFf//jvt+l/R+8V8LQ5qso/yr64rZKya//+yTE//VF/rD5+//sn23Z0W9MsgwQb27Q1Q9XZ
/vb1HpYueyv/K3fomEOnzZ8cVchXUwMdTRTNTPWvemEog9kcEz9ck14PypaMjkbFd7ybypHIsrY/
6hSUQk/Le3pManNTwUmmL43vu5DA4BeRLN+SHyWfaT3F/rahTaQ9+qHos8UQGcNrQqKKMhPFp5GH
Vhvyc3s9dPHw3I+jdufI6ZXoC+VZQ0RxnWGjA6DJPlj252OWtZKXby/RCUFjtie4Fyrf86YmrHsa
vyto+p9MW7euGT58N8hTfgJsbF+v28g2MvY2xKO9rHcFCGhDff3tWTzm2W1DsInPgC+/FrQMgkiU
+XPkyN+7FaNdG59TAvuOxooQyGo7v4HV97CZAlRaHY8lon+VTvLdtmrGRoN8OPdqdJa7X7OpZC7k
E6IvpsCtwNZO2Omc5QC+iJ+nfESukM2RA0nsQedfcxESN5S2zkBnT/YxG0F7eWVboMWSOFj+8+Fh
yv9+eFiMB1QOE3k9PtbD50+HR9drug0Uo3oaE5IFge8aj0KpDQTHeh6Qe2g8JjW0gRCP38dWWbeX
m4gZklCKlEFHHSSlsN/J7L7okz4c+P5U1Vf1xljp5IET5pyuS9M4Ugjup/BERs5wKntCEkmgHbRZ
cw2FhtqvQNrtWaY70TUcMx5kKIdWgdQnQrd7pXHhxYgkHzGto039WJfpypVFcJJfyq24HpfQzNyS
ei1xSh/PK0N2iQLlezB9n5Tn1dFIZ78wT5Fi5jf/+Ve1LOP3n9WUFcdUlHUuaNmoR/76s5Z54rAh
ZtCNdKckJ+reINppwjZ9ty3F640uBAPob4uh1dr39MVPBOIZrkMMFDHkfWn6M+wCX2em7JmrmWR7
YLj285lqTve2ScF7gGdxTwzkNruhA54/zWWwtb2XdYEt20KmqttCZpbqLXbOO0ZP8gkZwLyTpjB8
HCXlx9YmVSl9SvboDSDydVXk9+iyrXNTd4sH5Gn+Avvj62/rtVo4L02nGw/d4khHxxzKIBuc+Yul
xoSbTjHhyYp0rBSFT5ajuG/j9FD1Wfy87S8D0/bRB4B0JoM7NXEx9TlIZOSHIF1K1TgyJgetPRGl
U6XJ4ra1bJ63ByfXxPCn5W0l7bv9YiuU3pnzRxU/e2UaDwMn8o2Uc6jSfX/YHrJMfuQaAxV+XaUW
ZhjUBvmNgxYbD+VsDzeCZmGi2Dbw2oYweFmhe13HHPj6kOiH3p7mF8VhZDlq7SMIhuVGHgZgoev6
bTe6eROZt+l+osd6lQ3dzwdDIQhPwxfrbRt0tapJEFj3MXum33ZI02ME7n+a08za4WbSHkyj7Nxk
Svv3XLgyaor3ZsKPttgkAWL/h+9hjfmJwBHl2I4GWAmne3PiYvkSLjWG7lSmBQhxJ3VQ4zAdIbIm
Kqvdtm5K5x91oUQBVfhbJRnCa+qHw0NdxwjW63bwIRH0D5k6Nvcx8/91GyIDhUCSRjpMUCVvpbUu
XjBCaCu7+PelUeYoFgmYUa3WRjdPRfdVWowbOwbN6OoGJqXVp+g42VGQy/QNKCqUhKopPs+LeR2r
unkOReFctoeyTu7MuA9P2DsUiykknotm7iDNYJQemQodG7mhWWVtonSVeDEdjjmWDQAAyfigCCXf
xyW2GmXNHgORoNxnBfh766m1nPiqVEiQd5u4Kz1h8dEsY3Rg8UqjRbFI3yPYko7kspEjtFqLjDG0
g4KBbLD5jpg7WTuSvC7YW8cd5mrKaJJh3Gi6xlylbYurrIsbL9a1GsBcb6K/rJ7itJtvMpqxQPfX
p7FlnCeH2pqkKV+nkNRFd/uvFbTpPa2XjF3bSM59M/TZlWO3dEZEE8JLZt1o0e6ySw1GzLo4E/t4
lmg3TvmdWel3UdM73xIRvZgJGeFWmb+vTpAvkSDN3hxIsnicjvDmbsn50a4ttefykscJgot1ucRO
7qH+mJDAtvr1rw3DI2ReECOtpJ60KTN5r1mFlrsub89UhkEBynoACM2U32ME5WDPCudYOUYG1zfP
7+X8QLdruNsWDOozp3kZf2zbewl0oZJV2dGyI1ppzML3EgOHL/dyqJdfMmMRu9x8nk2Sx+T1YXvG
SEYh+XScodJBzyGjiC3LGkwm8mwMCH4IA2QLlle1SnuPX2oIwoVAuEnhqs2Jkp6pk6tMdillaZrS
oHyDX1Qo6MrsGqJNk3XafWMRTtfbjvQQht9n4idOGoAykvH024lNPx+G73pCH3FbXQ7TckvPXwPE
mTvSFcgW8WrXUuUTGKLeEJ+DYEyIbN+URYGFLZ5daHAzWcDvddjSn/jXgyQzfHFxift0Y5arbQPx
4tI1CQVO0HIx8yuiDo9m03aIWhC4q9r7PBPdNg4A7ZMyLa6GWM/utZTcvLhcjK82HDRXtZ3uDq88
VUnwGf48gIiwJvW00Ok6MVsT1JskUJ7pBMAT+Y/Wnrbl7SGxkwV1wm/bP17FGPW6lBVmuLb1kmBH
O1dFNt5LTtmTDw/lA3nGvRTx0EjaOmexuNyve2wbcmM4kN5GMtK626Sb9olODkWJdQ/bsnip3cue
YnbTfttl24C9RC1S5W5baBrI5gbZhEq0fG+YQx0koEmyG1ZDfAMpLr6h6MEktQDPHSc54ql/bdie
VUWvHGJj/rwtlQiA9l0OyQE6a3/C60s6vWYhQyyo0O8tRxderSTa3Vj22l2KgjMo04xQ+XXd9qDJ
VuPlcTHupTnjdUi9QMRqYXPaXtKvr6M9ceyKXr/+tep+lCTl4x10+NfXep8ft323N/31YX69IqY9
uB8X+T98oG1nuvo/P9Cv99s+FO6v9vTxIf+HD/RudfLvHwi7lYKeDYG2P0lG4rWMv7GK0b09pfLM
P2rUdFLu2rpwkf3NXpuhkjEpEpyXLk/pZzaGN5ZdeEKMU+zCUZYPRNHNLxLiUjojZPIusbozMIoe
HCNZXtv4YETjurqjXC3osyImMO8hBofutHJiFMBTBKza4U7DovHkiOLLsEzx98TOLqWcis9mTlE4
lOL4irt5QR8YqKHVEySXxgr0EuqN91sQfWGP91knpvO21GuRcelGHWQZhcY2jer0B6rGezstipQY
QWYrRAM6wceyQuoKsHvg6Wlr7sVI06og9i7QSrV/tCSKRX3dEoa6Lk7LtHJRMm/bSEmtf0xIypgx
+V62VbqoOg9CMd7bdf/eXuI9XjnD37YW/SjO1oRYf9tqc5o9qOHj9j4fb5aHQEP66mbbvRwU1K4A
Zw7bxrEqlb2j0wlCHclVe0aAsFYp5Dw2gdVE4kUwhG5647OYkumMQT8mNI690sGR/cgYx+O22KGE
W5KGwZFRFpeicAiJXV9dYkrcGRpRjdtuJJxQmdbKO0riXjEa1aEqkb7qE8nOTduL+5hRqTcPavna
k1nljNi2iCAkX5fO22gK6iPMry0U3uS5jfq9iHO4tV0SnqVYSSnvW+WBySF5bnKq+Y3d4qOcUBG1
SXnKJFGetme/Hn6t02B9K6FMnIta9df2MOR+Ftnx2xCoKxEBRV/iy4ouHwW6pmBiEkdcPErxizJ5
ciecG1vNGVipowRhT0uus1bJf+6xRNIJqlB7te0fj0t9IWIIqRlZ9KrUARVfVxHuSJRZaplMCaGN
yYt42h7EN5rnyVNZTAxOhsE8mcvijaR53m+bpXg4YdMWh3yWxKFdAGMtYUmiIKr9i9bEykVSG/lC
4f6+1vQTAtMBI+A/t23PRqqldZhcmD4OgCeXeLe9biYTg4q0efVrdzkSNjeb6ntbIifyOjzAJ5PG
1qmuCgA/RNvuiO6LPGl0mitpiLJjCdLw92fbVgzx6fHf9qsQwMfDwRKMpqlaDq95XgXqSks1Cvg9
8lg5B8x9Yoc87XYoM+4N1qJctgdHzcUlbKiX1solp+09oai45ALqoFRG2d6e6DmX9c6wfETaN5Ws
ld9znnCZar7UODFdSW67+3hudCj08XDVMUU7J61R7YzEqB8I8QKaPxbG2dHqH6QzVjdDbTDDM3VC
tkJuMNwl1OeypyQObd++G7ERHQERWlcmZYWr7VnVDaorMy/1p2H+uW4p0rFxf+3z+3IsvUl9Rxti
Hn4MNZphkJ5v9IkmN9Gs+JFebbzTtUGc1b7r9/95lmv8dZLrKKoiG4ZM2UC3dUM2zN9KSz0WyzyX
Ub0Uoou/K2l8sVCJ+w2MwWtJRRBETLYkZd2NEQc5c/ilR5+lgkW7ixhGdK2vVUZ7sbhqHkvDoZYm
V93drEruvGYE15oj/MqxxsM0tPuEUMX7gl/047cdqptw0e/obcXfa/JwyKAruA6O4bsESW6UhU8b
ubxRqr3RTAptiWS4ExGRRnZ7L8mGCqS6JsAljdszNjfVzxeN/Hj8zAilIuwgg6pdpyL93tvpdZuF
+iVONS0ojd4CJkerPJezw/Zr/tdfKnXtVrl7q+q5SaK4+23xH/v36uZr8d7+9/qqf+3119f8w3/4
P49/4IT64/ph9/j7nn95IW//88/7X7uvf1kIyi7p5rv+vZnv39s+7/5ZUlz3/P/d+Mf79i6Pc/3+
909vVV9267vRHio//dy0liAN5U+H1fr2P7et3/TvnzzyH4pvydffX/H+te3+/kkyzb/ZpkOnUbVk
A1iCon36Y3zfNtnK3yzDdGTdlNWPbZ/+KKumiylran9D2kkmEUVPy9RNnfJLW5Gowjvqf1NV5v2O
g0xOlR3d0j7987v/LKd+/Ff+5/KquhZyfpVXDcMwLTR1lkzpjA9hyHzZP9fPnBTXSCH18Y7R/bKr
LNy8TUvYe2WEe2mqK8Is6uS1BIJgpwYTXqWt3KRVzWPTyP1lTqX+knDvAGQy3zKiMB/UtmCEnuoe
ysoRUXEXHTU5t6/h0EXMwpiiWtcNcyk6MX1DoB6XZ4IiYuf/URhU/npyr1/M4duY/PAGXkWKx3/9
YqZt6iFIgXTnjPIpt1r5Do3c+5xk5h5v0hRYjdLcFRMzNlgyYXZuLSHeKtBjlV7SPpInOQA/qn6c
JX85Sf5czlbU339vSzFNQ5MNncGzotm//94ztzfSZ6KdPTARJrsnfmi19k2YpnPVTCHDtcgZT5Iw
Wr9PKmorCcSyV21Gu9IwjP7TofrzaPjzp0Hm/9efydT4cWSTD6JZimHb5rb9T/VTgVJibul/+XPV
tECjw72qWUjnNOHZma0HmNNoY2XlWVVF6GstCRbjXIkjeK97kVDBxPwI7SzFIHVuDCRgcTZWV7RX
vDIy4/O2cUiN7GbM5yPuzTXZLgmv5wr3K6MlfdcYbXjNbUrx6VZhrOl153rbZZn66GAs1lvXV9ri
9kzp0cZClF1fsO0GYe3jLfX1LT922za0qmP7dlTK3vZODFwGF9HttJsUOlpL2cH4yJzi7BSpdYyo
as9+padUB5ZOOiVLvfvYZYjS5kT77ijWjR+vrVo16AFFu2FUi4aSGG+oJ1HnEmOm7P60UqICaHZG
fd5ejGfQOCaWdjZSTV5cI0qzXTQbuvux7Az54lt1jf666p1re31AR+da2cAFfl3a1itp9nNj186Z
r1vh1yiKvhZNZFxnSja2e6EzQ8MYe7Wtg4oUQXnI5Hmv9nrEVEAY19uW7aGPuhu0p/NxW08mTef2
aabsto2/7dtIlnwe4m8hITmLT3Vf0LNrE9TFtdfF/Kf7EC9SF4LNzXJzJnA2NOzreX2InWi5Vlay
dif6/ba+SBhatgLl7LZH1msTEX4qeFdrQpVWZbYfTz8aAZq1qmZyC0IUc+PCsIwJq6uodvmsIv70
jaUP3WUgB1oSQpB4IxavyFPnJmp3FNdzH0Tle26RYU6jtQ6m0XB8ApkIbzCIHWjqNHejsp32iuyY
/siPBzuXoTnJI2QfwWQaJTP2Q6k4A5wG5K9bd0U5T+cmzadd6yxo+uooCooEVHvedcsBonXmDhg1
vcLImxM/Jg14AK5mXWfUYrCpzxKdKQDXoad30R032RA/JwVYqdnr+XimvtC4uiMvBxFFp/IB7u1L
aoAAzySpo1/LGLAaot2ixK3bziCT01Z5BxoCwC/pXhupz3wx1C8Whg3Kfa8M9JVi58hM7TEvLGG0
G0UkBWQWu2EjRceZASDn+kNBwiDD46p0BTP3eqWk9x0wPBEyoYqT7ipmDjxG9kMFb5jEm/Ati8dV
GUwsgMw1qp0JWWJip6PwFcYi7U1BppdaIHGQi/JKUZ/SpAxymdFkNF0juWgPWc+0juBqcoAlcgeT
4oDL+coqSxS1dD6R8CtuZZ+zqHqK4nfmVA+qxruvZ05QkEOsa8a1M0c/ZINpVKMZbxHWtCAh1bgj
+1bAD0aTWR4UqEllv3eGgQAKK3+plPEsWdSVCt0IyvKVq8YX5H5vS9iUVBglzVWz5Hr7fblxPNeT
yfeoCG3FGDVZQ2Dr8T36mzvkF8Qyhd5giVtTG66StLiUqrjW7CbxFbO6hMtgBUsl6BlFauoLiMbc
Y+uLFfaNv8jhXVwSOGyN9Anktg3U3HhvGOLGkmaCuCeF02HRx9t1dBTrfXCc/DiQNS4wPrnZRMVZ
1tMycPTkWup6IsAEEklSBTpPwojbVVpytOqCDJfm0RDqXYdcjnRfQIwI9W8qC7EHIUcTzWfgfuZh
HvuE4xbpkIbxKo3toF1oG2ZztM80WfelsX5txio8NBb9adjWWdfJD9BjboWKc4RBDjF3VK130v08
G/kJtkp5hGq3izpCCVoTNAZp56da59+U6ISiVOqXOJd2siaBwYvUA316LO4El1P3Yg6jON4krOUL
7V0yiZbq8+hoGuEGBAiGRZDkKUn3BoX9uFOoxBOwEdBZOlk0tGmFNsot6ReN69COosXBZQ+qYebI
Fy771WsRnxqhVyc8NjlUkijABz0fUAEj+++cgzyOe6Us2tP2YDUO+dD1aAJMi2aaWK3UXw0cgz+f
xuQOoNjS652ZGd/G0mbDti5MlKrckedpHIQh045e2tOvh8ix/ry4bVANrkNiro/IYo9znT8jH7s0
ZfgFsOolUzUshianOQqhjpPe9oxlbnzI9zjHhwMC+kuikwUsuhcFFa87F2i+ucupcn0yoTZxl1bu
QgnnKraULEjBsYtOU3z9ujPxeeWp3IBGvQ9HzF4RllVXMYJ4LDQ/qZAbKCuBJKmx509x4w5RP/qE
jHhZInHNLS0uALD/le5q3scIwnxHh7ZXHQq3MUYPMNOTRYypm4YThccwC3ojvWiD8pqoSxpIjY0B
BntdqT2G3AH8yo5A+YT9OaNlPRE2HfRaeRhkctkpWLmK/rlOzR+N3twAsngw8vCHk3uTCUXQyq2d
ySVnl9UcxcMk/LSmQ6W2fKcs7emE93dl2n4us1Hxo1IqvIlWg58O9eyGiRl0krPD4TwERQ6+J5P5
qyRiwGClPdNfJXZRBJZkH2eJ7LcKnXQTa8Gc9rc1JkZEGOTwDYQ+zROFtzJvejft1Ac5fJhkvDCF
YnmAJV50E2dB3xjqKW2Ie8SJaY239MEaV8QNpRHVOCEtXP9hjoRZSaNPE1eIudMKIdSoJS6h8kOM
HBhWpMS4ajck5Y1p1meNO6iUfE2d7mrq0pL6BZ2YRukXrwmbN7GQUqOkbkwZvRnku5QjwCzP6O9n
r5P46xp+X5wMqQ+ME5ikvaCdqkmw0vrXPusGpHeo4BP7tmkEVBwumAGTieuwK65CZ/KmvHx1hmtF
SVGWpuVRt5U7SzYjNCXtlSApx5BAVIqVt5vZL4k2PBRldsrz6YI2H+2GK2SBbWssD5kDyKevGHsK
3bUTYgYJzAiUPAVpN7+jhsbHXy6XZtTvlLm77aI5YXAg4MwDsl0jBOy0ehgojaEjQ6m1OFQeuxcy
TVHWO/4YMhBUuP34CKNaYf9AQ6YcVku0KXL6Lzm3UWkGGtaRS9uVvU85FnYc1HFHCo2js2BlG7uY
AKHlTe2mLiglimNyjo1UzX0EysfOid4W6BpeLaE7Bmkbe1oWXawp6eiNEzlIOzKIM8A0Bf0mV1j8
9ku6PBVyTxZVzJkYi29wp7oDJarUXabhNkxzyzWIwHTjAout2aU+LDC5pihcljX/iGj25aj5gb5B
SxnX9st7u9SkJ1gIZzmA6r0xNRdpBu69hAl/JRclBrgU4SACIXMZXvJ5pFgXfR7q5mTHjBOTBlol
qS73atzdKCoQA/7Qc5wPtteJwgc9aLqEVpXcTByfGs05SZezJlWqp8PtcNVB0nxc9JxRjwSE4Olj
dEFs5Q+tqQ86mDcb5Ek19+/DRIJqqpf3MSr2tM8b3JrhBfDbEOkaSXkht2Wil2uB8yKS6tQzM2As
ipdwefVwrWLWR1NoKwTBDbNTX1liT+7uVaVzuVLLmVYaUih10Y3zojUoLMPYVRsSFchnor9nmHiS
9M9VqOTBgkPZdRYiSONGuJDOBmYyEaMEEZ+XtioORkmAq25RDx+Gp3HWrL3MRVjpreYkD1nvVvBl
jVi9AtY2c7qOjts4euc5QV+LlyUicUAG9l0Tw1SNneGOwxj7HUKlaPIcEw8uMxyZIynoaWi7Cd2b
w5QWR0zl9QHX6FNeOG9KZj1W5bmuLCpMHTCVLBEnPGiuBJBy33ecvbLzPZ+d2yi13xUbB4puSLQK
HOeKPvIdKvwfBey+YErbq9oB3BVi83AJvfNrfjk7dG5E3nHGTV2LZBnwnSJ3zJbSOUi6krF9/RT2
VLCdZSS5feLS3uueBdiNsmSBawJmKwVFkq+iiOG7TszHYD0KEHSulpWWx9EzHBJ4huhxLaTwAQIF
t8Bw4ZpSlfmT6XyWwvoOX9b3uRrKk0wzfkEXqpXEZmTWEjCCWOFHI37r7akAAMyNat1h2+vjBdtr
tYGkiWBb2257OeZzng43IXd/YL6e41g0HKxLGFYc2zrwPcAVZqO6xADpkMGdm1iZ0N7oX9DGdG5M
jZThdPveK5ob5kbuZiSoK62hcKGyoC0AOi67lIKBpflTPzKLl00A+IuzMw0keZZ40WiruVKrvJWO
dG6gwXt4UAithtJU4HMeGECp9lq4c3wsygy9Ja7+tSJ5pNzB6wLjzfW78DIjgfm0BgeoP6Rkr5XK
E1WkNdYU8FjppRXmxLa3aL9jvBkHp0Z/SSMKChsMDO7Tsxgwypq7iZKwVVrmoR4134yh6jmU3jFD
Mlxps6CrUc/2Na09WeRuKcQDvEDYPsQLDYvyODBx03tYA0Xqzo50g0Cac6bhzmtLN6K2nsc2dzGz
UqpvVMvVqgnzn3bu1IiLw9K/yXPdu+Dkd9VSXM0MDiDT6ztFVbGsA39KR9w5gD86QiYG3aP0fuFr
V6dKnapTjybOjUenCgr+Q2JIa39OARCOCagXN8rh6snTyKGvklU5LEMahJr8IGO92CWaCj1jmiK3
xkTH4THtIruSdhRffLwmEQEkEPeLpNFcWVYj9OEDoydTHAbsQnudhEYEwYQ3h/Q+rfyBo1eZ06BT
O+EqY8oZ0nM65WV3HMu0DmoruoLJhYe+fe5FSaJdXjxyjMZ76j+XWjAi1CXGgQxl9KNSEEEd6jtS
ry8CDoYrZ+JdHcmuUxpJnCakgx8PXVneD0UEciQfH/NW3dfNUPgAPt4GID6ONki73nwEvK/5jkog
ibyAM69Uea9rCS6bsBg8Rq9Ee7ZYrBmE1Ta9sbkwdzL0Ar/ulVeYEoFVJWJnKuOLo7Wfw1Sl4aen
GfeWXJzwG4iTKgawXHHhuGNV9SQyMEquuthbZAOJPqekn/Sa4ubYBSB3I2Cox/ROnZZxb1UGcz/e
p2713TRCcGyW6sdIgJLPIA7YJkZQ/F7oJrkAhQpCT0Omw8jUwMujXj0VTKhPg/xMmxVZU55+qzgM
KFIubhYxdCvlL4NphEGu9q+UKekc0unaIdNAOH/raLQTze6Q5neNoNQJixUtraFca8pk4YddgJCZ
ftKSE6C2y1tbZtl+EhgjM36TGWH29ADFMRMTbIsYENGQq09QB3YqMZNHGIarVTt8NnMsAOZ6aSVK
YT4kkhV0SRE+5rd9M3PhtVRPCy3N7QZ08/0o+XI+f5UM4pZbafTwC7ceYZ57WNw/BACDSCDTJYIi
9aw0Z/w+WHfDwDXT2qnlWz/WPcJP63mx0y+KcyAdU74yNMPxajl5GmBtgq+/xBh0/NCUvnSOKoJO
7n5EwKddYRNwVtv1A2lyY9DL3PnRLVVjjZizuaCeGEHkmF/STkMP4LSW2yvOG4OXkwF6qDGV5zp3
UDZyb0h7WeUrp4pvTgsnlZgCbiATVxX5RiacYCZ8zrCqdG3uKa6MJbPkatMnuFR6/Tjht2XAKkke
RZ3JrcY15NqmXttEQVRYvkn8+glN8hMahcljphyBRXnuxuZoo88/V9MPPe2Lg5aEim9kFnkwgEII
MBKOr9XO4GL/ynxDTNSSJsZUhqO4iZ9GTY9mXkbvYHO1IUVPKGN23fBFOMygvow7K2xnWvBTdUQI
f4UpwCYNVhVeqQEpjU199gcpeRSY06ixIWEKrTHg7LBOTfqFhJ+d3Js6Q4SKa6FIv5G6aOyMzuT6
1AoEvRh83SWx071q9KANpOrIJATgOiiHSS8G0uJl+nxhGe70SD5ryX0rHyicIw/DcrfHEto0fRqI
6StE33Bf9OiRsFwihybOzWtVyhELN6IyJWXZLjpyCjgZKhkIIYjqZ3kipSEtKp9gsHTvgGdo1Gmn
Yp7b1SGHGnbbswHLAlms7lea7fcyGjYAQx62k5cBGk3Wf1NLBh9Qc1KkTBZjTdQunjNNp9AGSZUK
bU1/9+J+JoqtHeWjnEXqXjKwEhaTZxNCi1+4Y5qITyIBZ1mYZPrW61hKY4QUgKQOd2ttTschYZlz
4elGjG3bOqQFqeRyDO94HOaDg9Blrq14NzXRd8Zk3CdL49EJyY/qU0WFgsTsoiNZUctj/uk4PqpJ
P00LSSGa+RKTA8j9kVpTa4UMaoFaxEsROLVVumFWcezRIqQc3J5ag7TYPCQExOm1ds3skneWNaWe
UtXnpTEKFEXqdODsafax3hMCYxcYh5fz+G1icmXkyNlkboZFX5s4KL5qEfiwrt51cxQdTb3jJx06
BYrc/LVVmzToGyQktGb+L0dnstyokoXhJyICknkrQLMseR42xLVdZp5JEnj6/tTLjrrVZVmQec4/
fvermI+6dWDVkRscLKSxmNaJnq9DATq0m/T6u+7X87xO2qNH4Oemylkv+Md7TfzodyCwLjhBSAzR
A13Ts2CJ641PJwagpsNDR552ILvuV5B1PlGj02fNG+pTNksUZ/7s025QkRospf5uy/y/BQEX5b30
plfWK0peYt6Ea2BqJb0hL7x+63TuburLOvSZLHeurJ6rPi2PU5f9Nho+CwFM7CltM1sxKpEleRX9
dB7ddg7SIjvFk/Zj9K/EPLOjGmClwpvPK+KxUSxvKKQEKUwMP8rTjzIpHtqs/dF9UzHDoFfxcrKS
WiwPgrYza/bE1Z7UdrVeWn0abrnwwq6NX/K57SO3UvsuTaYAgAOMMwae5InlFdKXHGuiy8kxcJ2k
ZATl2TBQTSdD1ntkpMCCGzWqOXQR+wPWzMRIwwkM3W9tlATXWWHptGh+C+bqOknnwKakGbSYNF3e
1GtsGcAfzp6bkacIVR6DhbHHRU1/yTR9ttVkwgH1b7Ux5UfppzR+xgkVSAM9HFTdwf52P4bdU54V
1FMDIm4vhFKJISLdCb+1sLepM4HCAaLg9gn6wb06w3r2lg4OoP5FrCR3Zkq58AIiSJPfo0Wm2Kks
rzy0y5l2YwYzOv5QpTg7LbUfeGbbTS5ooiIvecNrN6ActZ80ES24gE46GQGBYK3UeNsiUosAY7kH
IpKIkGGas78BniVVsNyUHpe74T9QSUpsp9d8EsI8bBUiXuGAaa6xUezue4JhacWT1Sy7foEJK8sy
Ikr0Y64xQeleMkZ+J+qomet5X3CM8tJdyYgmqalFLO+o7xQ8jHecsJbEAVvoxm9nMYaoH4vAs1i5
DXhBditulDtY3djZP91vq0ddwxOdxfXVvRcN2P6+mDkCdHt4U0IQndqzwmb68ANszXVu6u8EXpAt
xR4AOMqWlGj3N4cZP0YcuxvpWp1k+yznT8ztckNRZHxw2oaLzzYPi86hU7tfpFKX4PxUok3EiNE8
85urJbkO2Fa5PfUNyVsQQo7Pp+zVWy60JvCragw9E1o2RmxdteQImm1SUKpc7VpmtAAV1dE3QE17
GriwK+edQwHhJEkDze6eRX1EDKYqrN/V2bmXGBMvXWwaZjFLo8s97nzM/OWRmNkp8z/LTN4Y2t0o
FdRXLiuDR7YActF20hnLdMZ7hXHJHYiZR3oGILjngvwsYliTXIp/ifzidKHQcEhQeCbdDwqqa95q
oHN4wFB9JFs/7bCzJzAcGj2g8UhdJuMQy/O0bJSx6htbx/1SaFGadIQ5WYO/XVsktoavB0uB6dvx
YgqRC/8wpk23L+h3Zuq8/f9XZ9fWmx/bP/RdAH3pT2OPCllzRma+ln1pTAUNK7ECnOfOJvjyE8XV
jKjXGTaGxwYzS2KDoUw3fp5wN3hrH7I4pIQNQPJg7SGpZcGgZo0Yjz0UK0Xy0ihZb/Ilc67N3O2m
GtNEWw5ACwJ9Vl2mmybNTiQ8vqiaSwRGHVLHIa2BgizMg3wD+L99QlLwA9BlwDJBbmK1TFxPi/GE
Q1QHldUCwsEPrhF7YdU3jJrwWW619FynDfOKZDgzdHjW/MGorWk7OOXVWjWimdb4FY+JCMDwn8em
wETc81NXhR4MaILJ66NCSCMNiq5duUn64bMlNipp7xGQsSAnRT+5fQq23DGhev50cxvrU05R2xV5
4JllvMFRfVY/ZplsiVHgIi6h6EjJvUwZd0wTp+HQ8Y8p3SNG2Nw3sTcd8EcTCzai5GeMRKd8zJzu
ipXgZIt1b04QgBlmwI2qQX+M+c1hvp8RTOuxd6XPQpGJf206MEP3/65p9nKAf6O1jJBWvlPWIXJG
tPeeEtpMUCtg6D6uht8asXbeT6feLcOuohnByrpN3VgGhGv6pev9u67t8gbMdM1BCo1G+42dPtsr
w/9XdARjsnkP+neWv2G7rbaUqf6YwvzjVjvVpGRXZv6nDcvBUkejki85RtGg9zQSkThxjTQOFifR
g9IW7IYZgdtWHa6AXhw0UUvoVT6j9L6f+R5XRKQqlWwhJvHoHAtYTJZOctIMCPoQk8lnN2KAMd4X
Q6KEnsxbJz0UvbGGvLxyj/rA71rTvYsej0+gYrRfgjtHM089izhGxZkhKx7TW4LqI1xGYz8RlbAZ
W8L2Zl+Wm5RZB6Srnm6zR/RvkrRvpd03pyaxb5nR/SWF53xn5O8Unh5kBgbrom4P7F1XLW/3lA4c
Kr0jqHBx31xaGmaE+DsqgaeDMscfpFnGu5Nb5UYVLX6s5tfu7fU0EXQWLfzAcEYAazM+XNDLfZKS
H1ho4pKNTACW0b7TnIsOGhUA7p9FPK5Fa1M/Xv2ze9hRCLEphI14ylXyS+ShJRkYrYa/mmOLQLB7
N48fFoD4UjZ75eWIVLtpDcKk4DXgCvylYvM/T5+cj/ojScqHyb+3jVrrP5GZw6Eu5Kn+ZM0GJVJs
1gyUzzr7ReT6dNwPXnuW+D537l1aX7OH+C0xbVr7Eqfgg35JxNw6gmwuzhpOYzSkQqehjLHXFQAh
NQksrkmcgjd6WxppKblXHPKARYJoxI3CIru3/eGrMckGrx2LLm6YVaXV1K/L4qfhTAu8nKt4yX6G
GcdjXlgvJsWWQdkBXiXx32DmYeEk3QMhI3HYqeIGG09Ela0OeUFm0JJRozWAKFn349Wq9duq4LFs
oN1LXxsPqPKzh6oWwXaRxfwUE+q+WU3u6rnQtzWBilRPjkfNwUtXVdhgHMLV/bjcUumXbU3A5Kbm
WhxZb7Bmaz3aBweP3uxwM1tvXB/o69XrqheQeFq8zdDUbERJjP3ofVHR+6rfl6oCiIA/H9eDaWqn
BvKBs9tSwWLM3+0wsmD7KB0twmlJu78gwW62beHJXWJPgTTpOe9J9QhLXgBf8x6AyHX3p81rEHsy
oHKHvkRCtvwd9iNru7A9ams24Rd+A3f0kSzZ9IKLu2wYmkOOL4sTg7/kdXxdIFhgn5x9hZ/N6o99
ioHaATKIqU1VsXOBOHICsJ1ohP49LaOzn7KUjIK+ok3GcsG7x1PtUiXnfZVLZjMXUrg5AWrQBd4/
jH0XrEsJ0e96WPt746SYeK1Z94KlsdYzNjNuu7LdZX3yREvPZp7B7TMt/bV6IqYHtNl5g3OniJlJ
EA8+k+NhnDPH+4njCQJMcS/VJL2TgMiLloVmoncb/FIbIHIYubQxuWPSfJf0yHWIP3BPRFf/xV0w
j+pqj+hS4pj/D250Hf+thlI1JBToyanWZ3fxT60BjdxKcCh1GRrzrgDhRaV/JdBGtvOWhMVNscqP
XL2x1eG7r78FCS0FWR0q7uUWTdWDid8kB3vbxjFIv22hcu+Kt7KTZlgUyjxo1P60c/sp6toPVmG2
8ArZxepADslxvimNPuUWd93GJynbI62VDN19xosaorxG22RQVa5sGBtvPjKDNYFN29MGK2igNTH/
C19F6DnbnDi7jX7nz21ZwvOZPn6jDDRkIH3VztxjrlpsS2jCt6gUllAuaxskMntWlSC3uRSUZVJd
RMK6/EDt+QUTsSkZAi4tvsrVJPZRo7oKUdcSxfytYW3+TVTVwoMbIkBspbGZs6v08kSki+DDuDL0
K50JKxvubcw3alWgT3WSvATxwsMUb5lD3q2q498hoA0Z08jsfowNCuoGq9t1uu4HpI3Q3A4EPayi
Q9+zEAjFtjwO8ixank4Df0E4l25o10qd63wiZgq+IyDa7mATZ4mgCuOxXLejj65K5awAohseVe7T
z2XUYGQQRVvdsp+4F9/L/+ec8iIwVdXvg9n+Q/Xj73i232MTzxQqOpD5eDgK/KqbmDhGEijjMqBO
FYVP++54lDCPXjmGree/UHzAse+Go56Xx7ZqupDILHFo9CRcEm9+jC3JTse/0dAdVBeNucH0bged
0EuUZPVLDXe30fohueWVvEgr3lbC8Td2aWd7bPQ7/J4jyFfmBi6JzZtaI6+FpsI7aN1ziIJW5ejf
jcByWB7sAR4FFS1QN77LzYiTLKF4ZKe5xkGMJXrIoKNd/X5LYoqsblC4JMC1La1h7OIuy1EhEYa0
9UKGJyUNZWwFPXXzRM/Eh9rjekib4ktUkhmTc7vz2r/WlXp0IehkoF88N4N6JWNpSSPfAVYRheJW
z2YXh960G9OSDQuY2LQwu63KvPe7kpqdGZ8a4xY9XR05GLA+5DX5WR55eQ247SlBcV+cI+THFmio
d7tzf1XTHqjRfc5LD1BCH98wBveBtZYvlYiRfJIVhE0PNpVG8SLHI1uCsQRItPISyHUq6X8Ua/mE
21pZ+UOc8BDi3L6tbr6Bhac9lo+BlXc3pNIOBOrWbYNzzoSfHfLu3LpEQlVGzz1aPPcC10zedGTG
xwIXxkFqPaBcj0c+8/pbUcH76cawTSsUNk2zmoEasu/e9D/xtd7TTkTgzIS72u9a7pnYkujUgeTw
u+LLdjAtOi26auW1DyYRRyVx13PejYEdp++9W+20VisCeyAInwxvTU07YZEDxNb/5CBC22CnebDQ
rQalZoVOy1ZXbm30behElgnzMHMqSscwXTQa6S2wCT+yBGey53PAg1ruO+WyNDWUKUz2D223aUhR
WbF3EvofmAWCcbHAlsdlv5QVkzcRyJsmww41OF0eToSEuSMVzU2myU0mAz0brk52Tq0RvUwXqRQX
hlVC/Fhul+4cvfrxpZL7TKU/tSb+sAEBqXmslvD2lV355BEDZRvMClBJ2n8YCkF2ij25GWU0Ue8d
0dNqogAWkeY7KnIg7INCK7Hc9j+ipEhBOvEXmqlIn5YgYUAOzaXOtmIA2sFudfHEW4LZ18tzsZlh
ptj7mOgJkEP5TijR7ALVei3fztwhqhA5edIoNldWqAYnE/irkbDjZFk+Bp47CBK6rB0sx2V0x+ng
6XS0NPdfdIoB2TJAKZaULqVxhoiAlsk2ej9+9Un+O/nWY52NYaYXV2oquhN6DMUUdy7a9GxIJ91S
8Neig+Gt6NabpyXFkVD6+NGBWisnZV3no8E+QWU5pVMtUCsei4DYDeJNXSLHOj4wv3wKC8ZGfhKT
gWoqiR8caoKOXJjvkFvqLFz8oS0wpQmYEVQTPKqc2R8yUwvMxn2h0yk7le58TTDfb/tYkROjMO4b
/qtvHEcs46FT+0NoVf3Ft80JvE5hVfP46Pfn22JhDArLPPpF+WdhPsqdlQB7x/lxM+OrHGJwuFj7
8Ur1O+FQZsNZgBFZBfX1lgwpCtn4TxikunmqVgdiXUPdWW8YM1kC55Z9NDa39JvmUUOd9MbD1RS6
+jgF6X+tsZwsZ24Z8Rf+umbKIPHrXePdrzCDAVDlzptO+g68Kzm6IGsvGub5itiflT/aoTHcuGAi
azrfOtoE4CexkuttvrtbnMv7eozrKbQ0iRkm5zyP519p2uk9MYR86tl97k1C5FJlbB1pXRxjepK8
72N7mf1phKOQz72ToH3IXoxY2ERb857ZDIm2MQg4lR6pDQQjtQ009iw8QK2S5Eco7dh2NWUsRgcn
laH2RJa4s2K+dMQo/Apqj8rpfL75tTuy42UiqJml9v2kfdVcZqk5M+9ko3HsHMgEvbkaK6lWSrNQ
p+nooqUMhrEH/elX5kjry9b5XVeTh3ksJ1VxGAKpCBrXORqy0QLfa/MHbX4rZool0JBFTs9WHQ/O
n+OWxH3iQt5Yo45NDrGfxgcnaYKD/lEs2SMnz5NFvYCLfsAaOTta08Wy7nwgUSpZ3nNjW07j6xyr
iGbHSzL31QHe8Nh0XnlInOp1TeWLjWCJamh7Y6kUXC1HD0BVGc2QD1WB0CXpSLFdaBH8zsh2sQxH
vGmLjiGrZ6bSc29nNZV70OtScWx5tzkR/dko/AZAl5s2MQihz9YkLDF/Rp4Btl0WKOjzVlUEQQNX
DKUIbNEnb4Odk3iSm1sUXF+UEwuchpnxmg4adbyAG8oyBtI4+5KBG2Zbr+N/DQz7NksJUKmRcFgu
gjBESVaYDtkS9eYaUd/RWPbV9+wfc0L0KAvS9RnXyQfZccFr78gwomxNqzPhOTLMuswO0J+99dge
dtipXnSXB6d0J/7RVf/JMo/pT9ln22ia0JDWyzwbI/QK0BH9meuBbxel5QDqLarRPsZMAr0y5cZY
9OoRZ1kdtmSJSaX8/ewnW9wVzFs4NjcrFUYiTh7ogY//0735x1ZFyjS6PozDBBarPj1EWFHDO3TJ
Krb61n90SxD+eSkeGh9AagLKJ1AweaQ+wDvDOeFw4vuU/crLvFrFdhTrqYRof0AATTWN+W00exju
PDLtR39k9B+MhJvTWkhxgADgp7zkWcVYzJS+Y42vETbOhxjTWFtl+mkgX4L8UuZn0IPMnC9VOtSE
lPt/9hOks4U9AvVe7S7vhU4La61g3JpSRGPlvd/15GZPaZOXS46RKUCqBgxpam9eOuE7UP1WKkiv
Au0jPSfPPW59WAnXY+af99ncn1NE33JsvrRSwYCtt2lAPpERsBBg5oUkp2cpNuAtUtpQNFm9tCX6
NJeeF6AUVBvW6PExjPbN71Nn045/yyet1G8grk+I7Rt+rQ4bKfhoLJq/iXitTY9qLW7bK/ErJ0Mm
B1xnhDs3+YmoORBnwmBhNmh+i9uveCHraE3GTTHmf4Ujj+zgVJ1r1RAkaM9R189OYIHOxaXGjQOu
P6zziwuFXS78lKIRsC8jzxWO0yNGnwxiUJKQtaggp00ySGt7P2IK2q0CNXiszz+SYDdVSNRmRKY1
kx3ms+jDKjHAXxdLMjcj9aiXLlpS/Q38yt0mJhJ0fi9pMVZ7DRsdCq+Y1pgMJQf1MxjSVPXkKQXR
MrZfWe9Nm/F+LNS1kzERFNm2cuyDR4YDcRveZ06U/abu220iCxVG22WsO6aZ+7KZPzso2TZD75Gb
w5irOTOtF+hnosGt74F2A8lg/QQ941PD7tNo3Vh74nUQUCevZKxflJuRQ9I3fAfOeI7F14iEZ2Ov
oOwG6BFxhSXflfFB0c4tkztarph/HPeNK84IMYVsaa4kAr/kHhka/8Gt3Hk/awZHRcotovlJEKfu
49zGDNHma5FDJ3SwhqSRpe/IvdjJiRyASg79vKXlq0EJmwX2XEBJ0afyo2HPjhyvngNE4EaYu4+l
+oeeHkH/WJTwSPbEuUIqG+EYyKjqZ6ca0fqvzQHRheC15XZwivklGzIWQT2NXFMH3INNlXn+VMUZ
ZA0TkTaWK0bugW3MzwPRu/fQOfC5saNtavUJiXWXhM+EYJaMTtuOk7DCRhlmcbwfTQofuKmgOPMv
YqkhzvKOQYP+975NTrl9nEpC6YD4P7oJvci6/EwG4bhxW0FO+Oshpl8FIS4pmbS1sS2UYYVEzV7Y
1+sEKX3rbU3bu0ne1Y3nEknTtNlO6t6PEsmn7r7albIe5pozs0UGhUeFu3d2mptZxVqUtN7OL8DW
ZVv9Kwwe1/Qup7Uyi/fFQK88zgpQl8nMauU2Ffic4PtJ2tYIiKhMlNdmOoCfFTnXbMZJ6NtfKdNI
pFNwwpPGm752EsVntx0ygyUyXV9kg1bRhnHFgqdvPN04m54X0hzg75pXxFQjbgu2sRYKD/H1yUpJ
+9HLIFllt6MOohBEPSELBea5IitIotqdXrqsfcky56VL/tNSKnsVO64adaY8gQNK2+bphBStONes
UnzW4l0MCw/OPzt1X+NUW3dO5Q3on9g6LwBaD7PpXpZ0+REGmXemthwBYabNjNgNuanxSOrCB9FV
N3pxdkK3IlGRUSHtj4ao0WF2rx4aMzj/6YtCBAO5B3N5n/NhiUH56EoEhe3wjb/9Iu/dCtr62qEm
z9HVUCbvCKqiei8sU/HUuTFfpbsTOd2kpQldnS1EJyPgHLuD1aW/Hkm20IjyVziOvn0noeOALi5I
6UmDLeFGVo1x0hJnivpGtwJz6dRl1Ouj5tN4SBbyM31fR9evnNC05/mQGzhQhK2ZkZf+c0z0WKZe
/a1w8seRINGwLYAyiUIcDwA0Ha/PKq95cvZRb71Qm7mJ+To2Ml5JkMtycy9b4iJ1SpVWjAIGLRpW
20M8SPJ5cM88JHU6huyjmJnKg2dQJu15bh2psj3norOC0uFLbrVxlxFlCCgyIFT2x8BN4vdcxFHi
pVeU2ufEnW4Wm3mQpykgi75fV59iR+uJy7RjLqnuKvQZdVkNNlefEjqxgjkr6ZzoH+H8d7KwvXAx
zJuLFyBtrYOvxAxglr0v6fBOewxSBDw69CFpzoQt5S7wXbE29LN7FvpaIn5LzmOFsUNLcpKQque0
L35LuUYK0zKpJMaLnqIclxnQKx1d/SheIWXfl0mj6QfzTCAJL4ratbnX8lIuw7MV06CnMVLW6WQG
DSs9SsxFPxXHOU7Uvir1KVoI5TeA0WxeiQ7ZKJqQBrNYxxgufjhNMHmtDV4hBh0zf+FM93dxfW/7
Sb/dsvpEewxOMAAw1UBtSgDHWIuVEmGCDX8oksAwUzo5/fh1StY00pY7uUeIVm5Wwx4dmJnUJ7CP
KwWdpCKvfwCIGWWGLCStbPyonyBqEvVd2C5hgYOCEiipKJmKyOiyA8jeX6e+9dRCQ9str/nYHA1n
/nePDrg3wXOO+sOxivnlkzhohXNtYmBr2Sdi2N0V3k8Y1l1mXr7hHXcauQUN3Od6RrqhOb7z+3iw
2mlf1va7mXPmdY7xMrv5dXH1/XQXCVoGsVRxeoypVUL2PESZ5rPkdB9khkfo+KmMNGeX7cXfOZ7x
KjiGMHwEGdN6m6SfowPgWk9v3PQHIwY8EZP/Q2gQdBSsMfE7z8YIP5RyjUj42iojY6zzWUlN/A+V
Wz5YGgqZlZc9pJ+6oyerpL+A+EpKQ5Pu5LYo7Uj5NLb3zAyflKljO9c7Q6uwyHGT+3795HvWYfHT
MdKKkhEXCBhluiVJ5DCXrVNbv7NXHAeveWoQIVR2dmTWSSNrXT8MTypU3KepyN+rVlc3dGkb8hXX
ExvzdtRZDamiBNaPd3nsPfVVTvB6C6KOZIM+j7OpK/ha7Y1EwHyDI4ULj/0y0dmSZsEfpaOOCkZ+
LZbyt0kMpsZJ1aHGni86pqi1UjgjdJeVxy3wuBBPG/sTolEgS3SqaPYVsQJSu3FMIDCIKRDpQXoT
KmqD5k72FYW5zZL2WbXdNh1QHvvjutOGgd2zmL9XADxEvZxDFekv9Md8J3TUJDVsbapT9kraNBxj
3xL6Th3940DFAa6rRyTd1T4zpuaI8ofOQvQK6lGlHvBpar1pK++lwpN5HyQhmkgDpvM35vLzzQtp
4AGo9PxAYQAHD0lCu9R09/Wo3xPqlgaqzz0aYjxWpXaXGtWsXqBe5EB/8Rt4slBFLvryN8vXzOrC
n27Wr924zIFRif3qJmdMkWOw5L6707ISjGVl5EIpQfbtrJ3rzidnkYLMsMjHNpzkuIZNGdPGY5rm
qc3lXlp9Sq4r+lc62x8q0TsPEh0SpEniBgxe7w7jJyVorfZQaql74ZvLydK6isbl+rjng2BY/ipO
cU9eSGvvWRDHhw7j4F1Q5u11g3wx3BuCmdQ6ObDSl3G+h1w2brC45NcgLN4QePkB54rHVO1FD6Ux
9Ne87raJyr/njq9wJnOCZzD+hDfm6hPjHjXfhfzMINHzM4UUFChlUfMzZN4STPBkRTLqeIvzV3Pg
aXaFfDNzhZ6uPxblp4ZgiwFYfrXOyMxyl1/4KSH55nL0x99ZlgAb1fQ7V+4LTpZ5Y8Vo50fb23nl
RKXUqXSIiwdlV0cPHKnXS6TuMU5z1sIo98SLBJTyuo4SkG7Bh8eLQXz4a14lDbh5e1ws8z9YzE9S
mtUGv07h09XgZMjZxWmKXRDgoYqaUr/RkdYe5zz76y2Pyl2XwpKJZ2m1psD5h0NFnEyoGZVYTTjj
XnT0iSPoHodbLN24cVLngBf2YFaoQfCnUnd1X3uowdvojvOXDP4l0Rly6/XJm4db1xm3KeZlIViZ
4VOtPTYKj/i5bH5Wsf4BMH5gahnuShasQmBneAC0BlNmPSZR488nOqOxKjbfrtH+86aWq405trpD
yC60o9FQrmlIBPnE4BB37FX3Ww7Ffq9jB++umrL/OWW9Y+jtg86UN0jQjLvNi3zDq8jtTy95VXLu
9cN7ZXXDKR36YMSzxHeVX9fS6g+poxcBE+teIK7KhP9CRaq2pTVhRc2L7GPwn4reJS19Y7U0D6uJ
IXCsOns7zyChamQumQhtKmjOO4wolKqlqs+yLh5cRKKLDbMgZuPTNgf3kNvmBUrw0pX22SIu5mi6
hPmJ6klwZQ1m/F9TDihCTH9Bftw/zPTC7s0mXja5ZMqNp/xbmIqM4V/PIrE7tTKu/ooQ3DkxEOMw
ojWS3ABFT5TdUvkRFwgEgQxCzW7mV97dcPYPaH2yx2EQNMO4ybj3/e+0zuWuSVba7jkxC0IcN17j
ORdj9i5anv0ntbh6Gov6QjGAvmn4vPHsTAeGKcxFjnyXZvVR1rURJHG8bdP+YpnlHzoaApFzwLgC
HTSsapBjZ916M7dvRb6kqdnuZVxbjeZEfUFone3wk5vHJU3eaQ67kpIRVhQdb9y+GQCRBhqXfDMg
GquIlP0h2eu83E1xJ5nmJUWgmJYWKd26G3T1dN836vU0I0yOl+Q96QY+bGftkPOFBdz1wZoq9k1/
bVm42TUSGyuuRJ3nG39ComkiMGGHJLSP0JMd9TLPztOIML6cSKBxa1rZVbdVnhjOrmGeZG7XgSH0
N2UNDziDmpMjkoPek8U5DGQ3ZEhG211cAnOlhgRw3lQNB908oX6TU/OCnkoPaXyxmALu+ei6NAPE
Mj5d5jexcsU0FWaIOTP3JMbJUACVRgsoD2NBm271ZEtSkLUrb6tlGTut+HJtzUN30Q27ubZftVLe
pc8dwRu+9UHPCd7A2nqfQxMtB6xajpcOJ5wQAjchj8hU0DQgSGwyi086jvOQuNOO8RgKxUGfe7CE
FQosBfu4/0fUtGRndbaaKx+1sX81ffsZd95wkJkHkFyDrel0NRZWdl5bdEe6QQJhZ2ETd2v1SmjP
Q1+i2kigyEPFTBCVuDRwI/v8HKkkc3DFnz+lu0mkFeIU5x+8ys7zVbtfMlZjf0sx+4Q/4lT5Tn6s
LHV2xu90lfvqrkIsM2+LpIgvZ1gPqsEfi6jry+xLI0zvyT89cnPyCGcGPyqWa0LH0JFZGyfx3qzU
l1Ex2v+5bWYeq3mBSFD1rl4rRmlpgCaN81W3kOD48X+4t05C+pRjFGYR9RIbabdSajCWL07Mj+ni
xgVGQeN2rwP2S3kBA6A3NJ5DHy3Hrl+Hd9RGf2jxaqSVPnBQgZhUw7eU9euvOeLqYtZH7pNiSMIs
AxGOT2BnG4BpGkevAkPdYekT4bqOz1qyRHqL111fTMSfA2kavQZKBiwdNgbBET6hlwE74rOxEGPf
1//hHh0ir7QpbR2eaHrI7gLTPDI4DpIVfaoGaFzHg4xIBMOrCVt1z0OoUTWBEZHLaWyUK6O609Wn
VP8N8UMvF/s6LNxhZT6AIidzFtbGyG1sG8XWqifc4Kh+fZMk0SLHhLq8Gmv26mjaGvod/51LS+im
mp/MpLzOOgSmXcT1A3KrgEz0y6oh/NLt5MPgKI/WBbmETkWxj5dhSDj16+mRiuu9yEb1MhrYhF1t
DFItudI/oDO24dQajcGKLCPejFQ9tYbfbZGuESKCYB2vJkErxdTTQPqS8sMsYpBblfRjmKT8Wq1J
531dOkRAHPdTS0whdUYZlyjm7MrUTY462B9R466Y+a/ydYWbEuvN7/P3QqgbzFu+rSoj8maH15LE
g0gSFR6xFgOA4QG8T4Vns6udx7QU8RYfU7tFQ+rgAfPKbeJz0rvkc4MdL5+Nk9RHz0v8YKoVKi5e
5snMKs6FR1ZdBfHH6ZSuzxodRa9TqldPRuVxLw2RtJDyjSRlSX+RRz5HT8ex4waJV2XH0SiH7bgi
PDBWxjrpqTdXgHneE4TJY/MOI1ke72tSHogdDRj98huKSGvrrXzBy/CTIB9/zVxveFyc4UHYtXPJ
+/qhpiB8ypq/XBnfFOcZB8/KnpE2DjeD+TTLHyrjxScrgDoN7egNBKbbhnF2SB6+EnQizuPgchl0
PqBKY2wnN6VZMnP8XetlVjBjmcDtiM189nhAnA7iwcApxiB3raX6JVcXva42ZY+rcAgwFdS+S0ft
UxIerutM2a89yRu3GJoXpqo8a84l4Y2nRmTrtR3/x9Z5LTeObFn0ixCRMAnzSk+RlPcvCJkqeJcJ
//WzwL43emJiXhSkpK6qJsHEMXuvnUfrsVhW98H8VELHx4AgImyErHCaXV/7BmrqwbqHc1GQg5i7
xN+UTHFMO/vF0Co2c8X7Y1sjRjkplmXVbWXqaNvKCOVCfd9DAdu1dnX2WodheVGfSiMpXiJXTzdA
AFAHEHKwJ0eA91YY8MFFlb/0VSy3vYZClk69TxhZyuRGq7ORZM7tTO92e31EipleuwnSeXc2jX3u
ISnySxVfJDjCVWM4/s5r4/jSN3rdA4Nea+3ry4SvHYqrae4LhCH3Abo/Nvhz+K74S4LmHOfZ9F7w
Tu1xTfvb61M106xhYjPvCPbJnpZfczEHrMiNsh5zP3HZVjaQ3wfryfBks1BlgztiaYO766N2Mh4j
dO8312/5pGevo9HucO7Se1VgnD7/eVTU/u3oe8GCmzAOfdo//8u5FWPgiY1jQvvszPQfzm2agaZw
00RsDRJjj2y8EVX3Zv1AEsxb5KPQnGkwdrN0hwsTrvHCAichT6dhyxWhvJL0SNQf95nZvesFSC6V
sfhqCnUOZ9d+7ucJZqKoP7y0TPet4p4VQoM5ZdoWe6sktiGI7JfIKPpHh2e+iPpDYTslbKb8iUQx
5yUsPLws+sfMi+LRNoJ81STKuKFnEzeVU5nrKkNA0SE9jTd1VM2H1ACyGLvI3SRRkRTrXrmTqCWg
wUOf8zMRaOpoIVlnBJIihXtdJLlhmG7IkBUJ1K2ZNaAHAz4hQvZ3XPdcjIM0t+YCvmuAhT72U35x
hKy4Z1fimJdOdG9UE8vFrp7gKCcujlSJ6ZPKYc+yUvWoIqaRgUDRP0+GUyFxMOjflqdhWgOWj31n
17JAeS7cWG2R8ryA4CLKd/mNtFeQXKRxuT67/lbSUwVZlnqcBKsQz1cuxMxInyLdXBrIMNl2Jkl0
F+bcVzmDY9Q2OVuj0OezagG2XbU22OQh/MKQZP7MYkJehM7w0RXK3Td6bI+p5dl3yJUkoeKmPDC5
ybdR7v14bDO/lgfBfx/4lm28NI56NAp/pzzSfLpqghsZ5IJyjaduEEhEsPrWNPxx3/pEVQZhMW7r
sbOfWSXSRpVF+JM4JDRY9bSRVVafXVS6ZOCFwQmLDmxIr372A2Ufp7gptvXUuRvD5Zx2VZ1/SJgz
SfPh9I4AJlTyYi9CiyUYIVvyD66PcuLbloKQOObSHi6d0XxPtXT3OppajD+Dk13mkDIjQ1SiWPo3
4sCm/WjOoUTvYUr8jKF903WB0R7Bz+kzSYfDJitb9yyLtro1TRLx2qEpfmx90q0XgML3qmxrtaXc
ZHOk7xpfeBuARpTay9NeGPPNslBqbWPYx15S75y6nt6nJvoJehBSXsJo1vHbzzbJip/MFx/donka
46Cs7mjYk5u4N4AK1KikcvWqwFA86h4pNZF81Hyq7e+coQXqWAFiIFllwdLLNEDN5HJlVYpZKqp6
4xB6cf9EFVic5BgWJB3F46NjP7GQFuR9DcVGJCL+JixmPYRO+jFbwbwronYi9wi3sm/KGnhSZx+c
vOeVG0lC3SOSSKfFeOrB7G3qD1YexIg0sdhRP4rbwekEiT8kmF4f4aW2937GWSMFb3/iVPqjqa0j
whn3t3XqR8rhyKyzp47giXOLznY9MOr5lEP70kmQFGXiGLfxEuUklgAnhCuQTJdHhhH/53vXn/qt
OR59HTibsok//SRyf42yPei6kx+U2ixi7G7fQYPlWM5bANPKsg4g/NJ3QQLVNTjSL9n8oiE+uc0U
PcUNmQmDwT8zcl4n8kFuKt9cwoz8976XyffyAENMf2cxOy0XQ1Zn9hl4DLWNFRPlYWx2AkbPvQXB
fI369Zw5/LEyreQdww7wSpSTa4ef7qXo1QPNSAjnGF29YkK1Q9PBdG0s9EPqAIO7/mASvXNuJV3q
clh5SxhsYljn6zPkPv3FNuLb5dvE5xwriZE0NxpohKlFZZAQxTA7bn07OUb6OMGdOmetNt19Wna7
69HYsFu7/d+HJFnMcX5xe0rf2rLqO6dBhlSOerxYeNgptZgFFEPe7iMTd8TJUCUTH0qw2B1/RzfG
dxFm1lNfB1jkwNlj8ur+IrBA2lp2GRg8y34D1nZjhEARdUayXjAhE/eq+E4PBLI3QfwUjabaee4A
58syWiRRvqLGjYDZDQPKdlsX0eH6PTbn86YRvvUS6+w/v1KxKDr3BZwUCPfqIYtCddb+wKQdm7ZF
LhlZJ0SVuVR/4Uc1le3jAnRcO3mTUYxL/WiHFA66nxoEyS2LM+EUm67qkRVmzUedOEhZki7gYl4m
2V9+YfFxcAT9e4OAdG51sDfRyD2GCbFgGUv87yT4GWN3uffnN44G4bhxGrPdo6S58b38Jx1791di
MFHp4v6ojY4eoHORAOvwIGTIMd3o/OHfRxVG3//7vX9/+u+jhflByWatuzwUnx1CBl+HyS83HgYb
pDE+unDqD7EoKWs8FgZuXoDT69PH6/3dUT5+dyYHh3k5i4lwXEdeNjwmmXwBysYrFqnp3Xa7dDO3
3ngTNHQMVUprRtetHuy8kqdY9E+A8dTDbKb6gZ50ohVNOekFQNAkp6fq2DbdtdirtwhR7XXjBIxO
HQxvceBYNz4rSCexrO/Zsv55YP73wfKjXrUfZq3PtJbpY83q89KbEUtyBo3s+SMa6ELKde+H1VnN
Up5C00K4bfZ7XSx/TMheLh/KX/q9vQ57+yWvW5cc0G7fN27NDmKWGqtyqffh4EcXNGYRMCKMeni7
p9X1KUG0GZ4XG31yWYEv3FKOE46xVBTRwPnTWqTXXD+qQ5pPd0GN1swFtL9Tk+Pe2EM2vLXyQljr
9E5/gng1YZzqbzBxp5dhqc66tMhOZEVSC1noPTrsfjEBWq1DWENspoc5dx9HTt9zmOhym/hAuuKi
ZDpiIR7xUuOpS+JlxgL0jGZp63ide9LmpQIDxFrtAFnRfqlDJ1yeDEoNABZHeczMJL6QfBddZj8b
ToPg7kgn3bCVfNEjnXcxflTNS5UEy2AY7d3/+8hhn20iM7lFkpPva4HlwmPr8OGJ/jhK2TMzCMxj
My+Bj019juqpXbXLO9PI6H8/zZEQL1sgBIKCuDWKffcreUCGEX87kV9uW8BnNzkrriYZ500bTN6F
gbh3gsi4UQRyADRiT2fqFwyq0UaQ3b2urX3fl9bBTepPxlyIZgbzgD4MEb3WG+5w8X4IEG3PMSPV
vumHV6TDnIK9D8eBBtxRbC/wRvDBwXQ59tGLRHzo2MMvAb8XdN13bVbAuW45ECbieaCdlrR8hXmQ
Hj5tGX1OmYvbVe9Vo78Nwy/WaYJUqSyrPwwkic34wmLYHRwDt1jKBbxNZ3yclCSMYQhljQWQv3Su
mM0lG20lj5XAECeTvxXLfFEO3s2MWzuDGrJ3/ISxrrmhpCUXrkHjpaIjPJp2KxSGkbmm/g5QmxUZ
lmMzdSEmbfpFCjazPnDxxmIwwtjsMgNFG+qxtYY0St2C9Ahb3F5X4y1QlQ9j2fR7vp8ccuATJGzj
zRv64qOVy98NNJOwDgAXyjFB6EXouqjaqq2J1tCoguTkjSbE9wBiqrEEwat+V0f+s0Us3VFYjE0t
JgCgetSXLMxuby4ZczlMT7MYSOSJ+vch/0gbRJHxVKKNoafpE00qecJowg/1O2AVd0fSBTxQ04Gb
aQAXCdBh2GW5y3qTf1xiQcKK2d5ZCXN1YTuvhFZbqxAKBqV/Dmw/BXHC7rpqRLUx2l1DgP0qLxJa
FcP9rucB+2ndmVsa9/VAdAHBbPM3H4FD5X9LNNPrLtHVCTfZQ66Wv8u2Wd7KDB/OK0Wt2FkUxeb8
NYhxOFZ9cQs1poaiaMcHPbgPlaqMQ2Vi25lhsyK6Z6GRme5D3fefWUwEVDMxRzISxeWcAQqS/adD
v2BEHfFXGcY1G0xSLkS4YY+T79TAEqd1k9/SJzfbU5BqNB6npOE3Las7xF4w7sdFnc8AYuqZiIbd
sBEx4XaIgoZVW7LjwKcVmzdFHUkUmvwvpX7wU83tuz2TpoPbkDtjvK+nF63tYMtGFxBwq961Uz63
oWQEMyMvm9x6j+5za+LaPoimiNekCD1WhaP3XYivULQ+IoY/M5/GtaV1dnTLgra7nG49e3Hw2cN9
KjCTyNyDAaN3NKoDl6+dnrhqLsLtUTKV1VYl9IgyFC3gHUWkrXui4cbrZZvWzfRCTJ33aCc9F7er
1bGlDvGiwXuofWBBdZYektBP7pRL2GcR4XkuO5K5rQJ7SxE33aH3H4wR3BzulUtCiB+wPo9Ah/Bv
t1QrnlJ7JWxEgFGZfaqMkKBwGBDpFNElijvMD5zQJHCo3ZOXVX8KpsH3PtKNQGXp2ZO3SWDbuzJu
zG2JXPHe9T0Oag3nd+wYfpfdF5aJdO/l8qtENH/sWzBNBhgHiKDF2rP7p2DkCDTMYDp6rL1U5YLA
m1MSu2oaY5dmbapDGF/sGI05kjeQCcXDGBr7LOGiHLCn6M68MEMhqcW17AfUd9inuEYKVRJ8VCYP
nVN4F0wOOwYEbzpPJ45VcleQTDxkBZHSjI6QqaMrhQvoszNBrlJETXUsqYWw/QWCunxqn4TQyXqk
DfoEUveAZg5wDFKRblkn4zN78CtVfprgDtHD/wJCaR+vXwr0365ljHfXZ0NHursLkuB4ra+TXtg3
s+6+ww6mXZQJuL6KWpTKWt5aruTQEWSe8lGJX+w5/esC9/mNHbGtytT9lEXy0VbGCfqc/cLxDJjZ
WMxxy01TeMONIyuSSHUQn1nTVpcOEvZGsUN+4a6xTqK0+BF9t3ZT0hJM4Z+lLNK3XOmfDtPPM1Et
JUNj+xZGlr4rkjC/Y26fxuITbF3xk8f6I6VTef5PFyam16GURH4yd3EOuaGXTi3GP+aFZbaSltcd
0xzHaJhH/f7aQoh0mraMjpz1ddiTdyl8xB59ouFS9bl9+jJTZS5Oji9h9PYhRZqxEfag13Di5ek6
UcEVWKqVFvxJWJ4M1q7mCh1+iUK8bZFXhOKnivAXtfNYvA2tD2XLB7DvcMfeJbquz2jgtrUNzgNa
hTpPhNycr4+uX9ySf3+Mcwq0jXu0nW584TMKw8luoq1bGOYpJQRklQ0hk5ioZcEoJw5+byYSmQOt
WQVJae9qZLBrPXvOk2MySMZzhKE/nG8HdMk7srWvzblfeoyOZh20YLeWyRJsbJbjbyNshLvWVM59
XKJhyvFcrHzO08P1Kasy5566ctwSOAxH6FoRJuoGDY07bMzBena0aA9Kug12gxm+TV1duEHQBV0f
puFUXSzX/AodR+GNKugiaI9WcRSb53T5IsIo5QVaTDegFY5MGKbT9UsSjIhE/31+fRRaTLQxscE+
iJqLzJrw9vrFt8R/Hsm6vxhiMm+u39d+wD3y+q8ebevRc+wWIGDQMn/D5MWtfGQ1uXxBQVEAZF8q
WMYgUBui7H0c3eBpYXkeXdfLdkA/088FV8hsESeVkvq+KOSrGdXpSwrVCVrPqA5DESfPntn+WCMj
I9YGBBqjM6ICcMQB27j1cn06FqDU+Xg9TdzTsDoIRf1MEiEyu+aYjnG6pn3IDo3GohqbJEt48Vwd
2hZ37zVAFFrfsCavNbjpG3tvNdX4XrUFekxb9jeB7xv3TkrWhrlkqIOzTNfhhCBOOs53bZQgLSNV
P0oGc3ts4t4RbwywX3fJO7cP10dlNdmHaYrcE1oV+0AwC8sGT0GIWuZP2VTGl+sj/uMF4bhuBhuh
km1VWB1mtnTIZ5tTZrdQfpB2NugfPCRPyxTST8LsqGb7mTiYlbZkemLnWaNMKmL3Bs/HvrDyfKMp
R96U4fyyojD/KO+9rGqFxrE0bg1teK9GNjC8qVgfWEzJr6/rv0+vDbHMCu440cxb1nUH+BDmh2+f
XV3M7xPjr6MEHrr1jFlgUVOvGZPIR4Vee1W5qjlMgf8nt0Yb+V5u70mFs7cuEOu3iLI4EemmQ5K1
+3d4albFHsFYcCtdqqQmNZtTNIZ/fbfo7uNsNO9h4/y5NsoOfIiNdgeWabZjIlQlxBgFMHuToBzP
fuLROCaBsQ164HmIQ2zic5bRevGcFggka0OODO/s4tkDFbdxEjwfQ2Tc2QObvGvqUEOXy75ZfhRN
oGESOhAAKizxGe0DXiHevLQOAuDrNcEoy0BxOR/7ASYM7lNu94fJqtWBIURxwM+TPJlLXXhtm70h
2QVzFX74yeRs/IAPsZofwnFJk86K5n3Kkq+xMO0/XoPfOO64a3lOsHCP1MvoRzdqCFHNYSHd4tfp
nxNnNE8Z98GVtTw1DIM3gGBrSxsTW8X2o2LKe6bGZTdceeHnvBjbl7khschkW3VJevfvb4CUCj9H
fsM2yVz45wNvWnG/hgTyFoC5vMsZob0CF/H6rn+dB8e696fwgYYF24LXo3HIGXCVw3HKsaAkSz9a
+JI3SEIr/ed4mjmQPsBNmhsLDBDr90VD7qb6jlJP3zENl9RWS2urJ/ptlLyc7VOHPLOYZn+bFhOC
hRoK9zxUDMw8Y4z3HOnRpq3L8GyOPW86Fd9TaozRWgMD+ZxKeQ6lw2UfTag94W1xemQBJN7l6sey
bL14Ro8Gd+rW159xX0DmS7j2TRYtzICmsk6um5UoiopnJrgl+CFykYDjrsHKYLaEgU0M0ZA+tgEu
99ImIx4n5sZSIdwvQBqYSAFzaRVLhNBDvw8tQrZhJkvWiyhfR0xC29HrPi34WIchxvWgRfRXdpqp
H39EME3OAWCJVBEbiVImK7erKNt1cxMai98u73/G3n6apto75Ljo+/w28zLjQfYT3FNRYBgoHuMW
tVw2MChz5v6IUdw5mhM4GJfrYNU7T7HI+t1ccYa5THq3zeJqGLXG66ZBQzUN0taJxIrBgK4SMg6W
Wb3B1Awq2EruxoKuIc69N5bSGrc/Snb0/OXKex4DA0+1Ls6pGtItmMvccSxATqS+uSVOVz4XW8eo
or0QAg8N4MlVMYXHiHvcepg9elGsKEOcJCtVMOuKhmSP/L7B5WW+Wr6l8DKRwTRb4hJR7Oaz8LcM
1j+1s+BxeRVWYkkqZ/cJmz/211To88HyHtSMPxcl52HMoC7NWX8bABC+Hcz4QXHFHZ3OkeAFPS42
z3wXAyZ9VE7FxhaIi4OahnUwrHnjF+IiDItlv1vPO9q1GpkkiY7sRELTe4y4n/0iLsr9LdalKkJl
Ix8r13L3eKq6bVN2euMDw4lTFK5EiIDq8Wx4zxF+6iV6AcAaG6km3UIJB7veGCMti7rL+grxvV/a
RxvOPO4giA+TQ8+p8KltUJgx5KkRELWxeTLt8BlA2gWZfnssuteiQeikAH4l+ZlhYXU2RXkZKzlB
yWxuVGh327iIfl10Vcw7yGHCD/9tyOYUJgjjgA2DiR3/9DZNg/DELhzZgeYsqvLa/InsaEeqwd0w
T2JfQvLPuAY2qvWhtsfOochQl5j9Q0CfiH8K+5OzeGGlMPcVzIJdkN5HDVd3yq8jg78E7G0WbMDr
aMeMQA2BH9msw62x1GJMXzU6hgv5egcJIiaJsajUPhkVYfnpdJXHoEIcoEFthTOShUqhyKyz2lvW
7G2tEaB3frEDVAeGgUUmav1F5Mp3Q1LA980YHqAqPQ/NxPRaduWGirNeVQCeaCXDGyAWKw6ecl90
AJcgj2kmOTFHhfmnLJO3MWpaBGWAB2J5SBIwWQAl+rUX3xSTAeXNInMPkS/grSYiY44kxELkZ+1W
aMXb/Hbo3YY07aUI75oHhGyLvHySe5xwPR+lOd11gWcf4irdy6K2dn7OUn+YfeoRYPG7buGEjS+6
IRdCERbLfKmddrGz8ngdt+MMbKicBZx0hM45Lm4B+JLQVrCz6Hm87GWMTfRP1iBA7QtG9iImp2bh
akdyuCXYEQc4SR2eZRxNMX8usQtu7fq8uPQhJOWEGzEJFHS9cC9UV0/STIaDp3R68cwGYT+YScvp
GacQIreqiGLBWBJDVGhL8LLip3U2knezTIEXK2YhLXvd0D56nnePTSC85EilL4hm31E/VXuBImFw
udWAIsebMKRHrJR/chVe/HGCEuX4l6Hy3qHZfbZ+fCJcGwBCvvFr+dN5aFHQI53dGQIALpdxT1EY
gYILDOudKmra26h4+Jw8RXb4OAD2PNQK/J0VkVVQeY/gDT/bGLd3UFdvqvT3noS27WcoVtyaVA/5
N5sLMFyFt29QtTJEqh6GcnIRjIERq/WuxMtzKGNtn63Bh8v0yh7dJoKl/4N6IENb7yNsnvU2DpPn
ygm+QRIAzU22HaObVSsyf8sSgWGTA9sz4eMquKVZXv5mZ8mfCNVs7AT8nyec0BUqqMZ33I3Zm/AL
/feCwjNpzvlybcq2+OY2CtUJekJvddUuKwPEMVRnq+JUV+OzssNsJxr3naXELiZ1HACZj00u1RtJ
rcNeMXJW+RzdD0mzoYW9Y0h503TeJTR97KYl4JKk5I3wT5mzoxR5yZH275TsyCK5Esm6jN1+fapz
D+6Z6t2dE64ry/3j+/jGO9EwKRf2U9f8DCmk7UHTcyCXPJbKV49kieAVsNOUWspKb6PvAo/zodLu
I5z41SyqbE2pw02Jt9tymNVZaEHWmpRijZInZ40IKRxCFv8R6JxqzWfZ8wBMdbMDU4WUgR7g8XpA
7V7NubfuUfKtJvh3p1Qp9nRRvJuDrqNV7u8Rx7LZttjhdIE4WlhENxCcb9W4wHZ9NcIkrJET9EBa
WrhZzEoS/o4qyxAgnaOUCpIXut8YgfkL9MZm/oPE0fzpiNrCQaRgzsca0KiHCHWxQYoWnIggLIUN
bIzBY41UVDPoABauB29YR4V4s+MR7feCR1Nks2bmTbp4ZnK73HOp8/mrscuTjBLvy8R+KuoQ8X2A
e8FETsz8FrgV/JeWle1AvMOe5DDU5nVB62b/JkH8LNtGsdRsNyO9AeHomwQBJXbHEjSsoiialXNT
WNn3qIPwNuzCoxVkmqSJ5qUlROhuyrsHmYtjYjJHnQ2mAZ3JgRtrr16z0d3PDviwPlEwwLppW7re
k6MguoURAQTd1DLMBhJpWUF0z71/uceUQMxBP9Ku9EziNVJOWZKszlTabOTWHRzvwLId50bPbLax
mzfDrOdHc2qAiwI8XY2zw++m030aZ+k+zaz4NpZ+vmLHDdJGt39S/LmIEufqpcnf88FwzwwonOLY
pBBSxxk7s1IKo5gz3YjOB184KUE6r6/hTHLhym7CIN6S15ASzWzRg2PCMLjPrQtNyYTTJLfshBks
krEs00ezc04+deC2t6ZL22CdrgI08lj+j0jKmo2hJXYJN90tNz1m7giI8SWQuj7+DjbjqFCGRHZZ
/rqaJrzP2XuqwcOVvvkR9eLbjz+4NDGBuzCErGaJGPDnYl/iibECeW9H7ssM3BhpYxcflDARaBJN
azfZM7Y8KpHZZkauWqDZaHOGzKUuD37iGfjnpJBbZeUtZ9snKknEXsFvBDcxLEpmvgzGV470wlVN
U4gN0oDN5MGTIx98bs1Xp6bYmrUP7Y5jxWQxY/sQ+JOUURAG/zU4eIs4+LUYW/cepcGLxuAW9ynM
qATOdp9mj8mAnZeFYslaxvfxA6WTLjcSXXiOlMgwntPKLFD9oLfxW+NlQhu39uMh35JilVjtKvK9
dmW51KFkrbL/x5w5ttUq7MrdANiJSTLqsJGEPN7Heh2QdLUxPWPAr6mrtW2qJUJ7fPUiliNSgVFB
Fo9nJUINZnq4iN3sYdBGdiMCEquxSBIBH40f0FQFW850UzWMnRGJiV3XJM+2o7/DXCxNtr4TOvrK
p1upkDjN/VfrAXgzWemsQw4qiilIOyXCaRKXTGZ8yJLlCj4bCHXPeK7xPQ+tiyAuuoQK+WM325is
qfawlrQ/fo+fp1E+AW3msPbUc1bkD3lYvdNA0HtgH3EL9yInUogLHFCGhQewgXekuJtlkeTDyBu3
CbL+yUAkkk2Vy9UdJPsenBWHnAT1mLpPajSeM+3xvg4YmPVoFZvBxDeMJChTaK08YXDsOL676iyg
vmStmAbCZAyOECmL9WvqzyC1qqg46uXUt7NdUnoGqAjMKwNqJJaWK+JcsDb05tE7jqp5isOifk6l
uBu53PwgvxA2twZ2RwNNTZKy9s2LQztprGQNNadxxo+wHz3zUmb2TxMX2FYShsGlFb5Yzl0e9iX2
5CraKGE82cFILLnFoewgGpbpC76mA5KH42AEzynb8JUq80/iSXBv9zjaTIYKsb0zUMKvvKMHbZns
n3ZRMfa3VeYik66ck2f665SxPb5mRd4SevM6OsKhC8DzNUdYqrc48jRAiPypQ2S5Dnz31DgWVxiK
PMqTdhdVzXF0Plxe1aBYKCdx/hmiOFyZCXCowB95jVs0hokGJmopCOMzyv7ONXDLgjiCQhT0f/TU
/RDwdL3GWrdm/fkizTuSQfglC9pS29pEZVCEFgZvHPfGFVNvkKVi2vqm8WwzH96MFeKFBJeXO0wn
F8igHybsaNh92MNyxSYHswXsn3cWH+qzFQOe7PtmOkZzeHD8+kdSN/VOsFjose+3XvPUFCRgyOCB
e+K4H7Dj+YP345vmkx1i1M6Efur8NEZUMD1g4DlL2/6Ko2ofNvStrqE/ES5vha9+nWkAsSN1va+c
vxZOIivp5LHMp1db+B+cwugLgw3hQ2vN6jRqmnurSbtv2uMYkwh0FdSVcUaQQ8gclg7woCBXRhkd
rd/d9wY7e8iCJf+bzr2V4A422+lOCfY0STvdV3GwoWLkcnfKPxMAq23YEJgTCjQxqeAOOjNJpNkb
s/xzaodXTfOzYlUn10zZuSyQo4kOhUzHWnJ6czJWnUIFb3LyvoBU/PU8wB78eWrMj4ZKfmGFuKse
tTIpcm+YXMmFE3eukOMaHKKZ41EtyWr0QOHjGXxu0uArDGSwzdVbhq5+Qy7AV5qApiSb4uhE1g/q
WUASwTmY2mJN8t+MDISlH13IONTvLXMmJhT+s9+/Ol5PzlOvzy1rAiNkOBYYLMBTm0rCrsmrDlzE
GioApdXTo2J7YCUJOaJLDtyUTRpzljeBIAatwrvV6yfp4m9Em1stkqTdHOHg42DYQJGk8gyQC3vm
HoFMeetp7y2pbwbHfKhGYeNR0Ccq6nvwcFjqIx+Qj0s2YgDv0afQ9SMqQwLoWE47+Hg0NUv1FfjG
0R3Zc5lQzvYywTco4cjtOjfaxdFEFrcG382HqeIIQj13LvGy1jUu8yh4yoXxUOjxvvNac2tHxGB0
GmWL1PafqE3PKurvM3iIhsxOaRH+cZob4g4bZtjlbxdTpQOnqhhU0OH96ogEyWqAQ6PDm4HI6g0W
0w3IcozoQmaQ+RlvUwHvA29EeWHklwJb3XJPdbvy4OJin2fqhB5qQ2glp8W4mw3cFSeDFS92zM8y
0q+TU97FrrxkKv/OsBbEi7qLHWXEISZGjclyMdYOyH1BLmAQoUpQQUh+1sB9wImhnmPWQBQ8rX3L
zNe28zslo0PPrIOVbleFZgvrkspSGdzeKQwubt58qAdjctjccmdFZ9qQP2081hbjnckqG2YztyyY
yQBq9bAFvPw0eCB1ivgv2aMFNkIYN5a58kcqugiXwDyzAEXdgpG1aFA0Ag9JXwFhYglnk7HqovRD
gDbvCiS1xGtBqEzvauZuq94uv9uXwdp6MRXH3JEwIMLs4Awj95GQz3itGM6q+InwynGF+OY1D9TZ
z7oXUQQV2hTvS9rZOyQQ2rfE/MlrgFZW5d6XIwd8T1yhm7wjBkdcmWJKmcz+iQ/+Q17qF0WkCQZb
upIlOW/qMCO4PdkDbr6YzA2EZfXHaBgQZdMK7BH5ORZFNaIh2GEksXOv87+6juVs2N27usIPBNya
KnlXwqhiroqK3iXttoKa6IPZ2ouxeU29ZEnBw7yOWf2oygI4StnuJt98cHpKwXEojwxSAdc4pb+a
/SN8q0/Q9sZcsHIyNGkVefZd+9amar1wIzPW/9I6z5SbNEugQ7wSlFOJHytukPb7KQfZmBTbPHrr
2v6MF+XJtReVQSg/l0mhz2h7hfYYBWrQ9itnh743LX+EaTyGvQGjJhoCGC6bjPgeIPwDRn2kA7qv
b4I8/yyggmCQxew8sUUsgWTfGNV5UK2Jfn+6n5ryXUB63WoxbxeNLfE0G+Ztp8iVP0XebDo7fPA1
tyndjT2zL3gYM6zJfiLSCbUtWr76b4MAZ+jhfSSBGe9cI4NTUb/LwkalYdOCF0STtl510EZ6zCz/
zWEHJJnYpl12l7XdazpFj5kpLjMGl+Vm2Sv13qHuJCTsfmw4Wb202MdMsZrQvTfx3JwCz2igXF1E
Rl/DfWsXOW6/HknWUPNfpg/MgMORZSpMgKYl1bboZLfFbflSLHLBxlTs7Mv/Yew8kmRnsuy8ld/e
mKiGBpzW1WYMrTNSiwksXwpoh3DoXXEN3Bg/5CtWsZsTTtIyImUIuF+/95zvFI+ytm8bnYtrZNNl
dc43MW5Ypqn7YEKlXNg3qnETeue48X3YKyNnFhifz6OgaqhqQtlCLerW9NEPiOJNnCHje2v8pidU
cTUDVYrNYDvF2QvJBTkdUv9ckIehECKdyjZ5Kyn93Mw9e+TWrc0+oTjWLHDgdc+qnnSH0AVhXgQr
12+sg5HKHVwFtUwwpZNnCDcJFpN0NbBP8Qu6rZe+dLf+qO9r0/tI3GCfdNUtz8cJ3dxNXnrTMga5
hsH12YzlrIungkrwPwWjWI1ac6ItRJZCOx5j2xEQUixC+vyvfiT6onThcTTHoWNbp+R7bHPzo7TR
WpQBKv7QRmXLZDHUHnSLC6XmAi0MvkpU2QOdZ38UNrobx6cCCuHX6xADQhS4eA9Y70HxjHV3H8Cs
gf1+tiiURNzqF83lbY/oDdMB03BwUHIla/5+FE/3adQhe3cOvBc+0btjP8BXCguCtiD7nzTGnpX8
rk/ROMcDQ/UxEPB3a4Bn/dyfntwn9E1MpsyW9RFtSmdoV7QvtPwC7zI/jmEgXBZ4Y5tDiSgndllM
PhbwGqxYpPylwNLwnSKEn6+LkDZc5L2FQfytjYm9ttiBZFaC0+ryhrce2VUlFUFfxLi7WJxsTiua
CyTXIX2AdKUwlpStuLBxZZyWHuFO0EdC+NJp9ZClxKxTQ33EU3NuCwbenKsWkNGhxuIVmMIR1jzV
RWALuia8MxiLo+FNd1H9bUd9xxo0Q5XEVK8Lf+CJW2HMBdtsYSQaBZUI1BwQGFikGz+/mYyGoAAb
i5qBPwPjeGURHlCjzRvyG4rc2Q9M5JJ127Ma0lASB2WDChY6ZVcp2w/qlInAOYvgcLQk9bZMnBet
HI9+rjZFSPyPzrSU1nhCaHpmh7CI85hRlaivU3mqyu6DeI5NNcs9fFl1W0G+ZDKluxKbMIQ4BC/s
K06kv9CWODlldS9sZw9Dj04mUVIorGeL79otDUAWfQU3MLRfq3gk6kq/isTiNTM4jgKXaRv5GKQB
lxpN24VbHIQb3VSm9t5UeMShdpmV95h9ZhWs8dxCVwOUfIcRqVj5mcRxWfXPvnzq/PZlNA1v6w/m
bRs5+QYTTIpt8VFLwB341q1KiKxF2kiWHvby3ngO50DWzG6PelHC0keDbGVDyBCpussbnyi2+M4u
XqQo3uPGiTeJlp1IBAZrhQB2abWSkz9tbho0/gd+waWZaNWi1vQvghN4Ykf9aUB7F0CPXEpNPdLz
f+uT6I5wHPLkims4EptKVi9JZexXekxoa268/TzmXH8ouu7MMR3H0UB7Sbt4E91nd2b+WG72OfFe
PghyuFFUObcZ9vExoKGSi9yhr9+8iSKSazgZOaFzVxTOTzh/8HcizVddd6yA9mMNljt89oAkRHXn
inaJg4dYLrZHU4GnoTSKSDAA/RS/yBoXcc97jm2w5XemjssxvMJhWnenWkTPMBNeZAOdK6687xEm
EwNT4RhnRQJZp6VEy/vmqYOzS9sL6aPc5Vr6W58Yflv5ztRo/6VOijgOL/ICM+5j1UY3jCeJbmNB
ML7KvHir8/oz1EG6eRwdc1qfkB/OyNvrRavcr14iYSlqKp+pATzvjjco9wjAzlBcozTTc4BcQ9/d
0aXBVgPrcEzbDRCLuxQaXYrznQL/Fm9mv3HAIZk4QgxUFvZVT/DDwCyUO1rLeIh0BoFj9jRmt66r
vZgAwZhGGmfQLgN9a6bxzCjomlzITFkSJ9uuwiy6E5V/4lAOljIwzkQl39u+viFgYAWBQdvNEtIU
28gqaeixhX56xTjtUxtO84hk0wfD0vOHRYUWYKWb3Yvifj9oftOLOvb4EPaBpz3mvr6fL9zceSwM
dNokZXGco85xCQgWXOsLYuHRoXfaU0eO8cL3GF15qrgl5v0TJsC6sOFh2QVYcQ48cyZ0mRU3aF4+
HNkepA7Hpi5pPqdJuHHDdOV3GuThHmlgFz5BxXnwsvCzNAAMhtNceBcU+6K7H6uJo0lyJwfEluiQ
FqE+7NnmvEXBkytYh4zOfMH8dJL5yZMkcuhZtHRzwWXj+1tUbuZ2xKmqHIqpYjzP/LyFY3G+FFZ8
G5TQJygtg0reB3Q3KVODDfCUcxY6WxPSl/KbK8SqJyOLP3VshpM5fUhikpaWox6Zjz1ptvHEjOrY
OeTdNxwNBB5fqo+VR5VHUezfm7b8HCw80j7Dm2EO80ji9l6jIIQu/1RnLElmX4Pb7ex0OzE0pi+2
65CdbUko0TchYRJ0+pZaP3VvUGgXeKVXUhn2WqDJJTZxvCqn/N34T/CuXh1UZcCUaNBpmTpELIbk
cd9241bo6axYZFOyEC4g+SbEZFL7uAswmsYHg7bHKnLB9ROnsC4b7h6dl6wobshc5U73Ni+jx2jk
hN27aj8HEAuUpy4J94LMdrx/aWetNdoEbP5sFsNEPyzPSTOANu+uWKdvUk9b6wYhBn5I25Lc6+MA
MqgsPkipqhPnCY3ZxmqiGvR4dHSa9j7Aw+inw0Ul4BJbMZ1kqd3YW8snpC/PRo1eETmtqkOlmFXv
vtY8ER2k38AzOKal51y8oKPlk1tP2SdjQx5zdWEpIpzcMJ9UWN0kEyhS74qpC4muV+yrLgIFTjAU
PhkgVVq/IoQVFR/BgG6Z762i2bsIRYPxagniVUKHV1p2EJAcxrV+y/gGtns5x09P45CugFDQoAfp
3lPr8o6JJ9Q4WMq6pHiMRe9iry52Wgu/uGQV17H5YNtFJNep7NkAoJcOgI6GlP00c0aSsfA6d9Ww
AXcxqy+6+4aTxrYxxmyXsqCyRUDPTsStScG7SXPCidrnilqznpgE5627sVJNW455c0a1SVg00x22
7fvcg1PjOciwpnY/pzqDAtnJgaoqjd07z6BvV7gPbsqaVrGmYRGZ0/iylzCewxp9vLxUwSvUt8il
zROHmpPllfV+ng9oEBJXhUWXD48FBUDGUaPMguWUkGHVheRMlCbdqpw5D27MbuTSh2QMuXA4D1ry
wuzb23VFeq/Kwlh1fs0pfh24U4SU+w1nDw26ASFRS3ALMH0yMTO11WDF6HZ5CPMtkjik7fp33Z2r
Sb5VfV5ukr4AnGMZRIalHKBMH5BGXw04cfozXBSYn3j5GZSS+cBIpjb47hznRNenZ8ub1MXmaalr
JP6iIxGnpPnYWuUmL+dsFf2rDWFo4JV42dVWxYXncmV70SXpws8emc+51dWh+wgbYK+pscahSxKL
M32EQ9hsac2/hLTsojB/7TIcW16BHlNV5pHIwGoDOvpez3MTmIP8ynpRzXrReFVzJBprAnQR+bfF
nL9cfnhmxKmU/4ie3q7omQkCI4IPxOCUw3mcVJ967WT7WD0bLcVrBChpReV/6ExgZZQ4IghhNGgH
EFWPY5Wobeq8uhpFEq1MxBBmAzxZ+xoF5g+q7WRJI9hxopWcphsBBZVjN0zGrrlvYon/npD4NRvI
qgWuxjznU5DvsqAgRD+LS3EsnIMvZ0Wu+eSgkeINRbdLFR+takG0uFTjc8q2X1onqJOQ+53pHun/
E7HyX6ZlbfvMe0It/8S+N79mDsG1SC0Y0QiskD0FRhfC/ZV72G7RJShZMWFsGIlBzQ7ppy78d/0R
ctFbT7QUcj1mBkGKOjYjjBSH0kKgNFqkt047Mbj18m+UZe0CWyArffBZBJWxClJCiaLwM4npF0Nt
IMovA781J1X1Tc0WneUHK/o20w7BowZL02Z+FpamscxhNhcoHGurrJa6LHDIodT3PcQ5KOiTxhe7
0KI92kpkjMARe2iV2e82tLBMR1xcuZ3cW7X6TDVj56F5hmXdMkB1b60UNRzID2NwCsbue4bbXI5c
PotMJY9onsaWTqsg6IsNOrkg2mU6lXMQMdLAQtvRrgIlnvNB3Q9NzWZo0/QVSXMnLWzJ9HfUKi0b
RFiieqDfdTHzisdCpkXYf80tATkDOBPOmz7OXyemMslJLlpmCsJjRepaL8mOof2/7J3pgTOBvfim
33k3YbhYNMNAM8tF0u7W61QB+BmBSRSTiQCG/PKk6a/oooGgU4w0AbjBKvyuUnFkdHhUPErYBtk1
Datb2pNznTKFHNLrbHqIjkD5YeZNzm3nV/luKsihE5u6KVCJjHT2EsxiXExAOJyzDEwYYnhFmnZD
xpqGWaL+ipPncMR3A3FohcLhiXh1/PWIFvzpfsIUiZjrwa1YREk0BM81g8RfRpU8wTyECpSMdFGK
em911IKMEGOac/EnASqbWqO/44NtALmIkqVZ2YDOEaPLmG6UQcG5LLEoUYyhqpOqIv0zv5UkZsY+
IzyjhLk/5YO+FpDrTaleuIh2aWyM1KDktFn6Uzvj3JT8dnv645U7XezpbHYT7YiKEIwombvq2LMO
hvytSwwbMdP+Zui+Zjn6El/6mrzVgMW6IGp0QkzYerRlNW14oT2ZLRSUv5XWlEweIXxTYLoA7BWR
iyFNn76jJqbnzfG/BN+pEXNiu6Wz1kyyfkb6w/SICVDKwUtE02dtiJ9R/yICa27RQjMrZn2VwS8S
Gkd2YxuKViylVR4idVcqPWcw4d6WJK1ERE6RssnMnp2ZSPFGYS5CL8J/BcMpfx58Wtit90IIN6qq
tFxT0qAny6rrgFqMh+Qxi7PUphusm6HEvQYs5dZv6FADCn7V41TbZZ3z4Mf5G7wmwGbTtXQ6yHwx
ihVz+OhhJEcIJpetYHRdkq7ElKTbx6UDgo6wFvjf0Jx0c2TIx0jQd99/7ghKCUwZ5HnHSc4L4RFB
c2av1KPbdO58TMZJRHjBQfow5ldkB0vX2eUAKCDQUbjxoFLxGoxODYtmKSSvbT/ZBwtCbjBNty4c
2DU8h0fL3ZhZR5Rq4FQMLQTjdkl3y9/HzfBGr2NkWpq9mcN4HOitd7H1whtM0LRywC6Ec5wG3nnw
eY9+7hJ7LZI7IsDBClX+GWHqwOkXMVbINEG5yY6Jxovbaks7pTfsZFBos/6GdXPVGtMtAUAL087R
I4PHojxIKvJdLbHyxtsBP3puIvwqaeOqKritdPp0oAFeB2qfKgJMYlrDZRoqC6ymTPHio/c1XLT+
NmM52SflE+gbd0kLWDsaAq4PUPBjZXri1RXuIU9oGzBMgeylTf2Ln3G+teK3qGmaOQEm2erE9Ly1
YJLjRl7dwcDFVFklO4c2rC0qkCeWvk3QTnst8otHn8DBQxQwuy2HqHgzzOxhtMgc1mynPI74KU5h
CqdKN6nZmdW+iLzkdJx35hYUp3meSk6/poR5wLnbwdqa1RcZlWpP34qCawjeHQqct55kuhUCXOuo
dXn1wFwJM62bvWWiPOieVy07do995nYEVTzAS9UPrtE3qzpG2Su6APfEdzf7rvMW3Cy22JNCp7NU
xPGpEtd4jJc3bcuDFTvOyh6b6Mac2KbTjDmvb3p3tfTyc1lXsAHjXGNGiNCHE3pxw06x9kfKNFRX
iEvmJ5LOGL+5lu1plIV+Pz+JJPiF18JyCBZu9BreCM5+s40fa6eafW+4DMaC7NMYtS3TFEJUaZu7
PTLLuMcdz/BAGMFjPtV0OsRDH7rRIWus38Li/IZs5Q7HGKetCbErlBgPC2YL6lqHOdM3b13ApirR
N5BrDJjWjb6dGP4SSgbS/TC75QZmZPEQVt42LZn8J3Kvybw6zXPK3u+Ba/vpm4Gnag1pN1hAC8RW
6YKWV8lsDki38Mc/gV8064a+pFltpkCPNl7FE1SoeIVsjtq4i9fQXOezJa0ZS5wTP7dXXo7u3acp
F0XBk+bprxA0gBPJrFuDOnT8fclkbhU7pFbEU/HbmtCsI6SgbTMbeiznM3YbMKqWec0167XSLd4R
/dklEXtnxW2xSEaYpIxEhtF9IPzTuPYUmL08lXYY33aa6xKTuYmIL18UHtJFxCMmmaY0v5kkjzsJ
U9stUOpqA+k/8pCVxWNtgFTODhxc/WWpWdNmTAzMjWkTbXqEwL4DOllALNVHk3x6u17Cz2Pm3acV
7o4cmAERSfkNXiRri0iiJm9wOkaWY2yCmBGkwJhANFG5QRMuafTSl4+dCRp7pNFdyKq1Zek7jmld
TIRx3A1AcRzE0ppHdNGrMWCP7YVCgNx9N63suFg44JIzgjiQpnQEVnfn+jU1v8a0RUuyF41s9EMI
AL2ZuhADS7iU+ZitHIWu2CPscm0knwUMqr0RJI+VJ+Llr7/+7T/+/d8+hv8efhVX0o7CQqr/+Hdu
fxTlCJEJnfl/vvkf26/i8p5/qZ+f+ud3/ZdvWt3/j4e/vov6r/P95uG/fuf85/75g/z6f/z51Xvz
/p9urCV2vvG2/arHuy/VZs3PH+Efnb/z//eLf339/JaHsfz6+6+PopXN/NvCuJC//vGl/efff9EW
/Xkm/jwR8+//xxfnh/r3X2tVvv+v//n+//zE17tq/v7L/pvFLBpGAeI14eu2K3791X/NX9EM/2+G
h6dYtx0LuqJpGL/+kkXdRPyU9TdksDrOb3TpuqN7/q+/VNHOXzK9v7m6rbs0oVxD593k/vo/D/0/
vUb/es3+km1+Jc6nUfxi07V+/VX+eTHnB+e4nmVbhmfbnmGaHgqX+esf73cxk+K//zL+WznqKk6z
7juuJA4eMwq2pDPW6AoyKmPx3vbA8mJnzkCQjyZdshnloGj5cv6Nm3WpDYiGHHsyViylH8oNxsPY
wu6GdseqMkbFJdL1G4lkfpmOudpyTKYTWs5ZBkjsiRXpj6bfNPjcuNwoRtyl0GaPLJIuqkb4q+3s
RqMoqR4Ng9CO2XTUYi1f4PZNVykj0VUKN+Ld5Lyi6l6+Zp2mEY1AF6NhJFDPFhHbcMp1lzjptqv9
6my0LiCyOUk+HOz0AViTsZ7sDxRG4zVQKGPC4tLm2nDtmvyJgDp1aGYmRRXilYalThpKYsaHrJJ3
mQznHPSyTk9gOP0Crit6zfQ6IcRZN4wCEUB5IDTagKkYAFsvcNLbLrWmM0yFgDlHGHx28++GHC9u
orj/0ClD90rR45NsA8e86uOdbuftuqH7todaAOBd6SUiAqPbRQkhfbYDde/n531ZfAZR2e5//t2S
yl9F9bDTGt/f6VZe7tEYpRdyBIp1qIEeJnLgErFfwVsJyK8aZ4RJPBTpJintdlEz6jvkYtQOP5+V
881/3Wephole7dNgQKe5qJSGZ9fHhO0S1X5pwGFc9MZ1jkNI7as0kPRVe00b8m1mJxEe4myb5JPF
5i31O6gSgB7ZYnQ6OkDoIGmOMZ6moa0aYr7a6D7XeiJZMDtj5jGwH5e832wjrHe4MIPjz4cmgcI0
BjYAj1tdMpx34tR+9pO+2RYKo6rpPyRa7p7KIiD61jNf+vjVDrAuYQACGkQk2c+/aYn2hMBaLjXd
LU66PaKTTut47QQCdpWAozPO5BIzdgOiF01BFN+MltNi5E3zK2kJ6d/8eTS+yKN9Zih5bWpiJNxq
Iiwpjo0Tkh7j5BFlIapWg147BQBr+cAMytj8+TfYORBIJJp9SOj5r8aqa+96ey/dAgc/GCRmViWy
c834XaU08CJT3USDfSbvQzsEtqvvUofIbnyWsx/YhmEAo5mgEjAz0FQTko9yRJVoQykBZG9cnepM
fJ/9WSuPSojItL5KHt2qj3imBmslZ4dqMuUfttyWWPEXeu1FkAukvApvxgx2NpuaY5sR/LGc6h4L
98n4dPQqJooI13mtcPb/eVbodqw7uo+3U1F5m9qNksVopa+9k/lPuCqDhcbESM6Quz+3bHY6vwcJ
AsWRYN3ADc+yaAlGJE3J7CWDNDVCqwi7pCHUto5XdJ70+77v4UJ7f26I+e5ON+KVlrfGCV+TXwnj
wSich9bAelaYKrqyipev9DrfBvAAt36cfftDBzVivuWkfrrWkrTf/XmkMNYIllX4NUXpXb16vDcs
Tz8wNYIWk7X0giiR89KWOxFjYIQiUy2mlZZq1s7KK3ktFLNXeByIL1FMbWkp496YvxN9iLOKw3CE
pzoD6gIXm6UNxBOUmy+/o5DQP6KzEDNXXf82zhAJ5RoBqzmXrZsNdJPIK+bVybboSDBw0IX+zcoC
Me13FhXOysO9vSrAOHLukdaj1nifUUI0XlyOnLo713wEDfTp5gY5l/Y4XD27OpqaLS5xBdx3zHQH
pZXTI//oL4jArm4M6m2gI3Ofhv03anqSrUymaEWWinVnTN6NQyb9mjDSVWuG5XqQEdT6siec7+c9
0yCZOym2jaU31NG+p8kFA1Fevb6+8KwBMnaoJpMwAe3q7rVihoIocBtBNkUWC5B7XwTZywDDHsDe
qJ1H6RMcPH/280EvfU7jjrtDhYlX1m6XXdaPLy3ipjmwT+yc+cqZymk8TnAtCc2rD1nafOvzNV47
vnb4s4D37JY7GzaS3ef5FauQfIgTzjd1epOPZrwd2zHeAEItnwWMbMb7P7Ef9sqofPLD5g8mVSaj
imepr1rbvYwq7AkAdoLkUHTo8bV4b2eEEPZ6oG5wV7O/ER2KPg3iT1qSgFcxBKRbMRQXfBZMIUYS
JHsVuvd5XT6Cp+tINEB84DVQqn7+e3ju0QLuPVmejJsv5fwhwxa79+gtS1/XyZBBb/eDwvyDqbYL
Ujl5E6LTngpWZSNUv9O2hSFtlgdbaM4y72M4FSFHm6WY5XyZ1txZHEZ9ugwsjKyMhAgV+VuSybNr
I8dsOQ8I9wOa2Cx5IW+sVKjuyhq+Sor7YW35cPSrvgQ55Nc8IMK92ySur41lsLz6sPIKe3zw6DAs
8Bz356iPBygnEEosLl7bM72Dqmp1g2hr3GtG+DqUt4VutJefFXHoMg34mFtvZeBxXifiG4wabdra
Hzm/OxMza7Lgts3UWE+IM94Z1lcvut0dSw+MkUWmxIF5C67cgVGqP9B3CadqvO8j/QKZBmuCBcnh
UyfYNyp0wPi5uVWp41wQtR+Iw+k9K3p2fGK18iDCHuAHhKR3qiONtwxWXi/Ipp+k3AVuXr0ObWee
EJF8YPEBv/h/fwLfZeCVNeutcDQZLEbchTWSDxEhPyh+1viOt8bJMMNNOo4mYTABkj8rak/1kEAt
Hsz+vS/AgeTHsC9cFGw0SjtTWXdmwnfGGXYrq8Z8RfJPhuoPt0TqDBZv77p6dQR/RRsJqrQCbf9D
fDLIe+BIi5FRq82tqfvJ3c+H+a5k9Ku9Vta3opYT2AD3xW+La0m6TQRQ5WH2zz3UvstGGYgLchHs
GJlXHqSeHL1Ga+7tbGpwoVqkyGH7OXhR1S/1qJzQfzFPniEfprTfuabofYRTofaFKY0dJaug3MEo
aLdNuU6pJDakSZrLLg9I0Os97yzizj72TvkQmmwaP2tdVIeY4NIQBDqrsjF/YByv2nOC+vxZI+lt
OY3mdCuIJ9zOgjY/TfeRML3HuFFHWwvqd/SOiHAtHdVcMPX4c9V6CAu1o16qV8NkTUzhtLepi4AB
zRTBuuo4MzMMsPohP6cOcOCiwVFOTVM++0by2tlcCE5vGZshGavXZNCPmJeco5tj0w3z8quagZtx
mztQ5ciCNN3KflaWAw9RyOyoHGeNY99f68Ak7vCrGHdlQzqBxezciiGBxO04H6J7iuSKGiO29eh+
6lvjHGnpvk3Ki5cysvQL6E4YvxKCH4PmDoMvHf7UTOm8WHv8B7teeep9AG5ohXZEFoBZb9C1LYYm
Mz477i7aLrqFESlp2dXpoSN1EkEQHEO8mcG2CWnh9cXRioWeIDc66nE0nqGA+og/js7PvZ12+NlK
vJYueTJMLrM+jFWGJKE7LGvnVHmYRHnjR6zs2LwGWCbnQdXFIS2UtR0KnsLKH17/tSXoDPsOMoT9
Nm8QWucyFi9Td9sMvINSFI03bAnVSnWmXNHCM/eZoGU9yXLc5baYtpjphusgKm/NuyqEpuYilO56
+kBwwJ2ZkdCeOdDw4LF23nrsBKtsaIvHtmGrqMK6PTaRTpiqgR4smtzDT63882FsZkTTWDebwenW
WYM1ou0dWvgFHCinkfYFkVu5aQyfRadAtE3ShzpN7AKf8ydDm6gX19Hua9t6CuDp7eGrqRuExKir
a10Rew55d6IncmoM65AaTfI5qeYbJEnz4LKnMXlRRC3kA6Qx3G7b7J+fzS8sjlQcl/P9//oOg+5G
Tau1toz2LpqlVYUcygt1Xrnq9WKNTpVJAxCRdWpEE0E9erv72ZdMk0QLQW4AYb4WGq+SbC30QGVB
udDhvkHSBPROIZ4qDn9qhIom/Rs1Bi3uavxQBMb9qSSdCehsktSPZpKzmSaD/DammYsXWVQIHg7H
Kpm6B44wHdq+cQv63YQCYi8b6EB/MNHST/w1rH66zNEcgxqdlNOk+r5BQbaDrfASodtY0vVMDjDP
9p5bFedpPifGtnvqlJGeshH5hzPwygF7DdHohUm01ntmfFmV4yzqAPTEeWittISNacXihsF7CIls
D6xzoGhzEZ5nk/XMzYiLB328oqMuzK0obWqOSIQPcSCQw8be3uUPbeI6eisMDq41cEIKmzQmqL3O
n4VtHaqwMn7rvvIQXgTvJdD8m074aq1w9K/bQKI6yZLphoTSHeUlfCTjge0jv8tDuflTEM63oE5t
fBV526JsnKXTts21HcL4VDOxFEbaXn/u+vmQFeaaPON9nXXlsRYSElThB7ddvSu6obhN6RXuAt+J
lq1pqUs6OGsI9fiZZN38ufnTRQCNVWw1N3WPTUhCgdVa4V0Y5m9EDbzxCvUnrYnr+8CC1UNpBELP
KzBG+VA8ACVmDFbi4o64JJ59VWmbQaRIkW3+fOMB21ee8UBeuUGtD7t+6NpTB41q4Q69miej8BQI
mkFBD+v6h2jhgfa+gTPjwr23tG3racesQzyDx3OGXlr7QDPd+04gAQGdUIRgoWFLJF4YJhxgO2Bi
lrHUMWx9YNThrZ56zaMEObMKte9EiPEFLfK2NYUFMgFPJ4a/p2LSw+MfvrVqotnViA8/inP5AlDh
YqPskpYFJFSCzPgpjy2iTzl7GP3mp6COKhf1WKt0ogq6ajtprn4YTWbZYZhtdaeTm9FQHIZbJJOM
uW5Iv/MP9YwClpM5kl0/EdIwDArrQc9BTkWiOVR9lW1bq2o3DXolTBe3Rqp1N1qSs9q5tG60FOLz
Hdrhd9dMblEjt8vcoAIVXrDUcaIufeOe0Nl7FRqPFHDloqE+XjjfHiqf1BTzUOOejBw69eDwyOi0
XJVhb6hOwAezZZxzjLfVHTJ+XK8AAG3vmER+CWUhZXuu71SEctHtx3VXrplXXgitsbCiEzlpAz4o
q4Nq9O1YJ48GWBpSzGp3l0/+W4KeQiT+o144dz7GryXoXLS0NZpCuPdaMJ0CmrO4LzF4epWJr3Y2
COijWgEVR9w+JFvNGDS8KlV7FCSyNB0EmMxlx5DTdxbjerdAKSCxGH8HuWuucmWSWBQL7zz1HFMb
tAA0+ohPD7v4nFUfRpznZ70GN2KPb1gPQfLoE4LL5NSSWMDYFe5fJNbSVysO8+Y2MGg5lSli9R4t
pzV4lxgIG8tNAFYStwB2ioPMMTRaQw9eFGe3QJy98t1Y7oqmuriJQ9aD79s7s0JhE7elS5TNdNcW
GEoRSj5HGdNEx1DN3pO9dq/s9I1M4ZRm3vQUAuRZmDLdoKsLDy0Z5DsyRqo80BHSlXjKNP0dJ2u/
FyVQy5RGdDCiEAdM0J79EIJcFW5TVZDRxo5xAlV0IK2q3PdcgCUhJHA+dKaChLzYH5lWAJlQMf8s
2xmuvovlPpC7Ko9YzNaFp8vHgZy5qRW3IlfiUxU3Geo/rx3dG4iATFitcYIxTjit2YJpS2wg7jRH
agZ/idFizLMGojIsZN7NsOJEqi+Y72r+ZN6BUaN30gERbMthbzscG6nyQIb4iEkE/JSgEKQFZYpo
OlB/2Zwi5uOv2o25M2sk74qU/mMeANHD9+eAl1lBh0bMP5jPAkTWQ+pPDpyJDIm6IOwM4IRcZLTp
zkSxihiRT4XQdwKMwugELKNTG9GOnhR1hiXx2QzfHCC+kwReE7pGxBXlyLjCZsIEOww/ZrsRWlUe
ozA8ViA4yjhYWyFwHstg8C5msGo/FhdPOoeuNNZJFqBgKAH46Gl8i1tFSSH3uo6XStFXWEb0N1AV
WXicm97e1iVizabQi/MIrKzj9ajycjr4Bs/IhEgdl3K2y7x+V5sOd4FjXwLZ6BlRkdzWBfVW971v
K6QjGCdMJz1jTvscopfSb77NRyIWr3WsF3c+I63MybdV78BksadgldDA86yntq/DdQkMcMlSfhic
ek0ir1wrjxaeqVs7ZZBC3jdH0WirTK/G2YnPsR+QRYpu536ItVUgYnUvzfitiKJsLxSyKI+vPdfg
vIRKD2ZYmOe2K2/0UL/Gk/OZ9eT8VPllxMK3RG2GQFjmd10ctxso8/IwhXW4zDWFWKhHcpgxd/es
vDsQBHIJm+yUWoGzJyIUDoXZHwTQrClpqXP87oMtCk9kb9446FJ8Bu/IouDoRKABpPcWNzrHQ2In
l3dxgRPdiLS3HHVi5qXU2lENK0rhMqxH1zt0ev9Clz5bgad7hSZQHUtnoUewPWn6cznYlU3VCK/e
jg5qMi/g4V9E1qAuj7/n52AlPDI0zfGb2Vu0qSIvRV7a3KDE/mZGnpwZ+YKxomv1v4k6j+XGkXaJ
PhEiYAoFYEsS9BQpbzYI9bQa3gMF8/T3gPoj7kYxmp5RSyJY9ZnMkxcVmo82vYW9gK8JdDaywnuo
OJRRyRUbBpjZAaAPssIazyXU5t1sDVzonRs+idvUsk2I4wUE2jnE25KWww+C3tDWSefIEcs4wbKs
mxHbjvPVbUGuj1H73FRweSLvLTLMh2amEciJwGKb/WJbCQRrXIhQLPD28hg0rdEQXpEhCMVETdfv
rNyMR9NpY2rCUl/LyHyP5um96YDlOoV3Cq1iiewimrUX8D1Kps1Ydmn4zHnw4WSzkKjxP4JqD5gv
Zxo7RCjYeUBQ0jD9M5ZzhWLKn5zilqFHT6bA2I3jkJzc2NdZmRxBVkMMVPWGpK9qO0Cn8sG7flkN
HBoC/57ICmJIGyByJn2SahDLRlnWRAXkahUJAoQHt4kPKTAz2uLqlnX1tJsLcVaDvPY4rY+GfTAb
h3uyBxzksK/GXCpGsrLTv8zhW+48HNbVjFsysWQFlkU9UOP+AUSzpjITq9a7pkstFWuZgRtchSfd
JrR8DlS1teZiw7VewuDImGM3HrlhpTgDJFlmHs6mMQa18vpauyrnZZjRxFgZYK4+fi9I2T6Ajl7M
IKPhVzr+zbiSzPKpmKEn4tKEsATQzCn+cKR811O9o+rCvDBZ/VrjQCG9Vf3Mov4ZHB52CykgOeQO
z3C3M0ly+6pn7xzQkSGHSK/XrEmpLdNsC5ldrbSwe5wzVgh5g+1qcL/YrJV4WMRPOMLWhoCXbypp
k9eJfn2KTfQUIRaiqUWNCEZ6RdrFOzwneHfVa12V9ptedT8WQ69tg66JjXB/LasCl5uW/dQzI5oy
+NAHwzvwJnkl/JR0vzmmW5FEy1Bdu+TJgzaQeXCsy3xrASDlmOiQnhZ2uhEKPLE9p8YWtTBi0GTl
GGm6sUz7r1sz+LbMH2mDEDFHJgzMavx0il+TyjyGLPFXbRqQ/9Cqzwi3BlnpKdy4oblM9Hd1PV69
HLcTNPppM/XpF0fTXxddzgoi6xO45sYH9FABCsciOqJg6i3Chfv5FXfwbqzk41A4NDoLKwC8APAE
2IfbfB0lZEJ2AwFObuYebcI/V9wZjCb7Kj4gV11pXqme4ugnqRiEAOzohdX5mN7Xc+B+wmIpVtXI
JI9jOaOIqxTvjWATFDI6zBhFDgVXP0z6bEdYPcKMwTu4MYgkkOc7xgbYnIpOUgNPw5bvKrgJp90J
TbY7FlkbL5JUdoGevg7WDVgrMv3KLvaR0bIcS4Kt5rXAmzHfTNISX0LmI8Ag67/ESSu8TPoDCMVg
IJFKtEng5+wKV4aOObHP6y9J4QnfY0jQwfMjVzbuCdtttW0FY2WbGvoOZtUhjjCxJT0TbaEj6cuL
68QSau2oiihXt+99drsMhCzvvHQQ2IWBYAWYlOf+JwWqtSmjEo9Kb58jgsxWUpEfiwzgnOjlecyz
g1zWQ7TLF8xzf6yE6WQWdvkjBH2U8Y1FTsPE+yhXCAyYu7AWqS6Bzd4mroZP0lgyvzQqBrliKlcO
Cd8OxJqzmsFUGW12Vmi0dBROHKE5OLDGYURXzd2xSkTNyN37RDincBiPZ68htpXzkE2YvYM4Uh/l
GACxLPMDqnzvMDlJCrbkFoSknim9vFr2WD8IIoq0IEPJ5pL2mGE6C4vkr5u09S0miKhKJ5dZQEPK
LroGqGKAKkqujkBz/zNDPfV7xJXrjJLHCUhCH7XuEeUSw8pcluukbbBGN3B0JhuRmmlr/IHj9atq
YMrQDdPHUivlLbAPbejoIUV9w3pTnhws8KvZNEp+dPymvJa7OvR8DxM7cLxpQ50qDg6NdaMmdx+m
fyI5N1vWAoxjIVhC/X7QBWspbUTaS4+Lrl8mn9YMty7teMfSIubEfjMfgDsTYB09CmI1xylPjsAS
6FxMzB32QluBgJfsMOiy9ZPvjW79y9DcpvBoVVYC7AmShyjWCL9mLlFB8OkU4MCO5PEw4jM9mw9G
U71rFEgrK0jE5iAN7R/2BgRqreIsdCOYcnb7F1YOLljS+I56gxHQ06czO2KmMmNgnkbid8+DSSyE
xsUoC8h4qwIh7Cn0wv0s0vIAlf29mW3rYUxScUhn9Rorz7pZcJvBarv0HwW73Pu/K92drCS+gsim
WND0jrgdD80RVu71ZCYgsjNWL/Yc0bPyWaVH6YYvCiimxPQBOaD/1Evh7vTQhPHg1jy4vdCfcilI
qKjRf98/dfAb3Sz2VmWMgTxzzXc5Q2NkeMFoSgfUBApG+akbyVVmlizJi5htck4vVab9MXDpr/NK
MYDTOGlEgpwgK4f8NONi4zvX3fCULysbVY3peS6C/lAZGW0X8YPnyk4MPoWQlYhiY9hwCYYuwwA3
l5gSI09iOaxC//dLeR0qgXSMGxhSo3p3JmAFCctjIxJoFNz8JohKQhlqmevffIlQORDHRq7m4Cdf
tsmg/oubEPOXCUKT7GobDr5HQ3HP4WGGrdHoWNhTCcUF5xV+FgO8/xxhfz1I4qyWaAxmlo+yaayz
M2fpkzt3nFHOEpAkFMykrOk/q7Gxn705qp/M4GeRWsjOQTOwBKiE2l4m0thyj/8vv6FBtmmDwduF
0X2L00P6Z7m0JzUtvFFI+wON329I06R5Jynilaro0+4fot4l1hmv8aIsCU0ZHnULc0k5dR+hHuZ/
BtTZemYSE9ZhjB7dYNFkYJYtxOF3Hlr0yzVFnFwZERKPTF9lpzqs9vVYOSdz1uOVm9riGT7Do0Is
vK8at8fkE8L/NWoU0gvrjARV4Bcm8l5cV/Q7IQ/gA6IVfIGzO2IZp36zvYVcQvoU6m3bxchKaRJs
Ta82jiGesgr/X1WfIsUHUBIgexHjyh3SD2cTzaLwwP0ifgZVKZmrsPYuUefB2soDeHdj8DBBE6Rf
rDjbFjHANNUoG2T/14q1Yct5CM+IfVXO8oIaatzl9sQRHdkjBK0OxwQDd29z/2r3D5CLWeEGDWVU
bWQ4QJaVvEeUAg8HTKJpk+QowkVn9ttSYn8PcXhvItdonpO4Ixv+/tU7LIq13RpbIL3GMylpdP66
M4sNdQUUoQpqxP179XRgML+zo0xkrPvvv+F2209kcEQQd0u9pepelBwzY0Xp6OPxHiZC5c+llAXb
YSrqawVXiKV9sUyV03bDWiT2F+7iNA3PdWEcSRCqrySEqFUCUGrbTYQQLSamdJMPw38evBV/QmCP
UwmaEXLzCJ1urI4sef4L+6ba22ZePozEmGOLneT2nkPTB+E+gDN6aUmbWf3+2FlcAUujoz9Vuvz4
DQ3C4+p3LMHXiLUNAmKFwVnIP6ETRq7swVjVWicijey/+98i6JUvoXPQVAfxqlTN0+8R2On6mXIO
mW8I8AJ4VXLSJgKN8zSl5Ag70rX6sLy0aFMvv/+UhNaxd5CZL7/t+0Nx/5WXiBrW5K9PxkZP6cdq
Bmw4FHjeJBMmT7kYPQtCYO/vqs62Z+5VozOvTZT/+32GVE0hJIGJYo23H83IHPa5TPsTKyzG1IQy
uYPooDKDUclb8WPq9rhjjB/vSaBx2Lql2oWaO0KlzHBojiWZQYu2p2gKnKsQjVQL/L5KSokwwfHb
DLF/i6Jld38MFiUoUYcJLUiftfKKAHYlO1YuIf6lTdTpcm9UeMIKcAqcPMV34biAuhBWEdPNCHLK
JkzrhKMcXU3b/w5fKSnP3cAi5X6Mllgxj79/4DbjT6qRkmMTarYh9gt9kWgJFCrFreXSsFn2KzVX
e8RsHu++FBA8qfPnypDWCiWMvjfywvTxzDE+cfIFvsiDWiFFOygzJqJqKlkn42gF12dr666DRaSJ
2H1FE/GEdiH/r5pLzIjL8kYF9cdgCNooC7tnexdB/F4MrajDo1F7I1JeU+DhgZsFvGdcNcjH/ibB
c9QG3X4wIBMZulEe9JIOuVNRSLG08OsnDxzzaBOvBh8yesT1J/X+ok1Tc/awlv9qzO4apUqNYqMa
CBoDKi6CZBXPgKMHsBE5YlkVAp0ctfffN7Q7Fn6UJH/veWy6JHpvDmgxflcwUCzxuwwDShhlWTdg
B2edF5FgLO3dvEu6ZFT81Zxqazt69gTgD80Jn4UDJXWibPQwbMReg7DZRnIBsOB7Ruo6XmypyS3J
2u4JIeFGCWW+DtK53m88tCXb+/9W5cm40zGZrQvHsIdNTULBOsXIhX9uIHwHwv2XJx2f3Jrd7+94
sCjMiMPuozU6XiKbtJq8DT1aKuOKSwFIAeCDnhO/WzRa45KjVOtEZRuR8Tqa+VOYYv2HkQYQmKGZ
ORfsqQR4iC7d5p3HX3zPtvJyjfaQZ8Joh3QXiBJh81IrTS3zatIdpx2Umz8YSnY1Kuy1kSX2oW9E
8zY40S5OWdwtY3izSW6cQkxj56AxnhkzXu4XexTKYW/20/fvyWTY04ELjpj45QLtMpDlvWAnKgJg
ci7ZiWWsHkFiD//R3kLq7cfXu7RnBKJSHe8EcXT1yyXJcIdXQE0HuGneYWjlzGo2+GeEWfdmO1r1
medsf+2GILqCoLWb6ykYHwMbLsQhhm8j6DtLxBxnr80xwLpqAntBIzvWWvwSW8Ouo8n1DfdYsD0+
QzYAN5U1z3dNHAoLgzSI5X2kOFE7AclymC8J10wCF9rprOaoGQkt8kiLVTdZeq7tAdVRWG/vAaPx
iKYHTtvBAIOw7nFfHDsxwAtLkabAbLxHAaBotN0CzTZZRGUezFu31vVdqxMGXJd/7uuffgjUxg41
f4zL7FwRx/eQp+Q640mt9oR5Oc+NlfxptaZ+TrOq2I6NtR0WAZQ9VN84S62zBRXIzMhKsXVF3NwU
ZWtkec0Wvs1H3WUDJtRNxTbpIx+60Y94dvbF8ime8eeJicnl/n2kUn6kk0xPhSs/75tnYbjVxVIT
S+8y/i5H73EwnegJKMzopwney0W0JKmvNyTyUv0z/7kNzeCgwGE4AH2gfiCTBVvTgN27CA37AZLf
op5xmXWvDAeJgl3a7bVd8O0GW0RGUOZey6c/97iTnifrYFkDZ2MzXlw1KxR9uvcbHJuM/R+phfNe
s+f40NSWS4aFIF/xHmQRLA6z+4Ufu9m4FQlxbB3JQig2qoGN0cPvIRkhuR2yFyYJTL+WSrMswKjf
zzWsC6jyK1U+BH/4rg3y5SNFgB4KxCQBm5uyodkRJhtdPMDyG1MEJHQAgbrKUvxnMLF4Z9YhDs1A
VLFZucdekxaSl+ltEO6TMffJXw3kThXI7C0v8Cs7LiYw3XCys2V6ez0pqv/VN8Lsmps+vQOJjz9s
9jvGItQzDVNbDZN5cJRYBleD2DL1Q/mn47twnJwKeDA0VA7Zw31hd/+AjX688OVhdcfBxiDyXnZ9
fBRdwFkfT6/RnM/fOqKYVa/pYjWhPFgyoYon2Q8v90Q+o8rwkFOcu8OStrwo+sY+ZaGNZc2FtP5M
6gl7x6gLd8wQ51PiYjjAiVndmuHz3i4gSO5vSxTHzQ1nKMHUIsQ0afp/w1247EFmnnOTqtrsTOdS
O5SGsl9chKCqjhC3Mr8HEtzQu1oBi3BKXmgK+SJSDBO1al3jGjgAjKbgXxhCbxGgAm59kCERyMNV
U3ZsMtDCBDp+uciJ3nDwmHvaYWa4Xv9oLeslh31622g9Qkj1w25c0+viQYVg+VRAlrRWg053spsd
PkmMdk8ZuxjM2zdD9vPzCGccKjjAs3YhuznXNuN8RdWyJYcp8YHPMXtgXELcdbtrp5QtCqvHQdg0
xWy20V2C/8ok5uch8L5RKGPk8eQpzzN3L6PwPZgvZOp49E4H8iJM5k/phcDOlS3HD2oNElBd78IT
Zu1Cp4OcZqNnR+jGiSjLPRjj+uhFtyxOdIC/KKroLb+7UAabSJg/bd/8q8vew78VnHFSbzQkb7BH
DI3E9+GPnLWdUo6zT1pI1nHkfvYUpYcxTk+mhaEO8eYK1Wq1LyxYWCHB4AI21Lqr+nY1k3i5YdG1
iYP4uc6iIzXxdXKACyEI1Od4ZAD33eaxOCJh3hmZS94hgPFVx6QYM20Of4k5taF+RFC7qNWxe9de
pfza52f7cQ0Tyo1h3Mjde3AGenZbaIqYECwnIcI1UV/aZ2Ga44HX6rO2CaIXqkkObjUcemWDjQM8
Jdv4PbcTDXaOsfeKLryCmo3xd67ZwRxIsvrOR0bjShrI/uuhOZDQAP+gcZcjmqlFNf+EWQOj1yT1
0BjTfZtlzaapmTXXWUKxAUQZ/to6CI3nac9hrtZF1gYHDdxPo5JwnzRZTJg3cwNlpA/lgHXKWnbw
OEKHwdK3yC6xe2MX2I6OBsgSOAdg7Zj3M6GNNu+ChcHdK93eYYymOPL0k+rH77nW4cCAtaS3b9cB
T/dKd+FYjQ5hVDhNAc0wpuP8ZDrIKZzwe4f6zrwwsKqbmpuMlwZTgr48tDO/oggPm5nU5ynynmUh
8Ib1mk+vg4gomr86mV/GwehhyGrPpiZ3FkXu6NS3Sd8xd5oIv6o6FoOEYxDjxtbhgd4i2ud5bTMc
fCX50FvnLX9X6TbIhi1WAG4nLx+V4gFK0v4LpUmAOQ5vt9fYG+hs7mEhJw5rw62DvV3FbLxE/kib
7YsC06xKi8mPPEbIAzk4AzFkukSDPsf2WzxV33GwqAtYi3Zt+zcL5ZnFQoD6G+u63tXDMc7ym9d5
/piEHyljsjVy9X/Ikx+7gkVfGGKUo0e+ccVz9hTJn9quP4Akys+EP4mg060sJ/F8s4inU98+Chvq
G9FXFeADQJa7SUnkvAF7nqF/VbNeb3SkE8bMeefV6cyE0ZugSto/A5UTxpTsyXbscDc4Zk3AX//e
2eK1T2reZct1kZJ7MYay3iP5XGc1PVpPdKIxoMgnrRH9MaGVbkJUdA4ubzTIo7TI9YjwA+5U+T00
8250BdPLECNwmuJFLdzJTxogU4ExbXj9K6VvmNw2q8nNml0Y4k0l57NrGu0IfuBnnuetWbIH5tCZ
sWb7Yp4mOorYIsuMh68vshdY2aEvqvSt50Hya4Tbjp1ZG57oN1FxPKVl7vAf6rwfhLPT+uQB6Hvl
a3YAriNC1d7okMGWz9BFX+uajbhZtoibgN0BsmVGbgNjb9pDMbXfus5ursB1yIIRjwmRAdbL3L7I
kIVTUbtbJsmAHjuTJIlZHqB1elu8kvPnEHaXANHByZDdxRsAxSu9OFLpzvGNtfNzFcFi0evoTBnT
rFgV/9GBt+Dla9bTQC47MgTSQjsGio0rzlZBp+wKwskHab6Rl7bp53FAHOYyy+8Vt+UVMOIXq2Qe
9nyoN6Tdb+ElfKFE5ehsoxorYv8cz02zQsZyEw0MpiZMt54X33i+U9+pyo8oQn7HSvCIvoDriW7u
c4DmXsf5P56dad01zAcTXCylTcdTWsmR9+sNlrUkQ+1aZoDVWEhgQa6yma1Qd9Kq1GSs3wu4vpio
ZnEm8wxXRmDIg9trZxGD+Kzpb9buGELqZQ43lYHms6D75MfKN1nA5qX0imfgiuVWAhluB8/x88QE
kMAzc5LFG5pJIPSUuytzYRnV2rwpks7xi+ik+Dptj6JSS31LpU9jRfqqZTKeac1iC1xvMUA7GAyC
2V11Dwly1pVEqYoMA1h3bRG5kGswJyIQhwnnJtb4ammCOwblTUbwnJFQAoVPGfcSd6Q+b0qOCAn9
oqzbgRnWzPaEIbgzImjAArxFtAV3juDWogWaQyDUElz66ITZ96j0b8B2MCzE2a5DbaOjAT44nnbk
HLX4K30NxsCqNlgaaC3605hAqFVToVQwjfCUqOmTTd7KQMC3axW3sBtvq7FWp8Yd2Gr+62x2l6PB
qj5RLrJwN1oHY3qky2xBy8x/nSpMry2MJJ3zGi9wXJ86L8bJFoC+Cl+qfEwhYskH3dx3uv2PkOvB
n8TgeyXM9lkzn1vlnBcB2j6nt0xIJGUxB+WiUrwduljgCyKlwy3pd6x0AWCh84A752viNhPZ5HcJ
W9KghATgdngLILFCHC4tHpN+0VEJAt8qWIUmes2VQRxX0WG10bdFCxhRjMWhHRTqGzPfaYEvcnNr
mclP6prknTH3XnP2Pzj8isgJXc2jhyqmr+vtNMK4abrkQPmvUTyZ5aZ7QmT/EujDe5fj0tN5B+PF
RsnfwWDRxcxQNHqpNX045A4O4N58Zj+DgbulHkQ3tpJDf9bMEuv5lAPlGf/mDRA1BzFXrxGpyegI
ST/dyboNEjQS75lRNizm0GblFjsYSGOEugTHrkqdJXmVcp5KgO9yVPmxQ0fR9VELP7Tgzegx2CHt
J96YpvFd2vlbUyAinxBlNYm3c+3ROeQ9ymAPRjfoPniqC6d8OiA2jrZTfSG5bc/rjOCjCs6Id2dq
WOMG+Z69U6w2Q1vMfwNaFWSbr6m0OKTbc5nYam2VMA86lEDYoA3WkovgunhrA/RhSfoeNuLqBrkN
vEPspWW/ahPjJdxpX8qrNq0WfRqu/YhVkuQHkAbA/TcQdvCOGzGRGnfIlIMF0dWI4PUQxc0hGmrK
pyjRvznYm/M8vHqWh1p/HJ5kSf/HU4Mjm0weyjU6MyPPrSfWH+mkPRojSbEyeCSatS7IdihHkhQt
IyO6gIgacJk3V1rXvt13ox294W9ZZxZ5BXrsosNhS7+dgE8mbfm3N8+4l0G4xvxxXMOiK1Q2rcWs
XTCluZxI9pZDKT7p4XxuQWrkOthobei/A2bsjeNK/i9ggrJMr970mXmg3E3A4oOpx+scGd/Oiesv
Tju2mBqJ6k2qf7FxgO3cGOskrJmKTPG8ZVngj6p9hTl3cG0FVLTnRCuqRmzQBwIF6ZnMuLl8zJR3
JoJm06TOZ81IdRfOM3snGHE2GngOpajzG6+VlKfSr8r2ErjoKaQ2fJt5dGLQbKzoON1FuOkPbjgc
Equ+WqE2HdNJPQ4621AEz3CPGG8s6cL0CUKr/brakJdyqzJAM3ZqFMiTiaO1wxn+TW1e4pSecTIc
HQOIeKiKfDg3bGi5lOYoSTejU/7VXF7vIiOALQ0ZLgOaOeaqJ61UpOPGaMEEWlX5LWxCc3J0DIjq
radRj/4LAsFhE+gzpaKRMwI6VAIJ3GzDNcqwva4GjcymUpVA2+oezwhlq17bO44s/K8Cp5/Itb1r
hs0qFhVb+UXMPGsPBS0NMHDUmub7lM9XfEmARMmvoiUDAU1ysukDO2fP6e2jQJ3juX5vShRq+SIm
DAU19TLjYeN2syb3JIzeQ65iXd2xSrZSTYhGnX9AZgAk80uDqynjNX588MoRvKZ5YZrpNQZ/Tijf
4Lzae48tWVDMUTNwzve4rFWfjSmLCkKoyecptzUryjDi7S9o2LxRRidt+TBQJ0GhwZJ1iP+CO2XN
yBfctLo8Ie8Q28kjdBoR4rxG5oJ8Lxl2EqUBGhOPrZ+3obak9JwI/u04+eoeCyLaiG3c1dzQmbua
5o3I1Ct0nQP9GrwxVrxtLwrgc8dBd5uDZ/YcidwOBL2co2L4L4ctutetQ9IV5LHObLZxZJ7h0bE3
UAyIMZQpY8w2Fqi6oBYhJkPv3zh6/jDyTq1avNoGMl3LHDdTF7/YU/kStGLHqHGftRgai27l6tFh
tJ3TiCIPcQmZ5xrbegvlQjwE11Dmq7EJv2Y65r7KL5Bvhi3BQjhPapRGwQcXQbrOqoZUGK06GqVY
A15Qt6kD3YX2DSEOVyDP846RVbYh6kTumzf4VO9uAdIwAYG6yQqF2BQZsQ8sktOICQvr2l7i2Bj+
JD3LeXMGRWORLGYuqvegsDr+tmfHwM87kSHqj9pNo8dczUYIUqRzsSFCA0Mm0M17aVDPOt8G7RmJ
qpk89f3RtUoO+0R+NJ7B6BG+M98rkBq0lJNXbScLSzqdQ0h+DSch6RKHXCLBxNFOymb36sCgY7Y3
NFtlqY+g6j4gMbB6dBmoWCpgZ/StTNmj5GINRkDdhMw4mRC4Q4/i6mA2uRVQ0FZCD71tYKF9NheI
ivvPpHBYlZnIT1Gq8tOYR8WpqZ6jpTnvMIXXZjjfDGvMzoOu7c2p1089otPfD9VonhAIIYPITRgZ
+XfQYrSkezwVciArb8oCX0WFu09necN88Se0pLvOwuZKULINiiSTfqR4/JtxpxrmdYb75EFfYtwa
HewOAqbBOnXfuVO6nlQOmZIknwJ0G7ekUikI5wRTWllAp3TIxoM1nK+0iMEiyUtcLpjzlv6PtIG2
ZdLZ/gfBGpQrY71Va6o9Ovv/1FJLN1r1EXiVdorh+K1Cj+mSgHpn2gVkkSwEKciskw3m2mhb4LXB
BA/SJLDYbueLclHTW3Sldtm+xaR+rj3rOZkEGNzi1ZlcgCvQDJzUtLcQD19VggNTdfq0EXZOxFgD
Nr+Da2o20Y9VAERnJDY8oDJ4ZC2VMUX1mI861oVFCwyiYeavKPqXNgghpxfttfDGP6kin5zwD4r/
Wv3HtnN0XXLT+lj3hQEFITRKFDlxfgixEK1YHdWHKP5raNGmi2J9l+el40NeTbkZ/LJFB2NpaXqJ
kk086QbTqOwxVgi2dFGjTG9e2q52r541cgvR0XiN8rFYPhkswBEEbHPWtOkE+8zlfcZIAJF3ZwJt
CUKeTd4V2O9jVAIxEkVD0C9XL+nYsEXNJBGk7AZJK0jBm43hNUP1SAkH2kak2Q/sWGInk2Q+KFJj
ZCfOXhU/L5X2pq6Mlynf1m3/qCUPrL6XyID6yUuz16S9VTgbb1XPa8pT4msgNT9sjdGScKiuc5wT
3hSvC/JWEfGBUiGyM12uboN9OLw3EkHetamdt3ae8RrgQ2LNA3AvLiw/jmwiHyb5z44A+V10Lf8R
pr1JkXbhe3Bt5nrN6xxmUFRdrExgrbI1xeCWars7BK37gT+aGwUpJ9z2bW8MzTHRd10C3WjqjB5l
UPFtzYrKevL6S2WWu1YiuA8JSQqDuX+kT4mhlSEO4MsUBuVfYBf/5gw7dRK7Z1OVHyAoEIyGGqo+
/uOZYajXi71dNxpIHEO7ED7zVtG8biFkzetOlIcmD74A2PAmTZlfFszNg2c1FOZxsFhqk8thT9Me
UqBcy5oz0+ufgiCYd41dFL6RUL5zK2Ar+omlPzcGrmiN7wvAhun3AomWwvg+RGPp94fsOFXyFlfZ
m2PZ9T71ii8y19gTeZq+J3gcrFofbrH4nHSyW3eM5v9YrdoHMHc25cyaNWAfN+U19lPOPL9MI4Hc
I/07NyHCzQErrdnznmAL2jyxtw/X9LX7eSym17wcMcXp4z8ZawZwY6G2WgAN1g5B3c0RbRzJ3d7G
Tmdjb6TeN5DAJ8oTpqokQKwIYcR7azb6NTuSrus8qhHUQIaCJ+mZQvbjj1YZxwiE/FrXWtDEzmc8
9v+RelWy6u2xrAQkPjKId3eWLT87r8IQ8ToY7nQcO0zguXcd66UeaQWShLcEWI/sjP3IIo4g1Xdn
nh7mwvrOIIp0c52tWxZdLpzHfMT4xirnBkbmwhp0JZHp9l5KuzwzIZhylIRA9RqGQggY/4zFM4E1
wQ294DL0RcBRFdYmjnX7tGyjWVpH18p0T4Et/vFM1i9RCQaszlp3Eyjjwkq19IZN5NjfjZ2+AYhv
hhkKWGFl+yHJ/IzvZlWTJbuvjdzZpinKpbZmfqg39JX8at9o4Ay8z82qrtHuihYxWyqoX9go3zoT
fw/wyqMsivlAeB1US3x4bgU1ASRfS3pir7/MY/bEOVzjrpHR1rNC/cTK8R/A/qvpIA+AIsYLxXkb
zczrhlYDj2jFdNBFeO4F+t08WC71We0UCvqaevauvcntDr1bGB2F0s40wDtT4uvpW40Ns7ChU4cD
1G2nA1jLjxNriIcEdUzm6X5ujn4LGvEV/X6A8HETBQ+8cWEPMlZYLQLOBwTwKIhvkeZ5B7OS1nbK
ymRbN/MhGVsX78mKcdOftsX76bLLYihg7qeI783OHR4KZW5rgU+vaVe9Pbnr1sa+YGdttieEdto7
cmoJfgwmRja8nFqdvSOz3NHCaGBN0aKSm0R5rg0la6Roo3sMAz2r2+kac0Ztqh7jwrtkEfVEn71C
qyKYcH6uE7UT81bD+ra28hF2D3RdXOL46sGUDBFTBSV5EhHcYqLp36sG2Z1l1l+kFUBxnBxxsGX9
XGsvgBI+NAEmXXm4N2zOQtC1GeG0HKvQwHLSEAa21JjzZ7lCx/MoAu27sLQWuov7YFq5gYxjiSaq
0w4u7OIwr13u/traQS3+VoG115wW5XJ2i4rAN+rowe2Il7OD+cs5VIN7rchCxuHEm9ktQwZbUuwG
K2vXGiDrNTPaXU0xtXY69d2HyLjsJWHHsMpyPVjRa5hOX+T7LckA/JuOdqzV3H/dD9B0dz1a3gc7
0E+sy7lFA1zM8gtdr+96jCEablywnw9ayG9liZTV4/qv9KCv2GX1gsP1jY0Q4wvGtjyUI7TLYRe0
k6B3c3nlKmQSd1+nwyCqSDxx+H+r5/3f1/0Y7dPEedPHtDuJampPyDsJRBjk0eic9hSS/338RQVp
3Mc5OVU+WVQdroqJbdz9Q8NmwsOSti9RjZEGNMlTbffaG6P0C6d98ojEjS4BtXeOeochK1D+CdQy
iATPPk54CDQ6yGfbTrg2yOmxbMvm8hh0X0lcecPALLUcKDUI/k0PnardNeNr8/X+qWA5xIwk1Z7D
xF71pobdodXyi1Hq46nNRbp1bDPk7OaRatBqH9hK8hZEEU5KqPgqZ6tH1maoC3vgcJcE/8femWzH
jWxZ9ovwFgyAAbCpO7yns3H2mmBRlIS+7/H1teGMqiXFq4yXOc8JQ2QoGHQnzOzavefsg6VuNprL
vOBL7RyEuXR9w5NYtenCOOgmfYtgWE72vO6mh7GJviOYi+67mEgslWfOzejrTO/dtQbq6wjLsL/7
Gh9bJWlo1FMnIOCjF8/D9K0z2tvGzLeJowQOZpwiy/5VXQfWreT/mACu3cHrw5W4SGuCqH8Bl4RE
ew7vzBBBHvtSuWFPA9QSAHzM5bYx0psq7advhVViBIxiZvFRDIdjhpBHxt0v+nzZ07VOLcrGACxF
krWsZL/Xpzz27Gy2tu5EC8nOPg2f0YAeMPJT+bnqXHlY3iSe8vpwhRaFRxET4zMt3u/cJ6kKKiG2
Nf6kFfONMzY0frPoHbfpcGT8hNg3me98gnO/+Qi7PHv4Je1M3kjUpIewG4m+HAOHgBeCM+lH9B7B
ElBf3Zi9qRBNd/gioVDbEkRkMhgS8HXvqsU81cfccmfNLy5Tz+KoEZ99pDq1oRW7E9E4R/B85oHG
uezj7ixcjYnfUFbvneBRdkpErF/fm8CXmL7iTSSMb10/2fdK7+2jHxIAVOa8gN8wbX+x0H5nnxn2
/4d8Ji0ppY2DVjg2mLffyWdVYQGIMNVPoSx2ysk+ouJihJvL0xBb9qGf03eCmU6lEZpPMRqejURK
BfUjoDz5UuJc5TgZRnVsg+NN7DJKcxozPlSEnD2w4lcT+BJY6w94FYaNa+eORzZddvgPLwRQ3N8Q
brarDNOWSti644KE++OFuMSpQeeZ0chVNrSAWt/BLr6ErbYpQcxtaGdVh0VqrxfBk1t1wYLm+jVK
SugpgsRCYciFE9HDgv9nNEfBDz6A48027rRIO41hoK3++Ud2rL//yLZjmVJ3dWWhN3D0v1HnBqzI
QVhFBBakfcbQJrOyXVJl+a5J6e0n2Hfe69Y4uJNm4gRPABrOIjkXQ0PPdC4N/LG0bnaFXUJUpyI/
BmSzAwATj40THzPLmt6Q+qGAdI2TounG2IgPZRl6tk++XEbu/ZEjsL9F8U+HVLiM4Bz6A3FloLOd
Z7j+TvIY6rOxUZad4B5AjWLFzGF0Bf+ntcgcXj5c/2S35jcTAgVAHIsGFCivM23pbt20BBtOPsSp
nAJ6pld9z3QVR4PrWDviPNAyWI77lncDf9JIdXG0msCjJVOtLB7bRjv5aWTd9naMIUgnhGvGxH2b
hMO4H0dq2rJEIOaQ0iVC44UON3TYhcTS20Z7X1AOJaZZ/4c1o/5tzbiOu+RDWSb/sMAT/vmoUTmG
dMAA5A8c9RHhlG05B49Ta9fnqMQ2D4DcCDU72xG/Eq3NmutOqTNwu0LdYDjIx8D16W1bDZ4RkiqH
BaXUyhw9EOPBw/XTzi5x9oGejxK9vVRdmoCm1TC10Bu9VJFI1uDb3J3l1hwNlhg2vaIHzE1yxb0i
fGzq+dGenORcRxJF68xddsEmZSNGY1Mx0ItULm9sG0R5jEDoul1Pzth79izSkwWfBu5qF52kZQVL
HBPdX7fJTgg09kmqOy8uNLt97aY8tlmPpydMNTq8KWAiACSgDa6fy8q8iUlqoUVE3mFtR9V+7t3X
MVMPV/3p9QMC4gdwaCh3LN/Z+Fmnb3yqxmeSxaKVaevjc1uLe78yucKPGQoOy6A/M/kJaXHAPcl8
DEAGxbP0wlyW35jseGWu5Ke7KPf6DjiYTfiw19saRwKucowPqTrPUf6d0jrZ//W1IrDP/7y67X/b
kJTDoyGV61JSS8ATfz4lWmhzMRIQZPCVqm2DivpmSu1mq8kBYIoV6vt2RsATODoth6FRZ2Um3aM5
sRlNPGHmCqkb6MS+xDnrIv5zIuEJzXzuu6h96LQpvJvlm4Ot8VLFNOiIs6IKq7n+xOJBb9oMqo2W
/iqH9Jcq5zNSTe0kO660Y810pJwH7VCS67QpQ3TVV1LK3CDtHIS5i6M+3QxBOt252ICi2i0erx+K
rgPzAaHrySipWaZxdJGU6pJQpEXSuewFVwUjoVJExkrxM0qj5l0rQlTZRfsaAN2Dn5BJmol6+gKu
EQb5pFu7f37jLePv26pi+1e6NJXiSOO9//ONN82pI44ZdqzjKlwjdlkiNM+KbO+YGwKtvsV6MgO4
C/V1nBf2jU/W2yXMm4/aSurbWkfdFSOyQ8xVMMK5RhNGTnBupHMfJPF4iWORsFdzv7VqjJoLxY99
1Tk6/vh+FV1fP/hdQTtBBN/dycD1Y5O5/QymZ8swXl/rDdlaPsRGmhoZdHEoRTcDeO8bwW2XWpje
DMzQwNQz75/fG2Eue9PvpFOERzyKkoPSkLpl6Pqfbw50xTlVYUXGGO3V3RUaWRW9f0J5R+Bc2bjM
B5zhVMiOJrVVtPlH0lufQRF+66WsH0IM/fjgWwBSGT18s0X5xtIfd3Wtd6ex7Z3jDM5wX7ZIxUVr
PQx2Sy57XQU3YWVm9NPRyM6dWzAjeb9+xWGdnlDNFsQr8hemKK7vtMLXv6uk84YkLreNVQ430SjE
0ZWR2JmTbJbTh666wNLq2rbaxUN76MIw/2wG+2KVzi177ny6wlx63WFnihVwu4o4IuUTZIM4JE0S
IojochwZKZTf4Wijhacf8oIPtVhFxLmjkPdvrF49fZkWNBRoHXYBMAACQZTCEg7fLE8mb6BhedTz
KifYQHwPOyf8PsNMiaZxx/hneqPxTuh3I+w9ExsvbRzmaKFOPmfKv1iHXaszUJ3g1o1NvMThYhdM
gUYx5NHc2689NirQ5lWOqO4Uur/FIDWg71lPFbALPAvN3XUBD03XnCh5F2jGeE/XuVnP6ZIetnza
LzDXRFYPppvdXPWa5iLa1L0C/NrZzEvFO2hhGIpUe5c1zURasFu8ENLFXAYIIj5OxBp2o22uF4em
Iicj1SbIQqnXxyPvqKExRWajfo1pUaIwU/4OECEPfxfrzY5pCtlbzTC/p+l4Z5sD9PIA3CK71H+o
q4T+9x3AFaZkoOZKnnbLVu5SeP2G8yX+Ep5SlQBxccJwp02BvgeHxJ1yCU6hNHh2MbTa9JfobTtr
mevmMxtYk1BYfRXhpSCukmHTY2ZGA9dFWZ/mbvQJvxleiTZjmgiETJyufMqutX/SLRDgcpujkYnm
Wcv1lrhTlBW6Exzixp82IilMaCckVhZodhmXRG9Y9EJYY0bn0VPPzsbgMjCyiuwcdT6N/ZkBkJpU
eGjCPGDq42ZEK4TmC5dsBbrM98iJHc59arY0gJT9wKAd+RjbBqWCgb2GfLnr0zr3/uxJxNLe9UFJ
JUhUPDD4E3LAWEkpaPX3gihgKmETgNwdYHJivNJq2Irl0+vXXAade60itX1xDwVVDIRY2vOmaxXL
YbS+A31mOl1A5h6F3DBqDdZ+NYrpVNkaVlA3HI5TTA9Etrb1VJv1LVsN6NaOGEYV/Mr9uHwAHQWI
NUH7fqXjahAakG9g3LXne6y+yaVcTHuIfH+ABo1O18+Csov+w/EhrGUL/HOLtBzOZktXDrWqLf9W
3s3BSN+vIjGPNkQCCLBKvZj/28sIYXPlO1PwA+AM5uTOCVYO/Ebm6g0+a6N6MGxxNxoifu6muxbC
3l2px/t8DgGIMLClBR3YYNKZ5q5auAkAmgGI+AmpUZQyvKWmRv6pk+rGqY1j4Pc6Fj/H6SHARBGV
JoOL2GjkfS+d7rkkWKpZcHmpUPLcDmxaJkqhOH8qGdNenFF87adtOLb3X7eFWmnrIBpwO+umdewq
M3y0RYRqJa+PYmjxv9hRnN3k704bhufrhysYU7ZUSWzIOt2zzYzafRXmXfk60VvfZg47kOUE5WvS
kiNFMMM5tIDp9Yg0VlpkhwsaDrFb6+a3/FylJ00NLwopF+frhyGQDiVQYn59LUClilweGZ60pu7I
BCf19MpU5wZ39Ko23eRIFwJL22IqUHR0V23dw9AB7470i2FVi0d8ynvnVosmZkfwv5jNPny1J8TU
nzPtY7TktJd64qLqN/y7OrOddepW4alExbYuhEh3LvxIGAVxc1cvNgAnf4y6QQedZBa7gWqbWpbh
RrOMv3lW6yPFunUxIWshUjOeDdMJbmsbMVxSf7k3kdG9ueOYnnwfuJk+6e8RnLdbgqcakNMCDGk+
qG7vZuR9cpzZD2irmfPJatf5xix2Bk38HpU7ertbxOHa/p+rAgOS+m9PvGPotsF80raWwkC3gM38
uV+Gg5gmK/FRGeEGISRn7yQoEIr5ErIcS/ip+5IeMV1OrK6jexBWEe/b4N40mYT64UuIijoGrj+J
/OQMHTGVaX6rAnfztYsItFeigaww6silmLnH65Kas6OXe7DbfPvPL0b9yXLnxbBqbUl1Yypb8mYt
L/a3zX9mwkobibQOFWnzLkGH8mqVDMmuVhCj5LAlKh0Eo1nNUCa6nTVUeB6XS5NeVggcm+EoGP/i
MuCGHZA06LVX0xpe2+gwQ5xFbji99g7cgzTEOG3aP3AsMImOq29ff9PuW41hn4ZQTXTbVBAEZM6V
AXawnzdXx8E0snI6CpFokT5FuKzMKkUedrUyOigfT7UUpPSqGE42WNzSR9FlRAAeAyafT3RUnE07
JtYNGbHpxFAnxo9ra618xNIynMUVdF2lv/BlYvAasgJEQIULg6XOrjrNRxQ1xa027PqwhThbwJ0Q
ZJEYKjlPDToB7pstqSvS2IQW7fHW/xEmPkPicuj3mpKHGRT3eoxL81WBkVuj7M6PQ5avr1t3/BxI
f9iPLlPWK7i8SvVPkGnq1Dd+BII0uTd9yIy1Qec8rgO5v35awj77Dw+2++dN3TEASJjCdQXDYhNN
lLkUCr89CzK04dXb7Y9igVZO8+JiN67vTWkuCGi2l1WpB9p9vJCdfNc4O9ilL1YqzHXc99QPy/LX
Jrq4CzEtd0Yk4R2mjdHU/DVuT4LjCKtYDx3zJfqB2zinEMWw4K/TuO7Rx1sTeYdNfz91FYJVplOC
0vzASQgax+/MY5FY1tcj0WJUX3xzzWKZqfM02PUTHgbDtcr3RbRHCtvKGPRhwwKbj4bK6GjzRQj7
0FZ1x0Y0cY0qkfbNTFQZV32Q5eXY7NIxax7iWbGjzRXw4asd2i7vbMbMwEWJpRXRACQn9hvI/g/+
NJFhbeqra68G3f50ExnZ04AL5qj1BbPP5U/BYFue3XXFZXY5cvIbw25c0EwB1JZgPrU+MShRWd2k
4lfYyI5LQUwzHsWX8j+itH765zVvEiDxxwbG79nVudI40I6FdN2/3WrApDmpLNIfo/EymE7/VeRx
+S49ztR+H6VhfZfN1FxdEr4QobcH1Th9Ez1shDa+/3okhgifSdz23Dwm2lKWzfvQm9V75dMmyNIa
v8zklO/IJOG9P9SZk36gxfkkMjd51NI+OZajJIrRJJeOTep7EAzjOiEhZrnZles+97TZDM7XD+5y
wEID/+d3gdr0394GF1y9MBEZC3h3zt96oLT8Iq7G9C+HOkNBJ7h3xMR0fcgUTLoffMtzfSZLK30l
87u6wRBmbR0D9ysA53KPcrKAP0DpopsoxCJm4h9VvgOjdzbdpn6XIadTmlpQQ8PyrQw5kEn3mu6v
H1xUoUcrnIFq+W8iKzAH8ge94fbW2gGRtP7b/H+/yl2hwSr9SrBWgsYGRBWOymp9LUiipT6xLY28
I9pVYEYyJnUzAi76hds5CHasKJdRHpDiHGklyh9AWOScoV4E+Vt8TBliE/yQ9Tmw1cpaxjhtH711
ZF9hAik/hyrv7hxTuzC0T27y0X/rZ2I8Un6/ZyvSul3acrJjJG1W1+5UlKni1CTmD9OYAZTYGLZR
VtKLj4s9FlzrtfLJGMts3Et1XYOfJ7DyuQ8toH0xqHJcp3vDfqXh8KNe1nVptiVnSI6jOqrhIaE0
PPYmRhEWuSLbfemT9a1p7a7L3ppaY58uLTsEAF9/SeIDPwbdYhCL8/t2+otdTOQDIiaYm3sxIiQZ
B//n2Gb4fXCp1jXYDBzRzclcPnBxaU64ceSgJydar8b+635r+IWzy3J7eo7szPPjfvtlwA3qZLhc
vZ3zKO/UaN76UZKf+zrwz6R70IdMGVZ/fY9kdO70LK6B1b+W6N5f0c6ckQ5qW8SmRAibTfgdakWp
GprMU4U6KsgpwLonY7mUZWGIpb5z96WFcVmZeX9fFvYEgC21jqVtdwfDGpizcPst9Dnd5V0YrLXa
ecqJ9H0wzbTdFszp91lhPGZToT3I1kF4VLXnZUYFmjdRR83UmdyMZntbOMgT57lrN2BELU9OcFUh
9KReW3cOOvCoOAojpCC0HcJdNeg5mtT0c5lX+ssMFmMveyf9tHPk5NfJmK9/doAx4Rsm7T6r5r1h
yunsz5N/GwywOy0ZmGT8WfPRIpt0Dvris2XbwqQwvVjUx7cNXLI90pddHkwYkSplvqaAxjdVUzHX
tMEeTNwqxPg6TX4NHZH6w+y1GJwgHajKrH8tcUcY/SxSAkwiMPNii9b0ezCTAtmELVBfvd0leHfJ
OQuGfSPjdt9POhqgqjkEdjKeB3S9eivSiwmdD7SWc6ktZ/CusNVYZtPxC0VMODUbgzsQpahfgjhS
f6GIDZmusZQWT4UPKzIhnysY1PzS0NmnHQ2TUHBhwt3ipyO8L+CBj3pvtQ/XTfB/E5gEzSPBFPb3
t+N/kvN0wSz5XyZE/XdDoKifiMP6L0Og0qL/mUcff8ZA8d98xUAJ+180xG2wqqYrdW7XHF/DNQZK
mP9ilKLbSinuInJpled/hUDZ/2I0ppYXb+nCBGz8/0KgLPkvyxC2q1s0Mk3FXv4/CYGiL/y3IgIA
pEG/2HL54SQt5OvF4rdiUY0S73guo3UCdM7zmeLEOn6EeALMYIHyDVOyCieyM6iVqA0plAW4xBZF
qJYQR97igc0kF5yEfMoobx7jmnSbVCWnpMUCCpfDagXotoaWugEMmhztnRPmH7VRbqJUwODEo7zO
NRjr8DkLfJPdJuoAe6RIMFbAyNHm5Uv6C8GXAa6VRuvJXQzldMqj5AYm3X3moxF1MBFRkKO9ImVk
uRbr1omoIVgI/qLHyrq11ZDyioi5OuQ50oscg4b75YVTUGo1mnMI6gkKJ4RFcBgWEzQRgYQu9zHD
OpAmkYsZCKjdrVMSt2k5VNFYbjBFcyKv6BiDaRdrRxevpA9TluKAD4BuodT6OZTwmEZpx6AWiV/V
oRqRfRh7JoO9ZhgxSg3mHgl8tEElkqGjqqBy2T74DzqX2zy0UcXGh9BoAJaT1LYS5YYKALJl4Ags
etVb0/u3c9lpq1Yf2Y0aQGxlV52Vqi9aUQLTxLWxNpDdc29DCwI8D0tJiGMm3oNsXtixMOZacjeG
BJ0SdjTorVSQW/ROBUdBh2MjxO80DphTFo7ibAGdtrE5r7IczGURAPQbcHMiuoGGrM/NxkwL8mtG
+YbhdacEdMlqzFbwld5bPSLarqyeRjeiW5eAuxwG7aehBa9LDnQ+IBbI4St5UlaegSEfF4INHy1p
nupCbYcYvI3j8DJFizIKxdDGbcgUc0c6bmVBe6GROZTAhCfFmEmcxtMYBP5AL1FzVnma7XmJqZdU
WFvbluTkEorztjRf8MkiGIwRAU5AWtVUv9rjpuS0w6dKnRa50xrAK35YM64PYU0MNlhez+ooYKq8
2Fmp1Db20FDQeIrrDiYZO9zEka1vROueHcH7h8wWY3FnsFD8txZ10zGIR+c0E83MkqoXUCvmtwgJ
GD1skOMe+TmQB6X2rCf+ORW9WifGfE5b+PY85u1aEZVEqwSBP2ilvJjlhUJ22GZdES8nuBc3pNvO
drnV+M0U026M7UuGu4F1YFGEQoYoeRY5/MVM69pUCe8S6hgxFsdwKnc8/i9go+4wa2SsIWJf5nER
UzEJ6uakpodmvLRBSws/h+MYaAiWTFKA4pFb2mK0kOa3MSfDo3Wz54gcYRem2KplyIL8jHll0BZ7
QwDMbmMQUSPMcSNnJxFtrnbcntaVxgNvQLR1FxdnOY/krDRo/6AOYfgjYd3nrgF1eyCElEEoMqml
IUMbl7qeCl981pMI14bSy3Wjj4gH3Js0lUCIsboLZyLzuze8IVAPLt92jamdhZIlTwkXyuOYdBMN
/nkEMqUdI1pQmyrq7JVQwtiMkO8DydTKd29BefuLUNLwRoPn0apLSLlO3KOZWjOuhX5TMabkXpsL
8TmQ9LdjYL5PMyDIQJKB40+knRn0mKeYVQuvnZddk9syWazvwelWk+0+lFpSewJICLJhNJOh/Wbh
3UNw12OBw0k1gJrpfHJWEjXpG/hjSVNaZEwfggY9exryxiROBlVySg/kwyhk7DSv9Ja87tExKDCh
hOcxFqMUVVEZkx3tTNgvEwtDNBdM9KrZj1HPGs9ypnqHB4wvlPaaKBgkxu7MjN8cCDdoYNTHPN0N
TQlIkGwzta/hy4xe2+IsXSNf+lKf7awxBYhfeqdl58lA7NOeuwS5QLqVz/s50z9jNT8VARDJZauE
QMLsVPDaLEwBwMauqRtu/0gzOWDYSM5qqdpTnBADm7vfu95Od5bdbgd7ivaB/2rXcAnTkOlc2NeM
2oNta/LjyW8y3jixDppVSYvDLfpu9s2PwMV6a/p6s2o1DAR4iEG2asALRPrQoVlbdY5JL82BmoMw
g3H1GOrIRqL7GjaN25wSnXeClfpEQonpURtW6oT/6rH1eSWWhFgaJz8U+zTN8CLw6hq1RkSyqm5h
FMo/Sa/D82X0N8SBLazTZJdqzWvGI1QXSE0Tw8oPQ1m+d2nQ78ncWUODhs6QcuYNnW0RhcwCrHW/
ZBYJ+GOw1hCbfizfw5guQWMdlGAkU+qtsR1arbyFs4mkNkp2KA1gHdrlg8SJdwmXWYPsIEeWXPwd
Ue8cs4NPKSDnGXWC62EKnhAtIH4dMWe1ApVx4yskaUbxlMCUw5VvrGecl1qZJ7sEKFIVZDm6eXat
ypAkN+oCaW5inbkEfCeO2roHKyC65AgUVGdlpnduhMQbZyKpAP4LRcKudVS8LQad9hmS72wgfGvG
N4UiX3tglfb4OG870TzM9RDBYWHt+y0grywClTV/s6Oh9KoxftdK+1RkWOuMsAY/WpyqpLf3sIVC
4ql76bnSfLTYDTzELhdXLTz42r3N7B4RvJfsCg2xrmEVH2k8Sq/yYZTPtq1jpinHdR4Fd0EYA6Mu
g9sJ3o8tALSOyfQYpvFb1uqkrYQcEGN2K0wwqI5txusO8ogXpM6to8PuKfGmsuhswl6SgkZXTVPe
9HPcxMTUAHw7tRMD8mlQm0YES4ATWzO+bnhPaICtpMe4Np3zMq281qc2KXsS/SBc9EzcYiNoV/rk
nBougKcOSos7+tMNrb116nQbK7aSXZyy11eLT90x58GzG6TDQDolix27V2YP760Zjp5uw5McUiID
s2DaWDadg5HteDWUToY/l6S0yJH2SmuLNefSJi7deE/jbG8oFnMTmZ9hH1COMZ8zAuHuegNcs52T
39s8iWwZdTiUmeWILx+tuda6g1cDI9yQyQ2zC3k585Bgi+dx3Zml6zllSqShXS1YWbBMzM2gu2Ia
MpNCu7SQUINIW3BVKdHiwHNpanjo9RCa06q3vQXGue4V4QmTA9OMaS2Bg1hDMTaHGN2aCoZxWZMZ
lqPUuen9SGwip5nW/hy/0gMVzxgt2f1c9U2SpkrYGTAZDFjD1rJqwB0FRqKeqTukAGs7NjJYx5A7
asDmbIeIM5ivVRujFdNB2cnPEtXLJslyHl4DQIRNkrir5QzIycRdlaYZ7KEcHJUBUxJt8YOZM8FX
hiCzGy/L2gqWVPN9a3Gp1gerpHqHBtQ6+FicC4KmC0rapymcx9taRlCyke16SQIP2NLBDInwYE5g
OMSs8RjJYq35i8ba3TsNcfHxJKcdeAxFvKYkp6pMKFVdrIfAb1GG5PwI9vjswOE81LHPUTge4eLP
EHygJvcRrom2rca1FpIXiwXNiyPsFXqQfxZt7Hp9CLapwt/BFr9MB5JEesZIEAHWI0BgrfaLYWbJ
Xv1ZzWDhpmDC35YJr3aGB61eiE2zFq+tmJoSxy3SiMUzADN4nShnRoudeMR0w9zkb5otStWqDyHZ
8l3qQBCSRMokrnNbwcF01Xrs8npTBkXhzWjKy6bsPOJJK+B/+JZ10dH3hbiZ+/73FEmhNiT5rtXn
GYrBY6TwTIRSbinHs7XusJ2nua+82gAl6ldLSvibJNuCxyl8M6zI35Ek8sK2fZvp0xlJ3SVy2upM
nLgfUi0x46bo0ON6W093ASCedPFjNV4VPAeiA0IreBbA1RQMLqHzKmqSMuYtSAs69wnNQDpLBzfA
i2LUSr+tWQZS3Zqz1RyankTZqle/EvLIKWXqV8xJ21gv0VObT42mWbs2SpN1VzNkjQvQJfVoQzSu
5P0uaSnxFKid1dQDFR9ym/24JJ0nGD7SqLsJ3JFUk5n4UvaUB2kGD13HAagtEd3R0rDiF6sU4ILS
GGFZMtVFsvZkdfoLqhLXGwaLFot7VyfWIcQczByAMjHvGOioLl5ZxBwcC77fzL1sNwfNt07R9h8A
ArG9VniKUf+FLGpyK7VRC+FrQ6kVo7525GtKdMZgqeE0aRnyZrhOTRZmW2oJ9r0EPT+w6n1XWpQy
ASycoph6b6pVeAMXEQaUj+besRTtOf/kmxSJhnuZG9ibWCVo9Vl4F6PsTJhBcW874aarHNYTMph1
VfK9w5pCYVTPOMzPqtLPBjCcFbL+YtWDcsDWmvbnwa/lHuYN/Ssb4UTFmTDlAiidifyxmId4jWTI
5h4yEvkbhxj/7LU5+Z94Tty9wW/4JpXJvuS/7dlG9glaVKqdAHuVhldaBdUJjbK20ZDRb5oeE7ka
SV7p0cFqY4EAPe4p7+MBqNkY5/s6nHlmR3j1pioQ4cvkJmGCqSX2mgwvzTNj+QA9goAp48kU73UV
gW43VbrvVA8TBfG/6ipjP6Lvc5M+v4Q9NFcBInNVaD+mPFdg+TSvm0axj4oRidAMkbEeXXWKqv7d
rxg2ty55Q2p2gVro+UBEWnBs7KQmWKHYIthAs1IVAri0fhOT2rbLUpIEmC7uRYW/t9CHcMXwnHvs
GF9URN5eHTA7pP1HoEt0QGx6E6bq0YkDFIi68REOBP0RBJtxXC7nX34GuZmuR2dNuj3sXJXr0DAW
xLbRRjudMDTp5NUudFMaGCPQuMjCEUEgvZvBX0ctz97mcMk11MxoRdOfkpaCuqvbQ2AAYEv6qWCw
H4ZbJKGI93aT7IazJPZ1lSKpRfAxbYpu7A9U12t7LHRGeezATf/TnxmnaelwMwXYixAEofEM9RND
bDyj3GNFd8EM0uyHqX/Whjk55APChEmqkxz3vAXOUcPMQfRHkOwiCDlBg2Vh6At3r02gN+hccbHL
cKv3zfRj7ogIWsKQZ5PCDmu/5WWj/4Ezju6rTixOrX1UDYlDznDhIkSIUuGcONyUU/kHW0dVZ6fu
tk+Fw3dhtYfgwIkktdcZLgsvt9zPgU5yZNU7wwwfRN9g5zMv2AONQwTXYDDUTpZsP3g0Oq7QBTZv
IJYD1JQpAqrWwTCnLeJ0TEvg0taJz91j6uyT8IdNllD80VqKG2A5eRw8xy0njG5g0BwnpU7tEEVr
Ecdcn1wIRBptsk1jjvTw/foC8jlAcsKxQqeDAybH0RlnDADqmhiXKebqDrcM4f14MogBW6sF8TYY
3K5cYtGQiP4ac6D79ZjIkxZyx2oiEn/o+ixS97fMIlqnSPLbqq6O5RTu5Rx7aThtysn9mcKH3oax
Dm4az9nB6PilSnDmW62G24g9iJ/ZqybqE80YMs9o60/m9g+1/9Nv+083405dx8CehPI34biuxpyd
2nrr6vp5QJYz9f5w78OI5MDZuAm2tCLDcYt/p8evBXrNB80RiE8iUMZV3Gqo+QJNeVYdPUvV74c8
/VFzA+Roj5d6BIaU2R6HAcznpHe3hkY/Zk6QqEulebM0QGCrFisl0iVNJevI7EBv6om5d4TBuEx7
a7IWgNKBB0gttJtBhvWp4wpO3/AjD413oUO6xSae7ETi8CTYNX0k8MVBWcpdqaKPDP7XSFQNhNgU
R3kQBfuBigwkcbYLiZ6fMqDSllGSC6ONBDxN7AxqUNTm1gjjQGmrSZujTSdLSfQBuUWiGJx90dQb
2VHO2K03BsmaO/Q9U7aKVKAu3qK68BJBEJYqJuvuNXH91zkgX7sjjG076+24K/JlgbNnaZPf77My
2yp+0Td1a9+hxYyOcohusXJfuK5Kvud3w+1cXNc+9sLgMBolkY0jLAxPoowfIBxSyH9QR0FnCyyu
+lYBUX8gNia5t8aKorZriFvWT1qkv+BW3Hc5VaBdtEv0ob9tl15nlH8jeom9CXcpWHKoDO5bWVWk
U2Dx9FTt78eARzDsQYN2g3MXkoeOVIsOrKTNNJcB2RvE4+bjiHstPjuFezvUob4W5YvlzPeVxgHi
xygswMMg/KTw0TmJQC3hFM+cIWHpjZc5xJbtug+BNcAfzPaT+xwai5ToMNMyOvBuAJauGZ/APY+1
2NNquG8lqyo5Oh2dDkEm7yoDibbIdWF4pPUK++iAM5bXTjs1F8FmtKj8Tfg2tflGqNStkZm/XBzf
qLE2ucmyltGtVQWPWAm5o4UPdYpVbnYTUA0aIpg+K70ije71PnLvqtOsUO+QoHxvdwlVlJ+Tpz4V
33I2rBsCNn5x6ZfbtB0obAwmnaD/jwhVP3SLnKGk5allwXHWs0fyPn8Xjn2ybYPyVP5AUvcRjjMn
oN1dFEsI+AZKE1ePwQibze7/sHdmuZEja5beykW9M8HBOAFdBbTT50GSawiF9EJoiOBoNM7Tbmot
tbH+qMjum5ldfW/VewMJIYRQKN1JOml2/nO+Y9iZCIQ5hgcXVpweLYF5Us2B5rYXHUwTJ8e94o+A
kR+HMJCU9TgU7VNcAtiJs24DJYWo62TSQ1u3UaAWvHQ5qJ/16H73tPK25+5+8aPiUE/Jo8qSjyGB
o5v15Q8SeXRxYPrdZ30l2bTDhJxl8phrNitv8qB95V3trIQJOaK2FgaErYLrewVx0t7FEHxKovcr
6FBvjsMeLZyfJq1DZ3eTh75qRDAdY0aeJJRrjWcl6qDAORu6EfVelQ6owUN4m62UrssnVNVoTXNZ
Dqa72sYjfeGaXVLmEU3wA8qXqZMg6Ssg3OEwrFO3QwFLxniLLjRwTCJWL1M77coqBTOZdsEwE/Gh
92IVD3zXhvz2cWHXjjUanKEZu1Klj0bPARPdWassha0494M0xBzKrqwsUBC9kgoR/UXl3XvXoohZ
JMZwE7AZ1sEc9W3zyA6oDeQo9OBL5vKTeN+zTgcUiSTp+yUEg2jeJMq49k39medAJn3g1yvf4WiM
1vCJXYV4kgzymd4sGqK2kZvOeLnlnbO4Uj3QqxnzpXUDXoQOlOy5NJynhtNKiBac4pANDhOFJ4TB
nJEtu3ZX9fs0pW6uKayd6HAO0pxhdNpjBhapH/2z1bnto78QU/ba0HNbaF30GmRO9njMMTW/vyK0
H6OCR50nmW6muP40ATIBvDa7gmHYzgO8SG7n0uhe6KL7sMlXV07/ELq2RrmG8SyB1a7cGTcFMXjG
8g3CRezkXF4mn2siP/d5SRCejfWK+quAThLSou7Ie+YzkejQDFkOQBhDF9EWr32p7NdpFoi7DcRB
oIhkibEplvp3YVJcxZOZnUcnj33V1eSlLTRfPp81kyuu45pxB08AaWZ4ew0TqiL7gzWzK64N1QA5
7JKV9KBEZg4HAuV9bViTBZBRfNc7YAQ4nOhk4mkix+gNCZvpj2r2Dvh1TEZoCJWeft1cUQs17uIO
/vPOvIV4AJDJpI2IRSwdniPvDKLBZRQzJ4f6t4DLtkPAj+zaOWjJCSaQvvY9CaiQlGRhNp80zmdn
9FzMpFb17LF6Wf1xkHrHlpl5UfM12/xQ5VQn6Gh/+fbfdj/UzZv80fyPZRr9f37qz//m39YP//Px
bz9V/bfLw/bxrz/5p3/Ir/99rL3Mcf/0zaZYVIxr96Oe/uHc9h/+5X9tqGth9vx/z3RXXfsf/178
caC7/Pyvea5v/maYtuF74EtNG2MRY9tf81zP+43Ek8tficV09/U3vw90Te83C2eSpzNj9QwhmNr+
Da2/jf/1X0znNxejGqtpNC3+RB7yf8+a/3R+oh/q9+//mGw1DOsvtlbSLS4jc083llmzR8jyz+4/
JTL22llu7ROr/TDq+Fbv5psSZE1ntsUx1NxnbvEINvbn2Ph4z3txgyGah2mLP4acfLNN5LyuGKht
ioT9hj6/MHG59rJnsS2I9oUN3MreGefzWNb1Lnfs57qMptNEp8uJlSPlKnQLBab84ffcrSlmhT1P
9ck5Mq6lX5W3sohKGjtTtDxCJeukofoI+w/LSj3l1oHgKTBy1WluX+KKJ3JqIlDVlbURsXiuQ38I
/I+Rlu5tUqYt989whg7SsIYuqEGp8VpW6l6Sigy0BLE1rYm7WH2/rS0t2hQjFGVqfr/To2awmKla
jKBg8xPHuBSDWwWmZ7Fmy28M9oqrosHUgS36lirhoDYn9I6xzDaNBLWba/W3ArW9iRx1GPs82vZE
wEPazjdh5mpbb373k6L4BpfgFONZIe5PAlENnbn1w1EdXJ7UiKRbSektDQLli5vM0cls3FdPpqdy
jORG1GjWWe+7axBG5kpnt3Vrzvf+HadqolWLPqRlW2VUlMGrsafNtejfue8U3FLotRum6UOKnCEc
cOTWo7EA5Ndm1uLmaE+0HxQtAzCkhQipX8BZm5KHZHgF7hIfC4+cBPNtewHDi5Q9oGcc2+VLX+rF
tm3jT9zG3+I2tra2r2Ym5JSdwIBmZx3m29p24pe0cq+TRMfVGtlzaxshmUVdRV4KRQKMmbOlGUNF
MUKyaUYnvrwYRpLupsIxzjEqA+vdRUwQ4dZKJg5v7PrBUAtkR0KO4xR/OJpMDg7NwK3MwAzbVr7K
IfCw8yd9ixKyWuJyj0ixHyOEQckewTfZTwNWnrox2ZcDVfT8DnNfM69tsjfHa7eFZiRBJfy7AQ6V
GlgDppo+b2yOWXmtI93H6ap/z1M0W4dSZZsu48CDu7fCFwsjbK6Suwevb8NNVsFY1lv9WSTjdyEN
ALdqgW4B/QVrEoH9aN6qsW6oh7sPJTM/Ys2s6otOQmqCWp67XC0+5aW2q9EiVoUBt57XeDEtMkI9
zKX4SQHOegTtucss56kdeHApadHw5K16lyUTun+qevNYnP2w8um60XaU0rxW0y3Fru2WMlMP/Qb6
kWeU7Tl1Uf88a+kgAOuRdtZrnVU5QJ+Np1k5UF6LSk8wH2XCXKAOHSRkuVHpxOtj72D4JeBs6yMc
YtAyWktFm3L2pCwfQtRrs8h50dEB6lC78cN4B70LgVt7LdPwmzcOV3+EC6S5kK0G82h73HYiXLsO
w9/W4GqhdJIhauW+x8adU+r6ii3UM8iANd2SIGaLaabFXQPwdydMKFAMqFQnPp3EgqYXYp6L402d
qny90MY3new/eqaRbG75pGQA+Y9Qv/PaZ3DXXSi7pPFKo4MvFvojJS2X4vtXVlAk8wWnXXln5RRx
yYIMELv1AC4hveOEWw1peAfSGUExMwMpGrzVE32WG9jid/RVIPuzyALxS56PZu2Yw7HNdZ1NnaGA
FcZw1liQyUuWb9p+pPUbWSyUubzp6/qW1yi+eXWGa51qR42dHvaLqNq7MQ3waVmhqgtMzmJmKEzr
7LZQF7/VwBr4AScZhzPtdlv8LBaIG0djKAG4V/YZrEcWjZUq9fu8y49gjMNAZqABZzOBlj7AbuVU
Ap6o1K0h4ree8Ta1rSZl41M/BnLOvzstvgdPefMhwRJBxSRDWEwI/IDfbKt5OvpxpLYhA9+13hSf
zcBExom0ZAvw+3lw83STZ+Xw2k/hwcNC/rRQAw6afTvUDGnYeaXr2Yu+FQPqX2/rh0RIb0cIV3mA
jNva+1YYiMLwQhhSZdOmasFNjgMpc+8Gi4IJXaJ6ZC/prLDCgnqctrZjlueU0GqTzp5N2VpqrWwR
EeAnIAyoxETsFcVR1xDXq4Gxc1QOu1LOd4VlmDtp7Bl/uUz8iqNjUgLh48ekcDWrpXfI2C+blNft
GX3TmxaSlJi9RweAOiVnvTqNWv5s67BkpjC+NayyIEhqpzsSpRDb428YwbBXmqPYiCpjvV8wfshr
E89HlbtUDwcdYdUbO+61NaQD5LMWwgkc0SPupvLGhGNbuH1G5QSPNK89e4hb5rC1Dbs7G0b7kJXl
D40VyZo9B9AaX3yqMiNvo7Qc9q1psLkrn8rKQ8pMIneVdTX0WmE6x4xQDzaqgZaXsv9mw5/fN0lz
ozOBZt8y8C4pUIL+xrRc1vI1jHs8y17Mx1KEn6pBkyAtbKylzo2eeVO/S+jPoShpwIThfFcG8XuP
tMC2ScZxbT42Uc2xfaS1xt85OQ1+jQgfTZFPxMOA1NFE1xbYFcwqBj/vyBtzMrKz3yZY8HVjM3a9
WMf0CGJESC7RXJgnyaRqHfMEXlONi+LDphtA2jYbm/a6QIZhFKoV3oDP0DL7OzwACrre4O9z6yla
lcJon11z5BGTW+dqbraqQIyJhwoOVkpeAOWD1ffnmGsUraHkB1+wRVir+rGqvhfRzGdliCPU0qWq
ZGoP7Ztgq3QelvsDqyKTe3ZzGxaUWdBaFm3iQuwb0o1GNBQvxai7K3wyLROMdNhrzGRWNZLhONGx
A8Fga8ekL1iIrPSq8QH24B6j/zALSi1+FX5HUbGW38iErb07IR2k5HX3ENbVXZt5EwRV71BOln4T
qm7VOKV7sahKoBKD/ZCoo5vM4tmtT9nBQqgJoXft29r/CDunB3MKCGIe2zJAnP7o9cw99VVxO+pl
EQgtJSOdd7xg6r0wO/vACPQdixAFf1AeMsPvbvVwPIF2ilftAHywjZvvKrfJCjbGO7x57yDtbpf5
0a1Plc0Jd0BhNAQLauqYFYbDzpRUO+E/Y8C7T+mqWSUbOF08f2tDwDvX2Tbatg6BlL14POcMhlT3
Uw7TeErHEHjfkL90S9GanJyN6htrXxcO6BTmIpSBXf2s+mFRIrGfStjkBJLBV5s302ynpyzVT7bj
JjuqP8m+Wrsy9OjZhR+shMOVkPvvBlrpWmMQulbCJnXsksqS6fAQtaW6GRrHvQGod84MM7DcGbNb
2Y0b3dgL0RvYQJIfECz8RdHCusSqw1dED32XmUvj1i8jmnruaL7JhadbN6lXWjdT+ClKMtAhBRMh
6jqeZwaPtY3vMcrusI+9yCTtNm1o+mQGzQPzj/lQxjM5mwI/IdMwpt6EMIs7OjhREL3kzYgyPhOu
QwMPssy9cPpwU5MYOw4Jggkg4AdjHsKTAklm5rG+aSJKvUJf8cRKrW07MXtnN/qBhrHD1/YZzRO/
t48+IYgwVxK8UFx31Jv3mralaH4VpVrJA2TDE8fZe834piCQ3ICHOlMXfxzpQdmDfRSM9+j72zKx
whkQmzCbfWIMw4Qc5NHcCF7/XBWD2I06+iltIZC4XOdDqVRRcpicxVxVIP8jBNHe3DkdlQ5hi5vD
Dul+jZx2k6mxPUBoswl5mw9UNpMHonACjE/+MI1OdWGMfegt41q3pk8AVJyzqD76RDd3VH5oYWIe
7El8JFZMvGiS5SEr5TvT4xTO3vzchXrIrsC6nfHIs/P/8t896qWfkytI6H5LaNTwzWNCU3CwdBJF
hRZeGpwQJGrorAa0h9U2ZgZl2a9VQkmTBeMx0NiJ8Sj2U7oGxx82XcUhwNq80rMtcXV64OfIv5Sx
gX2FFbvQwzu7lreOxPbIBO173KiX1McNCTmcUBbuRzZTuAJyFiTdkAx83vya27vBafA3wreHO9Lb
j5UOoS5P6nwPjuRFE7hlLWfWd6r38sea6G8UI++5M4J6iY/DIsXPxI/Kiall/Ik4buK5fzYjvAwY
kAHky29lnTQ7Sseb3Qj2ay0oDvDwwVB1WIznOT+iBSe7MmbV0omSvhkhj66JE0FKYzpZlIf6DnKw
qbkZjAQ411xhQxC7jBlMtw2yYgRORk/KumocCv7y5uAMiGdODd0ppq/QnVep2QNZ1z6EU7nBrF/Z
ptnI0N2jR3plz12ORqVBu4ZDbv1wQG8VWLbQZ00XJk2GJnYBCrfvmfBcjTijYy80buPE/tRNfMTE
npl22wxzLcyK/sjxALfXrD3AWStnhk2h9VzhRtdKTGQPbdN3CGvLUtnDXFX5WkbiXVzmWKabKDNu
JH7LVZY2Es7MlG4bxvuIVGjzmQVCPNHlT7PQvE3sxTeOxmwavN1uduaFukIQxx+R8mZRF5QEZT3Z
IxbsCU6yCucVux6q/qrkiUDQrayae9adDJO9adfP1fJgnaetqbU/DVm3uDhYA+tE4y+6J/dUIHP7
bZgBM1zY9oqIvEV9KoCk9xYn9oZoBtcDwu0Ysfbqhp2ZavLgjs1pKgcXNxp6BHi4bYXs5i6w7jKV
MvAobGJ44q3UyNpGTpxbvD2tR4B8KesVPtYtLED2tvILbx2xggRSTQGUzkiHzzdVBqplAyerbc6K
M5idDA6shk1CzLS+WNkxm4GtNSX1LNSVMSCG4bRnBbjyUtO9ttm4CdXC4HGKtzTuT2mOxbOUzkFG
0EM6s7x4x4594NqySxzRpaweqcC6bbBUFXHp7qKlXYqEDm5ebzXr8/dkStW5zSYS7vg9vW1kme6a
hR/7d/ZXxBBXjs+coZ5DuZ3TJNoOfphu8K9Q8NFtR9GMqJvT+Tt4CgeCCJu7+ajb1dnB4XIq8g8g
EWz+QywelFpupEocZjP9rho1P1gPPqz8ovHUzrHjY1P1QESZYAfEk4ptRXXgOp8obG0wkBmxtXJr
qMWGtF8iF29oB6lhj9u8X8UmL3eJ5a4MMXzLLfBjox2xROnbA/0gBj4C/6mf6LqN2B5SN4UDKuZa
WZcSQ3pdjPsSHW2N6d4KeHu4K3Rg8A3zKR9xhiNSnnP8rSwmzHsxWHg58vkhpqOycyJxxNSOb8uy
WY0xS6OAfmWag0vhMpidaWAkOxafdTWNADXJDlQxylZGmj/AmFasXe7ZVTbqRxeJvdSXih90oMCQ
L2VEIQYI1KkvvuuALfEg6pexpMfK8zG3ORNmGj9LzmNvTIHmOUscIXpzXBD/FTfwwvbwkGW6s6ZC
NiN/7dTgymuIhzwPa5pCsVwbL14DL8ItQCBrQACV2Aw901F/Vo/CYz01FhSxRIa4S2KvOSyLuam1
krOrEAF0N+PDRhib+tIwQEpq1pNrjAENHzJHPCiz0OXBw/iJ/o1s41TDOU8HQgZL2mCG9sfzDsT5
/9eIp8Pnv/6L9w814m39Vnz8OfWz/IPfReLfbAF5zHeE7fuO7i8i7S+RWLN/A09EYBWFFvUY/+ff
Yz+28RtYPCRieubJs/4p9mP8Ztme67DssQxryRP9t1TiBQb1S+xf3pjNygT23hIddoTOd95fNOKs
ssOaOkGdgM0w7XtrdDZhyyKo7s34TH10jIeIckvVuf2D8jbjgHUAS1BCrQxtozzVp5uRO/ZZMQ3+
dTn9Sk/9Zwr2//XaSEKZKBGm6To6R/EvIBLWFWXbqIbFqcReHnVdsbbD9q6KJ/2qcLuqZDLxYAxW
uqNXzKXhFm21oMYo8CevW/c62ZG2w6cUpZax/sMY4D95cX8R1zlUUCMR8G1O7/Kfy8n7Y7Re0f0B
FCQjqUgeYYEgs9Se+/omLDwaqF+GVo9vUsuXm6wcp3VUglfNmJUWxGOXBsuufivzUWw1Txrn2j6G
JPifVJjASjYq6gzZUq7DpmHwX9ZGQD0QJeQ5tTfJBEsox0zBPsA5WnRn7zQP2sJceBunl8hlRsng
zhjAky5ffJ/WgMTSaTniXP+Tg2D8OXC9HATfADWmm3DwLNfyFgbcHyJjluqcsI0wNv/6X+uRfrDU
ehxm9Rwj4d3gv4avLR5Nn85fLzVOhqy8gz7kDPeXdyMbPbm0S4CT7tKYTaxx/49Pk23+9fp2TMHH
xGBC4zMGcfhg/vEVktSgO7JmXz8BpIAFvITcI2ZrERLZRZm12JbMNCvdazm00IMkSbRNb3MrxTs3
bMd8MlbVAotIZ8beMxvy9Th2TDeyyaagU777NcXVYrzDDVMf6oXGa+M+sbLcuPeteAfyaDrFKbGo
DHvi7QDIN/DR3lK6sIPYxJuK/JTdfJWr6kZxnEu3XGHKpgRbzPXZGInTW7nxTpUGaOqiv6V/fOPp
FioHkez1FwXIz/x4L9ilktgw143VyUerm+fbf3Io/zxO4mSDTPM5ko7gpsXdajnUfzjZYuSRPzg4
NOO4/uz1vL3HNtFuGjy0ap4MoPD2HV6I4q6uWS6ITEW3Zdb81KtwuO1gW+RZi10DUnQB1dq/L3VV
X6Tjv/JvnV3HjPSSufE7NK7mYowNRJy+qoNoYF3HHlC7AFda//10DBaHyE/zYpMv6JLRBM/v1N1Z
CO02D4ezxXL7Lqo3+WyrG5v9kuuFj0UPz2B2J4tk3ISZDIDmdijNdut5VbLNioMOsPredepr349L
MltS8cam2xmT8iZGtPTz8Sn32AFFdhed/8nx9b0/X6xQERgW6kztHNcgW6A7f8E4SC9huWcjshlD
iqUJoR3DhH8zjua1ysg0a8bcUM9qmzuFlBuasb/R5hvKjSULsHOi8BZohmOdESsYHflsZ3t5Ke2P
2hXJJYwlfj2FnZAyCvJovnvBkiNWnaGZ67403usIy4I9TqzFYvNnvHyQZzN8GQkyu+7cnXAZaqvY
ZsZQMGBwdXpKoKbVZ6cilxDjaYRiVZEMMc7Kqs0TVcGPsWaybtS1AO/7vZd6lGhgW8y0VyqvnX2p
TAiPdfpUt/ouKqsj9TuZJCxn2yxcClvedOXGhkyGb3wh3df3rp5dWA2Va0O4J9EQKwcJioX5PpYD
E0Xc/tNcLSwOBH641VbmvedpyinLHzKqWrWQgT1QeQ2qvucbiwHUeGqy+sE1HiiOKwIG6KBLDNhR
0NAD20yvpD3e1HSPJW3Xzdx2G0xYtzL+2Q+J+LbQLV1p0BEsbFxBxp2Hr/nAspoFWF9YhyGZAUCB
Yb3QJTZu4xztFkNAcS2Ki7lgWu3slmaudr5jT+Ou4Zlg25a9U24MQmLMphFjNS1ZII4eo017Mjeo
gerO1KMddPG3QVK93OAHzzImk2lZ/P7FNvWa4+feKhD2e7eX83fTL48uLFKImqY4Csot1n4kovsm
TodN58flLWCvdGdVhn02VOPv4fnd2TaJjKGzk53dleEdwWYtoA65eTbi+Wece97nAMzIoGBXOuZN
oxnx7dcXvw2RXiaOcgSS3TJ6whLYqtnNFHDS+AXydxr5F+dRkWYrgfn8EFhWmALiUF8EkxHQWBmC
X/Y79ZrYDbHjXIlvoWR97ZGfYrYWEgtNHBoBClRoXC1jYcjHptYWrd43z254pITGfYz1/gWldbz5
Yt9JhmL5bJ1cf+zvWq3tHpM+Y4RXieesKrcJ8PhtlSDkEPZqKKr3vzXT4O5EjQGprOL4buZ57yM3
XUlszbc9CLgvtmyFwS5oF0OQA9eD2yc7hJ46DunZU5BjaQ4oB4yZrZbmQ91OMGK5hp5EGL2RvFOv
YWVe1WSkUKXsJoi03j+qojM2oq1/fn3XIPHZv/4CQ0uIunVkIU+xsaKA4fjri6nd4IvFHTkt2+94
+YxXSZkcc7e4diq5M8mT3EZmR5JK6Ozxi9h/9kP6PDN/o5eMKiN/PiobAiKdqA4cHDUEtAFOWwuR
igt7RDFL+qHG+K57519fbOShGL2W+FKvXCq9u/by9y8UVWR7Qi9kU6iTeISARO19NnwPG93Zp7wU
ouKxedQo6jlnghkyvQYUa6H3ZXGsX1PqDVZmVMK+yDtcb774lhhXLWl/uJJYOk3H1wIs860rK+eE
OQ5KFCxRozLMN7RpNcb9e7L0DJjtDLRQ8AHY1ZAQzyUJvKMgnvX1XRF3tIcKKI8dO0nS7c3Vs4BS
pb0Nbnqqr20lTk3StgdoxOgeGTPozJ4p0ekoRzf89GdDi9KywFHUGtjPKokfyglbVyGAUFPLaAQm
PS3Y1ZzFRqF3zQ7FpD2Sn22PhtejMUi5LrSGyI09D/fUeaNewJPdYXbSch8CUjv8MOrmPVlgl7HF
asXAh7nVTD0/Vh4XXlhK8xo1BRSeur2ngr7aOfXOx4F9n1F+2bT+fR6V94UlkIR81d71jJbv6omd
IKCvkBkxBvykpfGzBFzmihRvfqKKYJ7kh+IhfB7TkHzoEG50ddQnEDcEMAih9EnyndqAAvGRVkWB
UXnlDlH8ncK86RWjRVs82n2rY91DUW+XbzNJXEjNnnuPkPuj7zh7cp53BpYpmgEEUAzMI19fOtc1
d4aq8m9W6+MpJEpx/qL31l3d0M7iVzvhT8W6Hy0WFoPosb0lsQ8UOnwj26uY57Ss9BzaMhcuyMYZ
Cn3PWY7IBYv+3nQndazxJ6L+yP5eSyN5jvz8ubcxXyqt6+5dydI9EfqiyBFYAVpcQa+hZ2XKCoJD
qVzq4S34AnWPzSDmce13RXqiWISEprb88ev7rz95DEMZr2dkhrvoLsdpTkiItxY2GJNr3CxW1b8B
YMCB7Q1bKFjBENUm1ddCrsskA5jG4mUdQvzcW0xC7vh0+Dv4dCRTDQAzJRm97cjDaCsBWcEYmegC
nDIqgXET/1p7zpgAvdyk/lcfN2CRoH05uHbmTn6rQnyj2ji7QAU9e3nSfX69Tz0qQXQCnHF5kARu
U+uBn7j1de4zuRZVjEmP3rtqKK2nmNkxASfKVRe2mT8cAVXhy8nBRVSuV5x7TJKynPujVkl1Npk/
7aqJhOEX7Zs4FJWGSZ8GCEkhxsaIcTXjYmKGVvVA8Q5KhnGv2Yh6E02ADD1S6qX4aMePM2MOHmn9
fTrP7U561NKkKUHpMQT5gHRD5QCz24rA7g4ay01d6uUV7s4J6bc7J5LekzQqXxiBH+1+Y5n901SU
3lHQxb5tPZvYDZP+VedZ+Y07u9AUiLFu43Z68NkuAC1tFIHlHy1Wy+eMoTvi3ZjfgbQo18SXmwfN
jpN1MUafuj3U268fl7WZHCNnWX00w3tHM9C5qszqIcmMV0V/6DLCrB+IYm5hsBN9EwzsO09dUZSL
dTdQgDXrKujELZVa423V0jnpsEXmqVJOsvnAI/VpDSp+tOyB0nchEIs7+0j+H5xUTTeBUQIhyDN1
rjMeXWxAciD822ig7Chlvlia+LJb2EMFasZpLsl+zKrY5VZ9L3iQHlmiDDdmg4jX9tlZ90u8irim
4zJhxp5RvZY8pBTWxuJVMDA5DKbH/zNhiVjOixDs3VoEBwPlLjB2XFqouskFnr5JrPSC0TJ7mtr+
0vTq2hi0DI8DzD8aQrZ0eqi1qugrMiIb7j6u9TbJKGFpzAcntb5ZXPUnjh2FDVtnDOlQz9sT9urk
SF/GKt26uJV2hL8uVtqqDVxvmgrn/h1XzSpifO1Lb9VFMS0fUoPQgT2jpQ2+Z7hWhtplcrSNT8An
cHGMnJ3aTTdJO06buZxuHY8FM72l6wJ64V4suGG3LfYN+n42VOGS86R5g+iZ3/njTRfdJx1QFZPI
3NoomNcWpnYi6kk8QN3qNI55ZRNdCXwMgV3ZDeu9emN1DyO8JK6tn1pKbXZPfZUenw2LRkjF4m6N
0kgsCsttmOHS1afpVc/09J60g9ZQ0KTuEQHco4kCH5iKl9LFw3WZYI+lVZ5a0AStGXpHJ1nWbPrO
h+yKFZoZru3wNKypg6xPVaIz5MfrzXZ+XZio1ckYPjjgWvbabGyjUtEm4nevdgFznMq1H+TCF+Jp
cjOyMAMjWmxNEVVABNdJWdvQGpZq0fxzhpKhRbF+Lqz5MY5sta+UR+K65x7WjuM+mfJzR4dgI7ks
QTWgjMekfxiCPxodA3rbf3F5tpC1KyFTusKjGF09pxASCPJqsGzoO1NZ7TIlfa0h//MewsWA8sLO
mrsk4bY+YXIy59MPn3ECrho9kLrxjc4mzCNpUp9oqrx0uncFPqitTYtAfU6rTpT5l7A2ntyWcu9B
2eGO0NNtarj2hgrYnx03EWq3e+CTNau1yXgpSInhf0vR/JndC4xb26mcjxZFKFsR0spZgMaqnHZY
9qY9qPzhrsk+BgdUMHU9+DveNT3FymGL8UEW+qv+1HHd71Gj8yCeCwagjbXViShRqjKfLyGGPown
9CS7RExF4dx2NrNmb6LjlQ6Ld8+b9o1TLU1LDJWcJLKPIy2CU5ljr8rZQlHThPE6w2tXjZu4te6N
iQ1aFrerKbeW9Xthc7tsDwP68lK75wZuXug3+G0ujVE+Egyqtk5l3djwZ445gmHXczlbNd6/sp82
ObV3dHNOpyhqx7PLrV53qpUpSEFiVvyRAiIwI3s8iBZ9Wy9JZLp+fWosWKUVi8nU0tQBle8pkeIO
J+a87TtLXxfK/5FOwGSmyt7qjQS28eiaxOvBfL5GSqfap4od6G7cTiOKbboGNtdkeMcS3xj8BHev
z6jkphM564gtJlb7xwgLjsRAH5RW4519yZAMXE697gnvstQ/Svp0d7JMn5jR+g/+MsOD932vZaB0
Jqf1N558H+ZCYA/1rMBZep2gkq50+O6HZU+UMplY0QDMyU/5kGQa9ViGth28GMzCzCXMhI5IhBFS
J8jD24nCe/BL88mpaCLF+76ve+7/caerHfXmbwXR0aBghOnbFTGIhnSL9AemU13xM0FbWJe6rU7t
SJN65p3x/Mw8DaxTGInwWpTOlUWVbmrqDWvzdWQHZ6r8eVbuNW0g/VhMdnD51cVu8liN4BFcz6ko
Lk2OECuZFAHyZTM12/MO1iZiYIt/s68+KJzj0ciGimuSeB7czGAZh6zcET5N4nbZBYr5sGEZZCmy
YR4+JhbL+biP2/Gj0oXDDaE6ZC6kAHgvYt14N3YqxSrqi0/s1PfRRCq5mFliO1Yk1p4CcYJolwe2
weJON8hzVOS8LB2DCWyKOWZyYih1VoAYmQdn6dqjsqFf9IiQ7sc1ycxVomJ+k+PSGFFUFyMN9f2c
AbPqiSJD1SPKVU/G3mLctkKvwJYcFUertV8QBXB/za+NMS7MDnIabaQdchMrYGX7gFhCGQyCiE4x
y31ph9k9LQybsnvOnCgK5IDt2pvtq4c9lO0zybvRLGBRmCH7W3sJtVcG90aYGdlAAnKKGzI2ixBh
jkZJeQHHQDaMIFsMtBuTglegZVAoYtGDdqA0VxvAF3nj3uiTfBfj4YjYPq/pW4WgoDMBJ/nzvV5i
wH353oYFn1vNpFjZqAKslz4pHvEwjrM8aFZDn9Dwggkti+wfUyKrAFSPoujK8fKDqoUKQufBJd5F
Lj4dQaEYB2HJCTiAt2UQZx46MthmRsRBSd6N1+xScvzQ+udgqGASeJMfYm4CBomwcE9F1DVKAed5
GXQy6XBLMIvUXs8h97Ih2RB6vkSiosM4oxvwfzF1XstxI9kW/SJEwJvX8p6+SOoFQUoiTMJmwiTw
9bOgiRtzH4YjdUtNU4XMY/ZeOxwZsXvs7r3QRPKRI4zoasdZJwjmEPp2R0HI67qpYf1S36OfwIWy
sRp/ayJOWoPRSA927B0tpoC+nzKBZN2QhW18yiG0NF5aEPsY7KSa5TosnGZvEimBT6QGD9Dh0h+b
q0QNYCFmG0t+6rqMNjQF6sxoyIeZu4faDe0F4+nOE0yDXbM5dcSibdnhvU8RF3xT8bPrif2FAoFj
DjzG1AQZ4b8zV4oN49bNx43pgG8EN1MTXWpPW4+ydgTbloQNUvACM4vtkpY+sM7fFMu70q9KUu3c
4ZddDmfsML+qTOHBrxD+uR5O3wJZQerWm3Jg5xD6L91kuTtwhz0PHER+fPY2GIfUWw40huaujZ7U
CYc1tFWgGu+skb9NI8Cfk3Wv5RS8dH17h5VOxulASCFN0sabFgj+HFgHsg8Mw064GuKry/2wC2N9
CDt8lm5FrvDk4SPNPfPbZvS1aSUmPuUvZZ3JmDtxxUtHRBTFqY80IjKuoqN3mKmDAHuFpASFApUS
SSZeBnJbZ2T2cjpw+Cf0WogLY3AV8MthPndI4rEztRc2/G9GGmO2bmbyLMegupZspKe+sjeW0ROJ
GQTGaUg540KXpe849WelU4LCkwJ7wBAY69jhTkVjtw1xX615n5o7YfJ3jOHNifLulCY8V94MvMRS
YqMW/mML5Srx/HXA30dMSS0vRghqdj6ANVAI6yirLwp3lzIRQAKWG1jm8Nnn2kCJruct4XA3Kn3G
gRi3UU7ETA1REZccfOPMTdjhnXIY4CC9aZjrLgn1Hfg50HluM3224fhoNkxXSKwdmcTg4J/0Ayvr
U+aZkLYMu91Sb06xscdSjgIRTA+I1zNLAo8jTag9lGOW7Ajb2Ymbamf5M+lU4A5oZ18juOHM07hL
eCthK92zTJObNmBKQr+ngJHWNBeSIECJXOVUFTDmOgFYSMmwOlvNXOGoB37XJxyAEiFmgk7lMPYd
WWF5v7HigFbMhhaS1+HCEZLRrkj0ysQvcnI7yMW8Plft9EfhpcfYgM2WGal91WJeA9bNT1Kh4rHa
z06TE4hWD/OYX/LQm8gJDetEGzndHel6UGUAYsO238eL/VsNELNpL7OD8Op05ypg9WRWB0Zi3exK
HOsIq5b05x5TCz5k/1FAjl31qvtJfE1Wsp/eyEPc9N74bXjyRnOwMYkQxDwbgRHepEP9pUCLbGXo
3Cg00HjWgNqvae9+YAz4CgSKWr3zx5gIc0CyafBbT/wjB6Jd6JOu2I/HfuKkhkTat95vqrFnEG02
F/tQ+H9jdUjZDHw2vMEVbrUwGe7Ki01sGcGlLZHVAN6gZ9fVKyseiyy7AB7K1K61OVtcysFnvgAR
pUV/7OV/+zJ/nmC7A1304+rWxFACpoKxMio0UHcrFGyn2v/djO63GizWlgluErw+zGur5+l3oHme
ykK/W+gv15QMr52ibfGmo00izJouHq4GPN6cumzll3ybIrL+YNNmnmi9MgLjfcc5PpQtsNW4Wo9G
Wm5Tny8yn9LNqLiEugXsM/XWegiaeMPQpBXmG6lszPfN5cHIHlxY/1VziuMapF2BpMXJi9cu6B6M
8imPGyrbUcLdAViELWLwjsgrXwpR3YvAYJSsmxuUAbWWYTZT+tFW9HDb0G9CRkji7rdou3uQlYx/
SQrj8nM5V/A/VkJePaIMUgv7iwO+hItkYIeCzXfXGwXSZK8+jQrEbz1YPxGupGXgMq/wwgaj2gkW
akpqk/WXYD/sEvCqKf1W45BsO4IBVpl2v6l19E6m36yTgKWF7kPwW3nLpMXvwKkwlt9MmdhCIsXj
LKlLsRFzv+a3nir2mCNM3lbcLisdxZz2BaV5Een4lpX1324G5qDV1TD1Lh+9e8f8nK8HONLCclgJ
EYcc1THR3ACRNJ7bW5za9RYXDpZRUFmb9HEy6/5aJL0HOh4U8gSHTKXEb9TWhojVX2NswLYK1YOp
bIDzbvEX3tdxNMVXTHtKca4/kP54K9goTDHY029j5ZaHkVn5JspAT3WZvkpm4cQd0JTXaO22kz2d
SxUb7zEBy4GjqMFiA+O9P76743COAiRfxHVlu1QwAm6d7nmyM5iJFs6HfPF+dqxgLwqKhquSg6rD
3WKcD7pvcI5vvnbFs1nRX5FVeG/VOO5n+16FuflgplNBrQrxmjAcuQbDB6Rt0tkOzhdDM6u/py3t
azxMD0yzgZmlX65kntpLAlimVCKajO6wReiJYtDQLIx5k9mqvTi+sykx34S4l7Ju/DZzpMSMQMAM
Rv6mkukLUEhOrCYfQJrU4UsQFH9UiJagLeaPHHKNL2ZCVsZzWJ9sxoorsyM/1c4/9OQwDpYvpECZ
IO/Ers5a4xFD6hK7QhnuTvGzsvvhLOvquSaYZx0pEpmQZEqeUpAS5XhKtd6jmqf9Vw4jgrouSSLG
vlPNI52ggIo/T3ArPN5YTuCWa370KDdLpn7WeBsC8+T3b0FdE8Qj4JC6fsjhmURMFkKKpaHbdBJ7
AicWKZWMVMIe1QUrY0AYA9mVzdeyZ4zdDwfB78F2SWGZErWbXeO9DTQhuTYujxCxLrqdny6N6gPZ
3m92FdyKfkjOLN0BfVS0CHDWIdxenb4/tb25S1Afto3GZi2DLZLvXQXRoGHntwKUDQsFrFbcxx9F
gPLXSeMfpJprUgY4CQECSIOTxaNSNa2ncvA+anfmLhKuXqtObgyAExQAOZU64zNghLvJkihtnuI6
sre5xSHEi/tMPjTEgiD/9ANqf77iaD1A2Srb51rge0PR8+HiTqj9K+FS+AJbOCidwxRrrg5h2+Bn
nkbEcda4s7vwnXjF30Ur7yJskBMotVeMjtY6tNV+zDC149XX2ZKmF+d0FvglgJqI8zDkr36snqlJ
12RzdKvW9IBKsK/bDc22WvonRxDtbdsDVRzugXQk8IuQn4pyJAT5JJE/2EQVbIjsYefp9iSgY3eH
j+GSMdEgJuqFMz4kTcV0LJ95uSZs9yEzGbSsjO5ycXFUfqurNlsDsoPKMzgrrZt2w7IXFw7rwpgg
83W9csd4ANM4FJis2s0UvYNZfwowohxqRhKMJYB32GNNkZkDg4kQs0vLfkEAkZyglpVrt0heI5ox
MLQkoc+T3EYuSz6rA4Gb1fkxK5DPJwhxeH5dmFEK2ioU1I3JMX+1GOwZKWNcoZg0jmGtH5tK7RMd
P88IVVdOW+7yBhduwbgaOu78buyIki43zPwslYJrk+GzMoJfvt39cDSQtaFSAkcYaa2i0vqAx8eg
sKvENs/PVsBemeAjJ7MZJZmvKAL3xHNwK5FuswuL/hOs4cUr2vhhnDAiTNGFQWjFVTXHm5rryhWr
LI7nU/ZtNwXYA6/+QR+PJtsw4y3JwKAlEH0sUZdRQPx41y2ti28e05DqlY0odC4Wxr7IODeB0hjz
ofCyH2jsNWnrjOBiCydnzumU0YrptPMPc6NQbGoe/rYkE9yZm56ug11K/Dja8fcg2ZeBKeDM8JEE
FNgH9olaIgyrbT+y7cNB152KWZzVVJRbn7fDSff6VM+ufcpdmGo5Gan15O+DgJhMa9L0/vZXb5Ai
npksX/zYWjPxw/yw8Qd1bCu+kqn7jQJuYC4ReYx9e/AZJIgRcr0K7Mm+2k5xSTe18H4VbKbvYCkf
W2zAq9EiyjFncLltcx1temdAvWKSII2/1IoCDhoR2LcEQBW18Sfkkeo4PMadwObKjGulO0k6ICQX
7s+BV8OXa99FTwV/zGHBpPmPVcYtMaMH4Wm1d0h3ppfcEtCD5Cr9qdksKTtiZOAY4OY79wWB+zkI
cu5G/l/PLVUM7AUp5TvZ8nRiLrC/jvURAOoOF7D091FVvHhp/iREGVAysR1ly7Idw8baWpgId/N5
ZiQfliFLscWVMuWs0vuFXRrBQfGT2geekYmTKt+poKpzPw7E8Jp647NE5eFdLN3GsW4J5KiHcZWY
FO0zNBhG8ET/fgiysA3yLOjo2yG6FjSPlp/8ThvFHWggvfaRH2Tce5tektvFFjteRWmIEgpvFk8D
hYr7l5Z7Ax6S6q4yiUBo/Y88sXx0g6g8un72HnRS7H2XH7qZxbtIegzN/BdiHe21HzTEMqLji7pK
Hcyem3xCDgJB47UjuIo4+HrYEoiZwn4izqQp5F/gmozSMFBnCVtFgH8Ym8MPMM81iXekL/XhgHK9
RgQBjnATsu89ytdGpM3VJm9QFFJuih4gGu8mDpOvAT9pqMEYV8NIsyXp5YXP08YIc4sDCDurSlFr
VNrfk1qAR8syLmP4QUJCcrGFZPYRJwUuwf6hGNFxRP6fUlUkc0r1lUQvECzAdHCNngrpm1fPLO+z
5H2ZeeGIPiMdbm6UPKWSCYcye/Mjt8u74dmHomnqfdSx8cVUS92FTX6cV1TLf0S1SVv/XRlIUqD8
OG7onexmPpvCyy89fXrafydeQiEXI4DLiJCGDZv9IbUWnwl6cN9vaMyHM/fPpajAKkG35rmDNIN5
5kfiWAD6Nydbth7QcwG8gKq8VZ530G0NZrofHwHc4i/2y5lgLgNSlYzPTT/Ko1tpVpkoABzvocKX
+zUJRmRhQj1FAGvypKN9FnLcsyA28TVmwymVSbx1tN72XXC2A2h0vQUSwUYY4ap3v2J2PMMXMubu
hghu18DW2VV95mzCpDWZSVc+GTdMhIljmnemS36qAFL3ZCHRWVk+WETHhwfc1MZOGrQdYBlSKAYR
GSIc5fAIwH2X5UqpoF31FZFXVfjZsmIE8hocHYwxa4AyerMYmPzZ+Cny7NGaUtLYkLBh+TvgYW2x
a+BqknMBPpPbsFtAtjMpakf29et5nCF/RSGKuBrwsTw3Qv/iuArXQ2E/VVHLPSCE2BW15wBFD+2r
UuImCBVZ/td7+WH0gLdLnzLAMRn3+jFXe05Nq7oCwrUWl7y09Y5JQrxRb1PuvxJf9z1Z+Nv93rs6
TPKg+4SopZgRr4dlKmsINTPcBz0ddsfUm97MejdJVnMCmkJuACKMwy3Q/3pV5MZ3ZeWQk2HD3AJa
uhRYAjbKUDGPAtKdoYgoAvL1Yv2UGt0je2N7b7f5VzaHDxFjJ0Y0CdNam90zqU21219VL7KNY7aI
Twomp775rXX+SHAKbkE6PoTFtIOmA/oln7JNbPbX2aUOTSJ5Mw3g23l/CkgM3eDBKy+GF99QSj07
abKvhU/Z5c8fPS90nZrmKvoIll5WQoHETOIaTnCt/CHDAkHUuLW0qp0S966bby1uixpn6coe5ZtB
nlCf3jkm1CqU9rZjhXgimoXo547EaG1yWGV9CArh6rrRqdCsbRVQemzw185qPjPDuYAFbrYs/F7n
Ia9ObgtKbcqjoy+CP62bo4ezKHRLZuWroQywbDuuQhnWv/v2RKcK4QAXaJiua6mXBAT0NYkzHJeM
XCpVY1ylGJ+RViIvNtxnz7sUQZysppmE2LjpD7UqD3ilOJOQbR3of9cxWrNVqgleHn2kPeZUwirw
YTe7Wf3omcUhlNEXxdm8Gv0mYktSIjai6IICwD1gzWazKyFyitQANIS/QuL4x4xi/y0g+x0gAJpY
tz/HdtGeLZNTlN8VXrV70CPKq9DBcBlVbKRLANMqMB6lb+19jQwyhepF36rQa0UnhzES40bjrFz5
niQ4qs0ooUzFjopplvEJOpjMmwqkQPExS0YSKdiygV8M8FN3KVpL7+Ckh7BAqlhiI6vTQK9q3CM6
984Md0glMrjRWlT1ZB5gqWfsGWfYY/salBbMXHHOwuzOi18x/TLTrT240BwAwGIEXjMld9ce0gfa
j00cc/JCNMBYpIt0z3I0BuVAvLpuI9bnGQ+pW57L8er1yAH8+W+ZWVfO42nTIs7kGfglVPDeefPC
jXaOaU9v2Vk4y1TbUrWXVIDpS+gmzSZsKliC3iNRAe5mUCyd2gkhknBurZE/Dd3c7KIxY+3oMoUs
jFnsGfGUpvETq8p/ZCJrtSQssS4tDArpjomwNWCAKeEsx94tNHHsgBzYyJKbo0vBfRLJJmGAKApE
9FB2TAYdJdQl98Z8Q6rWjg4ORnT4NffFX1Yw+Qq7bY+CpNig4j7RR7k4Y5xgQQv/aaX/SrgdO2SH
NyBLz32afkUuUoSsN9nkF2HHMZT0h9x3tqHFWG4umwfG4MPktXtZlGh7nBihK3yo7d/esXcBYUb7
zrfYVoS9u+5DyB82U0R2PwwjIlNy1UQEkC2Pq9tidDUZqflxA4JqIbIM8ZroOhC2mXrzk1FuA6zk
TFnQKo3xU25bqK2W4tQNv6WjL+nSrkYoqLdBPx9qU57FXPxkrRPs1Njt5u6s0viWNkimkbj8gZBL
1tHwSWGGRAkK2rBkLSeVYprWPuk8/06WWQHXEQQUFE2bWLZsXqKbndG3Ivth7yPmchuRWc7kn3hT
xoxm7FY7TzIeTxLsV040QZN20SjYeMHc4T2WWbxFrw2dvh65g6IK6zy0g4yytGSB1AUAJeMEVg22
7Yvwx+faxBrXdHICydV+kqzXwPMArutE3cXAO6EM5p4GHH7A7PeWJTkrsg+R/tidBuk4cqUP6fek
ZoJ8A8wVThD/5kH0YPBGDAhBN8I/xr9sTOKnbQJjk9b+vnSHhzo0Nshuz0ZhlrjV+meuDA46sbxc
rrXxG+f3FOBYo7Gh50WBDtsetceRyBmK4n5+K7u0hxyLa91L04/JBa3YyI6qzNqypX/q7PRvnxrn
GQ8LSpTgpyJSQfJG6LslG9Gt0SrYtPOay2HD2jdaSMZcNtVvt3qS99L9i5jpTY7mxR+ZcWhYdwjY
ky9WemOUoqPN+1/YZylVdYHUnqhnxO+R2pCoykYjh98fOQJ3MMnMrCwZQW2TOOShkd5XlFJqYkeC
4k2YSmhk13IZiHdVbu3Grpe8SvpHDCmquFh8hEXiH3bBzBfsaQl0J8F7GbXfoWt+KpkY+8rRlBcN
IBuNZK32/W/B8mhHrMf73KIT0Ey5jBIFrNTELYP8/ep19xAjRbRkII8QNoctYyCs5FZ6j3u5s1A+
YdZjDhGzfgEHfO8H1mhYS9T2GYnzR2XF0arwArFroQ6wQmbsSjzEiVl8dsty49nWGfRIfp5z1Mfv
//bhypherE7/KnqCLqyc9FWzl3/Z/t/5qZF6gv5mDUhY8+/Aw3kmVFmVldZ6re+NEz1EuXVLA5LD
qojxXdV4xxoGCEtB3oBObRbYaWloWfGCCNLUEwlLLupWm2IGtDgmr1U5D+kRHPy9IgFhnUYEjmah
24Mlmsq94uuhOCR/ZfI/ogJ/r+b0qwfztZL1n4ELnOCa8EnatOl9NN6Xo3Y1XUNHLMsIj1uR3Y4T
dO+226RbK+weSUXA1/lsd8zX+rL6NCDeYbvv/8ySpmu2i3rfctRAsanP8wx/ajRcvWmcnouVEBko
EHo19EAFkh8/kd9MC5/H3iR9ddEWSwdEulE6xqG9mk6+jIZjsZk8X7PwJUlDI0sSnck1UrvfnvVK
ag83d6Ce2Gj167Ifn8lZ8wgOuoShv4vpyZFi097B01vFY/VGps+jrQgaDMktkDIjrQ/FdSWI1/DN
AhrSvBXGe1lVL2FtBUydZ/qeiac/bs/5PKGRgQ8W8B20Jcdq216qhKAbqyatVqjuIBNxjiRFcePY
B7tp8bW39JQqIvQReu0aKcGjOSGtYf18MvnZz6V/Mn2d7KIqY8puMfN12vZNSecbFRhHaxpx98uK
/WvJ1shnFxFHnGtZXpJgPjA6NWx44fBV1mXWXgbUcmQy9kcjwoxaWKxgpPUE+z9dR2Wa7036ECvP
+n1C+b/uE/85BbC6wnfOGtoPHiu0965rQ6OIoLE6UfvGAJ6Z6cxjPfjfbQeQxNESWV5rveIUoMqA
DiwFWR5B/ZzxLqJ+l0wR59fYdrZD4yVcsExPcCldIUYlK9zqLhtGRg2tSD7aOfV3o56JLM/vtdiy
Hy2O+Hn2M1u3swztk2kxcsNaHlCrcLn6YXsuu3wDQ7ckFQRPPwaqbK36udnYQSHPgAgBwBjDQ4Os
H294wPFHJmZL9eSZ06vN62IGxIPwLJE/mFTJbdFD1wHKV9lGD3NoUMRwDw50UFP6Rj/XH5RLIgte
/5Vv01BGVf9tOfjcx1BUwFmRxQ9UoVzthYnuekoIFnHDX22Ckzo3KsbeJGxAUUUOkFuEaTJnOvme
eXWTDQNrdvdtVG7GPP32HeQtzdJYSbt7JO4YZBbryVUMRwk3G1urrrkEjv60Az0eenxuQ9JNR1jR
H21c3vwC7sHcV9TNO4o9UCzXxh36XQiGdMUps80nOPtIRTQmFfmrWZT9aHzXJD26cJ6IE60hlKZh
vymgl9kzmYRzdXedatwNOT9orAaPvvSHvQhgTzpQlnD3YF8q37xwflFjiwAw5BPPpiT6xWYm1AfH
YSKdpJxfO9d+mWeZrGdBoVN33TuRbqDM5UPW4ufgStjC/rmn3vA+tAs5iBxHnYDraH32S8MAkzUN
7oFd/qTu/MmMPF1nRL8V9fgQEh/BSVHusBDF65A35GL8p6lH+e5Z1jqmaFubI4VsK0+x7N+9wBuu
qCKi9dwx9wgDbN8ukaPl7GztyB1RRilYWSp7HtAO8++nbViY1Kl4RIksAeDs9hufk57MBozx9qzf
qaQwjHGRNQm36WAi3iYpKN1XekImaf2weOOYygRCLfddWxKcKJEsAemfhJa5wJLj6lI60WGMboZk
x+UTcxGZ32lRPfnQrZkzM2UcoDfISeIJZ2UILKA2VrIw3n3cTVBC6u8opbx2wvyahi34OMe9RAxT
yJxh9T+TzaC5jBkhRUQLtBFFvksIADL7TpIyH5f+mrxvKg2oRFBPVlaQW6tB0ar2Hg8YkIWMOalv
McnCGtghJaJcnZtDhZAgMUa2T2hMsIg7v0Em3PKetzRBQUwZz4wWwSstf4EklxJ6K4VyDc6Q8GRu
bVyFYo0olBkE8SvkTiCBcAQz91mRk+sPj2xvCEFidrcOo2gXGTaILqtk9tr/1nhYd5XRfDslWXrF
jx+4Ym0qInlkDN8/ghCwzYO0Z65P6bSUz6VBr2RoNhl9np3CBshjX0zMfd3f2Fig9yl9JQCcSj0p
31jcsFgKtl0nECcWj+mobmnnUQWa66bUN8wpxZOYs6epyt2T0+Qvg3HTkX4OerJjW1iqqZgI0ali
0gKs4NjU2ceIuOWohdyWkjhwiBDrFqj1Dr1FcDbrPIZ9qQzoFBwLhvMu7LTaU27uG4B2GAwvEJlA
itDyNt6tQNi49UT6Nvgi4lxlJuPdPVxh+6LgvI6yZB0mAOHiXD9kSDs5jJrvAYVml/A4Eo0mY4SV
5AUesoQcIheb4sotMe6HWflcph67YNC0YRr8ysF8ugJaRT4j95rCmbhfWAm91t9Bs4/9cDgnRXKC
xssmyiyf3SzJnpgE8fyFR6gqAKf3RUC6SBwxsOnzu54ztQ0hRdlANJI+hMuAuKoI6+MwILNhaQlk
YegvYan2hJvn+wAnG0LTYB2qjF9YRQLnCLWoP23MON0QDqYYvqflaarfsrk3WPX5m7BK2wshA/D2
Uge09z/D9kMTW9XeJTHC7cwz+p5q6/s51ERfbDNFSmE9M47VTXlM3erAn6GJzAdJ9InDnGZRFxMO
6xI8z2Wfh+G1pVpfZDGk6C5rgWbon0SKYpZl6rItBb/CGbAaDIwSjlpnE14cxBU2tavlrECo/qrQ
/6xdw//E9BIhGtfRT+CVzr1jvebkBOaNk7cnrkpBfZyuRp89lgvsG4yNueIxfNC9B8GZoJQh7Mwd
OQsvZSH8o9NQ39TOl8jAVijLNHYAY4kS6LNjiVeUjOCtrbt6s5fYDLZj1UY8d327MugxhLkrk/xk
dNljMUcZt2O+7Ct5wYBRkGbCxvVWN1/m6P0pHEzLBOPtjNgtznxNaCs9uzr4TPBp8jGkgNRT2jwo
m4wolCf7Kqp+t7jVj1o628S1/k0wf+OceO6o8HaKq3VtUmB7Rv/VBJt5WHbrMlDImrW1HSID7bCm
QLaYkRCS/coeDZ/+sstsJ/ktyxoxaIS2xGmpTpwSzmG2xFRM36FN05XhjSILQXZsE6ZPr4GqV5E5
xQBPnOK+QWjimQePS7vucHbUDMG3yovkOp/ZM+Y15ZlXZPG5pNLEko8EmHCS2urowCImsIgJySEe
rR3AARAjiiSAlOzVnVHPu1lxMzRdi11JkbADLZAohIBP5lBS2ehNbbP+4rO5xDsA6yYkNdEHM1I4
dKaRbpHPtrKc7Iq3pWjQNNrC/mMkZDyp+FRx6PBem/em81gz7WO+RAI6GoqRgKD0rZf+D6SgRwQY
Jmkrm8wY5G0mAKrhVDBGBKaRPoPDRy8pMSK521Sx1vBTKIvBCPxd2Z/NwJvH5I/NOaC/uL9Mhg2v
yVjynHxKMdHJD6sOna2Msisj5QDdFMkvMZO8UL9a1HpL+mq6MsL22WbdsI9dkN4YM19x5/3NHTc9
uvim6IXt/WQzXGeYivtwHMOHXDjniPH/AcfDp4F0DDlRaOc3iOsIJCer3ZoiFTcClvIbfP1HSLOe
ezBANjINxzU6w1GGx8dURRAS9QDWD4JJEu29oeZ1jUT1NBKzlHeD+T3QaDI8AlgjQb67PXxh4bZP
YxyGVE/iqXa7a6yn9tzEnYJR2UyvvdsabPeZj7CqPXHFtgcjNvCUoBMCeX4uirQ+RZXBBimx5wqH
XgcOSurSg1Od/y1FkB09aJJLRykOjoe8AGDuM12PRBYwEvngWtmvVpDtPI8u+bGY02+ic365rMWr
4sJ7uTiGQv5GF5gcJ09fvDgyHtlhfDe+xlKz/G7wCNf17Ohci8a8qixaMLdwIVisHODYXwg1RzTp
NUizAPFsUgS3YP5cFIoin2DVGdWpq2tlo+RMigOS+GjHFmNaW6Ktb87y4d+vBstMTnKIr//759Jw
yz1G/OKQX+my1EvrY/GZUfCve4QvFiKcZ1ejJBKm3is4qOhg7GTPPBmiXhrFx6KT6b6NqB5QoWNR
BQmxKS27f0RQGGJ95c/hPGLjIvIvFXn2lpKfmB6GpCvsNiEuxSw+mB01tw71EULChue5/Eb1z1mH
AE4YlQ8kZ0Yv7yz9twq8V2LPfsksW+ofe747ZHww5xKkOFTNfK843eDTdc/ZGPhvILn+SflYb2ZP
DliOf3+lDq3wMpJ6zlwWCjlMg73deNUp8FAhWrJy3v7fb7n2bkYb3GVvD0+lPDqJVT17ywcEHfUR
sc+3iVDCmXr3FpthfXamcT8kGpmaFZ17w08gBHbBbXAcoBgkvlSoMM9xFblHYZuvpZgdf5WW4WlM
K7T4c1BAbSXDsbW8szXH3pknnh+s5tzNiiA4/++DHkR4JhMeURfU6C2eCWaUodsdMeW5z5Xo/ZsF
vS9qS3tdlXI8ZH5VvDW420WsnWc9msUbQJWbK0bngZBZGGH2cG8nXnjf7K2D7Az97EFiearid0FA
3rOaQHm7pVa7CUrgFXAmll7MHGoInxuvjBsq/fiPxdMbukV5csHLHMUsvFXQhsVu9smY8b0wPniL
lClAN7LtqE4OeSHaTxJHGVzI8h2D2akmRgOeMXk9ZZpZnxlmcULsiSissJmupsiK0NcpdleZeiqc
8Pc/hgYCvcXm+5aJGqMqkIIAIzGj/ylCcilsrzq0KWHHfeeal38fyIey/vurf7+1WAGssqw5WAzD
SD2IIqRQKJGjcniLpjS5hhHbLg/pw6Z3lYd8b6Hr+YmJmMYf73YrMzTRfXsEpLZN+6Y/l47XXv/3
IYh5UwPf5PutjlboWGhE/u9DsshTwXJdJbrhY9XEpJCgjFW0RtAMfODra4xUE60AFsti7LoLmqVt
j7TkJrJ++Xabs5+wclyZNUYiEPXZBmlUkV78Uh2wpJMZ6LTeyVCpFW7//XLIFlgrYz8VAYywxlpM
HIJcEB44FoKyn+AfJrgLp/IEvFU+GX78DUWISGA3tM7hOFvn3PiwG8gJ22gY4zcudlhr89Q90bCh
Y8kXWBCSquZCUvcUV6RCGwxnTW0TOOZV4iFwmJ3N7Bwsbpt/m4Q2604lbuWdWRDJ1Yr+r+1416B0
/acaaFptT82akY75HHK+IU8Pt6Wejb3t3QL8Q3e+OXIkPD1ePGa5Ze6+E5hp4lktsEsYPbrjlslp
WEVfekwJN8U2znJhYlUY27uhyqbjgIWAsiGljSmbenGxHEH9ILfTlvvQNBXpaiWVeImtbx1UJfq7
5efw70NiIsHpW71TLnFN5mIWHmz/iqLePrqLB5wEaoFAHnueZcHgK/Cr7ET3+d/DosA9MBN7Mbh5
cWcDw5xgocC0KAoI026AoC2vPLHaBCeTKM1L6CDwx0rUntldSXWwpXUXOJNYfjnlI4tGd1vxSFIR
+WRIagePuKiuxOik21Cn+mziu1mPy8RVsZ5FahKd0frGZ8vG9TqDWyT7zMQiLPpnBOTkWrRe8oxi
7qh1wgUezeW1Tg2LrI8gOxuoKsY+yIhf3Tf+zZeWfPrvh7FuHrKgRj5cjUgA2seRGchjLsn9G6OM
kOd5/vQbQoo60nT2NqUfk7LgsVTg6EazB6kdz82FxLuak0wf88Yp7rxQ6SmxjXSHJ6A8kJF2Gh3H
vG/csvPO/6HsvHYcZ7It/SqNvh72YTBogdMNjLyXUukq64Yok0Vvg/7p56Oq5/z99wBnZm6IUlqV
UozYsfda3wqialq4hR+fhqKukCuaH9ClaRDasmfuZL/UdtC9lk4dr2BFHvzGlO9EdOAVZEsl26vb
ghQonoXF2IjJQtRo7ZuT0O7tO9JEsIN8kYO0V0qV6d5q4jcA48WlGo3nWhDjlPImCuC9fJ9S8xbT
rt0HgumOm/TJu0mNtdZGGHvI5JYB0bhHObkpB1EXWy+EHZTmPHQBMO+mvtmZg1wWwFb2/cQZCLk7
q3aBR6aFiZf75DQljmPdisqkJ9wr8huLqt62KMEvKSLPCyYSnkur/wRhNa2xISB04YiwYmSeneqw
RJfkwLd/4JiS1A1utPVwlNLo2k7WaL3AI7WXrottKxuz5FRpmbetI4dSKRuOxERxRhlLhlpxM14S
9w3zYn/OdUtbpj0y0SwBAMhdqLzwrdEL7Uwh2r3IOfmnKp+60TXWNIyoTezQwtQz9sluaJVYPt72
gP4I53Gbb5bWWM9m/LNvKX4tGtMlogvoPnjlDISQrBMhNrks5qALxbmaAQ/4UI3j78UnAb/Qzrgi
GocvNF1pJfq9Qo0TFldToDovJPTmoBi/2kg+DCIL1/V8lBhaOFETpd2BtyZhRNitBPOYfh9miX7L
teanSJFllYEUpzoiqxiRlvVsVMk5xHmNMAtsg4l11aks3B7ekBzABuS3KSZdR0Nhg9Ifo4Elml9O
KdFi8b88j3qenVuIEbs6k/fOwHY0s6q3ddH5x7CX+8hOHzZkGnmdbbzarg4dpoAiSzGBidYm0jLC
+l+gMVlgITNWjz+s73Z3qff44KtsOvr2KMm1dzOqNCjCLNg+BiIYuF1ILl4ox3xeHGiD6mo8DSYV
GPhRJBOq/KEMNvmAQ8BjhWpZCzdUwL8MASU+jF1wJZOD16Bx/b0Icw0ee0b4W99jgBgVRuww+ggg
XDwXAQ1sij9S3jifLPVOCpgPXLSMMBDUgJ4V3ztESVcXnLUyWfo0T6Y4xYW1EmmqH4aUDnkJVW0I
AVeAnlw8Fn8ibZOlpbgP3BSpBVGK4vi4DMbI+dvLCLduPMrkRETM6WuNcCqz/4KGA3NYHbKGeBZ0
pLBBy+wa4hAySlyPgHVP/XwZGlcdGlqdlg+dgXO0Mx7iuaWXyPhi07uzNWqigMnQlY1+Tn+y6wPo
0i8pjLIz7pL8kKP1WShp69ykYUavrurYZFFQWLj9tqlS02Us5jK6D27AfrxtEUCyfpx9FMy0VzDz
HLQn/Q24gXXuhK2eCEuvbaq/x5IzhARUtE21zkV6hXna7C3Z0xgM6+Gi9zF6YpaibdOQjUtaIPqO
uXtMO4xRjJ8lqzYR464N4CejB7gjAdeWJV+1DSQ69DoHjp1XNknyFB+qi5uTN9g9Z7H0OWPhWWFo
6t8oaACs1lNId8qGpdONJ8wuGoBsZW0wgDj3zmWBmJL5TG9FHDbtcGXbpHgbqb1qCMcz6y6857BW
0fJxBI9h8FZRfVK1GW7kTL/4/cwHQkpg268S5Ls3kgWpMUcOOKAjSNF8lHMa8uAqxuSW1yVZ1fMt
IzBykPHAQ5l24XbUomqJ1MQnKK+q0Kwnq7rKY7AXqJqFpVoqvgJ2mfLRbjY0BSPdQKYRTFviJ3hZ
yzo5MfaM90GVvxcmjcohdOUhzuz4xE/k+FuV5kV3Un/lpM2AGSh7c3HK7XALphz9weC4I8r50p+C
cwzBy7PTU9d/9FPrXK2C/oVOpzLAqHd93HOOUQoyzRrn7PfEE4S68VrHxqHXBv29R1C1aVrzGRNt
fTXpVBu2DeaLqnTBUyM0K83SVVUVs4oXr0iGAllkwddsGmE4eem0c3WSbkduWBqC8XB6/EuFp8H+
PnuBJjuIrri+7JugLL3ZCaq+Kj8OqS+Q+fzvDyOPA8wEdi0dMo7xg7WOSUU4tClpgL20itWoa1s9
suXFbhiMcVKQu7jz5E2oajNyODvTRduqKiaeYWbmYUHwj07d7kynpuSBbbHKuzoBrxckZw2NIMvZ
apKj/aIXnXvE9GMvI/rYH2PnrNjr1pmX208uXelt22AWqO2SHIAx8k8krFZHY6q7mxsX2d6lll+I
Luhuj0sl5DnQs089nZ7MzGHmTXHpieGW+pN/7EYw9K6F0sYbyyORa8citvJjHbfek2X3m8dm0E9w
xn+/V9vC/ALb7GpovB0EqdYvleXwxwgMcMHQabaqaOHre5a1GgBAoWseoRPVhP+VvXU0WpKU0AhX
6wnv07EoBSNzT1H8Qc9DLmnk97iYtA+6n8wsLDuARw2O2c8wU1V1PDupwPg/LrYUwaUJzPFQJ/We
oau+KsoauktM/sgikgNiDSPWnrjzqCUS/+4JJHqiRetbOFPFwBDPdFyJaaUFHunBXZTcpflClBrT
A99mP4QW1DAl3RqFSzOlrBJK6MQUx1Yw8okFe3VN02mMw4JU01GzNw6L9iKc39N4YAE3gMBY25Qd
dVCrwzRn6T4Cde02/WBRGNhyouRYOkW18coJczc6jJeRqqG1Wkakg6s2Zd96O2w3T7YS/rElxGRp
Ir0+KLynC2JOCTiYRXiVU33NAc0dLdmGzxFu82VlZATzdR0gG8RTWyRDKHN1Bx87raaNAwII6atM
b71tXrogtUCGe+Om9lV684R9eYCgEkLqNlGnj8eoRbRVRKazbRJmAnaqYKzV+VvVkvS2t6zSRVfR
FcusSYsjIrFg1XnTI3Ue6n7bdJuSzmleGNklI6GOjEya+TMaBumQcfYj64kWj3qWE72MKE4/KX37
jwRvUq+lKUA8j50VmpImRs5eRlodRO/9ikdZn5qwcnBcMLdivjvtcx+lWVaLcCVGt7qZSne2Ov7M
Q22HwC6Ir6HzDos+zrNr7lvuSosNgF21S0Lp/NRbGtq0KVOo/PNDDDasaHlInxc4N8dKzjxWzsGw
tbE18ZzOeI5ptxvequgt85iIOWunl0hhCdxZC1/CTXV8eWHZBf1QAVvsMmy28aCpW9dAFJMBTo+y
8d6kSVnRcNpbiclFnTAr6pfSqAkZa4V9sqQf7Ycwe7arYpf4XnSbCAR9kX3IBqRibStSJIOFmOqj
HjbEB4QW83gg8K1uRF9QkQKmQKB5GQftW2wrbZ1ZVn7rnXD7WFA1sJOJsHsaEE9lEOhH25mSkxba
Z6Tucz91/l9GmE4s9pSVJhCGTK1ULw+6UpXue28wL5CSzBNaMDgTjhmcTSNitu8xLUaV2lTjzbQT
eU3cD9/SqF7qfukYmr0jXf0iREbHquF3YCBk6MLphZaKhD2tjmUW26Aj9RaTxZPezpE0c1eLU8uC
jol2EW3z7JV+woJpfVE2SRAkyhwKfmLHoHzPudZf/T5oGXm9nGgU4H7xgm3tprNm08v6nWBueRwM
l02NdZpmMrhGORG/CFbjgYFqDe9WSj04Zj6IcXI/0fEoe28E6WfVkl5oxeikQciqtZUmHQPbwrsa
fhSfvUgHwMHRtzY6wAzmtFMeqhyE8cWq5+hyeHDbbOl8VFPNpBA39lpVhN1AHH0LMUBe4vliEzsy
wLY/VPBEZNBvpZNaV26AHsTQ3MjEx5cdKmXTcqzsn8oowC2Q3/g8fm+xc2zSnK/UiM07CrtdOx17
TAmHc2yE9lZJemQwnwLmoOLNb7LgBiQpel9K+s3HqjbSjYHoYJPFoLMeVuR8zMNzy7qW5t8c6B6N
QFu5VIJQ2T8eZoD3DyZopt/ks0TvvG3JGBcnT+pvQ8LW26Z8FQbaW0vTxnULpIU/qKmWpt64W8Nj
81UJsuRiLii6pApAEcS4XqPyVQ8mor5jVGHp86xYvWDwj26PSzJSENhJKY94krVXxEGLTL9pjRN+
B9jKCDZQn0aCN7HTEmsnyJjbmOY27AP6RzCuoAhg+1v5Od5MQknIMtU6n79LScOdAJ/u4H9WPVGh
ddU0X5hQc6+6XxyF8bRM/ezZI6/D1kPO4XU+bfzEM1F+V/XO0rv6Kc1XgyPmc8pIwKou+Xt50d0l
dWJ0VPeSJN0unzRgdhWSADe01KF1q4B9xxrPHLuCTWCCh/Pt1j8gCseM40A1lFr9pQ7abu+jr7rC
vUe/lXrQ0wZzOhJx+otOFZpxz4O0xqLJYoz+THShi3aozS/aQFyzTrjBzFjWtJTZENWwttBM42Rq
MD0yYX/LnWq6W5G8gFk1rwJlv4CK+/tRikFWirTY6NAJvkz5nRaq85FbOs3UIe03clDOR0tvCPak
9Uo/DZuq+Q4Gr1sXoyOfsxiqocb4/AjFAAwsM882Sj+kNlb7GhMPwd3OOofy86zhg1o9/hXFDAof
/+pp+eHP7dcmIVa72IqMp8fFjGoUgw4qpvlD7eCml3kuW9suQ8qqOVIsZvcmm/RbxI7dxgqgKTs4
1XI9AhzodHRi82XyAAzQiyZSURRPvZ3pGzNh/g/HrkCigyXfRTNwQmLkLGITRIPdh94+CyciXQNO
BE1PIK2l9efCHU5iQtBpGpRDQ7vncBofzbmaIJNrwvCRvNgQjz5gkLzjM9YoBkBURCJtzslI9d0z
n9+lYKc3VoWCXUJJwQrhfFZYbG4dpXQZ/KT1GD09LoxtzV04PyEnl95N/zU4WD4jLeieLIknMaRj
/4RqmdPlXJUlA3wVcqsWcRBnPxK0sPTYVXKtMBOsONf+6Au7fOm0do1aDvh06nvQw2wCFhN5s1Ce
OWlH+HVSgOT3PgeV5SfpBOX7ymwpphCsune74UUsB5AOxXyTFEn1xPEq+N511GM1HCj0CWrrWGX2
WsVM7lEcCGTUEaJCcBX61KyHQcO0oMgvpc9oQoCZSN4FuRXhuUb+kXbgBjuUg2vIqxZBnujPE6f6
kuBuW8rws0bNfKypECxVP+U6/t9HHdwV6gINmQOA1nom4i2yPHShnzTd/YZtGdmug+qU3pu/7gY9
PlaDF6OmJ78SLsep7MrsSM1xZCS0gRHr7cO5WyamsNg9Ng4VIXHxqbwJ1ywOXdqPX0w9b5Yq8xh3
UFwkGqRmNelk/Vjo9AhSRniOsfyABcvg93/qFaCQfvDqFwu1JGST7GiITIPFvbaroF+kOnqAcSzE
i4M5aR03SmweDzvSUmBIiGcwXPAQXabpVji436uyu0ayK956VdZbpbnIsImzfgnd8ZtUwrqohIxM
/GfmJRtxN+VoanbFhGRv1RZDSua0fmYWjDNk7ouSa6KeZpAM50Y+plmBehoMOz3AJgJMFjl8SdBo
uy7jz5lp7cnwhhGwIL3QLG2sb3o8fqc+re4NqmZvUleWu3IHwDNDSlyqq3JYYAixL7eZQW+cRtQc
DB3LV1NxIAOGjAtxpPPcT+5brMlzO9nZDwU1KzCNDUgg/U7dLu6IKZD56yivTY+JggNj4KkuZhlk
5SXfRNFuu4qiUZdMH9w6mU6d6WA6ml/WzBmOnQtkSCKhQw7bEgEuq+/YQnAGFsGepcc9hIx5V8Hk
dM86fZsaE+87Q1wELAKLfKBi40iLhYQv3Li3ofx0GYEt4YT07xQBsKmJuDO37sAfOCqKOde2iM4A
jqKz6xdMSv94LNv4uaZpsXt86I+PP/5VhA0zFQ2skpf5/QaYjYW7SZ8uf1wcBWjbsf2fsRY0u8fH
Q7sbGBKIT91oEm030oQ+DqiXj6OtjL3fmuIOg7R7bb/VBgpBHAQ4NetmvPFKM61zyR5lVatJfAOZ
5DVe9KUDj7QKQjPZi5mXXzdqh+lrpw+UFhBRrLvv+2c2h/FLxyCUOkMAHyu85yJGymPIn4XEVxHo
rflqxGzwUU/0tAD99TivIsk39+3gbArmttxuqOaUR8vw0ZSodLgfI56YeyW15inxt+INPnX7oxxF
tzRiugnCLtIjUgreDjZcyI5e3ePS6wOcDQS2vOCvtAX2XtF6Z2e+aJ1e6qtBGb94X5pg941CX/3+
DA7prep1jOD/9dXgviZwARNlSKfK2+BMP2l4GPvHo8elYh62Yzss2WkKUWKHQstV28PRFiTxmRLX
ZYfzF/lALQ+0zZ9U4pvXx4cel7QIBTc/uJ1/+4TjN6/Crq51CXrbbcLwrE0ygLiSvrtT1R46nUAs
Xt2JQsv41cdj9YF7ie7/FNj7ysqyj3GVzvNLkt/E3qnLG8UqnWHHMO9Kdpy+J2G+oZjhHabp5Wvk
5PepdjdFW45fe9tTa6zaDLbh9e1h05HjVITPU1+wR/uj3Dyq6zg/opJeFlEgD01aoXdsUnK3xtoX
OEVZ0ulV/TTdkBOYkTe7YEQmAUfuFxyr2XhXF9BtZP2u6/peC4BnKVE8Q2RRJNXzCOQoQ29ATYzQ
Jyxji7g2b0kcLCtd/hrsd1r/HE0NJ96mDS5A6kukyWZMVljcxQdpIJ3W9PrgzO5jRlokoqbpvKai
UXVoI9ThB8cKHUu+RTvYbB1UARIliL/K4KFhBJ3qjRZ/l0yCdzJyAd0xGUe0sgodSKp2jPvco9x0
0cwx3MbQUQJTBM1SHHWpbn5PWk6qQiIIR7TVDTdI0fszMRBJsKWRgVN5w4IhslyilkzgLMz2NLp0
yN6bJ9uvGIbP35iD/KRFkaw9zf2Rz91Ps0WUz4h/2YoabgcHw3WlqNnCkDNyT9gj/W+LOnOJP5gp
DZDiusurC44rmMa093zvOkotBojpunvdTvaRCbKEAWh5IONw68JUWbp1BaJkONHD7K4Z5rUiNqtF
VU4NxlTHQEeYhevJ4mjdIkfzhAKIieHFjimg2Mm+BT5tG9LcG6QQs/XTHD985G+LXBfleSyRKgdm
0+0a7Mhpjy2UBuRhUGb2NDUsFxHz3NKkFTZb4D0z3nd+dlJtfqoC1S8b6vTFJCUUjIg9kv7baiS0
3SdxhJoawG4R3FpNeiedgJHSbQGqdJzyoxKnNtUMHUt9WEQtNt7QQXbeFvtYkAw3EHxiukrbFJYO
1icaKhZ8TF0WNPplk1VfdR2ARNoRJRgYpb/2zZKvoLWpiUvkJOUyDNCw2qikB1uaXzW9W/qeipdq
ioEHC7XPUHLsSJrl1pW3kNntqxva+C7Gll4b0nXpIFq0Gv+GVpjm90wUnXxyLPWBHY1D0EZPem9f
dcaVHky6ZRi50EDy70mvjfYdKVY1Z5qVS84ARi/wa1MKBGT03Y+wzpaNKckvnExnF5XEjX6Shtjd
fQiXfVtG+6mFFWC6/Jcb7IGHvMGjEMRiQcijk+GVsQg5xiOSrbrcSU49RMY6aGiXYjqqxhbcS+AM
gFsZP5MkVQw16onkDt2AyVXW/QRj9xUIxwhCUTabshquQ4lJDoNoOnMsBcqs1egMH64ZQkZMHHdW
OZNDnLwi2DPXEM9YizoK19765BC1Ngzrp40mYkWiHiXNsDGnRGyIRm3mISnxyByCF0ZbmljJso0u
O//gV4gmU4BxTPrALYIgZNQ3UcTJ7DXRGB3nMvjAoUqrsfgkj8XcOL3RXiU6UseEljiVzSeOc+ut
ZKEsPLmdJv89zjCL1iODSgsj5mGIjA8yolkObesWRCLDNIcBm+zjz8hxeKVD7atHo3STDy3RyN1T
CVWYsjjdJDU+i4NwvIRAUQAuk3cSHPu/yrDZxk3srAVrL6go3m9m9anc7tNPmEKSGdIuO0KcUfpV
W9AC30In/z5Y6QwCmcFIUNeXIWquczHfCq4uCcmFJ4vopasJkkzeJ7bljpCJdeu8lPQPrjKGwB8Y
oBag2G+MsDBPUeQjnK4HACok1rABsFQZJWQbCe+rQqdtjzgi9C5NF6ogM6I3STLolsouvxMNc4mk
Xd4gq9MzjgEc0dUAFEnopprBPjZzRLq4gjC32kGCbe0bXWsPbW9fx9w8lQIZPDOim2vAKTe9Kdo3
hh3N8u7Zr0zJARQUpUF3bsmmmuMGMed22Z0EHTzvfvm1q9BhjBUmUH/qqlVI2N9U5+YB+iGi5/iY
gx6f1TyXwclvXtvM6X/BManEL43Wzzrvy13Sp9qhHl3/YHPr0dSZyHiVVk9np6bsKHqE3y1qZMDr
vzTgj6C/vGPVuBGadP2dd9J7FcEtRDu3cW04KKYSDrdan4Nn5RVTol4VBio+s0CRplnwRNrsJ8w1
WIUE4VUBZmphgNt9UyVA2TRrn5NK8w6Nf61qnNb4RMolqlJUSBYTDC8BOTj0zjWtINKMQY8GjnVn
I2+aYu+gxxTcaw+tpMFAnnrP2EulpXtMhrj4w/qkp7l3IfApWvsuYQ3mvQ1IgICsfp4M7jVRj/GZ
kNRfQ9pcS9xn21InPmLsxa8yz9/pvKCL8pNfZdu95vX0pZ6MiwzxsmPRKU3kz1SEM+lUwr3xOGQn
kIzr6mNoQNO0ev+lGm3nIBTeNHLaK4y1cG1TKsZJcO8Qsn54IoiOQXyj57vM4f5wmh0T9rXTR+LI
rfUM0IdTRqo4ZI0YCiDEIZ7fxqPWH2IkYW6c23vw0yfb6S826v8DOgW44H50yLyBhIoAp0mjVfmh
jaJ2k+W8l8ihXwwj5wy/yi5Jb28wMvycAv3WdOVVBIVxdlVyqOpgZ0e5eHdneQgynRS5dPSVzHKe
VKQRRJmL594PSGAGoOijmTNo4S4Ksi83g/R1gqJfRzEiLg1PlqMjTixYgw2JRckw0YvAT9f0Oz48
vOu4oXdDlH/34PjEWuusrSZb6rpBt9komq1rUHlUWk/c7higL2usdYu7+WyWnN9zcFB2bSAXQTLS
FdknLcLu0hFeXZpkKNDAWnqzHR+R5Qo+69NkE38xOfFThwnMH05T8z0vCZHIbHOjMn1bpsFXXy9/
5taAmgksAq13uBAivuQ6WeMMFBaJttW0lgavFqRrA//FlknLU6cZb1DqYrf4bsTl12jofpSDhbIG
S86GZm2PmHk89zWIWCctf+HI+xXL/Ak3FE4EZgI7d6Ai7BqP8b4XlQcx1OWBmokR8rnC/7IoPQg/
siZfACGitXGZVbyUg/EuoAtj5c7rFd3l1Ae8nSeFj+V5uiOuxUGd5LskAkwadu5TnCKK9goPJBMw
irXh9ojALBRkltkum3LYk1M7Lh1BPoxPIXivTWYHQodnOaySGFs5o6unSIBDaGmfLi0rODa1Mvc9
QeO2cpZ27U6nOktQV9WefbVKurfTNUQk+7PrtScM4OueBLDXhpWrngGUhv3C21pdKmT2Uwrl1+7c
Tf+rCUSzNkygDg0qkgKlcNN55b40MKuYQ3iKVcGlCrYO9tgJv9bZo7haNElHvkVpb2orA9Co6d/c
oBTXMvP1K/juxtWCnQdD8iDyZIOaitJnnN7CCcJobSZfsfxoz6ZQzT5A7LIYfPu9YWy3Snxxp4Fg
I0az0h1KE2s3KhecApE4DnfJjkEtdOMSMokvh/5KRC5rWCMPHJf/R9gzGDKTGaHS5Buwlv2+wosa
B6T6jDpdMBhzEaZ2jYaI1SNUJyYmC8oLVj/5YhflsXOgYQ1yhbrHkMh5B3Ed8jDe5ZGz5yy9KVKy
aAtGmTuCapFNTXc78TnIm/Qcx81/n58lbPLHinQMinyOMqQ/5ErDhqTkCcewIN/Nn/+XfDKEVw74
PQza9UTSjNsCzgkT01m7JOow/UJX4rAjIhoM8rXipUbdbOqnvHWfjdH6HpCHa0SSoRnKkyQaLv/9
szP+j2wvV1o6v0BI7JA2I9g/PztQMZx9xoZnF7BvJPEArT9I/ad2DqvNeCmVE22sTF9niTnehWxQ
NkTvlgjPbDvaRpVQ9ei+nbAOCNAsrCS5QWc503bEf+jvEz4evMjl/yWUzBRzQN6fXlXP1W3XcBxb
6rpDG+3Pz7tWNuiftAW99xiYwKFNLvi90Z95o31Cp5XdWZy+YSXNdxMV1m9NDLwc+GCaSXIQ7jkG
11ZPH64eN9pY24fe9dShHro1aqTkxTSSl8Abs02AbpihVbthFW/RO2b6HYujfm8xdmkKBt2EWZsU
C8gIeuUCaUzfOt3qTm0e93iJlQH7wQpXVgMSFLMSMEiTOIOiAC9AlPkJwXd2DIppWFW4KCiU5Lr1
q+LWtEI98wKYgLtIgNBKQF8qLpmFCzqUqZ5Hxwju4RL9nIV1so9YsgeYNE0csSpCa9spsFww5PA+
VaXr8te1oLJV2NA5azXHLodMlERiHvDC3Sy8dg2CjbXBSLxDgCEQ4ixIW36Ggc/J0LZxIdV5sotw
a4ZjsAxTs9mgp68OVqnB4J8vj4dg1N9idIybPz6Uhnm4oXf2BquBuViT0EZjkyCPav6ux/c/vtUJ
bXIMyI0x/Sm82vOlyrEAG0Z7muoSC0bB0VSA6SaWOme8yZiJNcD4UfXKvSH4X1RzM7EOeveZ7hDh
HgLYucHpJ+maEUg6l1TBnWgtlPkY2C6P1lcp5LgXHVKSgEbGetDylBK8JYokMugqFHhzHxdb2K/o
kc0tXql4jZungLRSOTtPaT9U3GX4kCF9EHpZHB4PzSS6joxjXKUPhynL7m1jVTt6tfRRtcvUkIs1
SePceUhBIYh9EdSC+zGUENtFGZNoAGZ/UKP9ZNQl0g2XpAewE/7pccmrFEiFo8CamqF2ynSiyLGI
kBxDnfVU96V8jQAqelo8PU95biAonAziwdVOhIHzNfCMHt8WCBQZkNFjDIyamqpf2hHJNSkdb2ac
KPxH/hbeZN6M8pyQD31tjMK8qfHiJKa2sdrGO7gDgoK+bgDXSnvgSG3JA2k0UN7LejzdBt6VJzzK
NSpnK4AfoOpmwwjEbxeTE5mnhnOZNg9LsXqlh4cOk82WDsx0HLQgvxAoVjE+rD+BjpJl6mQNnoxy
aVQ9ge/Sw0tqjNqdbgljUbqhS1qUMY1q4hTySgzLZL5PmvnuyNdeYKc7kvyK967Mk0XAeEvWWXk3
wQrCyZiIUphBAkyUvJOFAWLds5yTqFVBxidjDLCu/sUVgC/MzsCeBcf6lga4BYq8cFahPZ9hIlLb
K+UgZJsytXScoT4Y2G0XJC+oTEGXrV2M1DH6Csax0WF0g5+KHQJ1yniaJhMlL6x6w6gIyrCLfePG
9d7wSkpzul87bYzUJfIVXtICJZlP5joMET4Ws96QX4b1pFYuRxVKaBSgblXxd9Xk0dG8C0FzCc+2
DE9oKH74VjIwzD5TNJgn37SQr6b5B3N46+j4fQDtqMYQmKhsXZtYIkfOnv6cCCtLk+OJnqt1RArX
dshyBBia+ERNMX4JZ1y6V2QmbMGeAQ6MYGUNWI1Rg2dIqdB5ul74C9eusWNuWe4zKJKrnuVmqUYN
pmevl7dYTsEOy+zRST11lVFtUayWyWsbcotozaEws/SEuDDedMrVL5pDm8OtvfQgHVS8ZtGfJS5w
LKmSUJcihmwzHhI3jj/aGeA8Jq1DjIGgq4HeATs6Wg7Db78/fEAEvk6LWHsnbmCAUXVwR0RB8GOt
9g2175GGm7fzssHZRnrzqwu77ClKh+qSC91ZNFK2FxSM5nqcw7CtPhl3ndF9FB2dj67HLDw4wyrD
mDn6tnpX+ZfIRLIbSM4YdZ8W1CcQMNPu0ljtPF3Rii12je7q2t7BD8U5IkLl6vumth9ztyZQJFzo
vqR2gJp1oZZiIjdx6hB9ruF/q7tNVrTzCzqPKiXGNI0wBfr/9s8SttAp7qFGNUHQH+r5YtJBW7ad
Ya2hmbCDOpXYMWzLXibo3DuHAwfZQJSK0gfNlBowhkBj7iPyMVYa7YLvWrcDsZMf6dVU28zyp2Uw
olaix4/SOsvOJq/Ce9b7AE19fzgwqDV+J/7+x59CmdU//pPHP4pyrCMah//28B/bz+LyLftU/zl/
13991Z+/5x+r5//58pdfRf2X8/Pm5d+/8k/fyI//569ffWu+/ekB9rqoGZ/oKI73T9WmzeOXBJ/F
/JX/r5/8y+fjp7yM5eff//qjaHNwQvfPgNuGjO7Hpx4R36Td/se//vh/fm7+n/79r/yX6+DfIr75
ht8R36b9N0eiI/RcwUFSOML76z8jvk39b7qO+c8lY9syXdfge3KGguHf/2rKv1kujh10WhbSX2cO
t0bh9/iU+JtOuLROKrhHbeq55v9Pwrcj+fX/WsFJSxiEjBuEoNkmNcSjMv2XuhgyIdmV8IXXtcom
a+cYSfCj7Xowj0Zul5BFBL19w4H2F8QxZzgvxBRcWaBVWukS8lOOnzWjQ0amodsfIYuYL50fMoAY
mmGbeMh80Rvoy9Evx/mtiEzYj1Sw8hlsXHHwEnNcug3QsjYg/ASQ/mRLg5uqCg+WJBRlZD68SVnA
95GowHqAyOIoUqj7VBn5z9FQIEMp7taeYXsbH5fbQjVOAJcCxf1Qpv1KuvYnPGCSNvFcHnvkESc4
qqDHaTnR2BjBx1eDwGod+B8Y0YJ7NerfYhUS+NETaTHVZNMkfP9PWjP1qmTDBW9Ks6up2SUSo9PX
UhQxw16/uLcaxU5MKMRGb3RvRxyGtTFLtlDRSrY/aBuXLA+TbVNp+brAFLKxcXDjbi8CjoFRsDHp
PK5N1uN12Y7NhgpBrsse3I+sY+hXeu5Ym5r7f4Ecs9q4YPeeyqLHu8wodeUVYXCaBie+smH6C0iT
M/sP2Qx8DkZpeqcta68XzyOb9MLgWdI0Qx2EIzT5EgLSXpHfoK1MZjKrKPFhBrtDt/XKyliN5ozp
/l/MnceS3Eq2ZX+lrecog0M44IOehI6M1IJJcgJjkkxorfH1bzmyqt8lb/el9awHVXZJpghEAO7H
z9l7bWBqDLtJfYH2wLk2R7m8swAkID9mNR65+ffodjNcOnrUVkhkFINk6iSFfW/BSL6ppiV4ICac
ibYqmvESBTZ0pqnzkBWhI3h0VKBsrNB9svcjIU+G4xDIgarlDbyNOkWm+4O6B9wOfX0UorPzDTZA
dKPcsPnc12DSGC7pqRSMSevgs3rde/n8VToDtIg2LKoXP1PwWeMkng/ElKqdrJLka907y70CjnA/
INVhs8yAATAc1nbrYcxORVb158SiJxdPIX1imfnpXV+Qr1knMdpTgmQeE7OZ8WQiodv4gDpOqWrG
Nydckp8l+eN3TT4Fz/RkxqcO3A7A89r6bJaWedENCcYfGLFOUob1LSOd4BujHhTiHH6ulN8ke+qV
8qXq/Pp9aWy0yJXW68Ndzy5ZpMRVr+Crzm4lzxL/+Dmzs+gZsY8J09gVn8ZhTkm4MQPj3BSh9zBm
lPsbczS8xy4Tw80SOOZtOummaua6V3EZ2ndW3neXOPD7u2F0m4ObtHR6U56jHwEcfBD87vwFLitr
A2y29sZSDPYBX/RHqssaebC05vc4MPxT6ZXIsLBa5dsGthqn+kA9Kwnkk+nzDEKuiF+ylrnmHiFY
8h2/PhSyJWfOukmLKr5FkOR8ccu5ZtQGYwMPa4K1U7geuS72bGFc89Ol/pZLGxSZO0/Pg9tMZ1GK
gidzisS9PTn1rQpaJneI34FpOn6MmKGGi7BzuSAwJmOGWIwwVrWbk8rCOIfVAfeXHM86M/c+x1VJ
IKjr6DDQIi/hS4XJXVuECgAUETnEgnJCMPmxPwp7NnAHWBGI8pzP9dCBuWKSGhCbugUwEGJSyase
uLiMQMLivieNDesVMsM6l4gaHMTypbSXDS5k4wFFmnWODV+8OQZ9n7aEulnYBDLWtuMchqklfGlu
5XQ/eOkCSR2MC0lvLvkoiu1dHLlLpivOA/Q58mn0Mcr3bolVDt/NrrbT/OiZsYH5hR5a24/RuSi7
/qEE43I10Ea/cVWHWG8ytPa6q9rxi5VYdC4HbiJkzsOYA4cT0E8ZK1lX5B7Ud2ipQFyw/ABCS230
WMAQWaGDsH2HJmURwBNb5ZUgsKfaD+yTO/D+WBiNiSPTxrcDm2iKdgqQEYvO3KG4n3VT0Ck2yyCz
ozAQhRAXVd9EbV8Tj5x7EkBMPw3PVrLIvUsHTJvyQUa6dZCeCjUHP82RCaldiXJPClOCl61gBLFP
bW+FHoQv6ELF1rBqDyWaDLt9Psacj4tKXAOBMRDd1daZgSACdxcZLVigmRXcXFSNlhw1FE1s+4eq
zOWM+7iCi9gV3y06OTeK8/O9j7P2c6EyCuO8XX6YnhG/ztDRvqd5/5mMNvqSY2i/J4g+eNtCK+O2
spYnlxCGL1wxnSpXBPQ4YG4xLKuxUXlUsyGn1a9mr6y3MCAQ3QnznlizKsWOMoxJdSrxD71j6GJC
GvVk9c6E8YBUNebwrslS86jM1viCIAm2ZBZX6Ghp/2JOUKq/DvqyfokGM9cjChTA9Rh/RzY+kyzZ
tS/0AD3MfKl1sEdV3kezLX8w4kyPI4KYU21MnF6iMMRaZVit/Zg5UOd6gbkcynhzJK9B4Zzparro
M0f7UfYdfCdGzrt6XhQMjMGXnzJf9bcNUpifZAqlR8Tey31UFuaBNYDnYpidud9asb7kOOgYDvsB
Z3Fie9wjxnUqFD/0f460eR483suHmaLnXVa5dUMYkPnTQ93PvHlROScmJuY0RWkdzfSoEPEWOLPl
zAzBa5zpgvuGvNok6sfTiKntfbFbBtdzLLtXf+6Rr6GZ3YNs9I5R2aiHWWE/YzVsZ0bz0jHuiIuC
DjWN5Ksai9PcRYHTIxde3IpXyyp6tmozBzzAJBO2/hRUsHOIk7wi/wM6iD+MGinSO8Vb3Y+pfagR
LQ0whUoRnEi0taECQzIw4dp0kgNi6CMyHOreE8y85tD+NLXV9MML0/5bktvLzTyBFkd7MBAjSPMg
6FjFCE8sUwsUfx6VN8Wc+W9Ecw64FCM9ZhmihT0c7TCnbLKfyeHFlHQmsmo2toPEjXMxHKnOzpBJ
60fR9uIYhHnocgMMbXJVI1U6E6WYMnd3WaY6qdyvFd3Pp2mo7HzjeTXaCNjQC27+l76u9AATWoV3
QjvekJEmJucug3XGPL7NRXDTGsVCKqZdsOSn2EbOy4Qn3ciZ9hngcfZsahLLeeFLIlDEwGpftAOT
I5UfkC7KG2SS5cVCuoMru/OCO3SaQCqFNRlgQCMS3bD135RxZ7/3iQk6JlkyxOSwik9BgP52qOL4
pbFsYnssATq4qwhm2Tqx28qtSi37EStEf8dAF3dU6zCi345DgbIqiW3YWkyb672AK/gZk0J2bxke
ipJOeQnAv4yG/JT0XFZC+M0hr0J07qOLESghivPRB9b52YU8tAWf4X5f2qH7gQu3Ufj+F+OSqtp4
ccjnuU4hCOQbM8wzHz5wf5VHnbvlEJFAz7Zj6wojonuIaORc+VaLBq3H77CpMOc81ZAldxkiF4Jd
vZrE6hoZ/hxThi5Cxu0uw19FIFhMGz8L4oodIGBYD5YFmYEt6gP/6Txh++12ZVa75xCIMnbsWn6b
E1zy3Dr+seq6id4npAfUBSEGxmBW7ec86LpTyfoIZTGe9l7NFV9x0vWe29zPXtO2kAfVG3h2opjN
iNwFxlFGNXoeIdszzqHCZ158qEi2URTvETrKuBlgslT+gtmqtR6k9OunyDfGi2SYPbMuObigPadx
NXeqGUHfxWhfDq4DLuAY09OFQh9mJMzUvouGxhBuY+5JB6uBPBcJQrrOurUYxR9nEeE1sq34jp+V
YeSLcAywwZNKqA1zdVn3r0EHxbMGtmOAZsgTHYRCttDGRQIDCRhT3lNZDc21Bw6OPSaJHrrOxg3b
mDPgeTEnvE2Z7z97Mdahkg0ERVFJ+1qYNks7Ts3gwXNN9LoJBTubaBR/rcwkv6Jkg1gagya07LG5
LDGJqoUZJk8FkKQIn6d0nkk71lXBWBF6E7Xz9w4qHHOqUUynUtBmjjqnvzZLgsAUdt9vs+34N4HM
mtMQ1iwD8NhgZONoN64Xam/EHWPF4r9Af32iLqbf6boCzgX062mDxpmabc67+K5IYusxalW37Lty
tNi2wtC4dniej0HuGbeoupA7JyYvbEvefEKmdVYX2wF/0AGotH1ipygiAFLRd7PBObtLh8IkxDiy
RH8gWYPjXNPPwA/6fp5nSvZ6QQw8QH0ifA5DDKDbzeILA4pSF39Nycbb5kbAXDaqI06CfYbaagxo
IS6eeWaZjV4qiJWPpGvP2cXx4hIZglv9iFve9WAhPRU50Pc0RE+/abPJ+rK2EP6feim334buZ/17
f+SXvsr/rd3y/2ETxTP/qYmybztkYt/+2nXR3/DRRLH8f1mm8n3fAQzlCuXa/2miWOJfPsMrT7nK
IvDcNf+7ieKqf0mpbB/tumfTXRF807+bKK73L1dIwTdwCOKn8U//6e7cl+vQ8KOtRTPp33/+H0Wf
35dx0bX/63/qRs1feyhMviwMCfweV9DQYRj06xQMi1xipKBVdpW20ULzwJQzUOSZ6NtQOC6HyVFH
HKHkwdX+T4p2Vm3/NVo0NrztIecP7t1s2BhTPUWtSnECOb+Hggn3dy+IMs39Dm6NM91j9jrHfQxj
f8noGLdiZ5EnBzsQPtlf3v3/w0V59m8zSa7KptNE90nYNKOEL369qtFjDgGshFp8Mj8Bf5u39P/n
DdowBHUVqjrXaMlUD9SV0/vM14lSMMWXxUUGOoQgtOviXZZUBvpLa8PE6Sjip6wBNTfQ1dyyUrkM
JyCj4Y9YkAVYN2jP6P4jJAAwgOuxqg3wjZwzQYGQ1ERAIC3PHnFOFHXk4blXqdNCVQzBf64/Fhcd
+c/kJBzqycKmRiP7VA7MuQgBIydoajkAVB6QV7yyLlJ52ROjg3OWWCawFZZNGguXbJ5Mq3oO4lgc
ihC/N46Dt5h9gcYtR8HUBOboQlfZYJt+IqaDkK14oNdKlMqjQupwrif3Jw4TJhOgLz5+t2mSij4p
vFCODtqdUWWpHq+cI/UXoCaSEkvAZBU/yQ/+ErkpEA3mFgyeGAZyEkbxOg3kjV8DRISJV0FACrqT
AcgADx5hRW4IYyBquJFcwK4NAqUdUd23JRPRqzbN3we4y7PxvDSfhm/FSG+obP1L2Vg1csjukz/S
3UkJLtisb9vcXqsZGjrMR0AxbtyzW+USXCFgyajsEMEambOdkpk4rJo+TB5oeT6qoDm393Xh/Vw/
hqTnu6u2UEftWJh82IF+qh4AAvu0EL3haHYxedv6cyKEKYTvTLrOvDTnzDEei2J4IwwEThjNg8P6
8SUIgs4Mc3ZU2jQroqa6ZE16ckeBYTxD06KG75nE0IJs5OS21iudDADabW5e3Jo3z7fx4C/Ld1RW
GFtbezOVdPfmEaSOW/dym4yobh39HnZmw00FFDeu6RhYjC3P7EnujkbO9/XzA133Jvnf7PIgqP7K
FykRDPrrRM5jiOYN1Q/qPNBI6hjWVnVe7OEl92Cxo78CZ1OmW9YJdZWSMiGW+nssw+fYV3vSxcT1
0Fn6mecHecrsIJEfshQjWFYZ88FsUVJMPrjKUcKPIlGGwIKu1Sl7SK3LZzCYqNG5l+vsMCbFrRpm
tVkpEdGEGiWz+QjXx5diB8WHfjA7eQqBsR39YORiKqaASQMZw659btmC36608I1hp5f4P9Zboiv9
80iW0cf3J9biH9/KvAI0n9ftzux4UypilghDzXaq5/dEAf9Y9t9aBwpUI+cB4xDvc8s+ihoRtd9/
vma9exO7bHchtCJiXnjg1w/fZ8S7Nyz89/Kc6n+vkA7hF0kecvCVKDV6mrJBBlGOFbUDIrcbe3SK
aCm4VQRXGTMl3CxFwEGXj3698PW/MhpP266pekpBdbMuRoF+D+aYV7n+6vXK1i9rxhljEcEMo81k
HzgUQT6QTR5isnG82Qyuytp9hIVERgitBmk2oGvtsMPlWHYcePny9Ud7qeLore1TXaOeMa+V5KVO
siO1NaE+zML8hxE2z71d89dx+iTjuTl7+iLsii7RJP0YmRN/NFmaSZ1AbBZMI0Ai57i+6sgwb0PX
AfcRhvuq5hZUWW9v09Z/C0TyOjOA2I/lS9jNwX59piWETPSJxREvH3ApowSYG2ZvRWYcIJvK/VzY
0SZuUINbtTqw17k85fFxBgB35kh6Hh06W3MMCYRGHIO6AVsiGxM+PvKyY8Kh1k+71CIGFJxgAtQx
cwt5k4YXznUt7k1/N0wAZlO9ZDAKue4T/77WS4ethm9plz5mfrFRwavkOLlz9NOc9emLvczP+MAG
3PFV+5rXZnMOwzng3pmPZewWh0Xhy8+r66zaMZCo7jg5hrukvRT6SQQrxJ7DpP96fXmiac9M4t7h
Tuwi29LMtzziWRk/yfglqVGZFxNH/kQxNNf3Rj0XKTfCgjAj1JDUDMp8SsYTywmuCTgBxiKQcJuH
oUfrPAF72a2beQCdn+Nl/UpOoX/0SuR+Xib3KdrKnZuLDix6bG3WizeqY2V4oJz1wsskI0F8uWzW
R3SOS1TUKgHJFpWsQzxNyRA8M/Qg/KEuwcagfODuwiK1ABNkm6C3yBPnYI4pakIGGWPuYse5afT6
O3mef4STCFDLYGzQy9ui4U6relZT+gnWYzHGNw5N8lZvVY0dkiZPNO36ZKwb1zgsE5DpfYS2d6t/
L5arZIN/B8hfTa+zJVeRjrwnedAtntpDIMXNsvT8+HDsdxy5aO0ScFHX0y3SdX8Dz2ozF9wbrNrL
4Ztr0vFoI7Y2ghbfFgs9rqva6VYowkYCNjimpgBzGw6xss+fyOGJT0lDpJonOfLMBh97l8EvLcke
3FRma91H7g0PZM2j0RGLkcvh3Mro3JN6zCNjcDfzEVcyT85GQSQEOQhEuyt0+5kjn9fKrJwH82TB
NVy/1EMwtqFj/8isD0YQAzOz9l7Nql6u1rsLQ85dmYx7s36d7WA8zb0R7w1/OhHEva+n+WQngCCa
QeHfF+/r8mQ4ijb5CNgddJFgSRpgODPEaSCIw/Rm7sZpcyI8YpubMfDetHtoBlRJFQlrB/0ZGM9j
WkBWtc+tQxx7g7QJWw3b6WAjX1ft10iwo4jEHc9T7OlMBqqOyEwmSOH5c683wdaBOV77LdZM1nzO
g+JaYNsT0PcAv1ZiG/v5o+kgiNMeIP2eIbgfadaJl3XvMzxEf3l5SP3hvqg6llUQ3dg1gGmMMCT3
6zvJrGaPJSs6IHVE4embgH1DE6dhRISvNRxEX59S051IVFXP3OrtUVRTvRmbBf0PIdB1xucS54wo
HL/BYUKWxhY1zrmxKPr097DEd/u1Ctd/ChMqrT6csaWHpNJShUnPe451BZriDcaR4eEW0oVEbvfN
rhEu1h++b6i+phP91LVEWB/C9b+iiOawp6zo42LGkWfVYmiE2YelVjbnrudtQXCf7dB5Y4dFTnAo
LH/YVYl575XNcCGbu/Cf113Q81gcUU++hO1TLG8yhzXQ06VhWcbptojr2yhFclnghEQIMr/kdktk
Dh7mzfpr1v1z1GsNTWk+DGTE2fJl0O71PIytXVfWRzrsMxsR/+ym2H2KYGg3nfXUjvNt7TdvNfYA
7tBmj716H9YjKUXOo2kPyyluZXdIZnECDEhpPzZnh/Y4wKP4PSbPfsJ5uD77FiB/GJ/xDXImvS9w
+ZzHacn18n1M1Qxahz+tS4lb9K+13WDUZTefErjgQzLd186PmQiwj2uoI/sbSg7cCixt62oVpHW3
X9ceoUuukgIv0ot69T10snYn9fZgr5UIOzFOVUwKepNYF/2GoVkFQoWQHtbEde0ySLw+BKUBDrDL
L6mukEZv+eLT0mErhNJZ4UpMaswuXo8jePGfEVfCa47Zq/75wPW7BtTktGV5lnQ8WzAF8TyOq39V
qA64IxKJtvijhlpv5Hryn0I/6HeT4bwSE11tZwsGwJIHUCVFsjMlxUESR9gqw3xnOtEXw4EmTTPx
nfn4K9NlpB+4uVCZFKfQbO4az2/+8Lrt3zSgvG6JDJpXbTk2cgWfU/tfX7d2vXfpKMJ92ztwRRAK
At5OI1ns9Ad/AAN5laZmtg3ty1rPVxGE9Zqnr+2YQSPJXY4+fvLjKCg06FkeW8O4we7Ecu+OOai7
dkMoNTl7aFiRaxNiSI7GnjbYMbUWZ4t2EicGD4JCqs1+Qzxs/2Uti5eo3f/hM/pNRayv1TYdWgm+
a1nSctxfr1VxVnGbiAxDc+Yxi3IqdCPkTFfoApjupDpOEeo3zG6c4JmxrEdbV+KdDB3jfq13iFQG
B8E4alO0lb3PfarasGnOmB3YAqbytH7ypujgCHfbAR/YLizkBT9b94ersfWr/WhvrJroj6txGZg6
jpKOFL+pdyVAQLUsMXy/gp6h+947HUhoiyFDyDRRI+ZE01NptrTwypLU93XhoPutE168HX2xu9gc
X3IayR9P2fpsZ1AUT1LVhy6zvsw4Ewlvmyn3wvqAT4SQc6KAXVCy5N5O7K1UqB2WVmhw7Pu8qb05
Q8bWiSLf//nDs/UD9Nvlup4ltA5cMm1wdBvnL1KX0R9JfXNRkYxOFGwE8dJGfmfj7WybvL+ULc2E
Jq72zLLx6CcT5TH1hQXWg9fEdrgWcHoPWT+KHDCCx6xu68adLlhQO/as1PXMH3VhsNRYb50TH3Fz
RndAYqViRrQuMDSS5q0ckBXH8Gp86/2fr1P3tX69TsEVCteh6aU80/d/u0nHzlw4Aadyt25R/lx3
wCTZIFdYr40TfWMNHCmj4TCJq1mlT8CIwDvOBWylzPj0z6/G9nSf6Je3nZdjeVqwJNDfO45eP/76
tsPHUqFAN6Ok+IFyJDrGi8FJo9I1NKzN7DguNDqwmPWbtI7k1qlIyaiLkKluIDFLC2SFgbhdwoC+
BnkOp9afO/Y9aOCO0xDzwDcO7c169AzS+GvL8Jimt7rmmEr1pDdQTp5+Q07SWh5pM9q2XtgrMCTx
3FaVDymH3vN6tlirPSOgk+MF/YOjmn8f3JKxPZpuaO0sk8DqJaPVoH/y+vj7dFeQj5sN7eRQt/XC
xK23/Dhzu7jQURzOgbEakPuE0bbWR2BdrydJSlJI+N4W0yNPzuXjrNvZewqyt3Ufh6WA18uidsdV
e2onYkJwQ298nXUYhq/r89LEFCv1xLlWCX8+jCgfsbqOR523d7X2GM1lbI6Of72+QWuTwRrix6Ck
HpmY7aUZKqOk1pqmAZ/WSNxlZatnXHN7hkcAFjtdeVdDolOmWOUmFj1dEoVjMt4YJANiXLgaHQ42
NZFp60Fs7esUg3O7QMXajDl9nSngESnH+GeYyuvOcb/YgIGg09IrbZPwjJYFAkROQnziDt0xLSXy
Ras8hF30EpLU5PBJriXwRER21jtvBX1i1NYzdNU8vm9CGKKFf7DknD6O/LBNk87T7TLT6sP0jz6T
l2DJ5N0ReAf0kK1xr5DOw6HxqScCfU1hBa3TJgTCbyLjGZ708yCW59CiAtSfFgX3cEr5pHcSWf8H
rhFVEY1d42xAG75GoYHc1oCX0jJYdDgPbAOzpQS/R5tCT0cqqhyb4SDDIFEN20bvAVm3EPAckV5q
5Q1kblt+WvcSOcXY65fkx7rkph76gtogoF4XTyLQKZN5QxuutVHe9TEbJ6RbakGzfgiNmKkROB07
B6FJUMvCwHV+DOcZR5/bb0GNIZ8JyGBA3QNiDMByZ3BeG3TqhMCrv+5SiJCsA3FPABa42K4FlhhP
ycGbyZh1/cG/drTygc4Keo2hramkOdyt5fbcwLNlbbXpMSZF9PjRt9bnz8xc6jMLjdNI7iK46a6R
8Lf5chQd88je987r9ckITyNlOfA76hdXHxtZVZDPtABlxpEISkUoybHoCBnSfZV0wo5aB8MZAcMT
GUrOATHJALA16fcMk+nkOMYt0Y1Mi3VD3fANgtPJmZzBvcLUb+AZeXxqIv2Z14txCMJRXBPZdSAe
bL5USc1HQ7PAyNmaNYFN4mNARjgf1tOjaFLmwsBl1hO3SYW380RC15OFBWpwdehJe496TrbxhRZW
uA9H5r/oE0Bo6TPR+gyjgdoZZc1R4L+7uCHbUZR0r6Imn2aZObo6s+0Siktm1WE9oSQUTJS41aES
Clh1cc50G6FMFKJAd9l5BenPbaW+rNsApmt7k8e0YDvlH9yqRxMHD+bcyfho5MDBZQMTYlQGP869
x75IIiu14tqxdBrw1I2X93S5FRHDvDKUzGprgNde9J6d+mR6MCwkH0UpvAi6Vokn+mVTKK/NxSMj
sbt33OJ9bTNiX+z2PVt86DcmNewU7e3hvF76qFcJAsVwpiXuUZghCYnB9HF3IYoQl7a/b98GrPlJ
8xbr8ssf49cp7U7rXbtWhusTE8JZ0TGExEujkj6MmGx8V4rr9SDoVPFn20kWIqDdtx70+/Gf9zyh
p06/73kUichpJSmF6m9uM7twVGYVDKVnzxTX8DsRT+JQ0IfTDoPIx/xEjzsdK8NIssPAYNFu0i38
iHN46aV0arPIvA72LGUlbfbSMdnPuZn9ueULWKSXPr5hRP9pgDDDDXVbc/C+1is3I/l0P0fV9do6
8tMOApLP+qi0fAQKmiHLl/VBK6KnFJbcVh9A6Z0RdsFhvNfTkt7DmC5AKgWJ3+zXT8VDFYSUDNgn
oQFX69tNEp1+nFBnTVOgx64UwjZHVmLsQFGR4Jt6Z4xP0daxXs10gvWtl4EJxJAnMVoJUd5MYnzK
8/ZFxf7LeiCzIdjta9bajy7xegabaPfsyPUF9+2bGwMGu+yj+MYDf+OR89TbQ0+HB8Y/J4pdA4Gv
oj2ttyj9bjij8TmMiT5ahyj/+59g9sH1WTvaiskxTCXSBHV3OOtDe+PFMCz0xxHXDm2oBhULtltd
DHO8JRPStbvHP9wzfyvGheV7en2QLoUQxvJfyyShZptgsNDb2SaTqvWEa2Xxk9ehauVUut47mT98
Hcz5u9E7pJ/3yWXkejgZsULGOjClGbLzH17W36s3nH02fWQTpbonnN+mgAUq4HHyBrnDt6QFAQZZ
fs6z4050INc7RX/qlKPbDE3XodWesAmf2B+mkRTof3uibNOi1gOBQknLxOzXt0dFPu4k9Aa0ZOAV
5ukN3CFjZ47R5xLse65bJWvVEeYUKkFLelPRE5oD5MUdOVwOIWSH0RUbUwf36hJt/eplEmfb8j8Z
viQrLPphGHV6mN30a24u0Sbj/hAvQertcUHX1vgl0A0aY6afgFycmVn1iErzhYMrLaUboji46zws
+x8hxeYtgXoLLbbwMuSiug2HU5zAwYdceR/HTXHBtgz90zwNPU38iRinzeLG7pUI5pdemKy4SLKA
ORt8B52N9YldO79JzSF4pM9RI6Xex8hGiNZ+m71OHoQ7f5py+8UPoQWCGF0X1aGsSGIqkkccdcBf
G5/ONC+M1uanrrcZHZb2l4nOy8c51SvAjLMxjXqmLIxpW0wOUwr9aJBuanKyx4xHhMFjPdKV4wj0
nKS8K+uq288ThigbTchINjJhH7xsOyV8tTYPwjR/UnFca6hbwcxjpDY68hfUeAIwyzpaS9Dq7qnV
PtZHiWn26F3jiYOsr2vtKg6f3aj9khXOw3pK/nhEq+ENpNg33ZyhVf0Tq/R62WsFuI59VXSlQqgC
2USv0Ag8Heb50TZfn6owOkE0L02eqfWx0wfctm6o8fQvXY9spl7zxpLYKNSLA4UK7krWav3bEnmd
ABHdJs2pozPVEfCwPpDrBHR92a0c90mDmW4sGd60tQOKgaWl98I3d3bobrBS6TEtyY7FH5ozf28q
CVso5aGacE1X8vz8+tj4kQqXIS9xHOqpBlbLz0v6VRjNa6JvG5K0tUmdj3bdKtYVslLMBNabbX2V
4RL9tCb3uuxa/5Nvb3+tVwaFeV35yes/rzp/U1TYAu+Lz/7pWsKxpfVbTykovNg04BHtmEZx2tAL
DaG/nM9lBWIT6gKup83HdMvtH+dONyj05ooOmtlO5zxCnVn2kRc8r09MtQwX3IzN4aOlSnvYywvm
5nqV0CPzTo13lVO8BDl9Xz0eYj77p26L+PsC7+iVXVo20wzHcX/rtnSK/HnpQnRZR9hpRomOy+He
iIGauiPxtqnT4CzVbfm2cI+kIuAYE4C2goaxjZ4XGbP10lJwfdi2fnFt/VW/Yut389cTuiPx/ghu
Dx9NrP2bfsXLymKIIGqQmFS+OMzVQPSxpvjrhLw60COabjsm/8lAo2c9byYJg5hU6yX4ZJaRhbYo
YQdwM55z5snH7F2fn9YNYm2/rlNMXLIPY5TY+1lrYtZScB0BCJcAAZ8k9hYRyh8s6rQa/tYOoeVD
M4QuvG50yd/7DwRbzui4evqTcyZvgqRhxFeO52ohK1KJ+d0aOdh5jKSQKKPeT45d7D1IUiV2aXoV
ovp/GqcX6ZUvfqcIYOun7rGxmpM5lP25d03nsv5fOA4eegJoN4CFsKV81WrdO21G1f5bbLGmWV1P
WeFemVdd2Hu3ngRaVEv13SAsr48C+UioYNeK6ahkOu+dG9T9EF2oBLeFRkSIXJLzCV8MbPsjzEuU
1bCRoS4RVzQMRkMEZbicW1oEi4BPHuLePNCz4K7ym+fSvWEez/R0Yp+bELllsxDPZnqjBGaX1miW
U+eNd8rRHXIT461k4h5EQXANdz4hwIdwGbM2fgh3eHBkER6DOr40Jk8i0ZJgOweMD3CmCQdMztgg
bmBPhjsAthOvCgAaJ3JzV4NgHNKdg10xhcPCOYFj95Esq6vGyE6N5aFg/5T787Gjexorbfq4Qn++
nb2AfWi5S9v0pqORJnYB8htU9Ns4LH7Y4XQg2Pd9YfF1pn6XK1rNUVSNGysct4n57hvGcxL6d1EP
nYZb0x5gSonrMMHsZCMI78vonHTcgTEINwzxbdY9FAYAiApVdTSBQKcwjgLjupjtuxb/b1yro9wt
DSnIYU0MUnKas/kqN753+bnWfOy2zb76tQRuz54T++5nhu8HiFCvCCcUbJsXO602koYZscH5E0x4
sPcgvszXqYOXFfvRXoTWvqoIHym9m+ZivfeufYvribN5dR+Rhl77ggfxxEvdmOImHXcablzIH3Uy
3BBXI/tlexA5w8zU2dxAClLV55Hu5Dbu7dvAMHd22O8Ahen3MQs/DcATiGU4F9T7UNI3oxjePYhL
i7iGe4BHFzwKxh46NITIwm2OwJwtsOHxNvFuDm/8xqZU3L7FS9oc84tRqr05hjuKdr+5Rep87c/2
7QyDLuqHAxO+jQKJyVsc7T10VYGPRJUfKQglWjrmaYK4cTXFlGieAoqaX4u4vzC4Yo4uL609auME
4zTi42uADL33Lesj0pR/DO28zeBjzjrFNlX3C1mmGCsYsbrjE6BvmmagyDwxgGOJdq0MEPvnhy6a
7qTVnTLlfgqY85gxrucw+4JJ+dHlarMgI/fpPktmKFDup9mNPhutQzMKgxOy+M1CckRYDpdiaqhD
qzDY5G1Ffp6zT0RBYqVzmnBgLFZ3WzPbmPzlKsrHg5CmxazdOprljOK7OJl58BkdNl2sYLxiJry3
IqLV3JTash6iUxkQYIBHQVk14ewHREAYlckRy9RDaJnn3L8H9303jsG2aj+jEkP9XT6mpb2drJSg
IeM6qcJLQRONbAVJpHo+RbcWuPxqqe4Co/gCNIBgrmyL3ZJGA9z4SZZHKNd35AKc0rK96QxSi8KH
OAhuC2h1lS+OdX0oY/MaVOJdnKXkBUevkwzuVUG6vWnuJL54PcR3fJx+wY5NnsI4OICKRtiI602x
mRiNsw+7+9k6GemDapDlVuJNxYjZHbN7HCt1mRTAfJpoltxZ5VMpDpmd7MXwCnxYRC+XAtBR3EOS
BDIAlnxnPsW+fCjC3Z01fOOlT4j4wS0dyFB1XgK4cpn3XjrjjgCoQxaeFhgGVY9Fx/YoGzBbkoU3
AezrN/5NF7d4qZ5Me+uVaNYfreY7zngTAJth3YYGj3w3n5nYHKoIrRTJisFMmjQ52Emp189wi9ew
VrTnKFXw1uzVkuysrnnq6b8VPRzoCYqPqRBCkrdTXAJ1sZorwJubIAPhgzpurmCXhenGB0Ykuupu
AovCA10ZWChEs3EQS6bDWxe6j97SXVonPOyiSW364OLzCfmevR877xQRLh7Cj7K/T0Z/mobm0ZXT
qcUZNfPiRqfCy5FdhXq4hjbPEMO1j+29CN9rQuSn+Hqpodihov4v6s5jOXIl27L/0nOUQYtBT0JL
MqiTOYFlkpnQyqHx9b3ceV/dW1XvVVtZj3qQtIwAGCQjABfn7L02ububIBE733u3Bdg5mIKu2W8D
x0RBlm17/64lYHlw0P+zTV5Mb5+X6CPg84q2JOsO0uKVGtShIUt2ZWaXdN7rBit9v771dnG0DH3X
OoKa58+hNi9TSY4mBU8Ll5dIeA9EdpqmfeNYWyLl6vXo5f4moHZAbZtZ3CZOfKp2bOWOosr3DX1q
jQySFMdqH3fsHloPjBQ1N0cju0C6qt5Smi9km0KLPeoJhuTwd9WcAzmShEyhVrf2/M/JJBL4ZIDo
aDCihRn6Kws/S0dX0nE/ess9tsR5snle6eLViH02cO0qz+6NkYo4WksXMP/8Bs0OLv4W3+6aaL+j
N/12KH7FJpnhCxUWw39LAhajTrgVVfvc8ytCM8PoX+iIOyis4Ha2abprKDsmSmyoTbF1lS+RPj8J
HXVloNFQdMTJGRaZ9LNFQ8g9RsmQJE5dHDTANegf63ml6/dV1u+srNkbIsF0DcHLb/dQgnpjeO+W
0FyZmEDWZT2ewWvf65b54VKu1636IGabyTmHssP0YiGdD84hnuHSwjHY27c6zkhzB59VVDDQjNJ7
heoAuXgy9NVE+bb6tPUYoiEJj7bJ39N7b9jIXrysBxgGm9HMnpaEcnSHHNcw0pv5WqTFxtUeFwBe
JnwI4tHtTZ0IMFfRTegjaUGB/VkZKdt54udK4ptXS5tdMDkdrCp97McrRNR1bL0M4BYGgF1ag9jX
AKSZrQdNFoVZ17gIJ+tTW771JU4d0GpxaTJz7loKbThnf1iDsQtn911mfqRFZnG5agczyx6i4X5Y
0jPh6lSHswPt6lts23R4812FjAQP283gW30g1AC1Gc8CvV/HZxR118TC2sZbn5F0GOl0kGiBNEv1
kvndBQJhzDLI+dl0MMVx8rhLlZxd3EwDwK9VQ8KAmbPSYdW0UKSVwdqR8UgDnqZArr+Tm2AjCWXZ
NpR9/5DaB4M5aAwyh/VjMq+FqTO2pMbPLp/oe0bROsVtzjogthANbgrh6j9QBiLQIg5hCvLwFHn8
L4V1viq7UlzGzh8YO8byXLvsqglsnwkJMhJEP1FzMAlOfhIQt0HJ9NOphsX37LpFv7dyv96oo26u
jfd+N5+GAi/QWutMCtJ5yVzEt4bA2jdLOSGilQ8xpevn2polR0menM6/3KQaNgOSn52CQ7lexgQM
gO4UEJWEwoAgCFbG1aUlIGKVuWcxR+XrjMvoxM1LSXEsild97DvQKjVk6jCvj6HTaetpcGCv1RD6
1CnCaAmw79pyr15gopbLALF4h3EioMtLGdBaTTdgvPDylmz5YmgxLupokKLc1oo1+1bTzdDLhW9B
ZW6zsaEfbMMqyl3SOEhjPKTQyknEnsP5Z0tsWFTKCBv9FVAiMMin3C0e0wSmsWFomxKHNwWD+UDf
CGoIONmBBf+QbI0x/0gvhtE8xCmS8dSt9y4EUKasYUd0y4lo851ElWCCf/K9xVrtJptWMF2tbymq
MzpbydvYflI6xlZfYpcKyWLvGUmnUSppf8/piCOGNQkeUgDc2vILs+Fa/jMgE2c1vYmRUN1GzzA3
1B7xYMQrzAeB3guNFgkLxE3HoznucmFi0iVL1O+LFaHf960LFnucdpAaaMfF0UtgtbvebLfgDw6J
Fz42kFfJgVpOQ3Uf9tO415BKlDiuUVVEkH3602wW32N9F/aLu5PqtLglMlXv6zVZmeFC9jnK5rVX
o9KElIfq1QDYP65FWl69FTLc+DSQt0WDOHr3Yg/VsUDzb7ekYIz4/BufqL0sfWfMOQVj+WAVJO5Q
84+lcBf5FmNUSVMBNnWHDioBGoTiKr5hWDP1ccAUQExVhfmQLiaSPVrd/ehTJdX69KTHb67wmfnp
SaGkmz56naatlQWXyb833QpUUHMjpY3Lolr2nW5t7BYFpDBRy9ae2OfLtGtoMW9YwncmrOCqKneg
UX+VLA+CJmXPeWzj/DEt/KtuF5gknVeoY9tmRNpbjbvRdC/CsTbz6KwN7Eue3j3ZzS32PmteNKrt
X3SXoQiGZB3D+Zi6F+JOdib+/R2RnfspoiAx5s0WS/PBJBqxg7IKJBviclctr1ijN0JvfpkCVqfw
UskNfwhGIK3xzHxr2dzQETEy4D5pWTGh2X12NyaoD5yQtNzKqr9VTIRbtLg3bd6gc4WBmm8pLwPp
dVnZhEOQrSArmQsYkDm6WPAsV1MTv3hOtZ7rFpJOT7pSmhr7mvBvzT5Fw4rU7+oOule2SmIoeiYA
evyBqwYd4RW1yK1vHkC4p0dndkiNwP1xYZOh+nqu6S7UAUhjq033bGh1gh9b8/edTDEzsClqMLiP
nol+xyzz+UB3xWQnSbjx8lh1WjUfg87rGIpGiKBxA8Nsxl6PfnWRbQrNXd7CpMBO5kPPDyPL3orS
H6/RGJ5mK5Wga0E4IBysOySxLh7/Nnxv0BkeC0OLzjpkcYcVVbLPZZUXH2hzHXsimL6CmLBbjLjc
au1kob3axOxdV+0cPi2I2feRUTeHphDnWYb6NoNHsG/bsWej/U25yYJToltnswf1GPUN2CCzHA6x
McPAWNApDT6kg7Hy3gqnSm/BQNE30rubj307i8lzs2wAMD3r8yFJrIuGhxGuiP0wGqyD+sEaDkq4
POSDtYdNcVbvKTEQKebCurDEtrfB4zbTMiOPhiCqU2Ve1d1ibhnHHip/O9X4xr9E66qO6bf9QRvI
OmfbUOFZ0H6Urf9QzsSN43egM4nyEVzsryUqn1ibOBj9eCtrxNlEeMa7ii6AbA9buMAZ08YXZUdR
hVAlYPCCDcQEdBwkIhE2SNdUnu1n7l2eh9o2dNkgQof+amGPFTdD404yl9thmU/W+SbNgvdxIIp0
WdrjIDVsQ++0249CORoyCyJCBQhXddb0hDpCFM9o5YclPMHc5zbMhvNAGmJOkMNRr7BB6E2wrVp+
ki9Z7bIL1ArErogCSN5EKy7bc3YcgIVqXnFYHknka7eNJkaa2f6LEjWpAnURt4y0JvQNJdMNqDCt
WO1I+66MNzEPjNW03+Xf63XhLxMy6xkg+Je4WfXnXW365aUj+8IW9kbCy6kfrkQaSq7wZ6FQ/eVV
4RHGhOBB9bbUK5uLrtGJHLbq90rNUnvWo+nqdA4XntT8+wFtF7ZX6iNBqVZQSsd4Q7ton5jigfmJ
ntiX4EKdEhuYOxYflasvZd6alGdhLGkY4AjJlVaFBAEMsjjSS+gZ5SmAt9rN37pQxwpVtA+DrPGr
Tn9l6YcxjsUuGY9Oj1t4mj462SGAgP/85Q7RV7McwjLDOarKpuypAjREdYLDLSOTaIsQ/0GzSYtS
73lkRu8mVHMlwPBwqtEg1SnWEX8YlNyEU3YiwlBs6NvjDvf0W1j4SgqriRmHL5JQhiktzY6ZXNR6
LFDG9ptSJGDHf13a5ZwGTfGlUchkgybBZrUy3fZN2VyW5ZFY0uUqW7TqT1S1WlPUAefoezU+qU5A
NDVPVCJcpYEZCzSWKaO/esciKxD7MWm2SsCrFCCq2h7hfbAGeBlKoasUBKpbMwegfkXLJibQt8pm
pSQkGuJ9bAmUBz3EMNiu2abVgbbxR+dV0yjRKyWxeruVpyD0lkNULEdXswHbwidFQxns1G2j9YyB
E2LTjUvw4j7MzXnVDhp7v76A1CPzRGV7WTU7VA/sy5ejLb/dMIFQamjPQ9D6yg1RChK7HI2yd8ny
DqljWtvmhnR47tsGUCdT1KbW6eXjHidODfnTwDDCRsxdTXHurTwpXhkr2SbyuVKwORMeY0GvlvIS
ZfsMpWamLOPjAEBmXfsFKwj5qp1jvTiJYASU1XUq0UioaTkpkSF74jUgv/mecr5QynTV0Z7YLDUO
W9i4pknS1zZJpQSEqOshBsvNBYi0fTAo4Wj7r86ea8qkBEJ539qkrTeql6jaX65eMRAUewzy6VLs
hR9lh0QUJhcMd5BgjwHsCW/H1KOoEcmzGhzcQC7reurUQuOqAws+x+Kz7dgT2wk1PbO9V/4eMdDZ
lw22eirOy1J1u7yJyK4mxTbH0bMmYPugPp6cGh2mH3S9X5OwZbYrJrPg6/aHVYrk3Gt3oCLNdYBy
JcoijX4KECinrR8EqcT8zMh8BCvLKMMw/aW0UT2tbMJTSfCXbBoHU/vZL4Wzll04OCjPeu88+4m3
i9qCpbDUp2XeAD0gmzD7zIivpXElHKsWIRevSaOErjvKTqm9KWf083qREX/HgCLb9l+DpnTyaczE
fleJbQpgihpr0mKnpG3YMdiqQd4WkNbz1mv36oIXEBM2kFfVq4cJFlJnyIYV/UYazAMVZDMdPqPK
fh8jlzz1LLiqZkqazo/CHgvehuqnYS13dVG/y9SAOBDfqhh1eEISsnCM9Bxm1pNFivZBt0nEa6Oa
VLK6htxR4ARE21U1hQROtjt1f/8xL0ElMllyqmtIj9jSy+XMkKcAFFn79REEFfiV1960v/eRm1Fy
LmgOgAhABSX9ZR1moTUOBtgtso0uDUhqmFCXeWqy5gqxzeq+caeUZzF6i03v1fq6y72F6dZr1klz
DQskQqTTsYiTk5I73dvusFUmSZgkWJ2QNq8sz/F3flODKZU246wsbJRpLrY2LmH0t8uhETEtcmKj
aRgQ+js0F2XtkDqEPV3E91ou5DMfV6o0UYFR+T16L2Q2UGIQzodNACJXQv9d+MmudF1zB96T9G1U
nlSVaSvGPpGlxgxwGHJyBQjPRQVoRUT2sJWgQ0fJjQDkvW/ktE7kH6Juf3UT6hqmwcy8V/Iqbd7T
zD4EUQWDQLY5CzIvV3Xk6JKavemkuDFNuMSFzWU5SYtfaP0o+mUvugyujbxvIS1nm6jYZdLbog8B
ZXduN97Pn6pBp5rAarhQQ576XExcHltLNCf1+ZPx86kZYBvUQk1prwhZWZfme+mO2lGtGrsOoZuJ
Gwxllnen/hDVlpWToeuYxxqpCQqM5JfrOqii4LHoS/jSSxVlQ+l76qMKejUwdTl2phA310lJCQ+D
kxr+1YSkZ+6hjmAjS39JbDroJPBR8W7jVPeNELQcPZtKNrFVjz5z8edpD3RUHklTeAOtHu5sJJ1q
iQDLltkrhouf0GqWGv6vQcpCNjJKZPCgcbN7Vc0FX7CoidBHg4zhl1MXp1Ix5ZC3VjpVmVMvDmpJ
qVS7Yxl9S5z+t5pm1KhD5uiDjnLja/ZBoAWrNwFgRr0XqaWU0fnGR5qSC8DwXS6BuyPgeq+cPYmV
fCsZRdWspj5BJWWAEvWzjCg5qrlXn4hcid07VumPf07GXehv5jYZ9qmg2uqJ8aDMO5aUkrnZdzyK
a6/EaL8Q1LclbO/L2eqABJ7ZMrHLR97Ykha9syv7KsdIr40w2IsJHRZcxy8NNLqGVRmlp4zyA6SQ
9wHT3b7gPm6MuTyo9yqthxmlZnhUN/pADY1xE5Evrj3iz2Ky/7QyQzovxR5K3Sgm9u1T1Id/GJWh
l64Bdr0ooYnSIJLYJcH9zr0RO+Epk7Z6EmOCPel3LUN1sjPq0TsAKNj4lnYeU/NxxtmvhjZHCtGU
u1DNLrnTUei9z6RjW0nf/JoPGi3wp5em8Vb3CpR2WG3ighzLOF8TdOfs1Oy8CEBWHjkMCa7ujjyq
tV2YASZR5n1k7S3rf+2o7jC0nPXW/Ohr5EtRmLyS/ATsOqW6lvvEQVg2mcjS6qk0cp6B5S+G/rlX
N6+b867o3nhL23irXM5Sd7PAT14lbfrYZvGLXW2mhSBYJYmxJuhTaRHuNUwc62Qmo0SqxKUkTi0X
fBQQC8L0qQ22yZC/8JeGJ8d2j44zPZOT1LEc4Nd0w/aNKKOV2UubERrowtTQr0Z722zM/SCQOWsV
6R5W9+CNoXSoMUpGPrr60o/uACdsofHnKMqTjouAaAopJJfLcPWGeEN4oVhDnSn7toygtswBWUAt
txqoeS+JnXL5Sfmu8uypC01hHpQCBfgeUQVetKwIRA3fI7JgZrHsAW3Q2xL9L6Xz7GPpnw1Rtlt6
SQCLpd9cj+pp6sS0CgiBnjPvCmzd31e6uW/r6kIMY7JNU8LbpEJK/slWV+PUGbovU2DXYVWLGu/Z
AZmxJxlurd5vO+hfh9Y9qDlN3iRKtqhWSWX0bC8VY5ghNOAG39WVoZYG6k1QC+1O7trUnTZXzqMf
uq7SBKkpgaoelek/lEmmEwM0q76pIyH09wJKFo0NSMHMUOFWDWpCVjrhdzET6GxbxLTRA/fUeN2T
bsT71IDaKhVMotTRl4j+t1axDJ0dKQEF4jiOEK6KMG13NAK4hRENy2XS1wgmHdo+mUxVny9nTTcv
TT+XO6XWHARtcVO+WQVv1tfCfpx8KgfwipJ0vql9QJDZznokXnWl7kA1hgN1TLZN97Xsa5P+qrVh
i30BSyZckwsbvIubFneh9FkpqYltpq+hQ0sKZib+ehCKCBBZr4yG+4CE6luVdRfqAF+aNdqN30j+
3IeOwxYSTLUaHbpe/FSfnFmMjwCTD7CsPO5T1mJKEirtVyTc2JgfrF9qXaWGHbWOSDsXdGjZ3VUt
jYeZBrlUUSlt7jK34DRG/PLSUKrMJTDUNmiNyi8xmVJhd4M04OrNWe1r1QWvJrCSvDRiP7aho78m
ARSk5VVd9eMibfLRZK6n3P4aEAiw68Ou3L40EzBoIa+frGa7SwV2n0HYDgcLuVmKnCZp9bcx9H+r
WQNLmgackj6GrxVbtXNXQvUQ6F8YlN+XEiNA0nXBjTZIhIxQCbn1gszRermCv3vkkicvVfstpBdc
Z/OoPsc5c/FP4Ekc5jMrFSBxsrwRDh4rasRl6r1Lxl1fgb+UcuS+J8JMLylhGeVWXRhKrUvG4MnM
EBXEhB5HM2MJHtNDb8UPpdwXmXkLlC/PzupPHTX/2crTVzdu47Ve0z1TP6tKc/3UOy4oO+kZhdsv
PxvkdkOn/xZawNaZmrUa+tXTTRCxck0Jpq4OjhwGNU0ji32wv2npWRv15qRGTGeCd07RJ110cxfa
FBz7CrmE8jHbDJxyqFAflvxPKvcCk3RW1MU6Gel5CTt6KqZl+RoudBP3BL2OL9uumu36GVCkHWS/
KUheUfOUBAIaJ/XGqaXk3EOwIN+H5odpr2W3Sv21kaZRE8fkgLSfsTecrBLgPB27wjYuGdDNEK4c
VUWmbAfNBNi4VVhNBG0MTwPbJ6q4JAR0zkC8wFA/R0PdnEPfePQXnSArtfRgR8m+pW9XVaIaMSw1
1TiuLnr1+6WE5bBMZIPiZ0SJ+XH7DcRnEcwUw0vSedLO/hUt2XuTk0aTjCRYB8PXLspxq4dpSU+5
T2hYIclAIyoltnkYHzOiw5hYCTNzWDi4CKdoy4fWuumB/ntL0e1iwiLj7n3pclQNLtFiJBlu9Bhx
5xTR2PDrR8UhYKswnp2c4qr6sFwNuYzR1uzUGaeV6rRP2ZMOpCpktndV8y3ORbb9ypSBHXy0oR8v
1nNjJy8xeaWAiM9qGFd7Zm9OEM0nMrJODh+VZxZbL17OecqCPvNl9HqLGGDOtJtwqPNoWf0Acg4P
BxmM67xmniRoWU0GU0OPnZmX8Bck16sqZY6xtl2J1dWrX+PScLaFkezjgVeOeko+BX1NtR7z/OHk
B5T2HTQcE+vyg2YVGDSG9jHtvCfKVLw17IHysA/vOyn5arL6EFgDLmcaVEVTtseU0tjCXAyRl1yl
HHkSQSj1trQWd9OTDhAClKPWHPd7A8LVzgPytIEafHLQFZDp1+c7UTAIj7RMLX+o8YpQ5DM9t9iC
D7/ldRPuaBz/0Cbb27Umlf7SO5Q+67BiTH8SXjtuMGO/ew7B7qUJyQ4NTN+ABsq0rNz1AvK/fmbL
xXDnp1AzzemezK+XUQOoHWcp7Vmyt0TaAKHson1qcXtprtNvDLvvgYyuQfGNCAI8AORYeuamb84N
UjG4oSdTUAPO+4GeNSaoXssiirtIri0/OhM/AOkDZMejH7neMV3Er3GcQwQA8EvGNjnHEYF3cwvB
CNSf4/lbydzjXau0o8mVuA5LnGwdaA8TrsmaghTh6PVlIFaY3Vd9a4ugXvdm7ROstO1HvbuGpINV
Tuig+3Ae8JgUbPypLk1lZ647NhgbY2aYjKc7P57A+x8bqMubedFOZC7RPI6tJ+4HqLtdUn7Egrtk
gKd5tkb71k3NtyXU9S1c64g2M19qKjBVWzMKm1q1K+PxRoWJgnVv/SZYwz1k9bKxtKk5QlDdFa2B
zg6lqtt7Pc1oPtq2wErLOwMkvRyhdkRmf5wQtBZxnTLfOjfX9p9ap/bwDs8ErtEf74bxrWmLS+lQ
HDI9VPytqX2riTY/VE49bQW+xNjz++9+0PwIorbeCa9E3kRaWLSgkDb7DCxF2ueHNoDYPNOWoutG
ycFCdzKC7SN6iN8JZQglZvOWlSlIZStG4BvOrCzh3niau/anGg6A3M/RfvoRedEDLXHUgDN+mLIt
nrCufeI63eQB8ANBPp7w44Q8T43cU6jRhMnkr83UD+wX0mkVdue4GKgX9gHtZida5wRGXrsJUA6h
Z/PWImLvEAv5fU1iyR7JPk2Hbsc3y7BdDf9GgDdvGvN3NhvOfunFq0addRmBtIjqm01LZ4dOb4fs
jkJX8GRFAF7L8lKnFvJBfzp7Yxu89uaPoLE+nSmwdnGU/Ez0ybwmGOzMJYzvXlEaL+cQc2SLdQgc
F6Uty6s2sMXJgJ9iRAZsXDLa7aiNjvHE/m3xzGBfevFTTxcAoA6+A2/g3SfrYIO6LACeMr/2hvC2
HXrHEjjT0a5TUDE4nEdhDITrQhknWaUd8SRlKdkjKSHEeWCXF6+2v03UcM7lIOtCLS0SgH3zug3T
j4AQk6NddP7Js8Z7YpW8XcIqCkEIW46x+lHUZkT4DGU8PaOxHFe/M2/KsTT0R2pj6XlqZKpeMmeo
NzFYanJsY7cJv8MvQbeh1ZK7gqqAFM79i/kx0y+V5VvIOZ0tVQxzK/NGSMp19q0LWglT+RaaU3jx
qRHZkFKPo1e/UIrbWzbSW9fBpFaEpovBOI72vT+215QavdZa8wkAZocmjM69TrXjRHgcFhquQgY3
NBbZuU0I+8bUZe6KYEDF4/BG1OSYIsst8IbKnZEHsV8p7P8jvOT/xI78B8Dk/29RHRJj+D9HdazE
DyS6f4VMyvO/IJNQ9v+GMB/SoeV5ru84Njr48Vfb/e//pXnW3wKesWwXcSRwDrT9f0R1OH8D2QF/
0tMtvAqYFjj0B2VSs6y/edguMC7ZZoANA3fGf4CZNPR/9GK5Fj1XWtGWrcOfICTW/CcPFJhFRh5z
6KTkhegidpQwFBiXR1El753hrqPei38acGA3AuHrhdjN8H5IMu5ueSAc3MewzulLRRazrlTA9AMa
WWILrJclrcpTEoh67ZS69YJrrjipo8bgml9HS0lm1f9+ctjjYKjBRgR1Ne1JdRweLLMbHvwYJxNE
WfC+8jl1oGZViObUbjDOmNgKpt5gBesunw7uQOxSo8zvJS/pL/+FpCufFUQpFTBGzIMT4cIz7ArI
j9HG4dZCgdgF6a8hWdLv1Cwe0rJD50Q+GyFDkWTiPqZTDu1cX1LC8dLqyVkSm9tOm682TPNjkbXa
oXbi/M6FlIiTtAifZn1gOq/i7DueGWmK0tCTfoBYukVB+/UfStLuhyTVZLXw1KGKWBHsmgNt985m
0IvMsb2n/NHe1yRlYp4eKLrz1Dhi6mDvUX89p85Q56qjfz9XPT8N3rj/y6V++zJ0/NXn4f431w/X
oG5IW6pBTMA/XT9L7mEDtYnfyDTdyq5xmJ2CaUb1KL+oxb8jrKZGtcdjX/f+euSfnvvz+3qZkNLC
007q5gU6MhiBop4vlVP1L3lGPQDzGyDi2ehfppj90MLC9aSODq1urw1SWo7qaBxb5yjqr2Pdk38K
p1frI/2FjsrF6OvpRh4Yj+L5bmaE/zoWee4tKUbrXp0Z1fVT1pvNPbwpqquVdVsW84Uaffyzn8GQ
pQQy3EyvrC5zjdqHGL34p2SRgK4x3uN6EsSrFs2x0zT//2JCkXjavxhsQKuYum8HHgMEN7AM7/lH
F1ZOTYtEGa/GcNClR78U8dXr4j++FLkhUEA4yJY85tOx/jVN3C1yQfRcQBLfRf5knUVOCjzBBjW7
D8wDuX/V4hYDcS8mNi3ysd9QZXIFrX/u/YPnsYskbza4W4KRboa8i7GkeBskmdV2YZ22Kl2nJqZO
i56Gxoqf6KyIfPY3KO77zeK445XlUQaXME6Rqy22uR2MnkwvQZRi5XbRFaB6fKV1V6IdYfkqGveM
wTDbpKhLvnfl8jSSi/2kng9j79u/v5ixginH1J++JUhJLnlGlhuYrgcbmDn4H99WKt9GBWoKIdKq
C38MYLd/+his1kvn2nc+EjlYf7q91YgSeyNm+m60mvyzEBX6GXd8sdFt75bBI1S1c9pbGTiUKuUZ
ICWjtF4+EuhYpPH2yz0YPJ0lNzyKei6G11R3nwQpdp+jOzxFuFxeUxMFVu2ShRGE3XSvLfq4tpd2
+sDZqV6zCyJa2wm8y3JmZ1CZ3UdfjuN6zJrg3qQru5kMc37qaQvSwOmMt0WiOdpKz34uRXk3+mVC
9x7TfjUOFc1Lg/w6NIy/Jy156Duj/0FcLwxuIeK3OAlmGsZ59ATsm6hcbKn3k7kgDHTz4qKDjTgu
TdQiwC/0C6K0cEcmiH/vQ3llYkEgpQWVvSt6Y3gOLac95hOXpnqYeEl9b0z+1Qvi8Vk95YEM1Hxb
PFphNTwLjVUVHFDnrA72lRej58Jwk83+yWoq/OylUd74C4hCDspw3c0TBa+SUbHw0/7OYCN6U6fo
ic9QLU/xDazsf54yk7x8w/qMrMgYgdE5W9dPsxeh++wFl7888LWtV1jpSzPWljyiHrR5aD5lBuLb
+GqHxURXML4Kl3r5qrMomFSoYoV16dQz/+k5VWV6j4GGTjcTCXC5pLMPtdcbuFIn3AZY1bfo0A3Y
nqFMPscxoI7aoR7eR0V7Vo/Ul6b8NQgnf7Ll6WU1/SjzsLuqQ+qlRQ/CJPD6ZNUsi/dOa2PlV5n+
lnl04kqfnollxv67a8zPcdgYj43tU74r3BjObe69h04Jgikem7vZrLwHRpT3Vr6O8Pp5E+g61oaI
GIkMqr96Ho+ThmjQ6vc6+ThvMX2fIdpXtg/KdIr2liP4DwRRmquspfnPvznkqJP//bf/6zkZ8HAS
ej2MSn/5Mf963r/+Kv90zv/jt/PXYnyZiC39rMOAilyE/Nqe6NNoVRsf+SSDGxzGHG5CiuECOboW
up8zlJKVken616k2/M2vU4sGqe5/nRr1PQLMv7+qlpr+Xp1ah3V4U6dGRFn//VX/PPXPX0Cdqn4B
DYLJ309VvwBTnLOrl4zkDJEbD3AdL1MSOq+mkRmXqgFkDQrMefXp6xwSXZib0BudVzrUzTZsBnOv
jpq1q62WwmUfKY9CvnjMxqG9qYP5sO/GInlto7S6joF1lzjd3m10WmRGm5xEGGv3mWMLKqUaSk29
AgtU5u0zDoViH9u5sVFHR5qg1ykuPoKmFc/qKQBquWNrT+r0bKDOEet6d1HHgOlpG2807Z06Smqv
d7QGSm7qaBAO+m2B3aQO5laCASHPmkOQXYx8Ht6GvPAgSUQ06uXDudDafepOPigsHo5IxNcQfI2z
epjM1s7zIuMJOYb/sAT2NZy14a1O0QgT7ugiZeCb+sihIEq81kEdjeLwwyD07n4sh/GVnxuS0nxt
AJGhZEjave9W7VFzuugBaAb1IpbKnzg0k5zPmqa+WLd+mtxMVDknJ+GvtDK/eKmC6idK+fZzbJwT
JTXjG+uobBv3nUSyl83VzQ0sl9HkvzuathvmWXxaToQCztXSZyiSdFi6BfVN7VxsZ0jutM63tkGf
LY+LZ0/rutMdTBG80bTgjA+dwChtFDPve/YyFHb4m/jIB7JC7O/IUI2VCLziJSo1anisIG+dTzzx
wrh8cQK2FWZVLwdX/pRxkomvAasKdjj5VRh9cmpqkR90Mej3btoMqLCZT8OJRsSI4/KzxS0V0syi
7uHMZ0fP8h81MSHA5DH1CaG524CS7d40kvslK8tb0Yv2Hr+bm8/lTT2jvvSzgRqrnMvtnwfUqSgx
TEEv149eXPpjL+HSbINM+A/qqUqb3+ZgLu8WjcISWUxQWuAbnNVDy3VvS5Ec6aqUz0ni2BdzSD/j
xiqeaVGVz7bg0/a0R/VMMOcTXd7FP6nTCQbtdzNmg61GTv2hcdAzkwxWPaLPgRD4WBPb/sj+Q4dg
P2tY3XmoDoyYSWVnGBGEfK7P9RH2E9WV6xz5z17hwZWYKmBUWXffTn379SVqkOHrAHCv8RSEoP3S
0cfxavunvv2se726E1aZQytHsKIeEn9X3akvQyQrwYGI+6NpGri9HZYIet01960QOJCW6eQNxfKN
lWt5oDFosjET87cgGD8DcndOcbDwgeT1H188u+SpMgf7bmTLa2WYxjlyo/ZhxrR0N2bJTj3yhCEe
xv96Ku8a54CJG32p/F3NbeRb+V3tstHb0NehRNxOF/WDUvnTEr+R8b5ht0O6DbKgjsrl1R20AOzT
+BiyI/760kb9soPJgWwCqEe2boRjw4zP/cNS9H+cYzguM3ll36tvC+p+JlG8f/SbdUFqXmzr2qOA
3nsfLlRTexnAC1gBY7yb+tSBeDiyjHCAdWIIGRcoNn549uaWBgWT8mZISaJZzX6undWRf36snoxM
VjuVG9+NsTedwkBk1wolzTbB7PUMQhpZfBPbH7wJ+BVt+/dsFfdY4s33jg8CF+JSPchA5/2f3w4h
jyJw1M7PNF/RlGWz9aFheXMRefym7/mXb5/0kiZNp/WgY9v55Ig2OBRLcemTyNwnkejPmsayd65o
bcyBX91ZBg7/mprXY0BhZL0MUYotFK+7jXvwJ0aMiyYS0rdcVsZN4vGfLsGx5c4fBLf97gCIfqMp
AOMr1tunNKfJGadWdj/YuI1dkbmokpNXfHE4pPt6/l7pxdbunPht6EdxpIBmboO4WP6759X5OR1H
db5L9PtRvU5kW//8Ol+v78f88LpNjo3hkw2PhgDvLMEIDZVsMzFA13vG99ITDh3RbHlG6kTI2WA1
95GteXtDY9Fr14Z+9gar2tduVd7SKB828dzrL+SAoS3ThP9jif4PbeexHLeyreknQgS8mZb3lhTN
BEE5eO/x9PdDlraoo7Ojbw+6B0IgMxdAqlhAZq71G2sfAmWZaSC7cQl14H+kZFqqPs1fsDUOQWur
Ph8/zRDg/AyLBBQFpqZuNku595w7VP3k1jTtPpx8tT3kW8jxJLtCz+HghrbxxYKCDZRzyJdsqA04
Gom2qHLQQKJpRixQsjIfD6KJDMbBg254Nbs4+qKXK9HbtF1zkakBx9MN9VaW9+L+7GsP6KGrV0gP
FX+stNy3dQnkJLKCuQ+E9JuZ1QtNT6y3zwi59dxznOKs/juCGaV/6tThKTcMCuSxMn7EFTjKbuzN
a6AZyp4NBOvTaSClkK9qQ/2K7nC9lj0WYHwETL3KJMtGwOgx0QMCKA7aiLmSuCWkLiQY06RfiilB
VyaWZO4xNf2eKxokFHddpT7DqHKgc04zioQ83iwKs3FDASe5iGARVyv6s4h4dE2Dn/f8HEidcdjh
i/uI/ewPxvauju8RxLqvw2AuLMmTfjSDfs8003u1MybTIpWHkxLo7tbFOXCdjLl19eIomodeZa6T
PrXlnwBLAmi8Xtxfdds9Fn1p3KuU9w2oScCcU1NrohqNQhQOpGyy65r63LllKOo9HuE7p5nUrlJY
KDPousabOJNIH/06C4v41rAImZGRiw4VnEnIttYum1rxkESHujFYTdkT7EqEiBFxgB7lQKStMBT1
fIBdpSYfYgTE8K7JsHJIm63oegxO/RX8rnUt5jNvejngRDejOKkeGh5tbSFe/z19ORKfuHc511aO
65vqYf6ddxDHkkmeI6MWeGtfxZA4AO3hr9zDo3YCS9qgF9cgLmiZB0+HKo/I9PCaVDXW5n3DQzM1
x6ZgS9rJX9gTreNGSeesMibzWA3zycKwuqWSlXG7M1sKZA0kMLT1v9Sh/sMn83SSrTI7DdNBnNnF
GGwMq7z4hUXNG4z4kw75ZZvnPmX4MsGstcn4tiWSdoJHQyGahZpvhC0/qg6ds0TlNu+Gkv8s8pJG
H1GfnXbKbaoitxTCwBIb58/dcyUZc3WSURZdSCxvHl+QkoTwpa1U7bFffmyNU4q85GPjvWnJh7yI
y1tdWMxwUniIRlV7MYzM2Q62GpMPzbUXp0Yt2CpjpN2ixr5rVYhHTcuvqqSDuSz1tgbTPrXlRjeB
x6I+25DMnss1RHTx7Y+bIT/WKIn98ZA5+cAmwbPalYXB5vnx67ZI+S7ASWjLEgXplerL6rNoggL+
sylGFcfTyD/6i6I1u13kju6+oaYEJW0CuU1N0Vcr40SW+d0WneJgMEGT9Vz7Enr/s7pX1WMcQlQw
/aBaZkbwDUJ1sEOaLCXlkfjBCkMRa66zT9/jzIDUg274ygzjyuxk9Qnv7yBGQ3gokm2rDORm1LQ8
GxQZ5omf9B+YFCxynvTvaggHOPa6+qnwDGtFzTHdeTXlK6+sql1i+d6uHsjjZIU6vEdVAG1KgQQ0
uC6qnz1LGFAfoOGL3g0Qa2FGLFWQMYZFkkMKJkLCWJjrqi5Ded14ErKMl7r3YKN0YLA7pWUpriP2
fiTdM63KAziKRXMJST/fak8F2d0NrwXWfmsTW+8V3lMD6I7kZ0jznBvJsIg0TVkGWFEf+9Tvj950
lrdlvcInhRluapIB7jKWm1haD1MnpUV+FiY31gzGX7rkrRChDTgZoYrTRBoscJvRLp8GRJc4DLEb
4ehRRodAzq7GMPSkIq0iiddSJV17skpfrNKKVkqtQk6q9O5skPpjCaLK32x/Hil1+D3O8GGyYLLD
1zbSHaj8fuXkmvSM4s0XETHdi4f7ixKUzbw0SvvJR4x1llmx9T0O0mWCj987uTsJpH/mnnLgADtc
fkDYSMqlk9gNRTK6IRIq7HdxkMdgGXtsFkQL/+iUAqjMtGWlxr02yWKRrcFSJrz5qm1/r0G8e8BX
vo0KvAObT/spAOO/1IPEOhhSiQF2w8cpddJwleQIgA1Wm++V2x5hzpqHyg+LhesNqC6CZDgULD5e
SKJCeyTnWZR6f3a0+LtTONpLOCQ2UrvtuBRR/ah8S5B3oJ6roJHddmghlAW6I3+1faNXlv3AM04l
HQdd0Tbq9EY2zzgPCn7ZrDuofk4/I3Ng9DtjW+xE00+MrRP33r3UYvMKG+usmoX+8tdFKMy48yrT
/7goSRwgVJFpfF4U1qU11xp016DP+ws3NYy9mtpohjXytu8Dcy+6oNLlv0ZF20eLDddNaJ+Zqq5w
h4vZQwT1TRwKuMUzOyiDPfmT6haF6KOMZAPEYAJ56NZ77bA0sGtfVwDk32T/KNaPI6pfqwEY2rpW
jfatLf/ohp/g/ks0OhzuOikcaN+s+zd8gvpJxV9sjm6/stQpJFjk38rxEOEVKkYHy/C1mXIonB4N
AbZvK48l+JtRSFtNj6qnEdzysY60YM4NizczUPJ5y+x1sLree6YutI7IfbwVGt+f2EufMzyHNr5U
kxec1o2aB1G7tzyUOKbVZQ9qaqYwjSC+Q7OOUONr/fhuxbl7g9+3eaxBW9avg2VfKtaGpCHj/ADg
VX8CrrLVg055qxxKK6Viext1ajb4XxpeZ76kahTvYmzcF6kfEDaa7yaxV8fR3VPg1R3MIeIRcoen
YJnhgaXY9EwBnmYhI/n11o9oQkDOt/w5w7kY7cdCu2O7+/vpE+GyQSK7qzzz73C3JCGszsWQuMaI
5XMbdc+x0uibZqqLKNSEj6hgnW21SUhb6dhdVL2qb7ASCe59T/6o9+KzK0a7aVTF5mczoD83pQI0
mP/b2uCtIzb+XhpbFwR2ViJFICIAK1wizR1PooUnWbJIzEpjInLZClQQ2b0O71RgLzHqhdPkFEt5
tXc949okEiXKR1+QHXBOSQ+iz+yU4dKYOuAQd90ZunLzQehSwck7ZLIULNljM1zJQdSeYfGIHGa3
tRNZntXU2XAQihCndFpJ34rhsdKjc03y9DE6QrV0cikYsX/TrPRgTDPIHwf4wUezedcgYj/GMjOH
yjlFwaL/dRY7fwTo4Q/DAyzhZGguT6WQfdTWwx7N/G4VKsGHaH32/9U0cuRfEcPhiiA2z/KYonXt
7fW8ls68vXTwKBwKCquzkhXb1vIK2GJJ5vCJtCYqlo92haYA/Jr3uPH0iziIi7nTmCO4FcV+fKWs
GS5Bz/qs1FpjS9Yy2qB9kV0cpEHmsWo3r50SPYuddI/2y6iEP6KKHywPdXMG6gYnTKKCI/cBDyJL
8EWho0TQjYX16o1z0T0oRQsYucckqO2KNznPvsEjdy+9Y8UAobjaAFwIb0RxL+EkhYK+SvqsmRma
U0HaHBzAzHsHoZPVGKv1E0r6iGGoVvMjTSjkSMbdVvWrYiAjcI0Ck6KJgYmg1ftOxTJ2ANIk+bfe
9zODBDHscFUKN7nLRPURDAswPulhBEl9gG9IgjoEhdu2LO1HdQSMRdrxAKJN/nU6lpq9jktkGKeB
/xqdbjMiLz8byKEsNMN5fny/9MB15kBtkl/fNzOemXZU3cR3cZC8fp3Krgp3ZPqqFnL9VpD/IwFU
KTcPuOdBhqZF3iUm46cXK2j93lXWWnMPxfcqpzijgYstnbOtPyWZyZjoGqiEZa2mHSXEAsmYcBGW
O8ij8k3fij5c0r0rZIZ2zgLUftxXDIDRmT5F1mKPW5no8SPXbyHFNt1GHAq//Cm1TrmlagncOJVt
2C5kujcVCLYzRuaBxZLImGV6450eMXjYqztkea+PJqsa/VyGurwsstia87rVz0bP38R3rXDh1g1a
8HyZut1QGJgJ2t4x0gbvKM7MCBLC9FXrdmOqL9Hej/Bv/B3zaP/bsIixYQIetQwFLauuNrXeFMi4
DVAtxcpRxST+cSraRY4vtPt7WDzwn8+/CAm5VRL6k4OLBPLAyfKcwmZdYDRVgz8Qp3+3wZa59lz0
Bvk67CVzF45qsTcCgOfJQOa801DjnmllgJ4i2gqPTZFldGzky0lWwehKQIJTjDHF+H7zK+ZRU5wq
k1PcoJnlEUiHuuvr8ZzooBlWZdpoADsBeKCgwBpUdOq8hZd8rN1czBNZ3CIHZrgn0UKJwV3rUTA+
BvWcLxIV7P3ng4CSpDUvOw/W+/QAiYHHU4T8p4HfawL/BUbpwfKtAbFhiupNE3xlLL2QJZLY0tem
t45w2t5YDsrIYoEFmFnGwSC3d2JhhcreSvIH424oXXB1tfYulnqFEy/UyoqpWbvSSmwtAAnooaS/
lUCcSFbRHcrR+J436zKpjbekUIy1E6IdrA7tSaRZNRtqB8TfciPSu4bBBw0lw0DGRWkSf5Gj9DDT
fQx6QBKTTg7KDCnkoNo89rzRP00x6BVA/2Bi1Fs0DNCj6buf3j1OPP1no0gfJhJ5Lybb9gXMgfwc
Sp7JukWCOp2zBFeQHFqQT7W+2Em5bMMw3WYJKh8uL/RZNKUV/Cn7ELGJOMSZx8tJVxJ/raJiNJVn
baxlV45Psk80s8rSdp0MZUA0w8K1z4ky7EXtVlRks+orsKHsLsaHOvpgYdM+yrNpUKrsxWTjUflN
yN03KfsakeXS2ZP5dRx/YKeAX3mWJIcgbtyTxHbrkQfzI5jM9vi/RARTROkA5hD3gFImnawk+3WP
6af87xH+GC8LtY/xUHQB+5AvhrSh2K+SmaBvohXOgVccJXWNOmAXOq+oEFGm4G+zHMveeUXo5WeM
rtIlIadx1UvtSUQByAeYb0bDWjQjHqKCNMDdRhjtNExrOg8fxVd0IPsFMAd/J8IK7MbV0X7Rqrjf
5piu1w4s+pA8Nt4LBTB2x/Kvliz1d683UantcQT34BHfWcgGp6CqL6IlIszE+J5IuCOjiTHckUaz
1q0CZFlENKNX3Nn8TLcS0W5gyPOgtOKNaBY50AVAMJMkzvTTpp8Bu+PoxFV3El2BZKcrV4WxJJpN
rA+XVIkfLRFvI6TOUiElVTD9BiiSqFvx//m8pc+WyK/Vlcke/BWpA6T+xix/gVje4BdTd/zaINxN
1MAvVEn0VRhU3hHBSXcTkZzfGVnZ7WtJsddhE9YnSK/WEuqKfEVXNlnEBdpwPoqnsyrR4zcttr4Z
SMt8a3RvJ8ESxgReOgYD4jWzCro1UozOj7GVrvag1x9eDIBe1vGX0diDg6VV2h2LXmchcupyqu4q
ry2eE9aNO7Mi3S1y6q2h7Zqp39BRKuN/4MDcIaf+Ox5mxnM+WMpM1vzxbvlduHNtjbKhrOAdwr8F
yDTnIkZtDMsAGaXAGuEs3Yuqk4987+6w0FCcClrj1YlyB0067sTmLeIFiE+vhK38vatK/Rp5/ewR
q+oG9i9sVLc+tc67S4EE8lP4luj68NrqXzy26S851Rw0ydV4LspWJXP1AvJyv/snqnbL5CWynfow
uj2UuOli8u4hTJxo2KFdLk0lmcmbsfuatnH9GikmUm+ONd5KIwJxXMXKkTo+bM9M7raWQ90zT5RJ
nDcJ4CRDAgFEqb+YFuB6Wc6/Dy3CUSZW9xBhAFr4uvfDzsavnqc3ayfhmTEq5EBr/y3262g7feeW
VaRYb3bmHo2qce5wisdDHYSgrqf+lGUwpIagPqeodl56XFpnzTSA2gf+N5bc7aVCKZ/dOIZ5Edpv
MFQxbeyzdCOuVxwSsk62GTtM5JQO/6GKeQfKJmexVXmv0DGA5ueS9CLOwqnv/2Gc+Gmdo1KhaO2C
Wp9X4Q7y//VHdna1w2iv34qSqw3+FI7SpMNSF0oMh0BRyf301bpNLBRLOi+aD0NYXkRFVjPydFco
rGge0ay3SVL5RbUWw+Lw+4okj811owX9vFYo6WL1RN5+2nSKvWWQo/OB0M5RdNlDjO7A7wjRFyfy
I0LE/3UPEZH+E/F5j2Ls3pOg3omKpqh0mhLu7rJV1xAHKY6Kvjpq9jH0x6Powl6iO9m5s/6sjFZQ
XNaDbKRzv1CavS57L59VZyls17ntxActM6qzMR1ENXrq98o0YY/CqgTrgWnAqh99IszqLGUrlcYz
sEXpiN1xvESPtZknGvls0fd5MGqzZQ7PWe0S+3n4jC3b6iXwc2Xz2fUZFqMJ7Y2hElGFktGgbvMW
pdcpgSvObEOPdnWfHP/q76cwMVgyKOIr4DJOIdn7z9DfASL8s/8/by2u1oIyP3iOBtu04kOhnPTN
Hfpw2xU5ObipiXfkP826ax9NsejKRjk8yqmORZNkHZymAChihzdx8PXcXHVFJc0/+6CEQrWrY9xr
f8dNlwe5C1q5zKKbEbr6ocOfVz5+Vu07meFeqdgJ/9P/WW7/3f9Z6hfrQ9HfVSqCZLa+60KKGzxU
J2s6mFHhnvQmXQzuiBzO7y7RH6FeOVdbi1LuNCDnMSRGQ8ntTWy0X0WfFmnlQfOcFfIi7ROVb/zL
gief7PITiPivbG2joxiq2iCHMWXra9GM2jDboCTizkUToKhxrNr6RbTCYcAFvGux/4sXihcFX91E
DVGLRwMVZqJxjhvJhJal+F/z2rwmUuc/D6Znb0JZ01Cp8uzX6Updi9KlFSNX60+ob8XALbm1je/6
hAjvaqs6izPZcKVNFGvfwymKNQ0oSNH3O1Zc3kmwpZWot9esk2HOJR24oZSqUKVaijVzRlARhtY1
mzFqnLMYUTwKSV7zJhqxFRMmldY7wrHGRh8yqhQWllZkrp3JTRcRAWWUI8oDSlSvKZmkuJn02UkC
XSzxujm2LqJeDWo/a8Uc9VNsIccqDgYuDdvIkEiR/Uc/yrWIHgAv1MPKVlZDp2P7kefI3jg1ZqV9
C7tPasoDCk4Y4Uowmbce0rGTO1wmW96H5zvf//sEoK//0evSH0MmVDWENqL+mkk/QlGbsJF0l+XK
OyleGz63GKQMUwmjdNAY1uXeXcT8UkiAVemenfbey83kB95Hj5PfPf998i8x8EPVSX4Xgu9TrTUJ
FoDWMksa9yJaAb6XmLzZ1TaKrOQptGMks2UdptzU9DWjO0ECJjWl9Dvdb6y5L0FhaikvHLC0cZEW
ThHrgPpzKnX8oiE4DU/MuSq6FFL9YQTUXRXFIlvdXUNoaz8jTX3pSMS+So1RswDx6ptb6fEqliM8
CyUJeAbolxhlxtauqa2XeCLV2lhdkHK1UGOREKScBrzA2bRaon1pQrfYGBU7SCc1E4i25kwERH1j
L6zRjPa5H4e8Okv0XwO7WYaqJF/EmdfJ/3WW2YVy8UM0o/8tzp+uDafR/3Oc1+dnvTWdba0XwaRq
mK+HonNvUoMFWaUk1vcKkcQian5otgQfI2/texvE+qooE21HFTU6lWNFziTJ+ldU5s4iliXLvqnl
4W1s/GSBf4tzkjM1XsaFdRysqn1KqLpOQtzJgepB+9R0ioF6KUpwYhQDYW8rqxYWGdNo3+UGdsrj
Jdb5bs/9LkDhZLRvk1zYQdHQE6udfDVUffnSDmW6cRsZARajB7Ejf41qtfwoNaNd8p8JED91yidX
yW6SE1UfGGGjO1W61rFzZeUsF5U6c6YBzxl+ROSLbwqo7v0g96jkixvxg0yv6S4gAb+GfaAsfLLz
twyQ9cJDT+hxlnVSdvMiR16Is79G/2/jwunO1Mq4cxcZy0yiUOpafnvHWfSj1eruIFpALjBRMlpj
LpqkYdo7EkmV7Qb3R0BropSOBd1aNMMqjI9SEX8RrRSNmW0PgZDy/6wwwvjdwaJzjXp2zLurHd7/
6ZaTETUUXYuRUHQ+u0X0f3SrJlaEcIHyFe/H/jJCFjmoWXnERW24QGTmf2E65UWWY5LSQMTdWaia
3lIyQn0hrkjt6EeNwRSLY7LXfAnVlaZZZO6AmhwffeJU6Ho2jE7mNzvRGno8Bmd5mL4aduiscoTb
KVPn2R4NWRiAol3rLGAep38MBX6vL8hADwjVyv+Mf14vznDvxWkgr7/FqdYdA1F1pRAxzuQsjVcY
s/VHMZJ2bjjwIqX9OfzHNeJUHD6HUwsA5sJs2+cmDloTLdoIzfK2kcOLgborNhr8LUzgFhSZVeX0
1wBvYxTy4BM/BlS8xx9XOAEzbInH1En1RxIOLhY5iEmmVYOHbaMvxoavShPKQ3hP7H42DHm5TwDR
5acGzRUsAqpNGEwqHhH+JuWAHJWHx4Y3tdKy7J+iNd42ypPo6CPzWvi8X0UXSQu8TkvZZC4i2pZ8
a9mmg7QUoz66FFsc2tJ5bBjeUTftD6/R5Vvdf2szLbuWRaTcsB5LScXhKSDGxIFCL1y0qEv2+RSC
w1VzzFEPF4OiS5XQe4QQ3a/ETTS98EkhBoeQFGXa5C9o/6gn3Cmp9ndj9tIUMsJlCI8jy8xoSSoS
waga2vU0KnvpW6RX5rnXgvGLjp4xpOPtr4+xrCHZjw5TcBUiwj9M6CbSCsmlCfrk4tjee5+k4S7A
IAY0yu84T7RFoI1iKnyUcCeuFZcF6F9tGlizekSZr8LZQwlH5I3cCtndrvxwGmkSdRu7Q08+4gq0
jRTXNGBKADGYAdVLW2LWGyAHRZaGAVK2Bz9SemZvSnu1lgUruaurD/s1MhtKQSSsVjaviw16eIib
TQlH2R4WNbo9Hw2IUtv/Cm09XXaRbe9Ik4U3Q+a/G1Zl8NVSPB+SrtOx83aH3VBjViGnRrJB3lkv
vmIxV66DUFo6eaAgFcVB6RDkKmXtmk25whD+zIyyQ4pSHIO1g6quF5fmWowaID7XcoTChBitnMbe
x/DSKJYRPHhyfrUSb4UmMfqdVi9vW8xpzwhfIXLU2dHKQtcXG5ypM4NgpSGrshetCj+Rcwzw+2hO
Wb8YvCGlnqZe2y40ks8Qu0YqJjGVYNElMCxr2NzfCrO+W1GrAl/WqjUpUW2Dy0p7/4yASXpn8fpf
ETH65ugIpmRskg28H8pCXZK3szJNuyXQLvKaTZkiG4Dc6GxQMmVjVTk1D4GU8sHJb1q5wxzGlYED
fbZ5KZTXqEdhVStQ25bJW0RSi7LUlDOyNKbvoFFeUFmTNmmO4pTIPaWBMQ8QB3uxK5ll8xQv+l37
V/9nfNpWH0GS6bw48At7iuy0wi6I+rbPK2KtDl27xOt0KmhjEBDGoGwks8peFJvHGN0TnmUrevZ0
Ff0IurXSQ6+5x/vBdhW2JSxpMWz3Ffw8zHLpU8rN5tSnZE/Xb2KPLQaj3gML+R+DYosegUlcugHk
CITT2zE/xLFi3CytfREJfi3CbIeNQPHoJ7X5R3/b5uXaqpWPBInL06Co+YJvXvhejey1JyjR4Okf
jd0oz3ozJCuP3fheTiuMXdpMmZuaaz3pjr96rJNHkueyE2CGPi2PlXFoZ01rJKfaUJYyf9pbi/hs
CWHwpkyM3wR0nGg9iIS0vNS3b6EP0BUKprflbwNQH8udb11nz5oqd38EWfqGC5X/MvoqSgFlZR55
AQ07JXGCtW76yS1KVjD63WONbuGdF9XJTtT8LfWlEgnR0VyLZq4w0ZWS94VVsIP2jyyjxwG6AeS5
jiqGlOyBsKyw1zauIz4TAgMV4mAwp/IUH+MiMq5S3Dz6ow5FeFYQ8dGR0Uz6tflPjAGb+tzaDb2q
AC3ko9SC1VBnwXcZIOlcaeTkCkbR2jBRBZs+HcobWFpEd5LqrTVj5ykp+GuPbvWWjPKwzBrd32tm
nF/0QkepKRuMtRxX5fwx0Vox3mIDXCG+0BMQSsys2sTlNBLzAg+vWEFGxMsGB4ZsbqDEY+pKfx1s
K0T0GvDYNY7z+pJq3hfV6XNWlFJ1K/IEs6RS34uWOMgUjpYTSG8hmuOQB7sHCQCGCtZIQPg1JXNf
eOlG4H1M7TDm4XAYVNBmTq2oL3rQXhSlMb9PoYW3fmy1Bg90wkqqjR+5O3pHPojg0GRPMBkpOOqO
dxTdn4cSo6fZoyLUWFChJ5vJRQpsYyW2SalXdLs89FXmbPZFWtw2NyNn5T7tqMTeClWQdwUx46PY
ODkKIhoobu1l8pfsLTW04O0YUjwL2/IAvi5nAT+dWlEQbtjFszsNFmI5gjeJs0xVzd+Oldm/DC4u
UNMyxe/HX/26W/UvMv1SDYJWHtJ4Z2qNf9eN7g30GVvWqdWC9d+hIsBOU/yJfo/q06gbOshhTqMi
GKn4TTHoCkpZE8ANQB+grAnXJvUleS9pfE4nRNtnv2i6fHF20uM94XfZOAvaaMS5HGiMa5dM4Ipt
bkywphSxcb9VEXJ6yYfwa5Lq2s/iMFZ5j4BL9j2KsW0U17JflLPCvSlgDmZBLGtfQaovrQnxr5XV
Ho85+b1jH8B2pfJufqWz7VPUCAMmtT0MeuaDENbyA1rv1E9aY1IelT96w9wGYORQdslH8JtF8t32
5ATNuBgaWGfKC7XQ+B0Rr9lYQWpsSzyqySs18tJ1aufeBxlitDkkK1BvxYkK9pcWAOzVCursXBdd
gY4LbwSW49nCKRt9Zwyq+lI5X0V3Y9bGxpFL8FiIcD+rWmVER7CXavFVh1WE2NZUe1RSaXL1wqIW
7mQsrysn8pcKO7hf42qARYLTAajmpYx0ndckW0FfDazRWanAUReimUP2O/TwDWaC/sqiW76hajkT
g+KA/fqZGowP9z9rn8Iq8eaGhggjtcKFRb1C3UqDDma6VlCbteOhnPsmQ5HrbePKMQ9iYqzxEDhH
2Ot+TpNBg8BtCPfoMbMactuLiEfTm0ZjRsWU+i/3iIsUQleb5iuRlrP7BpUu3evWIl9XwyKhrmQq
KPzXTVxDtbXrbdsVN2UCMI/TAXv77CSaiR41W2SMb0Ws/tn/iGijrzqkj/Xnw29WBisSRw/sOQYR
0UK8IMSr4jOmtjuQC8OQYtDe+9FCjKCrgfjwA2NE1U5e+mmK2LniPonfiPUUcHAvRkQzoO/zFxSj
j19Vsl9Dr67mrTK61LqmbJnIiGE3CNAUnZ2NaBaB4Zx5hP2zSTHxM7OWxmzvxbVdru8f7754lNJt
XiVpf2wa0DSVWoK/9RUe7C6Tmr2CM0UW6NJJRpQNKHPgncWZM51ZclUzr/3T929xsVd52yyQP/6K
FXdypuv/uqe4+193muDtywocIQr18Q6HNOM5052NqPKbQxEtc7bNO3Y5f/QbZhQtK8n3V43ho8Q+
0ZQE+QgPGySzRDttI2/Yil7ySpdM1++eZ5BYFeoBLKUpMKFvlpe/yhcjhlLzVu7/jhALIXHRZ4SS
vCdWg2YTnJiq2TvTc+LhJFPNHp+ueHDkWg7nBmjKXx95abUZuQBjI0Alqh72e28krdD3bE0fQBN4
+P1Q/eRt1rFM9rdqrfinvtdPw4RlZ2HUbxVKYwuAF9pLAZdxnkMP34mmim2QnUv2bWidYh72Vb+K
lADVhsHCvQAZr0Vq6d5RHMSAOPPljtdUoYFDYGcl9kkunPCVXyLdLvrqaUCc6RoevIoaHquQ3ziQ
ZRsZMqWe6VgyP7m53S/hP2XHuoybXW97wzrzm/AagHvE4sbu3pLeuwA70n+qA7MV6KJvjg8V2xsR
u5NqbR/3XXsfSS1vOgq+86CK2ns49ZnpV35iiEAKDR6SHviEZq4K1Sa+tNzjmA+AwKfB6TCYaCaG
mabti1IFTxYGx9K0jW2rk3Qz8ti/G4XjwwXAVg0GzSEpev/+GdFqJsBJfNVfsjwZH6Mh8K0WX6TU
SQvk/J0cfUBgnX0yTVdpAQaQHL3o71UEtso+lE9S38jYgkY39LiKt5jt7OPyfGrWjf/35aL/83JX
Cf64XEaMaRlPP90IUwP3HWlcNXAoj2VlkK/367tWq9YxySvQn1O/OBN9RjJJMMRZtxYDteOzeFNi
+71E13itJr60l1hu7yHion1q1tLSx5Tr0ScGxOHf+nKnIKcpdqKGPk+6DmO4sbLVDczjdRDV7R7K
bO5iIxS2e7eDBfBs1s4GA5dj2WgosXrVe2fi54mmSHsq2OPurGjyaXS95jnzy29VKhnfp9Dc69sZ
NiiH3kWPhFKzY+AYgapWOnbt4o9OvW+zX+NVWRDqOEOykZuAhLCSvQSpiTdzltcnXQ/yFy8+WYGa
fkkRmL/IUvgiekeYo1u9diMEBrkmsfDZRP+62mi+5m9c18Jcx64DKi3juAv5Aa9G+MSKNntp8Z48
yGmUzEU3DyeyJVq89dz4Ts0PCHrHthQn2GCPHop2hn9CJX8ok29+Yc4hi0bvKujwZa8OwzYtu2Cf
gDdkodv1NXUwTpU6+qEiv7wSrTyX2mRhWXGF4zWjolM046G+MN0vOltdM08GwGLquVz50lpvTMTG
dHbYgI83mnENxvKL4fK74dT1zBRWH21JeTFYqu4xjpk1emqvHYiASgPnsvC7L77RqnNdkVH6ndyv
VGfEwMdQi1WIBEMNA2UZj/PUxtFBRSMgS7D7CezgGikZG08j4F1RstSojCvYlXOgQoQcWRBb9mjP
2AAWS6NO1liVBfs6xRchizw8axx3JfdUeCNn0yB9xs9z+lnbNk9wzsHwxCRGPM95x8roKCuAUcBF
lDU8u6oeWfzFQXBPXGQMTL9cukiAoqNWAI5OnWTr+khT2piooP755AQtmxbMhMs+X7ZAM8ZxhGAN
CM9RULTHmDVzD3EbwdvLJFZfk8Mh9CVvgXwNEt2SuS8s/pdo1ajoNFJpjzW0CCwwu3LnHxw/mkeS
2c+6vozWFIg2Xtu3Lx4+WGlSvlouYvFKWL4WfoBBi9zvcjWSL1Ghps9mq70Cqcjm1M62hhv+sCW0
KHP1yTXA+9sDWqv/w9F5LUeKbFH0i4jAJvAKlJUp+W7phVB1SZB4k9ivn8U8ddyJvmpJBZnH7L1X
mTtMpGIMPKhkAl37LpQOYWwkj3PNiZsnTr+k1HueEZWwNwhmBxFT0RI2nvRZhPaoD7SUWJNeuc89
0wzbdIZdqfq3mvc8mpXVXGA6PY+V86TDOortOOP60TCoyqDpyYVcavh62kIkXzer/L6C4wJqZI4g
mm5qQvaCZnmi4HUg1MpPS3/GJXxqfX5nukn9LApcyrqNs3Q1yg9wGKHAQkhmSEJkfCJr+sr45NP3
dUsn+JsFOT/WD9zvmXawI+FxE06tIwHqi1O9xJ19b01v1O6/ctYuRmKHfum+LbN7ySeaMpc1cju3
Q0ghRDxDfdJajaSi5rVKR3RcSf1llDB9DBC84y5NJnkiCZQunUFJ7wkrnCsuTdWnX5mhy5P0yL8x
/AruztzuVSPMULLsGiznmImFgZ9JLEXqkrUisv7iCqQsq0VopmbGe3/Q16go+IcqfdjZGWjIFL9h
WoxHnM6PKS83v9QnZS9oBuQxQWAejGvWhJlBpJlrjg+sDV5Zxb8vDJqD1PNvlu3hLOsqggbUr+IR
+FOkxPpZs3c2siU/II2o9ybzNsRhltwx8JjDOplvxM2BlBpHIrJiwUbnbDYjKDWbEbXbm01g6dio
y5VATFmCXcy+EmW0hPQ8LGLOo1GUFtNC/oMY9Gc9cR7cPr5pfgLsYMpCQ2d6kCX5j27puMiJyB2Z
gWdWBUNb5E9u7TFkh+hVWUMwWrCrdKkyVpLVzVvyWz23H8Kw39pp04oh2AycmF9gbzFgoadKaCr5
nsi3Vmn7B67ZEHtLMPjq3Oh3ynbuPQUTNa/1o5+DK5OMGz1CrN4mvDFMzu48S42HuAaQI3ELeAmx
uAbRk6zr01C4Pftyf34gQ/J3WtJDrH8PwnoR5lrxVQY/UOPw45bLS2J7t9F09ivwkKBpYOm1mXk1
1+KnUigDpznu0MzzA/gj8VfYLNEbuJHT9ncY1HCsLmifWG4/mwO+RLEyBoN4HAkTzCacFvxdy8KS
AQe3k7RnMIf3nd/wKlQkKtvLfmm7u8nJNkcIqVzr8oZ/8rOWlgq6pHnKZIbxOa5PULK/uTfCMafL
dbsloIofdkbr4D8bj0p2f5MFwDDBT6+oV1/Ikp/rZ03lelBa88MqnIpp2nhfavFnXDevZj25QV11
V9GRpOoV8rsEDbKadViPqmJ0ov/Yw18rLAixPfke43WPMa9dENYiGOjjIUwMHKItz7JDHnrQqP7V
9/UUSxrS0H4o+AFxWhKrQQp84/yIAtwht4wMk2IhucRLaQXaJWI+8FLO5Nl1hQlzWUx7JLBknc7u
FKVNiqhJ3CTa7UP8KdZFj5qSZDeInGcfT2Bo2MlOeqOPtt/JQmUj5XOpS0ldBkQrgVkgw510UvzR
zvhBbq1fsHyebB1wyyQ8WDoSupqRZ0Q6EWUfo7UzERwBQIQfUM/1+oTJ6MOmGPStgfTuviTcRoG5
WfKr0CBNtaQqwM9+7rgoDkTNDmGy6Bd37fLjP6m73wwM/w20/YSHEgxGUHBVEpgW52m+Z3FK/LPo
n1xjghRgIedrCHQG5BzlErIf10cdzvNH2i3+2WVwHnrMW2NSmQ5dmsNlQz4Q4gsuoDtDqgJ4H8cl
uMIcF/PwNLVGuUuL5M/I13rGfnLRiJWIxoEPwKrGO03vHcJVfRU4pbFbmGftCHuWuwE+JYXkKkMb
C+E57doXmWjxAQ7MfLSl9oxlj6EghmsaoM3HM0f09sYlM0oqu2m/Wr2PywM4jy9McBijF81YnLQ1
f8mRLcQ/2sQrsEIXLlsodTzUzyo7t0nhh7hfAVctwyOzCS3ohfO2ppwrA4JOnbNTJzgvXDpip+CV
UrPgv1WLft8riZkeIK677qsO+fhsDfGeMdi9qHn8hD2+O1n/N23PXQN726QXGy1HBUVHG8jP6ITz
+iVsK6rmgeuGBZib4IRDmvCY4vUJF4t+uMOqGbZmcaulTPYzTsNo4Ve3TNQCRMB9Ylf+wKKbHLl3
iY5C1zdlf3nywQNpmIhtaJ8xmtdCX6HRrvzDKCIe8/R7jQF/JKvuM3EHzCqThLOffXbDQnCYNo4C
PB3yn39FR7PiseRz+jJilhQHZuwmkZr1R0huxOk5nb2nE8kCn0u2lcb0UI9uGwxx9mzW1FP69J5b
LYLivnjR0XiuVW481P7yPAFXPsS+dp+o1nnqu2O22MRAIgq1VfXBQHlrCnMKinHjEWFwtUwVjK7T
hnY++wRgWv4xN/MHXfuQQt63/ApB/qrqbOONDcSov42jBjlNTz8Q/ltHqzkMetIdWpFeW0S/QV2q
/GCT+eDlFwxA8aFoIW453cEjMSAqtYGvUhen+VggZNieMgpy6jO7C+hUHmPH24JH2y9WZr+iKo5G
W5/R8AbFqsvIHcx/Vd0cDVF9ZR6SHHdEH2RbnFRGt3dl/CSy+qconhtK4n2egZIyneVR6912Nxjj
c2tiGxpNgvibVEL9kZvhlL6C3H19j2IBfzGReJE3ovEZ5ymo67XfLVUC3LioSBqPH6wCGqms2ee7
+fxqIeaP1iW+sz3tx3bqNDQVy4CSSZcYXrvcP2uF9VtVnjyXX6QUvOdpoke0IMhCzPkpttXT2M9j
pM35yTIRHLnTw+I1gpp3eVrSXER23K6h6jDGGVSglEix/1qMFrqryerCGRkzJypqEC48j5eYLd7G
MyTJsW/+4CEkFMTaomImb1/pRwn9jbTYcNJ9OnNvSPdTwbnezupVtV4eOpP2DqMML80qNmAuMMdy
MhBMmFfHd+Z91RoTl/dLvOE165w21eVHWtvh2GjOPz8hJChVMxuFVH8CL0OW9+o2T2uqV5FT54ds
MezHaWoPWePkOxsuTzQ5NRC7hAh4T/ngWJz6s/C73aTb9t/W9k/tMrj7lYzEqIzrW5p735oavgxZ
XNMife8oFy5b3qqVFijZMij0BikRteuRxQibmWieYFzM92HhJMKK9miRJw/0DSMjFNrpAC3ZDIpp
qsg9ENkT+YJEO7CPsoaLbwt8URLanc36Oy3MPFJCXbwV0zyhBIxCCb6wp5AGKY2cIct3WgG7e57s
j9J5LInByuZPJ4+fM083owpnfsWoApz7n4Lk211bus9GnMT71eQ5rA3qvXKOeZuQ8WGcbU1eI+uZ
IErEBURJkkJlVm00sKOl0iy+hQWMSkeAuxOZKnc+hgheEBQy7kr8RcWkCetqEpHLoMKa4c722jWn
fCEhdDIja8yhRPTVg1dUmxFbNbgv0C21Hieyv2QQXpLpbzI6PpooMPGt/2XEbHGxOJGn5TKOTZvT
UjDTgRHdAMweG5Q1M+rAO7/P7pLKW7ntcHkqkO8pUBinMZ3Ahay7xJT8ibM0d+pMZINznJIaZG53
pRZRR4Bzy56YQ3blhT+crQzuujcnkVOQejNYLCGUeJzI4UaOk0dtSk0W5yYXUktd4Y9gKMRrm5v7
VJLqT2rMsifkbT2qEv5n7OavrosvxXKgBvognAEpM3bptXpnLJa+syC7eU3H/bm2Z2esdXzDVTi7
o/8wmu0bJmckoPrVMQWvUs3qxyenllyvr5hwXBq+Mo50M0EuWKJKkX3/b5zii/T76m8OBzTe8i8y
0RfRpls0NYzM/QSCrCjJkMz+9CQTBTQI6a6ybYZEEm5Jle19H6ODS9swMmgNY/k93U+VH++Ip/UP
dgvZBghGyBsxUdbpgaFZOEAT7Ete/l47rXEo0RwFCbPRHeSWZXV5GoRrPjZl9lrN0UpIDkFocLBz
A6LSBAI2rH0sZ4t5B33CPs2ezMFl+Cx5R55Sy0hCleOx0WCscRt+ryRLHDS78V4bdiBseh71MdFI
kxl9skSFwCN2Mdb2yzSG/SqWH/au2AvI9jxIUAcB6eXpqR5+2jj+p+GYegOR8qFafhoPUrC05r+i
jmsM40xKPChJgTT7mKYWVGRRzQiilBvOpdYcifd4i3ULuqF8Y1QExpDkotdp5NeCadOMiyP3txZp
3o6hPGuThfPU5CN08/7JHPp6b/veL3phzI1u9YGi0jmYmXyWfrnuVCYvlQWCMyWGDvRacciUqe8b
lzPcpdv2RzaLrJyahs7O1QszzPmEJshcB9AfTwgBxntT5WEXL2tkIAaMCk0/NlPmMu9lecsrVzVo
2T2bBiYbUENIzbwzs4WT0mHCZeYnkyDpNGWsa4P7yhS/fD1VNlDNmQh4BhWhpYlmV5vGW+En466x
9UfbMGgZbPvYzP0acp7MEWwVDhJz+GqN9NIS3B0YekpOoGF9F2WX3cewxqhfWX9O/UAXk1Fte7V9
Ns3pvWEpt30OtAUkgPNuxY9rwQG5UsJHqXLfuPpeHCPxdi5MaLv5WxHuS4hAZ57RQOrBjP81GuRH
oQAgonoLPRDU59rR40Ot5L1MeRqT6uIY9lNZ5nPUGZXOwsG+cV4vIMo2wWyV3eGu1/BvGvsYCoBh
dvpRjMu3XfKdTqst9mUpOGfsJRLdCkmpFl846/egrcq7MqEA6qdrJ7HgL6ZHgZ4Mj7OYX4xnfRYU
gbQB8EW43pD7NqPng3HVuaY7yBjadiSA9gyG2VYsaC0gM4rwIOlRuxfED8IG04IkZgCFHBQiAXxs
DsaHwuti2OkLa3N952viMa65gZ0YJnG7hZKk470ztPNeFCZvHAHK2XA1pVsdUuDVJ4KsiZTD0FPB
TKkLdhFacqkNKIwVZCvZ+cRi2+4SpBP3P3aEJzYn/rHqmn+j9INJklJdETZy1mJT3GsmfY2xJiG3
TgGn2VwiJ0mfcre9Tl6BJbsXyTmeuyNUuNYZrVACGVg9HVWGcs+mhA0n4gq567jFOhNVx5TIzfX+
oFfsCBxljVwLyKftnImJf47T+WUeUixEo0cWplnDTvRd/4TS51StOKiRjtzHrfPCkVOsLaaulV/K
vJRnaLfL0Rz47+2YveTaVNz17fxN9KE8AwsxUEyU98mcVByVPgrzuQvahlNu5T6ADKqzEel7sfc5
/fDVAl3uYcbYC6NKQ+QBHQDMQEQBcXNsnKJ6tei2tNpNeNpklPlVHRkKkanJ5trDwXrwHddFLBn/
GSBMQBhmjtbTeARQ9y7e1nYWiYOMcaH5TbPyMu/K4awY30A2kUCS6rZkF9UhJVjbOmK++uHCv4oQ
KPXHtBxuubYEFCE4XudJO7i02TtLcvq7azoEfcxlvUKVDzW8CsacGifs9c3OttMQq8LOAR928iXn
DgcpRqeCIUaWwJPoiTPlsSeoQDg7Wl/9LjTWyQ2zBTNbzPr4qOO28y3eLYummjgi90zE/3JcZh3l
E/HrCdTyPRSjYlIHje43kvjkkZw6r9a2EW3R0oQ87wx3RfMkV/TpuuvLvVgyGeVTekT2tc17C/+u
G27eurRnfAQPMF6JTrQ+zKr/du18X8NmOkI1Am/ZMiNtW9yNG+ImhZG5003SsO2kDeORFXAhvT7U
46GItMwP/XYYGGMy65Zp+jm71nT2vPW4wmwLSiQOfQa1B1ZriAi78PattGf4BSllf4aenvvQ2BGv
NVrEZhb3XZ9ZgZWTVz4b1PZ6MUfewtmc+a9JFmd3HhmXXu3n0WBmTMN4WZBFi4PssYs2MsMRzPNS
+vO+tLu3prEkco32A1dWS3iQzqC/e8gx1kWdF1RziZSKoKuws7nKClkT3n511bwGnWxnTJYYBsVy
0ydQSMysf6eKyWsa33H19hE8pox0VoYCZNoFzdJUsJr9z0r3+UR0WUdd3LwnHpTWykVwVA+UYKmD
bM0cznqnLSGmp0cM3H9YZbM0mNwIRZ8ICyx8I+FAIGEdruei/PSQWvvjq1PqP21u54yooB2Mcj42
Recz9Mx3iaaFrqg/TTHioxFZyFEg95OqJ+IJasRlAqu4cukQUJlpxFgWNL6CXepmuv+X1dC3Sn9b
C/XmJcUQ7Bfu12zrX5q9QotY1idz7P7IWVDIt86nyLp3j+ea0MQ86GcyUTHUkiElf6sMQyh6aoJ4
LdSR5qT2ktUNClHvQna+sc9wLTGaONdeN+4TtdZRK9pzYXMqyXy46zJwsmnNb5J+LMj9kld52jE3
BjTTPJg0VyUbxGl6rEGQA7uzI9F37yKpwS+tnFGTJznjkPNHyqKNWH3zYUVlhLaSgxNRudYM35IB
WNRVkwmYJz3r2vDa93YSQiUsw7pOXjBh38azVSd+SCYaGS9WaNVkpvolOT+xBxuNDhHw0F3MLcIH
innCbE6dms5ayYEu7DQL0Pr/Vlazr60pA5NmXmKbZRa+kVPimidRo3FC+BhKVfLUudqPCfkrPaCp
+6MbZX7MphfdWRityaE62MnjoppqXytiNGFIHxpHj2SGArRMKgsdtXMocM5SJvALEJZxpRs2INGb
uCytl6aovuTaDwTCx1cGT+ZOtPnRH1J6gkkMYC4UTj2tiiy9eUiQHa4G53Pb7To+dnAasc2Lx31v
1SiMNVDmqdH/rewOoY4+RivaBGvubkabtLS13R0aZuh0lCIjkt3QrdUaWjFg9FHwYHnWw1y7D8gq
myOdKOhB7swKWS4zIu1NLZByoDHejz60Mb/dp/n6CUrcQJz0xSYhdPtHFIFo5TPtjWTZbV7Qhg6W
5xDVHoNrp3pMPO+YDP5PhXciHLY5pz6zOekNWicfpaWfNU/68GCvRnGc2/anqYHZo4FRSI6K4RNs
nntK1RSC1qh40SHiOmvyi1B8DNb53sz7+tBa3bQzR4L05ro7zN4b+Toeg1LxtzQRROmkGNCuE6A7
3xqdKXK1NiezZBE88UbEokzveku8NTFHXrX+9DntNVqPlWmu9xQn5blRvvFijh4wb1BX2ZBb0STC
hhTJwOy57cdlYMtp0pYM607zd2jp9bOiLvGQNmgNVTeZU/9s2wNboHv8Eu29vWyKyJwHqZ63H6g4
xqxqDGfod+4k6hPm8DrUkKzzMhPF0vFva3Ex3ZmqBdYCG4FRAfeio/0W5YPTlfVhMhl+SYrQVQz5
efVww9Q9JWxnARqMJySx2UqCFGadlnVfJDLItsmkflg7vkIFA+87Jo8oSnltOU6ZBtbh2Lrazs4p
HTxXuxopHSEZvBogEhHOjLzy6lgxgAORqeHhIcWRKi2K2aJGzugycOnHo7CYg1TyFdigSfu0BGpy
80jvCOku2DCHZbvUeH7ZMjUNgyct+y7TxQfnNnfANFxe8dQOmZ0uEcrjk7tiPSJQj6zY8tbVUBGT
xCUbdmWGqaNCDowaJk1DquzWohvxeCSWaAhwhL+x4MExKP8N+8omKY87oZ7u9Hl7bCnMZOlFnMoD
KczVS5f0t2L2nKgB2ZpMM3PaTDxwv6WRi54V1EEeCt+6NwGF7UD5MVeqL/a4aeIVt2Mx6WHPGEHv
Op3AAidFiOqf+1ydFTn7ZdNCykvWs+0Rxb3dSSHdzHtprA/6QmhCnTnFbrS8+8EDgu4VJ5xncLAk
VLyhXdATNGSDtIgCXUe+O6ZcQlifw97J01fAA3f0ayufD7/KTi7ftFAY4yG4S7rrIOvH52rliq8c
/bnZIFjxrPbjVEYx+doxu7TMrc6sTUgzivnmqmHDN+CdEw2TWsZyKC8NPrhyTJ9SKkPI7xgY/bm4
FvH0Y5TUW51pv9WEXWWkAEfZtDxx6fGZZ5nce8LUQ2PUwlhoD6Nbf6gNgkImJEEDBBBwfv0uRvII
CD3vGeRgHApVPF/kVL81KJ38dOeMChZ9b6x34IceCv85sf2fTs6b2jP/Ern/kMFyFTTcrQ6byZEu
pBXtm/DRKaxylng9RNMV6KQyZkE4K+sNe01e2noKZQsSnniTMvaAZbzqKQRauoOP7Ws47vA+6j4f
QAKNvfhCJHuokv5KyqrDeelFSFqhvvUEWen5ByvtM+sVL8zMeGLY6P3z12FfmP3rPMpDHVPc2zbk
wmHiMqW941EcQi3ezCyG/ELkxEqfT322T1nHerGUyxqKzqOBYpwXlMRcJXbSgaYreVtqOtGyuV9Y
lJ+3S0D5sGysT1NWGBVs0q2tpcahXZxKrXrk09RDxYzpf+TofhrTm2HZBx2gh0eX7lmfg2zvuzz7
s+q88oPbXiZnRkZtjTeiYVllGXicxVQ/q0bVoZc2EAZ5OPV4c87qvr9HVvY1rMYZxx+Rr8Ufon45
+gaq0QYTj25QNeq2FkiWQvVQ2idRpY/WMLf3sTbSomcTTPI0PsYO3zm2sCryY6feLUPWh55IUB8z
CvLZ7tE+PdpjMoezUzGfLe9IjvJVZeDl5HoQlbE3Ovbx2YR0aWxkGlmWxZFOIbNbJ9yVBtJZ+Da/
9Udlle+lyShI5ojIEvtB0o3oMRWlZ3A/p056r3zSta3rTCRoKE146iTSp8FStDv2CMEYu2jAhj+l
vea8ToaNZohvfiUFSm4WDgJ7vqmZIRez/t/3fjozhZz3Qw3KQGP7j5wCyTiv8Hoig5AzY1hQJ6j7
bsoeVwfTx/+vpzT+xq6OM4VlRFelp9ThTB9j4x7DzRNQAFC8/nqfkXAVorsL1nF9Kcq3eJztF1Ji
IgwOXkh4O/W3kb4MjkeaPx1i0TPNyZA/K6c9tR2OyroEKrit9f//loV0rQBG5Mmgpesaui8DrkkI
svA8A3yjceVBLNfuSxDaNW/QBOWpnTu/Dg11nSL6orYdbZcr61D56sS494nd/8+Yio80WV7tpnj3
9ObEKPzH1evL1ALZHdycnJ+6taIut3e982q4bn7ni/7SJY/0i93OnFEgr+JBczAGI2lUbA0ZffjM
JbaXl/mc3eVQz9iRECICuru5KlRIDmrAEYE5SbpOt2vK8pZ2zQH5av7l1tN2q1SXXLnEBUDfFNIC
espE3EsZNPmchWKcwLA6PYDqhTh4nasHLwbVbZ5YzB83NSTm4LKzISM26IDdIeXJncRjm2wxtGq8
xApkPASqNkz85g+zI6aR7Ih73zpXnDQaCRULccpURqApaZ9gXszUzJ7+IGZ9DF2ZNtGavhAdzPzK
hyEpM1oZVsXOSNs3VJcGbUyxKSX6xIC6ZKZhBVbKt6rfhcwTb2EqlbbcS9Kyv8stiRSNKaWHeVtI
A/brOg/tBe2v5hT7xVVmYK7Mb6zmTdPUQ5UAJ0C29Ow7DN5JBe0DW7gfQyUf+8aMEG6bewVmL2qD
JBuR9TOKoSIgecaiOy2SkyKRZ/CYb8958YogJiRllvTvebofq1pExqReR0cn6Tmpg3KVlyxns5t5
TA61vkecAKVmlAJifFkdxIql2rSad9NgwkB42eirx6VEw5B5XMCp190mPeHsNE0UCcuxTrwmFHoh
92V8367l9qIO1JL+erVs502O9/oiIRY5/nCcmuxVDsleMtgNan24jXb7NGL/DoCiRVtE3AT/A+oY
avW06sNVN3lHZgBSjb7SzHjGvWYPT7oHNZDR+puLe4cv86aybyH9NWztOeMQMr7ZqJ6Llkt0zEwk
DEpvufrZLibWnaiaywBUFS9Nc25pONk99rvt98qJQeDsZO39sv6dFbKmqlu/lOmHTt690fHfaWX8
Xdvprk2ffDOPibcmAFsZLlYg8rAqnD3ZXF18AE5kCoazKIooUf7TVpsS+w5Wfke2mDUL+zib2vea
kZkzl39nlI9wrZunqWONOSD+79qW78RjOt7q4sXou3Otpmb/f972siKsmuaBIolBf+M6lMuxjjvW
XMKqLl+8JG8OiWtz588ro2ambYVlPfgmUdgGOTyjHefMayiFy57PhUhpM7LFgGxVZN/jqmqWFoyT
y6Ujp1Vfr0i/3zkVyRBSRcNy2v63QvkK3Nq5Tj3UQI+pLcHUVycfftvJ54Ywx1fi7Jaji0QybAbD
Dgz/Os4NzqW89N769GHcsqq88m6aWw55OLzBkBXP3sSPTt7vtZ9Y7U1x97SNJdOhPmZVc/CW+KOS
6ZdR5zdaaWtBqodZqWe9bh4SJuqKVFFCMoqQ1Dobmy7XaTMz2Jhn/w90UpBwJGvfuVn67sqLH9tI
suyUXc6Ciy1/VHZzsmokq378nuG9CAxBWKRNzutAFjfsQfKWpB5agtxygphFhBIj5vGSbx3Y17Bg
4IHS6FX28Q/HxC8biDc5WzubCf7SVkfT2lUFMjvDPTIsmRtJ/gwxkpVb3zVMUnG12oFNxRKqPiNB
lni9zC+IWiyzt3k12QBVX7rGSbk9bAsfYOayrx76sj2IanyIidt1JKlfi3mPhfbi2urdR6wAyrLF
yRz0PVwQRttry4LOVqxtOoZp7b/ZI60/NVHSsXqAwPgaw6xAFongMd02PwvxE4AAUuzDkisjvwmU
QCQH9T8Nxo+4op2WOcqYSqn3FI0akV/srKF1Bdud4o3eZyXNjvhDLhWfdfWUEZ5tMWhNlH0WTC58
+EaBJVDaiXh4YpzNXlw9Cv1P4hesipmfOCso6LIgxC0BNV/wN4asIfOFTTenfGgWHNwVoczz4HBK
4HMPF1NeCdjD2wgluNc0JgZDAeK8p6xvFpN0hPqXCIVTXMiXvOF4UNIj6YD+chmnCKEgpADscZHw
ynNfY3z0zlPXZsSL2OxNVcO2FcVCt9TTLtk0ggyFD/4Ie7erndN+0DiCDI3g3JicMl1zoPvVmKCr
9dlhnYYiKneP1GkH11jubZruYr33LVuect86JUtPE+inVsRuFeVQq059Mb5W9EwsWhiEeMxLkHYS
/pYgDFX+YbDdD2elbQIIE6AIR+emtD9tOhTnUSUj1A3f2uVDPUPpHjhTcOgoyzMvVsty2GOaUI7d
TuWTfQ8ZqTIr0jwzHlsP3ASBGSsa6e7QdHgXijG+a+yxfxQI2GIzA/yWos7ttWjKS52kFu0+0zsD
AgbXR9yBSkuWjIdBZCW74BG5FUYCl0wJrSJlGWMqzmeJ4xh5RaBnjJlXqJrgOCaKFkLF0fvUmN28
8dMt2dW7/Kwhb/+Hyj0W5HkKyUCvzv0w7OS0ogFUVvE2lJJnhpFdNug+zpv4AxkxYwz/XVoAyIyJ
WMW4XZC1qE9MU5zEWk/FgmGGGUO4GOulq9ESkecXmBMHSz49ty7azDLJnqaahaPHVsoWlL48wWlC
swDZahOHM3H1lHr1EAyEBq8C1l14oqr9hc3Kq99oz76tM/0bao2fka80ZQ8oCi0wfnmFGlD+6gVn
jMjlN6lrnpvaB7YotNh1jlmTeHNbEV2iW4fM9eHHsMRFPZrubIShVRXJfO2jwoofmpH2kSuvW2+e
0L2/ymK97zrkam6TtclFSDEL3oHEOhe+sRNLgpi09qJV0KOxKukci4wZWLt4fPXjgK8Ranf26y9e
GTRjcy4kAb+Tavd2Qz49haUZagZhcrF9wvKAg3ukVVGOpZ7JG7sAgnsjBOgK5UvsqUBDt0XJVY4a
M5ieU1uvlrCd0k3u0D5rmn2ntk0A2wbGBIQDYexL9wyEf1DvkCTWwOgA/1sL/80U1huohwtCKLoa
BjaWPd/QBdFGiWPleuzk9FvNSnf70xHW0yZ1G3rC8GeYJZhuvYk1uli+60Jc52z9Zl/A7EPf64rF
uee+1K24Vra8anF1xWxM+7o8WXPxV2vGX8/xPyF03+nczc5iXReKjaJdbkv3R5vcP6ITd73GWamW
mxk3n7kybr6XE8+kOHvcz97W/rnd+DU2QBJUv+eNuzbp+FvU41fbqzCf5ZNuuidVIwUpiyuRudft
T5LvbpJc+UV8SNP47url1rjVtW+7Ny39pdkS7fCcNvI2dcU136pBHYXY9GsBK04N/rTL+4KbBaU1
x9x666zsSkrz74LYN7bZSm44g+zqrcktZmBXb5W8SpOgzXMmoaoI11p7dGT8b/s/uysEZB/XTk4E
/0SuNDdAmo7fGW8Khdx0M9vyCrIOcZn1hjF2W6vfEB8G+qS/9+v8vSj1aw39w7q4yGzLn+1/r7H+
V6LaXezr9iUyLf9j15e4MG+zO3xnXfNj5+zQNHKJrelGZPg3SQAPxVa6VeV1+2+SKNEhqx5Tw/9H
fMa1XaYtvOqa5Ftz7T1Va/7HQKJdzd9UU7eB0ZonTbacJu5P99/25zrgRZ38vV5pp+1LGFWy1y1x
Nhr76i7DtyJzpWq9c1au///dTPj/zNRFullT7eRHszf+uMuFLPvP7a9Y1vrdsyOkOnn5j6fzWmqc
W6LwE6lKOdwaB0zOYG5UDqCcs57+fC3+ORdTDMaWpb17d1y9urC4k2g8MrruZNsgF62DVnjnqG2/
5Xk5tFcMinzM2wDm2+z2b/lY8NGYL8xd/a0ZeOMmR62kZlfqFw+a7K6boWUefiOHohrzcDkQx4gN
pdT2Oyk2VAkmtnW+dHF4gfk1IGlFM25QPupdeqI4Alzf7hmhxuxWvoRu19sw83ayeSILXdp8zsbh
337Khs+z81FQNoZBfpXG43OTUodGGEQoZAfko2qbATYZ9nPRPVpMwVs+zxIpdXdM4vqmarARwkbB
AsgiEHWerPkQh+arxn+9ND6RoTndjal5ljXsfCTQkdOd7eusPMyJecoTDnMwZO+V9gvl7xmY1QGQ
JRixYOc107USF4dm0E51076P1hewsFfHp3G6XRn0Xunao+ztHLCw3EDD1BzvJN9AHy5l/mn8VRXy
ndh5s17j/7U9LeMMQxyoXKQm7qtBspa5UQRxVcr4NPmo/Bt8hpXL2CzuVfPP8jMxhpd8AH8eJww9
5S7l8YIGnrWQGXZqeBnC6YJbuqI1591XmCIbGMvKyM2Rkby3INiaE+YFgd/ydO8MvOsEMdKvqZuH
WRkvtfk6FdV7FK5YFabAtepnpI+/UPKfdJ3vV5ITwOvdNAKfnMMbLfLXjDFhtGd6Gvv0FrKAtaEg
yzA395oNK5p2Cjgf8vXMXjkFb4NpfFsR6NS5uvfDv0NFAupWd7yPWqdkFbTBpRjab3myRtGkcrlT
2r8V0ZvuN1O0qwkavj7ktjJmoSeldd9BibysNrMpfmWhGCFTjMm3bOJyUDgwXpctS1Y33tlkk4ci
p++HHemsw6TH+D8xxOUuXSOccQZFrkwzewaEe0nq4CIb7CDMBfNjaA9/LIeOFjGY6Qv1LhyG32bO
TnFDw4rfFdu6oJI1TSiH4uROyrlLH80ofxMTUCoGJiQ6VFvR3IY5/OrkJFZZmjJzDNy1x1fRmIQj
gLlxsp/eXk0TnC/o0YZ+JWqNa1FhRsP05qw5evNeFJzcYRyXD3FAcphFFZUkj96OyanP98z2OKps
rj1wboMUXzt6NVNoQVoT7RRwvhH1cr6o3XBx0k1mVx/JNBHz8jyaZp2U1N4wxue2bsdf+ltPpI4x
knmMCrue/OxTZdFpdiLmn1oSauGtWYcXEyNKyulkgqGSphHJQKERa7M7yuprSvWdFxc1iZjGYh1E
QOrJP/c3ugbqmN8iRGdU27NPoOTAGkv61+rmi2hIUQ/yM1bjk/x/3OTGs60Nb4t1EeXWN+5hsTeq
9lSl/keJ/hGjQH400tpvOpSOIl/yPdRbtlrk7fyAnvgeDrp+PC4flZWRW/PpEAIw+owuPhVqegJT
8tI479A/n0EUHphi+FB0hPB6cIInFUVc34iIxbl66bPxN8/2s6kevdGnN4HTncAr1+XWNtpZcfL3
Uh0ruGT5T1P2XIr6kbxPTrMvumoy6qcYtFyoRYuNsDXKWe636LL4w3KqL5HRku2TpZ0q9YMgyruH
IPES6tDeQsW/YtrfdWBCEccSiHVzWEjRo/KIDlzP+XEgoVG5oD/i1jgsT84EMvoyMCoIic9I2uk1
YOBqhqTNbB194BfClvdeW1SQnDFZK1K9jw6QhcofjvLwEDb+FgGZsCh7KObxkkQ8WVqN+BHdSteV
p9n2z8uLcmihXgLfceX6wI+RHnlJRI4A4kHVYm4BaNSyNIsKT/MvLdxWQ/drwPIg69dXn2WsverE
SlruPzMw/kIJnmHC/rkcKkqaq2mcjpHcgxwF+Y6EJEofa+uqbLdys/++V/d/VBe54aOqqu7kMr6n
aas4Vu/DGd3M7rhVCpltfEsHzZPNdy4KWi6+PJReP7cdAT2r4IWYl8aZf4323RDuCey0rFbSswVk
PFT9qHjpC80pq7oOPkRHqJFYM+cppNVPnAiR1ioJLq7zrqr1y7/TKldJR3gkjY6WaciMQFfIXsjb
1b67zqd4V3jaxTGR8fYgelUHe5Sa1SbU7HuufrJyBKQLT9DpfSSFdhHFJd4hQCmNwDftHW7E3ISD
dks640ML96K1fMbqNM2nqL20js+K+39HS1SVHE4jTW4sat+ikX39byfaiLg6BqHX/bplzvGDK21Q
nHMGmVDWxRDBRHvRHXJ2On16iMAHiNhUPl6blvzY5DsDNunfSxQ968p4kHVcnlrTP/zyuUtjuoPs
OxH/lCvlQ/LpK89KYJ7wcRdDTuaW3m6YfRT9oKXzRcQ6UXHvMuW6KfRtojLA1Lklc3nORD+H4/iS
N+NH/8OYG6h0QJr2YAqiN2pHK1mt0cwPSl/emj6TiXGRZppb6ji4s+byhwzgl5HsxWmVQ8fwNyIH
G+2TWcv+ppTz2gl3yqkvqha929VAphgQ5sw3g6g5xTpGfbSIKL3bK/k2LZwpvGqXRlEvJPTzNHut
8SICLHVRO/ChG7s+RvXPIORQnXa7M7XlKabL7LngcOp7Ryq9WniT6d5hlKGtJhD03spPtl+vZ3O6
T5zmW4wXnc0nv6MimjIHq7VPzHU9Zhhb7TjF3ralYUKkRo+rg4QKYP2Yjubd1MQmy3d2WvSR22/M
pjqK3Pw9p6XcZJAeyQuwFVyG/mtU2veBWpyugvOSQEFWS2GRYjxJmp9pLYqfZKGMUvzOPn3QQQuL
8ldyGQo67MWJVeH/FFU/oOMMK3qcVBugjnluaVaJT706H+FhvOjzV6eDYIYOZHEGuwjjOsWMwFX2
A466jgAsJuY/8yLS3Bj+oc13YimNEtpeXFmuWOsSoGAExBh0TLcxzPaFfoGz+IHis/na59CUX4vK
EfUwdc2LpkWLqiDC+h1RJbVenuGbQFmJbZ375DKusgYLWzN+UFUoXvGyWIO4Ro3IubEpD07Mxhbl
aGCfg2TahSA6/cA5OOT6VjTc39YgM6LA2MSAb+O6g7etWjWEeZLNZmDmxWG/9YSoEkg7SMZbyKvy
SjkXBJBU+S9g2o9ubH175cbA8WMaxj4GhSiK0DMthm47P35Q/CiZcvaM96jJ11oBB5Y/HavWwKWM
cMFQvWV7r8Cx6eXa0W3oxfwrgJPTJVyuZ25VS6tTNAIk0o5yR0NKEl59CToksmNUKvMoKCH1dNPz
txn6BUAWP51XfivkjXgPAz9uwOkBPkCVMLPhpLAeQ7EVd0e+VO5X7pHOhLWR2fD7gFGJdxDHnZbP
y9pOgf/TUwsNrM9gSN4KdyOfSu3kZPAIZM+WtaKTZdf75T717MfWdSj1RsvrIdH0MHQU0pi0xLls
iNTd9O9v6aOhBEeaEy7zdTYUx2VJMPay7TCnQ7cDQ2GA5CnFHa2vJ59J33LnLqsjP42uB0pECpm5
g/K0tP+cxPIs8hRgVw2/exQnLwt9Mp0Yq0FPH5mGsHIM+oxYXjvJoeMff+VNTU1KuHdexWTWFQZt
rA8pQRBSJLK5eHHZeAfJPShu1IVoYYMQqqVA53fxyyLtvscwBTmDQV4fGJL0Zz6a8aKGSKjV34IA
3Mr/J+CtXRleywGfzHEbTZCttFx2UY8u4UjmbIFL7uV3Oe0DkabrDpec8peh+tukY34CAS4CehJn
hwECn2W2ExdM7EFWuC9tdXISekPNkZZ+nlYeI7f8cwdk0p+crfcwKtAaVAZ30P2qE3Qfsf6Vtre1
x5qxsWF57Zj9p5wDORPyU9Obb7kDhD7jSAzzh+yKyN+yBXM9HANXISR0diY8EVMJi7fsjUiSyA34
wi+D2b/YfcMXRTYPMDhSPafvR6yR2DPby04TeDR5FCy4+AOAyvf+3NAIQMSC9pCfRm1sUoafiZ8u
UZRaEteTeEgV6naWfWriPzc/8f091b9NC7o26IxbD0s3uMPRaEKi2oHyA2bCSH7KcsPQ+VvVUdbi
D4m8LPLP2sxRsqeRbSdSJ+vklKSw+CfvgTLonjLFFbSuER0LeBdVfKLI/KikkMBWwq2a3ov1FKdQ
/PoiHRkkAoRb7Y4Se4uFlcRJfwWK+ij6cWr8HZjunahWcbj7eM/MzYNo3UKpzomvnehb26i9ymAj
HGfbvsnof2dsB+7GXx5ELtg0ULWCOIKjaNWoKk35f45VbM8PAy1Y4gQrjIKwkPaiTGHbYzgcJ2EJ
hPRjOXXvZdfeqE2/CzvidWyoKANRbG5iPsnEGrOPP5z8y+mqU0H8RvkFndJ8BeCiscyBkqO9JuLi
iWHkEYx887HFKDPP4FSRT1OYqzsx2qZJhrssZ8q9D5IptYhyS6Z7kPVgLqpA8vtvuYozMtAEoPCI
IdVc7+CiSiKzedf0k+hCINFHRUsAhbYPon1s1fmMk0e5LTqbDj7ZRVNnJfzgdfC8F1H2ooisZnyY
IgAbKDNFpZPD8m9EuUE08AMG6QW2ePLvqMsh+BXz2Hj+h9d/9CF6CnnuAJ70qvYVFO8dEMIgTp7S
BuXBJ8SRN7NsNWveqzjFi1qaMXsKQFgtd14k2PR8m8UkTwqjLW7V6xKmS/CuwKLhUWIWNw2H49Ty
Gm0BKCcJ9yE+vfSME/Mn5tqDiMMrFE9xCWfyeNhCQ0evk3aSrZ2S5qSp1GGAphbAZAbrx8iNDY3U
e8UdP8jRdTUpPrf6TlR748zGXvTJP70CUf6zosGuy4kTfVNpNuup3aq0sIm061MA7JPl53QykPzG
06tvccXlJ5eWbwALs+1rez2Do5e8VKsyRzPDgmdkRV2MKZeNPYMJ26SgSYM4A3YC2dRtk+Ya2Bx7
72dRFkU03UVNKP2aS6S9aBbFOMKRcZjH6LuqViJeYqgHxz3h9FGuL+7FwkAhe+j1/kKzzCln6K1l
HmT3y8S9ozmRouN0gVGTpsH5ltzzT4OFZmzJt20053RtuXZ5Y9nhrlPcdutiP0tCRzSivC0i+VNM
u7nWjnOqfqrjTgztzAipRelpar3L6EsXVSFRmESzYuCKyIHcpAB9Ue8kFBM7IycMptHXIWV29X8q
SA5kXCoXv9uIVZINXdaij2fG8qT3+mSfxXWT/fEs9GnxLZlYMCrnKUVImovWAF5Kw4suTm7gV3sQ
lrusl0xt9xsHZM3DJ0UwCeK/ikM9ZPpO0d2dpL2pOJ3TMT+BiT1rgU1fSnZPFW6nz9O+xdZ6CLri
jJc23nW+SSXM+JVfE4yq75TPE1k8B/EGZvsK58VSO6AMfKkAr+WB+iRfIUl5SeAn6l03VR/iJ9PL
fJot9wz4k3CovZc7Ex+ZBuETFHxhnx8K0vckP58Aop08TJCNCYLUb51UCvPBCUGN5ttie9QKrHc5
0XebYHi7a/nGueh/pdqQhZ7k8yVegETzR0VuOuSE3pMnIzkP7a3aK2czOrQ/teu9yH1Kts/Qmg8N
dCAXipzxt8M3Cml2pf9Tw0BCxf41K9cDukEyho4Rf+rmYxTyQPzah9NSK1H87GAa++HaU/SzvFcu
7OGg2uRDJY3YVjTl+tep6WzlyaQoURDSyD1YXrT3IyYW8vrsYHyRYypNz56N3Zt+XUoq8iRTaDOZ
ApcVwUsZIKHJ+Q0/Ryu8zcp0qxf9JZxZedbIVtsHy51Ap1Ol1b/sjtwBg4LZ9oJtl8ym45dfpXuX
IfOlNsGu3N4ak7dpfNzrXDnLgpvDeJcr3jpBecpH1JF5XUABxPrDAkIvlHIlEhNgSuSeVFxRuGfo
cPbflt/b8uBPLxMpD7gQXwsQwQ2yP86kLPHqMySqBwwAk9SzvC4fiSWd4AF4p8UK2sJxBTQO80/T
LHjio5SfaNrXPPciG2Mm1ckb3HNcHsdwfJeVVB3nDlK1tSy4PELiuW/V+JNkf++sZ+PSqABMYvC9
OP0gAu/0rNzIPg3svDypXFnNs4cBWGbXEPWpwJaTEwVhYnf2VTHJyqj2Y16MV7lLMsYlTZl5pLYR
hP8Wt6Ut0aZ7xLVYNW5FNZs99MTXIlmyg2A3MYXtral6B6lm1SOwjfwEcdhpbsg7dCRwenVd9+Ud
lBdHvUxPpORxA/eaYRwkjASGfMTCvA5RRgYZNSAu6BJsaol6nECh0x9MD9jF10JAEvGP5Lgkf0gz
8pKuAHyxbu5KWrEiYnQJIv/5pLb09PWUv2v//M9XhaBtT7PRTr5apNN01ZMBj1FMT8qM6pw44h0S
Hfjzh9O89zHxxNzDYDtolyLf0nL4LSlzed0daCfO8TSprknmJxqHIzjjVdH0TPFMJWVBrYNjl5c3
Ee0bfbdpcQaKfjjK28mLHszrxlHhNKsOokaiKH6AaIFyOHWDjpODZgxvdTP6pVMYK99/x8O4NxRl
I6qwx2kDehUdSdtqPM3IU0r1ZrbDpxIkzj9v3fcJrbPqrgHbRlegJPkpgP/GDGZfdZglkiHPyzme
74Cnf4nApTjYNQX1utduRJfIa0qvoo3cde0QceJhDCV8VdpwLedJNDDMuxfV068YufSYcBanDDe2
oNs+nHYlAi1SKoLt+P3dFCprzdM+xgQPebqIvitb5xCRjijx6Zwvk7KUvGpFLCd850Xx3L+L1hC1
mXE3kKArfOGijvzmhd6nlYi7/O7wljGYPpP+SSR0borjcC3frLQIvgix6BVVy7/TBFh0f21MKbOo
00XRSx5FKq30YNGg5b4qg3Eyfe3Y+M13TSfJUPQvsiLmZLx4sPHLUcMWq+qLlY8f8i1ypZj1E+Xv
ltmDTxMDbbv//UXuSN6hGTRBTre6b3/JwR+SeKsb2a08w/LWML43JpggkQoxhZOtXyCXslT1WxZq
ydf0+tcAMBjdYNn+Oxah6rDrNcCeMIl3i84I7jS1+ZC8U42FEjltG3CP1mVyg4uYYKbyXo5y4OQ4
BIZ+Ca4qY6bLN7kG5XGWSgfMDl3wHW9yzf+WGvZS9QB0+eJ7Mciskz1ZHyJ2duaulDR8Dvm/WoAO
VXBwSejL3+S1JiT0/12qIzU9skr/Lsc0t8xTVLpfVXfzr6bslvPvVIanKcuf4xEioeqg5eWHvFsi
0kVHtOrGrJQDw2MvFvkqz1V3bsCcaA6vLF/vh+f6vYFpPK+q19CGvklPTj4JSIrXgDtnoEwYrCFc
F1Z435njSw+AuizDVaEasE+qd370bHrU0PFeRku7hIHynFqnDkdXjEAeIEmVEjP9km7r/IWj/SsQ
A1H+CYbFcz9S/ClGLhyptUVyxYtWQ7bWTXt5X4L7PfjwNNApQsP/HdWwdSfpZjwW+fuk6beg3sHg
E7fJReUCjpd89cW2ktQR+e8Kb4vw88WryIPP+bsHI8IANyqZ4VuzKU4gqTal790GOOneGH7Mufuj
MkpjsHEtSTQnVfmp2dcTBZXKg6ikqg50MDwzXAhdNx9DolRG8x3r0d50XXwjHwE2S5rQOcR5QP6t
fUQz4WY4h1ElodltGzgJDGJkmGiJupM3l4kzcuONBPjyYmaWlD1gs0HLl3Z9phOJGIwoypzeZXPk
HvykuJ4aBtHKmxLC33ZsXmyLiac8r7yJ4OzgjMz2NpJXjaqiLI+sWUgTgIOiht/5MyT7SBRSz4wB
9NybtnAf7bgCkMI1LbN5A+pBpx3ZmJrNmaP4pdHkrE2MJB9/5enHMXp2IhqfuEO5U2tmwTqaruMQ
fD16F9qss9o3eytjGmyf/9hteS5wi109uAtUwPI8t9hiYdqG4bDdqyU8Y6l6lDxyalH9ovTY03Wk
BvARkXARDf93CN0vFPqineXAdiRoAAHQ9w0dAUOPUPzkc+9Mmqrk/2KL5Gw7Lg38KsPTaBaJ/AVc
MiTOY5ZRVSjx7fimwB3epETvt+Qe+ugaY3AjNaMA9BVeUHaSk6rX93DjwH737Rp3pcC/KArI8ZWC
g5iNwWIJlYl5Qg60EotnPj9GBb2uQfstZs3wqDF4jNAJ6/slxbSkWylwVeDqmPPxIiGVyrpKmbOk
ZFkfJSqV4KHJp3tFq9cSn0lqV4qhlOrvbRql3fSqYjyZQgKjHYpT6bXAFGJo1dprSa5I/3WTKs9S
q8loxmp8/fUvRSzdF43zXcJmSiFP6oaSuLFt/SkOyF6SC5YSgiRG5GcFajHQCDUpMcjf5GYlfJHY
T/M3fTh8S7FOB94gRV7b/AAA/r5UL2V39a8kan7EOxEuc9eAqSE+CArFgH7CLYyrJWlEUkVqOVKZ
zrUJwpPmZi75Lumpr92larTUgSG+jwuLfDBJGFItUh9G6VDTCMr3JNjly92XOY4MrpC8Q4RLqspC
tok/BEnceoHIQKLFnKWSdgtJ26hpdpJ0XavTOpaN16PVA+h2n+QKUpCRtUjgqLQ10sJsQZVmP7I9
s9rs66TbSXp8WVsp+Hg9gO6+eFtiPPbN9Of3dviW55RSogZGoxCCqZDelBSfyfB+loSfXWVXw2Q8
SQy5BI3z6D6Nye+SZOiq7lUSDTF0TE7pPcrF5YoS/I9psLXrdt9GVEJJ4Ev5KIzV1yQr4Adpr80y
3EraSnZMVswTzkJG0bCz+8oGfGgip6xZNSnPOlBb2c44G3bUUfc6VVOptA5NdlIaslXCvxAxWwxC
6065TzLlc+7J7BnNw7LlgNifu5hG0n9+qwC7UA87f1L2Yixnjqidxp/O8CKHW16isf+Uqs5Bolxx
c+T0BgozW3CDpWCVuAh9OH8zEhmO84tYRTcjjTR/dqr6HlK4h74Pakr1uBy/RVGE6s3s2R/iGtAh
TkEQbZVKrvtTV6KXiN5ncTG7cX4aG5oxO2UDT+TtUuUR79CH0jUpvyN5CqkLVo4UY2gmtw/y9Yb2
Z8HNobsB6wO7R/sLmPNadevrwG9psW1/pcAfjqByo6NUWkRrFHb7BW202G3d0tbO5N9JllAkT06W
pBdLZYISooVoB5+GFGQWHH21fxcYh+8xeKd+ld2pIxBfnBf5FKVdorLiWf5vVtEuy8dr+duCHQNL
EDrwOXMvAluSb2P+AbBg2sv887JjcnDH6ikIx886DXdm7u4LmNw0oUF4l4tKkrKInWdvgmAEJSO3
Jq/Lwan7I7jXV2M32tNZqvFyuOQPgsWRrMb823nJiinUL3LGCo0aPffCWIizfG/V6Zuw9GhlAWAs
ADm5rrxBYhYBVaUy7apP/9QmgN9eDT7lzqPJe2hh1JrJvcviyx5poL828t1yEatI6eHweRPIGzFy
khweyoLh1jWtgB6F7opty0+SgnKQkKXcAXVMOjNEhThNMpANslv63UNZpmvXiMGW6JeU0pyPXkuT
u9BPDzmhFy1k19Qs4P/VgRjGF/rmLh7oYxDeGVW+kVpA0lmXUJnXkeXQZugiT81ZMlehQaPSyszG
Pd4AYFpgNBKMZ+6zWdEmQv5Q0uzLA9R6s6k6lSnL+MoIFORFlEkcY5eF4XXdMe/0GIE1DDjQo6hO
VGk7/P2E+fqZ9tS/4rvTv8qWyN9FLORnAgvo7BQPoS1bQNJ7aqgiOqQKe5mOI6PTbgRPI2IlaD9R
30Kw2VTKo/y/04C34DXRH/RlPtZtdU1TxYIRFHUjul9UiDcbdy2gHrG4Ndx5ilu+mLlzlqqovCY1
E6mO2orxqHHA5ryHmblaCvtlbtzDmL4Vmys6YImGa7U4aCAD+azISxzZP13ab2d33AvwSsTAtRKa
i7trkds5tZ4hO4NigydGqWsAEHtWqGyDPVwq27hnUcXoefMuzbJ9mBQH3zyz2e9iBwqxM3KIaFcK
1zCdrufcvIpzbyeGTUJw+UI5LHIGGhrjOpaN7jdZYal4yE95i+d7m5pKiBxvAewJAoAqiYAFtpIF
lmpLNJCoy+0rGfJWkIgQ6ZWCmSaJymj+qk3jPhqe6e2moI5V4E9SApJcptnZD3UAc4U4ybisUrjo
NXwk46fv7JdIsc9yk6IKGHeAnFhXs9Lf2xlTCEflWVZSntK33R/bUg+qu2ygvL2IfeomFqw4/31c
NV8MWJ/FBtnlALjzPu8HmJ3ynyoMXuzUfZyqEqZJKXINi9PgwKwyDwwVo24iR1PMTmC1oOhwRMpf
EGLQ/7zEQBVkUeU+RdwHEUd3Zyn2u2xcPz2mnvJmJcmaHieGrpSf6F3RucQsNJWPz9TUViQsl1Lc
ouTEVLoNx3W66ol7gMudFuAGyU7oIXa1Y92I6ZacrSuAnKIbgcz+gTfg9lxX4XQnIDH6PY4CTwrH
5NjU9KCCCUM2uo6BKKVxpdiUUfA4BHhqMqq+zV9FO+mOuBrWo+QfJMYUw5fSjeq18WtnZiexOKPu
vOv1kv+RTIo4v8DYV0k8vi3JGj4yaLmoafil2OmCeMf0HrR7JoZDvHBRA+3jPwUpq6CF9e8VtGdn
8clkdUVDUuNirrh/41f6pYUhBRj+dDDBzrHfNu1jhg4fCfU5kdLFzSN/HkYQFlA1kBKVSCzqmgZW
fyUruuglKXU0Qbvyp3CpTQmyaUFBJT4hSTC/SC5dfBrPxTd25mA7+PmtVBNoHjsPEa52meWvkfEr
Wk3OUeMOn439Igu7bJ6I5GyEAmKRotlc0MXf5YtzJnf+z7gxnuPdbBk4AphAVW7kFIqXsig4Cnry
1tLw9lQ/KejtLct5E5D3Yv7QQIINVvud1qrHMOXkKO2v5oUvk8dwVrZNIg2BvusNPal1sZHkl+yL
PocUVP7cndCz94VlbuWS8i9rDOCzJEcgrEA4ZVUb17x39WK9nD6HPtuMFjtiCNklecxFvtBVdIrC
y/QTGM02Toblo/LxgQOrVs7zRFOJyJ4ckEx6SrWM0RoofI6UEr96pfO2OIxRtZIrSo4wit09BFlL
yUZO5FIVtxi3AGEujMNsjewT1AMnKZlWTfHkWCl9gd5+sBW8fOog+FAellLeo/TJeb6WUk1rm4ee
jL3G9PaYbBVRKp6DdMyov3VdUacIrVPkgp3qxueBhdaNetsFgEqBh459/qDAOheJ7YdDkqUcLj4m
lPnCxFYFQwZl1ksBPZp56TGvNqpnQJnJPBXa6R6r0bnKm2elaD6TKr7Urn9YrmUj8bSOwM05016C
G4UddovyIbcY25NPrxY0mmpfnrxuBtNHrKXqm8KwbmmiPM6C//XDz5I5SBQyW/xEebCAScpKq2yj
jdQupYYuj78UJr3uqxk2oqPlV/Eq3vpeXeAnc9ijI+cVG32syb+Ltk7n9CPVIf37s/YV7bowTNwK
LGapkZkBmbbWepULijsgEDxKNa8+UZwcO1FAchzF7EK6To4pe5MCqLyvgEIuM8FSkMoUQyIIcqMt
Nkrk3kjMIJ+TiBHU63VSVkwSZudF9UXDcPCYP+CCqCQMlcqfBy0cgz/hlih+5DCKb+Wm2yqtz/YY
0wYP1xn7IBqjo0dABFSwfG1ybeqM0Svh+PpPmYg/IRhYC0bXOGvu/8GM5Gmy0HhuQ3spWUY53EvO
zMiecVGzVl1fdX38ME7xzz+THgfuYeR1zdQYlFW/GEPGsGvis3D+FVdD7tJJX4OufBXrQmLpmiTc
To6HvI2xcz8A77E58kbRHW7KiAFPB5hPFkB8iSa9rzB1AsISfVNO7roZ0P9dSc80ZduIud/4LXqU
rqG+ByGNmua9bhAu6ku+SW5EH6zrBGyAaXsQTrz+KVWcrqA4ZJRFh6K6H4HptsNnoU2/pMYPrDcR
+LdEheL2eRFML1382HqkQGWf/LB5bAxYQkUP63RdIOWqD/K+7mDB5kmIMcakJ95YnKI66vcwHG6l
wiiaQjaLmWQf0A/LzdB8tvhBpqtdLCiHuuAlB4whgI26aB/MmmF2HrbQl3F59vgk4ij/FqiTCLkI
sKPAyRIo67ZiFhceiLxhgfzmnaCSYKEnISdoX9qoPgt6xXqdpCjC9S/tUPszYznijWy5+K290+27
dtwuVelvJci+pN4t1kgwj8FdYehfy22Z6XRsy/jWpu08tToAt6wQ5KeXlQavGLVCMfRSp80lA05u
OZ2SclNyWFYUWmCjhOP+Lu54q2bORINGAs59vlUCxdnrvvIE6bG+bgMfcsxCgaWxr8yrUq9+rNDK
n2wNDvxY3Wdl4T8wNooeAIWJFU7ubjoHHinoGuFyBXpjFkcVWM+zU6fbPK7rjeMyCdn06njdJWq2
iwaTyRL6tGsGMG1BPsR7xa8VSKm71TjnwTN08kja8BSCNiM740IdvDWNoLwpgMbrQGQnVRneQkP7
sUpN2ZdmCp8h8LVNEZY3JrPI9qOfCOuwAblRk7nbERTKqN+C3PuquwedB1jBecT4FcZZbOLe32cZ
aER9KMNnbWhWsQPvOkOHaRSDujS0aFPz096EG5ybViDHRD/bj6Y/mrdaOYLi6qzHOFWEPNzbpkb7
kvm9tTUyQI5qvbHiUocsIrauCPggal05Sg70vX3RMr1ea44HZyB9IfTgM5BW0YuPtK+N1Ry0hzil
e3pw5uuwGzSiVPpCCPx9OIAem9F4bGoyPDYjdbaFuEgwOKRrhkWO9xPglEJL131TXVJYsNJygslN
Za0ZwLiGtEtd0XTaA5ru10YDeU02ZMOqLqcemlCXCroT3xgTxVrbLPKNrYT21cSQWgbSoFda+kPt
IXg3NG/dGrDL5+k7DC9QmeXGY5b2+ySazJXHHGh4oN0XzTMG3lefOzt9oJVQg2meRstB068s3De1
n06GO94xrQqCvNCIN3r9rlDUjpLotnPK8QrI0R2k/u8aLISrzh34MBz9imVfD1V0yeuQ6VZd9grp
bSqZ/3ztVM4uSdwaN44+KHiaNLTBxPNl5rsa0OU5Nwrs1fS2d+onXCG4caPXrodI7VaQaW+bqPjw
pfnFgA6kqphTwVEwPFiifLdL72afPkxFRT8w+VYGloR0yJJJbqiTe5Aqx31Cs/NMf+7cK88FjdiD
Sq4nVYDvx8E+MRCaFO6CcKKxUTP3zayPN5DGoqVT2rl1utAgIziGfas90LZNUmYKgn3HCQi8ft2b
R8Yl29uWpkDpdr/BWduMp6Cb71zs2CoyO7BhZQ0QTB+v1dqCSKwo71wH2LZvTerW71CmmR/Do2PN
DJ3ImxtHS9OtksD856ORVzF8lhth3nd8LJRiabCLq8VKMeyvaU4ftWI0b5Kg2kB0Q1tIVTIUBYJx
rdfXYW8PqzEw3hhFDGUzUXLk07QZMoRjiEcIqqhU5RQ/SUteD5GjbnuVbomgDK7qGHCmBq3+XOXW
hulk0Ek0QOvroWdOcH3dZ1lxrWpZvrLyaKSf90W1TW0XcWd0lpB85C76Foo7XZ2m3YirNWsDnVIF
1M1d38U7X+unFcQjp/lXr6cvaGmZHuGYTEiBPXqESSNthy0N24ga3My6gNWMYdiWBuLi5PFuCGTC
YQISKVL1j4F2SGk0VWlbvqlnntoxGmdFuf0xmczmykyZqcuAiop+2cmnrHhU5oLuwum18HKgK3Ol
bFVGfBvPRTUx/Sdk2Es2QotQxbQm1sND5gDX90cYkrwaLGOk0QYgwwbUMs8g+NS0dT6W1nYAWhm2
KVBzg3k0oDW3uXYwSZTf+Fa/6VP4ASZIRtezFbxp3TwBe9ezKzOaKOU7s3vlWfotCJFi7/oNzbfR
sC16jZFFEE5oA2yxRs8oA5cONMQhCeruNV6rliezZcd4ZVfj/7g6s93GlWDLflECnIdXidRk2fJs
l1+IOlUuksnkzOT09b3oC/RtNA5Qx5ZnicyM3LFjbYibxEI4TTju7KANo8Y30ZoLv8aNzsyJK3UJ
7/dfmDAepYlzKtW7rdz0pAqN2WABvDCmyyUr/WjKuhSfWPDUMHlud5AntYTouCjU80Y7vMh5uPem
inTOB7ZMc+f5dBcVc2w7s3vJQuNh2oT8DOoOTt6V+WLJzIs2LHoaVQS9e4p6z3z3WubDC/Z9FIEk
a3xucIIorMr5ClsDUqTb3aayejcn3AMkwQhVTDFIlxdPjAG46QyQs9f+A30Mvb8Jv8g5tKNBPPi0
zNmC0zdakOG+SAZsj6RGEwK0hODXMcffm9UfV/gH+mpicJ9Ex/Xn+1xqAmASuBuXEXfrX52QjKw9
UFw9J4TENY8rO34uLTq8Y0lwA4SgGjsJNf5y1zw0eIFePd9jgQ/mE1ZEojUl9Hbp4QB0HHB5Ydme
R1McOu28oQJ2XLXzABTu0sr5xbyXfR0rikpKgVAeAd3+yXp+wwmahVNRyoa2H4euea+VoNmFgBfn
6snzhlNgE87qL4+Wugx9nh/4sxnks/Qv7bnE0VXGV58MsVwabGK09rw5/Q88UBN31XuZauvSlMq6
aMcu9q1r0FAr5kujA5abEWKZS6a7ADwwc9OBqa3RDYCnhMo+BG7QXKrAPtnzOh0ZNX6qTaYpZwEC
yANpyGZpA3413JVMJxDsHNZ3U5bqM6V/uLPmllTqXLeXn+8DeLvYEeQMrdHuP8hI+awckIwOo8+t
Nn+ZRrpGawm41zDBqjMoZSj9WU80EuibjUSiwpJTNcOUfU7bug87jqeVTdjR6+zV4jAV3R0wCgaF
SGJzc/M4JMPrBONwnyn1rLQC+rn9k9lWe4HBw6he0X63DuUo1IWb2zOJYpXXsZfOuW7X/hIabX/p
u+JG0iKkTA5AWgKE1wW9/ZGJqVpc5ko2QHi7s4tbYQdinIayhVHLgoIfq13LGaFM7CdVrHsn4Dyx
tq199L32ZPmM85sGgIqSmGzMO2UX/ygdncelkGQsVz71qdFOMa8yyvL2LBZlVh+EbbxM6yhjyml2
wnmiq29rk5Z6xVCvZ9cD57ekZr0qQOmENbWiWbA8NPUF7HZ9GWsXGYniSi0EZxTTbO+szN9bFnzH
uSILsK4KQmjKO3/SEM8oEe1V/3FtrjcSKK4OrqWmYy+cCvjAtc+lkzjvKmC8AFn6kNnkJoXiAYMM
lt35sPZJNK3maxkQLlUR4VbjDNiukrHxOXY1SKWd2xex0ZQ0FMYVPqm5G2YrYp2g4MjqXcNk7LIU
Y1wwzbI3HLBK4790o4qRX5IdmHZ9sG0gk4DRS6VbBhx+7qW3lD3ojwf/YWcskBOzXoER7unTps6y
cyhj95kgPKXetMUpiOxguMoR7FUl7mxbwe2de6h6smAeJrl29vJHritDDLr+9ChP/D44CGlvtDP2
oSy17Mjv83ghc4IF0L1iBDYBysovoaCijCZPsui/TY8rO7QNniPnKzd5hXQYPnTu7MR+h3y3oRid
ZZ8IChNFDFSjPZICyKcss0spCWY03jvFmPtu4ba7WGMJG2WuR6CGFvro/udRY/tQ8/NZrub19uXE
1ffzppKFDwxn+4T/+YKfr83NlrnJ5mnysOYJdC+VUa5bmbu93hVmBvxt7BlVMZ3WsPP33oZ2sa3w
1Zzm+5T8Ae5/noOZUM6+6nqKc2qDQjt7QAPTvh2IyAh1v+8hE2dsDUsll9gwhnstUzStGWtMowZN
piRCo+yPA0qota2soUfIEsU9bh13iuVU/Rtz/0laZXKXZtmRwDvolUHyXSzh4xr+HQYmHpPC8I/p
uuAwBdYwD86NXVzsquqa9eFrE+CX6nA05WtzGtjsiWLLTkNK5x1tXsXWCryk9i9sBb1ZHcYRp0o1
DS65UfmnMqS/W1IrHpr2M4jbEIqPK6eQupJKR1n2XaqCXz0pZDvmVPtLUIV7RyT+sQveUtSQ/UCf
cTcSE3nSglSdjAEbZ6IHDIKfuOrVPy0j8yYV+RiM03y4JOtyIvY5SHZwt2fEom2wNTJXx72ugsWr
WsxrhUEfh+d657VHvYTNnW+6bbyt5UtqZntix4x9qU1W+EiAvNzXLd1CJqH0PlnoJqcOKCX12Afk
VGhwP4pMP9tUz35nKmhU3XfQiNsEv4ppoVM+9QjIYItHN33uxWvRE0w3CjuyNxuYJWqLpI/1ivB0
dYMwmtoKOPXQwSJvSxKXx2BfNs67YYHmKqvuwTONZ7DoJHuVbPyr01wY/fkol+mtLYfPZCqhh5b5
pSC/mSUGO36y4IFw5u5mtZT263bahoJoQ8xfv4Ullx3RJFX9z8znyM+kExtdAgNf7Q2vlpE5TlcT
pPYuqVFSQYE9zo1HsdYSvVbgxMWRsleG7vaLXN8aP+O5MDYoWrEdLposjFuvO3pzPlysIr35nP9w
WgmOaU267N06+S831nNInlQUGmpXi/DBHuYhph33R0xDRiYyGPbVcs9izCNGPnCQN0R0YrGMhNLB
fl5zxEKUuUMqThWV02log3+EkjQqWYlVFZSpGGkbrofOaz97Q4f7YDIj6Zh3oaxfpj7AIKLAkFv9
fWMTJTjP42M/OU9htd4a2F+7xCd+AyMNOkbcmw4RIT14CjQWTNPuGbfBqTPaBg4TRqTgWKr5RnL2
pV2Gl85yP72wuA4jCDR4K2z97V3l2vzEwHwa4YpapqT7Pt4viqlOIgzFUN55hnuPIRDKYdd2USqD
R9TNHVl346Nt618p2t2+QbWsE5ciAHYzioUVa8FznyhsoUXuVVeg+qPxlBPYZUlebno3fdL9qSSR
SEDbrJ1ZogKMTX+3Gl8+eb+5qq9drR46K3AOU5j2O3bJ04e1YBDN7UJzo0JO88Jz1ix57A3jGJGU
Y6E/ZqCTipEf7gX6kUQdQr3+6nmyLrUgX7X368/S8/ZmAPqxX15EZdAk517PO6KEOgI5dJGyJSE8
71apH/Htx04NdJOJ2MdABGeApmXcT/rO9LAzjt2dUTDwU6nkkWTdkT87PIjciwtk7p3pmyKqU3JB
fKs1o9VuPiq3f+rtDjMCsR9VuVS0H5rIUNRyLdf3gW9yYACIaImMWtX/Z5rypXe6h1Z6/yznIxwo
8DliPAIsO4VV0MYBE/iwsq+OcMOD7giNLFLzldX1ti4egDPUsq0EG115y108czRaOE92xQ6uP8jE
cf/RnBIHKWNoQNInhy7v7yipPAkRHGBLS7sdEwmRhBF2mG4nKQ6tksWqJWViN2QAtmaKAY8l0XL4
k8zheXbBVGYOQ0HptRtsThP5csAvil9PQBvsfPPp5/VKZE3dRTO5bI7WdiiswvazFexFVn8jLerU
KTaPYegieED73AVyZpKotTOKFXXLVre+Sr580tTXRr33HvaUoj6bDP0cOe30l//9R6CD/T/v/nyg
cY1DLUf3pKepqg6DHDRJj4QE7JfJ2oT35n8ey9HI79ZO5eib25vEMCVsg5tGlPXQ2eYl7C4//wTV
eLSB+J+EFz61hlxODq8+ojYieOvU+Cguvb/Uv2Ro3DyjfG2dEV9f4F1kDmzLZMjkkeHRjPVkuRRV
wMTaQESXcLKQMF4J7N5PyriA6RjaNuO49UeaAw2cCFWkAgmBSNHJgmWDdu3rI6mip9UWCngqBXVt
fYmM3wPM6R8u2/TSeUYs+prEHx8e5phVZ7Cg6pI8MytWcSahfAIAl+9JAniUw2C82M4DrhZyHaYa
7u3U/JK2QdLokh7J6ivOtcwCIld2wILn46JnQPwMIk6D03OyVQD7/HiB6zgRRrXvx0rhRrSejHB4
rcr6RooQUw9tejLmatiPrTCOyaAB/Tr5/erIKoaWTMOJO3Yn8eGtnqnOwNa/qRvOQQf/xGq0iFJk
ll07aOp79zuxyj5mZhXuVw5bzUiegOJ1UTY3N2ozhrdTS0bgXtwdeYH+VhrdZFLmkUzq+y37Y8sT
8IP6salhpUEftfzkKbDEk8mSi//hUaftsZ49czeXyzudvY6ArPQ+HDhlLklX7erA/IPh46tzP0uT
mhDzL7+gvk5aMvDN8V9WR2PwYtFVuA3C6Ui/otzD3BUrPPHWdv+sLt2wYEn/2bZ7rwS5RsyfxSbW
e4qB+UWk3xBI36rg2k/oTFaIJOZV1Tmc+zug0epUuDFYVuJhNE/bJNFMxMSoogN6Pa9iw3oL3Pqu
bKGQuy0qVOOu4rh989IdHrIelvOmLhOJFl77YHhZWjoZPWTDMQ1efmLSsny4E7Sp9wMciXrIqn2T
YGDYsojUQG0R9vbL7NaHEM7U2d5q/TYV8ZKkh2LqHl05XKRZHujNCiIhEAGhonHvE7Ap5vGX59CL
zHvzu8Novft5fqdOML/mEXJke0M0suqRTuF/li9Nml7s0FhPvhd0yJDT1RDd0dXT50LP5mAP6VOq
jWQ/C3TSGTDmzm2a4upaUL7zwnygrO8uRGaQeVs0pMoMw3pSjCXHDd857kA27kadTAdrrecrG/8T
iSD1UbfqCkE7i4YKeFHQEgVvJO5rikq/NwxOLqJkHRIYnalcwEX7YUVoe7ii/HrEvmBEd+H9l9+I
zSoiItNaneBhyaj9ZVaiyC0d+UMmCXeJgHtMBitZVtoiLtjRPOWJ/F3VixvjYSbVlB5hDd27TVmZ
yCMqDn24zrvFHYP7gG2VdXvCBrC921pFo4+cbFBClvufz/h5vPAVh/mmJJ+STzaieYvWJimcQEwA
3QY3WtTPIl85SLTuvb/8HlviPa3Kcu5//oGq6P7PW2W/pS8S57X7eYycyoW5o+7h//vccqVUHIOe
2brKE0v08+EuH9q7xVYgEwPdY5/j2086/HLq4Ddpo1wrEnT6TKzkvbW99fMuBuH+6pHv+PPez+NQ
LwJitBEhGK4B58oNgqy+BvLwP++TK3ets9Q9L6Zr3S8hszVrynlzGa17baVIwLnfmkiEASnZ//sg
OB6gJkVpxT8P/nxxTsfEp4670ObzSJfYEEhmIS7T9p3TMumWiPrfOxuVwgS5fcrP13LjTIckIxmi
1E54XyCN7g3pBJFfa/5CaXCAqbePjFy0l67rzz8fsNc8uR9cjBvW3D3+PPTz9WHo/BFZlZ5+3vt5
vE1IgyH/xYx+vqipJ+dAdCSR9//32zrWdAa0UDy0K9BWlvHsCuGXLIdJ13fjFswyOAsYYj6YYxoH
UTxMz6zg7bmrNGfwXCURp+TyKpLlVAiWOcLN2r2e3Fdyno95pzj1GbQGalk/Q16h5G5AG7tdUzGp
hwsX38fBkbAlgG08GX3XHdKE8SnAogLM84oFPa+BKY9QL4usP7XQR3YJbpR9YKpfK1Gok9OTy4F4
Rc7TvhF0/1dFcpCVPW2FZKGoUsYi/OUl/mMgWVjop3S5vkM6P7eEIQG+7w/pvIbEjIxRHzCV1lYJ
N0l+pd89bUznOShRNEKkh4qCnWSPe73tyQVB9atl0MDhJMM99WzQGQFSksZkT5Bc21ymABXGT/yH
JtWHMMlvlnAfCj0epnaF86PSe8sjdkfYL0NCZFbR2v4eH8pnQngUUyEMJvcJ4oTXAv0WjKySfE6L
51ymVPU6XW99UfBVXQDvoB8+rBKmlQlEJ2diy9E49YvgY8yJNzX95lxqdbTn6hRmT4tSZz0JdQrc
5OR5Rrpv3IWZFVrBg2s/+NVw0sPwaWfBg98GE1Hc/YUgRYNlmnWQZvubjxlWye5aKvsjbX3qfF5O
Dl94D/h90/mRNiCl8cDodoW9kL4DHeBbMQPzWRXnKIz+aN/lCQh+NaLb9D/No9m8D2EsOZyCYl5v
xyb5pgdCaM/jjSbLm/AbiNH+O5CHPobXg6Gl5rDeD6xlbrrAXG9vg9de8+a3raDizeQyTHkU+IM+
+VLck9DURWWbPlbWb5mQUEPEfEbgvM/GPUMZ3XJ/wx4I1Iywu0sssjZzc3kXU/sGK1ORC0OHqNVi
ZGzUiBi+5yDcVH98rsjM3hqw5eiBeM6/g9IlQZJSipA2MgTr8TtbLKZw2QC7mheaOUFODQb8ZieI
2awvdcYJKRzR4WymdKKGIXh+EQxJIdjUHGkUYyMetuGv37hil7bbKGfl4M5Yj3Y7R3WVt2cNuqyl
D9pNbJuZu4nZ4YD8vBymVR8rGjtXT6AEje774tCjdwSAirG/DiJ7CnR+tnzGYZlGmpcN0WsZ74TX
3KxBRfW0QFEpz7S+4Bp81L5d4N9rb2laHmiP3o0ASHYButQh1OSAlgO9wp4jMYEpH3PZ0pMmS7R4
Navumcy1TSh6D1STHzj94mPtBcfOgIiIYq1Q6LLIWMy3oXNfCHQ9dPZ4SaqSVgCQXEkuWttZVzoo
YcQ9R19fYI8nxVOtlxLaLenZFAxNdwralvmXgOSNbnj0ZcNUEj5qFtNj30zvc5v0jJ7Mn2beRQEv
In6C5eAXI53wee8HIUgOB/afHr4UzF+IsdmDT9I4KElxnzT2fQpW3DfLf+7QXifPaTjbQomFqpmP
hd6bNlPppoc43gcN0WcJY/cIVATRuVZBt70orpbTgmOpfXdnou/d1Q7o+nb1HwJjuJWT9ZEM4xGU
bnsG4ENboP5iYgayeGO+gsWtTtPrhGWXaQMQolv6g2OvcLa96r2g0jYCxPtZ1tBs2IJrfWUsVqHc
UHu6OoA5q556FFzpLWehWEeyJWOGbiPM13X7snZkKdGWY6CK3GG3X9mgXZ95//eJHlYApfBCADht
REThth0O4ZbmN7QP0kijgtw/uNsgxlsnePaC8FXS2aWj296g55MCdlvb/oH9EP0GWuWxCLyXdobK
06xkEbTpXyOTj0NHpyE0aRsGxGdtV69RIo+VJJLltOtljwIMsf0tLD2cAH77hiyB3xMdBSI4/z/Q
jCBsIEM6UeMS5WL5DJijQUd/JEiU+R0CEndgGinIiG6QSRAVA9xL95mLCqsEaStSOrvVNUj9hnWO
koqgEjofuTkQQNNn6GfkEE/m+MvthjYicJKUQj/vup1vIntWKN/gmZZ3h5TrjEmvnh+lTf5x6XWS
UUOzaAUBTdRZexyzUUaumR9CP7yvaUvu/LR9oyo8+zatWPt9MyItKeHEnucHMUl69Fq7R8uov0KP
C1t7j1i031u7/busTJiJVZ16eBoejtejbT73GqtA+RXIkgt/mP+g493rNK59+UWBd6cn/zylMvbc
iQ1bpf4eFPaLjzFoVfLF9QvFQDPduGK5mwawj63TMxBZslgW0w1G0pdS90ZTvM7mf15XYxEZy3Pq
NgTpmAA42oP20eexyd5U6hw9+A8x3wHYh7Mcmib/DMyKqfcUejEDuyHHGzf9TbP05PoLf4JFqNMg
9YceumstFSZJMioDv7ozcVh4qfiVhdY76ZS/XMnlITbsOdHvO8jYH+E89rgQeDXmzPjT9Man5tyC
6RqWSbEroZeQk3FVJIiX1ky/arnirbgQ5swQ/0tVjCS2DPodkReAVP7uoNHsS2m9SFf+avFqENHJ
jDod9k6qJ6cznmuLiYSMkqXpYeuAJa6JTZbrV9LQ5uQXO2sow5Nv/REJfbacXk/mUBS53QvpQEsc
lF9Nx47Zg4av2VqIqaKCOnpLc1B+SYLK0J0MV38CwqZxZC9fkzdwsqrUc2J1A8o1uixb2H7EvcGx
mGa6wWWFlHS29MPa+rEs7gqkP9NEoDOBrFct4Z3tQnOdDKnDkFti781jDNnZ3SM4m3eVfltm8yEU
7NJ+xzPrDZqoZ94wivKibfN9KrxX1SZM+Ll3lCdxsY43Wkr1Q5pec9TAgJZm4r50IvTY58QtneUr
FfK9lbZIeICy91PjPC7cu1aFSk98Bomj/wgyHaLeYGYKxPjUZbfCEJLc2iUSo/qYYR/uKs84zEl/
9XGJ4zKjrpw4Fffae7Ncbq1yoX27hluscem+pxVIslrRmGbI5wsd+twBALeLqjvba/22InfNTd2c
pgasudNdnMxgsXffpZRFZFrjw+gBUGKGgsIKV1OzwCLIsyGCdPPerJzT+2z5HMhhy8b6srJdzH3O
8pjG46TkAXn6junrfqfmUGwB7AxG4eZFcwkmqTFcaTviNAn6i2jMOrsx1JUQScawwSBOP2xaaksF
sZMkpTP6P86STxlACF6JRthGM+x5MxrU/rvPV6BjhIyKwBvp+uUOm/TWhDioybuHjMTWhzTHdYjw
UdyvJvPqRiC/GsaUE4dOHHfTkj471nqxm/p3ITzuMHrLTcUEhBU+lUbwXc5zwLkTMwPAKGrXSb7R
dvmXUQtsO85AZknAaV5QXIf2awlIJOnrcx5MGCRwa3cGF7tIj2U+HNALnkg+XnfVytSbMxb7IZV/
17mlo7h8T8OHtsbI4MJjcmD1z15/ltJ9NByrimDD1jHtN7hpLoSOBMvKfh0oauoivMkeBYH/otRo
T7bxQGSYippli6+qSj+23e/ZtD8z2/tIWu8qu+FOV8PX6DRYZJmyckcqM11/SZen1U5d5gDxjjg2
EThOVSAsbMYlLyO3Y1mePYtTv6HMN+j98VjJW+bXuMcUE95UwfNSvfhricliazAHM6cfY7wqexIg
Hvf9YGtWCU53lT9yRC8nZoC/Cbd8d13nlNYkUgWYApn5eDT6ZIvC2NRe1zk7rqIDp8Aw2uVzP5jX
fAHbNyX+be2WW9vq5urM4pfBTk3O5EMmuczWUbEXYcfkAvwle/veaD3iRcj6mPX4nejwPRBZLLvs
nCzV39xeuLeB6Gq2dob8dz6LRWxsWV6iHY46KCiww3t0ybsFuIskMoHCZYaBb9DwIUSvSbiVgZE8
JP493aU/OG+pnehqtn8RGPeVP1znUj2aYn6zrfGLnZW04FNuWci1K/OpmCX8DP+kEahLCC56o2gm
yE6idst9UE/0KFKQwIZ18vvyq/MKWGUFMiPtBl/Avq+L+TBWhL6J4YVC9Um163uYtg/hkpyCYgaA
MhzUkg8sguMdPr8YQ+FVNJONQ49KyrDKD6aqvuykPSZFYeykucaFy5+P/xGxvCM2lV660TjoHpvO
1p3NkGWhzrsLVCZsDsWzkiZ/b/qGvVAivJFVBsD10dQZRw1GhhI1nD0TddDxZoRHckNCGcSNyaiH
i+zo+S+EAu4IfIDh2p+NUf0VEuRzZ4X8GJoa00rIfYmcR/TnG7FfGMV4RQLbZ3hMxcOWYt7hSCJN
6JKL7DXBiQCQ8i7z7RdnKk9uk4yQr9eHdLApJzqigETiECtJXy5Xi7gbqU8T3zuQr9WtSVQuFodf
e34hI8JFlnKOi20d7XwishmmrR1VowMIBal3Yun9eRJz4UMZx/rGHplnkpERx3wyttHxzXHgL6Td
09noO+Y1q07IraFEf8ZF6xIscq7n6wOlGooNOdShbd6IAjvYcrtis9zdcTdRyNKFp5S6d43gBd2A
26maPm1d/3GrgZ6qZ99g6bBkrystqgb2GTk9wUBLeBt27vS77SFVlsWII4LwTzoACSDG8ssfv0IC
vOCp0WAj/Av7R+LcBv2IRnBMQ30gvuHZA8HIsmUgMwKj5MDIMUVOD4YYH1s8NBGBnKcJfc7Wwaub
9QW5vR9l4MR5aKsDc7j1LhCcsnJEQYfR+V0fNufG1S/57NixtfzhMMR5LyBEpsYOQAVTZdgdcaiK
aDQ71sryoTdhZWcBQc2zCSC6xwXZ0T5P5HO70HbX862uVDwt4x/y1Kjrqcs5+JDt6jDbAy9+mfO3
EaX02FvBQ1qktIwmEggX84SrkvHq5klYCJqLGXxXGSD9ntGbnZNe0nx9wSJjAbdpKDBhgTXpW76I
/7IZxttofxeKPMcEB8lMNiRZHO6uYs9AqkSjz2xnF6SorEJ+zbUzHH3wDLBOqU/I+xlG3EBiucuF
4x+rYc5QXNbPdR2/2wUHS8UaI4Ew1Zv3OJmLT/a8Q9olr1mGBly2GoDu6P8J3fGFnKFDT0+/TZ91
JcrDdp04FddIsSTkmzLhoVeaxqJPfqer9bhyVFRZ+2jAptsBEPsGwBcRFM8+luhdMtZnZ5WfRAmR
eIgvAkwsBkn8f6OuWU3UGuH/Y2tuszbyp/Cpr5x/pVe8ZCx5u3F5azccpK0ua5+dVzJ2vbpCJ/Ih
jg1NPBBRs30Q2B3pppl52m4QN2MOwxpnxdj7P+59YLkcots8uP9Vk4N9Zury3Biuu3OG+ZcAfVEk
39pfvN0wsqU403FghpNjMIaFxky/aLNjTaxLBq6J7QghtVkZPe2iASDjdCcRWGSF8gDLF9f8tlfp
JH/1YMpR1bkPg/IAfJUnY4UGXcGwm1MnHtvhTU1RMtjf1rY3pAGt6iRfHre1cxTrS5vw+yQCf2bT
crQlFu7Mif/LC+qTudQ42GdyW5PhAumK/Y3T6s4fceCM7TaVSq+8/q9cgpvrXQyRkzbfmgmmDa5w
UzcfYIyMJluPy4hMuIzUVroHZJMWwW+nOdFTfhsLqz8oTu0h4zFWBcauARtCDDuq2WwRapqBgS7K
/uCr6dIT48dyMB971b8G6RQxlfSHKFfmRl+7IHaXxDwbfvnPq+jfFu1vFRby3mcmNdsoqCtH+ru8
Ei+aZZFln7JLq+D3UuzTHpx9Mr1oTOqlzB9FgHG4HggJz8Y+zpJrYwiM1oiWxyZZaC7WJiYK+Qr0
6SStImNFZApbjWRHqQoHuZmOH2MpOM02+uKljDYO+j9jav9rQ7JQ8qL+5/izDf4+Miez2dNoO4d4
ONK2OdZe2RwamtN7qdzxFFQOSWxYK/yMKAFclvAL9F21nVaG5s6U7SlQ833g+ecQS9ngBhWTFfKB
/J8DzT/aawuTuLW97LxGXQdDXut1eVjIpuSCGT59IJxFZYMbchjpJp7MacghtDN5W+QXpWiyc8le
2C6USYb/bD9hdt359E1/37byyYPDbox1QBO/suj2xk5WbvlALbuGJIp2CpLyOMcL4tjZTsMXK5he
B19bOzCC6gyYC2+cRWpQ2WFZ6WZ8/NKlPu5e+uqpMBRbHysWKi73J9GmJp5hNRLSSwFBS9zBBz0S
UDLhvzMMehO1vlStW+1dlrCJqjCdcf4ShQeMnmNsJI366JVT5OO1seREspn2P5UZPmkmeRnhfmq2
seYwBZetuCWFCG8ChSteRC5j+bxmHvGLbZJHaThc2B+Zi3D9ZG/UJAcaKS8SNmGHaC/gwrqtoVYG
8jvoPz2VMMok5pRcL/8JWe0QCv+l8hgmbauJCKhFXuEjzJH0OBLBntw8vq480L4/isX3z0a9kdxj
KHDDPcDquAw6umCt9TgXNeNDi/NZg2GOKIofLGXhiqHcky7sC7ce/rqaGc257YMdAeiQwqd2vq24
5nEa/x3qcMGCDozD5Ty8bvma5FxPZ9vtT01NOZWqNTn0WFwn9DcErd7az+gxlpWcp86gInPUO3b2
OTNjE4mf9HZ+rHmZ1ulW98h7NgXJUOoTF+d/zvDa6e7TkeoFWwW2M+baojkfh4cty8UNvGSvXVaX
ny7nyEkK7yOxQHc9PtZDW45YUIgXDGoSc832CNVqKykC3FpvY75NJNuR66eYzMpzzzzlDlvUK1A/
2LbdvsC01qkPHXR51Nm2GfcBL541h+90AwPOpbxiUzEwolFlz9R3xBULw+Hi5cbRTQf6n7SPVZc3
zxFsOszbDfQwqrF4s5mzjEeGxlIOYZox+gzN31bLeU5z6s9C4W9zxiek7RjrUUj4F+49YyzTiCZf
5OM8iGhLZHudo7LZdXnMUuaTtoYRfbUYW88HTNJTa2QDB9Ap2QuNYpGaxd7KA3efaf0KwySIiARX
cWg26TULVATy67lUyduKj2NPzl94cMV808Ixril7Y7Z590NpXFXg+teQhYC7bP1wZW++LwVxDgQn
HBZGJk/2VsTPDvcvQpDHeEfvT9OutGtqxFmgFZniuGTmazjl8SRwPaGByshyPdpQMicdN0A+8F0k
jnAW30wlM9NJ0tYmDOgQfN4oX2XCqirSdDgJUXP8KeanGReHakbgR475QkQFf/WMEJNVBuHbVZsy
nGJa7GGMUAYUaXGPHBCRvlhwQE3fViuJDIf1exy/6EAxzZEyP2PgWbYrFDPRSXr4vbuT3UNppFTj
a6w737g0ufUP36Y+926IyhdwJptzRiqE3BcOA3hpHXKTc0GYA7Ml9VJdOEhdA5X4O5co5QNexNht
yNBeZBns4ZuYEanSR2Wr/jz41nW1++pQkE/tBskRJyrRUoxopZP3u5n8Zj92+pwhG+46A32ncVw/
kr2hUJOMaAmT5miQNgxgftgvlfV/iDqv5baVKIt+EaqQGmi8kmCmsqzgF5Tla6GRQyM08PWzqJmq
eXHZ17oWRQKNE/Ze+yPljeaFkCiOOv0FK8/WnUiHyXI8T302AwXCLZIIKAc3WX8VBF9Mi/bJ2n8S
nrNdPRLJEBExHiqerTScjk504/7y1L7dcFYUMsHkDVO1Sy/tMGCLgMPmOXALys2IpmVqNug+95z1
Fxmy3HHG5dacdBc5Jy9D0xGDIKN/lT2+kMVV76IQtLyf3pUO3jgBGLfPjuPKlB9/R8zFszJz6T84
ESuKUbSsHIZ7/A28+8nqHGkjLtIjm3gqhDwZdJpbFUbINyUPqoL0Pk8C3GP1guQV6UCZtdzfg7cv
h6U/DhIbX6etoyeBYkDv3JTQVDdt4WyhqvBBDxRhBLz90uhiF8/8mRdOnO6LkYPA7URUs+ewoQMF
4rX9xW/J0EOcHmzngWlzYMChdj0DTemX4SHMzCdJySmf8QTlLrCZBWUW+o9iuon2PF4INjtGdBSg
fIL5vihWHiZcEwNppIXKA0bXFQnlPj3z7GJgLN1lB+Y/fartDzeR3412SeNdA/oLG2GtWXz/DlbW
dXFQLNiDeU7wzBWmEUfLYargL0gzwsCdjwDEPwD+O3ssN5gEg2qztldvQFmpstWOE/Lr0Xqoe3gE
YrMmFpB6+x95m5TVLNltI/CvdFNJzPpzVkE4LrvigJNUE/zj7NzQrzcqZNc/AYe3IgSnBqNajJY9
xp19AU/1FI5MO6Vj6PHCN+j2y9auyoxKjo90slyYcg9jGYX0dibdibU2G6ddX1ANbQqPpUbSJE/K
X1GWNUjbIeVjCxqR6BKE5dH5azuWNkTxWneHckGJRBkaOywID0mYPyPtiBHvx0FolRvQH6+hmKOt
rme0i876iNyTwN+M7p80qkevdV+9yXn22R1CA/yHVZG4NDWf/Ha4rMpjd80z5lyRQD+PqnxkXvXZ
9ZItn6ngEft0BgBUi1uw43DAjYl0a6kvvp29KSdHUBUM56xW3x0cIQa+7KUDBTx9dP6ZbPnPluM2
Hxj3jvVKviGlnjd1wJFrsr6nhOBd2WBXSHDEnaNmvnoinQ9AhF/t6sPHL9D4hbd1FfKkYoCtqAyy
V9R1GVor9au2ekKmAcVR6pYSnIEmusJN3sJZRFTcRCqi8l2C38qyDe79/EPPyXBJLeu/eamvuO0b
lubukZj0OQ5ANcciCcH9V5QxTAhj5uRUCKsi2VngSaYO3lrhYrYu+ZblsbKX4CQYkWtCzndYqbyt
RPwURj4q6hY2/arAuq3G2pqGAp+8aCJx6wmxMfdDZdC7BTazADER/Wi8Z2CUCINh6JxJjGHtYieg
Zmp4wWF3Mgo+A5vhyubz9Sbb2aFWwUuZzJRvdWRI+AyQRZcHcqObxaFNUvPV74px7/o4hrRj47Vd
z5btVEfWJwxG8bAw8WxO68wYp1EJwSI1c18ZQfZJcgya/eRj9girQ3C7VmWp3saRgizyrWI/SWOd
i8F5CSrQ47N/tNLSnA2zyl1wb+u5jQf2M9sVq2XWRiG1JeBZi3zOVnIne2Xs8WSw9TTeYSL1Dx6H
tYW6P2+ZTgyY/adHKoVnvYyUExmoBMVugtkX491WUy85thUDauJiLRWGLwz9JEuPZARkE+hCpkl6
9PET5B35uKuFE983dz5hrqzl0BqYmWGv9lgfN3+hU9rImpe/c0/vF40oBbRlv62Zh17N4yd18dZu
ArxoVKTbqJ35BNnNuzYDXVhQrI++S4Mnj8TViRaWCBxE6ZuukQ0Tu3a4BYeTfJvXE4HATDecNTuu
2cg/l67UXBpno1baOttB+KdnrufAIbj6tXtKVN3dBRknu1QaXxQDu7jNUUC5uELGtkh2UvCct5P8
qJqxpa22j7ZrPyUiQdGQWgLz8UqRoW/2nJ9fKiw0rMwlRo1gnR9ZVs10ozh4xO2Xny/5+V3jmuZM
AAziTC7u299FbfB/X4UCjBqUWfKuxj2RzYqqbduZqDzmCbR5O1tlLDXKSX+oXq2QqDZEPRObpgAs
XeGcu/Z9qSY/Vn1o4lbaz7Jmoen1MJLJR0V9bf7Wlh9dmuXKyUdLIQA562GIK4GiBlAjE75OdJvQ
YFpCAIloaaW6xsMh+EnJ9Gqz9K7VIfG9ZX8JbnEMul5jxp7dOc/TRynL+WLYFDQ1BZUM/SMiHsB2
9klh4fvlVGXE4C6MYlETnT0k3j8f96X0g2wbaEyXYpYYBKYJK4j5NSwdG1T7ZnlHqySwLp04+bZz
NxkSeSxmfoHAvhXqa1Q8Nmrg37D0qeyxCNDde8TMOf8shB47kMm4eavlnwr6+erK5SNoI3XqrZEl
qKGQzVwUEbnd3TxdHUa3EauquJENs8fJDpeXGq+VX3s263oJ3MpWU9yOA3MqVq5Duv5j8j5xhchl
X7TJI6DY/RqI5zEgnAFi5NOaTXRVs9/TsFpfIpnTg+2rAQdSzrOBFNlozB2UQ4zuPObP9ELhfho4
wU2OyBwv8J0BXYXl1UcVEJm7yPIp0Wb1YI3qD8y++oyWuTr//E4OrmSxGrbZIRfzJRB+hH/vZjf6
39/aASZPulHU3bcr9edvHAz+//dFbu8hsRJQKH4u3Z+r9ucL//+P2Zw+dYAa9j/X7v9f4RF2pXIj
wgeJC+5/L+zudqkvI4kJNwuhfZCjdfj5b7jTrk66flsV6sWKEoJ2mF8qjyhe6tFfbsdlKxqnIy88
13GXTQTvFjXpEs2xyFe2IVBVyxUmMRHsMScRz5MXqxiZitSvBJIlGZtGIXZsHDQ+dPWntZiK8wPX
lB1Nv3VbIgmm2dplpEI3lhHn2V7UNsjNToW3OOJy/W5ba2SGxeJhXZGjl+O2rx/ScVnu0whfmuAk
iJXdwJlljrfU78uAoG4AjZNbuUIydO/N8jeXq0dEe0FpNtTyuciHz3B+KZ2SPmiF9Fe7akPsMctX
5REo15FJLdLwRUl3PN70dFKyOySehtzMpSNWEk/cYp+r29Jm7BXbfcGtUPhnCtR0cffQhH5FY9Lh
sEMUavp9YKqa/ONnx5L/uJVcrivAJPjCLsGIn6hLvOfaCSuShMYmlnN0dMnKAWROKW9RRQaCJSAK
AiouZhTzjHV/IoydfVNFFcYuYMuifJd6SfL022U/i4q5hfLrEKVoo1kd55XlSr0ydZba28/ewHIB
ve22s1SykVDFNia09gDA7UO/7OssKx6iJaJLI84pqVs0M+VrOdR/lnKsnubiyAwKygSa40sw2f+q
rpuoDvG2hEGOU5GZwsQ/cdUV/5e7VEgv9E4OS80U3QGA10pn31YsMrDYZMfO1B4bTfukx3nahX5w
V9SaEU8iqfTqKG4mFnL+ZFMyTNNxJrACqxIisGVhKdCI/hiS+zHrjAdBUtxx839jTkIRneTvZh3W
TZd/ypWjlhFsENENjRH+B9ksJdYIHn5TTb+Er5Mzp89bvAF2tmMXdGbU6G0mu3kaIw/pmL2QY8UR
BczrXwKbwesRjaeTvM/S1t76/cFxgl+B/Dva+sEtKFOIsZObQcP0HnGV+t5yKmuS2rMBIAdDbA2W
0jo4IfYdwxQpCPFJjwSE7qsXM+pPaVfNgQsT5i+LPnYDSO4RQSHNycaXMPPecmcQcaD7r6Sge6gi
Ll07lO09k2bywP9Iz6jNYGfDMQ0oo+fuvlnmYucyqDm66g9H341Nj8GJNwBRF1uMlGDp4kKEQXoM
IRc62zRMMA7MlD2eN1x5lD5gnFW35MoYWIA8FkHpx9pBztczr4fONjTnopT1+eePK9JoXvt487Wx
iLEC9wwdzj0H5eKep8CHWRb1JNgA3y+Watm1PrnEViEOpZOVGIxm1DCaVzdTi519SqIjDh2oC8OD
mYw6mKVBSIUiA2MuPTNfZyz/iOEMUduw8mIKRGpZEB0H6C32d+MxbXbdfO9UBbt8nM/5YWqyOzOE
EcK9jLomFR8+0I1930JUjCILy57Dzy4npnfA5aZt01IScApiloUe8fMd/D6EzM+GxlrMcC4CLGw0
m2N07EPoM22L2r/srdjHPwuoIrqF8IRcFFNqPTRYlZZBzidl52Yf6TDb19wOB+UxKGhfhUgZM+Nc
tYs8JY6u2dY9howhE9T+/SxPTmX/HqvpIdPr/Fpa1mexZL/daEh4EMI3Kd32QVCcUAmyBrdUc9/3
wZtbhM881Nh+sDmKy9ChNqXspCemuMb0oOJxqV7RLp5yVMS/0hRhRmqyA5PAd78rm2MnOMeDSOFL
m8JwU8NfYFWIqcrPhm3e4RtUGoTPjEFuXujz1feIFwOlH61m3t3Mfhn1DAwp2qHsLseRAql9+Y1r
igWLE+Gg6Hvc5s0DwJdz3snjFATBLfnKiyXxuoXEgLt8iWq8B2rRXkTHjyvC8SVqMvK4+/k1Ug0N
ij+1+6QOvAOeSvoveDkcZbN31YBkGAyBMktDDVXR1E8K7XAatg92rvfVarWkJaTfVc3zHqjtgRLi
xXMF2oEIAo2ihLYi/U3oWgTjMXsppvVsvNHs8jVnbKNcVBxRTxA1jitrlfug1fDWTXFecgoTrxcg
IfFysVh9ZQmS8yqiPy4kEQ6h/q1Lc2S6glU0GYKBFh1uJ6AilhydS2HRVZbFlOJRjZcSbRtYHdxK
YZ4dhTd9OhqfjOUZdt5lBfnDf5VFUd+Qvq+Rti9OmwyQ/p5rt1+RlUxP1SScTWnZ6AqWAdMOhf5Q
AI9daFsEhD8eg86+T4JH5XfM16HSBWv+D3Mf0rUMK4Ocdr43P7mt9cfL09jFf71oda8AKduLBuXg
0Hb4/vgL62uwBiybGiSJxfS91tFHNg/3aa5PHSHpUd1funW4D3NurBGjBC4h4A1I29nD0X+A43vC
xN1v/bBYNp5ovl33OEb6nLjFfS5A8awsBeIxBVK/NHdVMrjxssZRMKk4uyk2gfEQCrcepNdSpDaI
usTovtTL+pRAccmrPysLy9oL+r2XoNdNoEnnD0WUTDGzuWuRMldQLU56iWN327jhjkcuqIbRjwu5
fK1u82Cy5FIrt9yNU0jcin1vJ4s+VtbygDYV0JlqN9Y8XUPM0FTxrONgY+QIh1JJM0WUZsBk0bhg
KzKMiX4knug4rdHh7Vi6D6+aGEip4trN5RsD0ps/OXjLrTbd6bEnaIk6tfExbi0a92s+PpW2BHaJ
L7zOeSOVmN/qEl+SLItfuLmuVWaZXTIuf8FXfTque51zdptW7jynrKhjEvI+RAeqxQXlY7S9V5bQ
YHote+NMRHgUhbs34OQ51phjFNgl2T1AanCOBeFV26S6r4egAmGY3jH8e8uoLjKiM+GhjQ92s5OL
f5N/lVu3L34pJm9bxibXur45Kqc+bprxrWJojiPe2+Cpvi90uotwlHp9+4EcmtUFB/eOCeV+KgJ1
mh2HfXN5dBuWFUjgx4A1XFKwHpyC/h5fwz/Kyg7D9Fyy6WRUXAsHzwkssNHje4vRm9hz5Q/I6/uE
esnlC7cpVX5LGFLtu39Fj5u94fCdxgGueZp4mwEa6Y8AilGln92bHN0i8iVwUBoJnepn535hA2w5
6qGfRmxEyBF3K4R2YIjOPs9vHpy+Tnep6Sp8BI7aYaHHscdRQl3nYNElkoBpVFFtClKumfTruNG2
fwpYruc2PeHaUMcheeH4sJ1HT/XeJeuycV9Lgnpszwk5yVebHT6rvFo5eJ/rDC615pEjmdngbtml
MyoKCzV7KU+yGVFcipL63HHveT4iYUhQEVgMvpjCcDtlJGqZxkLZk70ZG6Wo1ePwoVrezCHHZ4Sb
0NXdQ9s82LXJdolfoe3LI1RYjJwdfVwixc9QO4+pjRIznBIWCiGbfJ8KOII5PYyL3AYG5wfISy6N
tdmOi/WvZRS0a8nk6zoVEkPBZrzicIihQH44oXkZc//Y3GgYneYYdlP3e67K7zntmy/A4tlmaaz7
xmoMy5TzovN8G5W/YTpQsLMx2Aw4Wcdqx1qXCTvaSrqjbRbY9qXVa7sb8ylmWYww038ZotQ7j3S1
+ZwwRUr8rajKYFuyDMsc9HELGD507RttAB3Z88/JEe6y0HkQLu9svWSxdsOrCT0G9OWMJnehP4Ml
QCGfyYaVL5MeVst0y70Kd51VfnjleppahsE4N2iwfhSESr2vsAkOJrCubuTmp2z4zv0guCAVd06q
kU9Jm+R7OeCyUXO1l8Y5YZpJdqvTFjEaADC+SxMjR0AIYJXQH72XLirJF26KvWenX55yX7rGUM6h
yX4RFSgop7dQ3/7QhLqoYHFdIEf2KhYx3A5DU/T3xuR3Gd1Q44WG0D6fbD8HMgC7nmXNroFjcVlF
EsWTXCD9OOKtWWygbplvbYse12uSWcyKxvsknfJ9ZTxE9L1EonrE7UkXyTfcVpPXbaMegXfyq7sB
rbVlvRGYWG2YKL/VyU26gYqlZE0IeGO6rTX3dRmhJGEjjYqpp+3LFds8HQdUpXHD45+6NOMV3r4V
QKDjwo1GcOLV8VqeD26fHIdCfIvq1bgWKwJIij0zS8b7mPLp+KK0eWUg8hHWMKzSW6cF7m9biA83
tUkgpADvVLsrYFNsXfq1jVs63hb65ac3oDYkbWHv8EHrKUBMkY1fgOfgTOo4z2EpmaRDdUgTZPfD
41plp0r7L5nVvjtS+WiFFNL1nEkQEX0+9gcXet3a+fucdiYg/QWLA8INmtghXhCRnPOUw7xmkbu0
rJdl/VkXvNkRXB67v+YwENaw+rRtknv1hBCKro3SQ73bKJnPVnbooZYCYIlg9lTtSXjf3sjOv2xY
ODVewH26dlgqWxODRDjOFZIPP0h8Jp/YA5rIfvTxIKAirh7HXqp4GrxLX+fPKlieIEQ9N3g1N8LS
H1VGT2AQig7+ecncdO/Y7mb0IHNlQIWCW0jF4L/cqqXckAKa1jj0UisfdjJCRN0mzlnXB9053bav
ustAvC7Rox+agyIJBQ72DPxTH+5GBck+8xqWYYwUx6x870eeZ5brUyFPNNIhiG2eO8Sr/CnVz4ir
iBAoVL8Jdvivi6Y7BGz4t4dIHJPujUs+bla7udChSbrHFBIKMmiLtJhE/WpLxmc3hyDl/PhCZO7d
7fWQwk3HK6czvR3U+roGaIukORsoPLhmf6ez9Q9RYYxYPDhYrvhUCGGPvUlC8FBMAamRmQfMx6KL
oq0xLw2qysNYzNhdiuajRDTnt1SHC2U45tgg34+dvIUCEF2iKh37C94XZ8qfvLb9jRBE9u2fJcT4
OEERUe218REDFx4WqILbakBP7iSHJVPt3rGEu+nmLI1bSABR5J3nzHlkxQYbcGXEjlEeY6nsGyT/
sCMMpdSgGaILEzBVDpnKVfneOAGrJiyznVj/+UToHAdMdFNoDjjp//mu9aaUS3U1JdQk7gQSwq/e
1fxSuDPOvl5VKG/6nUNkzhZ+3r9QsELtQP8jb38z7gh3ZO6/auVfpq76m+NpQ3Szd3qDV7LbEh1I
zgyvt8/D9xuMC7eFy/FarS68smhC8LqixaWHYzPfxb14Lid4DFFPAFlJzAqDmO42U2JrCxpxO+Vz
eWKsyfM8QVHas1Jjaaf2ScHsDCDsEwFLqOja5LNINHbweqGRxnaC3ZxRQo7NgWuJaw4xjel/k03i
sF9P3xuG0FsgjncOIrOdWjB1oIdghWZQmC7WvLeH7lnmbBcnEDvs9rJ2gwT/vyhPcS/36RWy2Hcv
0/uCUClM6AiaVoBlezWxYuiNiIWnWQlazYpBqoqzWvxFIKf3i5AkGx+sbsWF7Q/t3k6vP5ewmaZf
rTdec4tjvp1CRm/MlUeWN3OFUu1md2optzDQdOZR43eSFt1WN9fnOlK/+tr5O3oJgt8Gy96IIBkn
Ja1S2FmxZ6Mms/BHs4ltn6gTzzUuTrLYvBjuyFeWqpve0+dU/6pCPF/LxDf2CtpwkaPJGYKaDVCx
q5qhuFcLa/+0DpttQA5r1qHjizh6dFmWeDBxoNlVVm/L5NlayUSnTUbdi9MbleQ34xe9rZwZ61wF
1qNFW0LkMYI6RiLWLGjOIlTWw7rcrZgijqX5nCr/cU28ZJvOidqLMbyw8kWCGwQvq6HbmqklaL6b
I3OE3TTQ7vrsTpGwQSk2v/0ZkYmyYPKJ7skKi3DHpeTvYCitsS6beTPkzf1cmo+5vvm50JFZXrtj
JNrtHIjAsZJ0127r3bs0SaMd1g/Gs3pIPvE8fc9N8NS5y6vteacsCX8JcPeVb8PEk+fCtS4ppp69
GHxvUxRbWUQZpaq77WeIo8BBkWWNXrr3JvNXaokX8Ns27qvxslfqc35cLz2Pa/GnHzgcOmt4jabh
lI4M26Lwa5VQZOe6+RJkQVcyWqngeU91775VDp+tLlgha2yTR8SK2I2ZfSVMPqceQplt6bgaIb9T
EXfuyXF5sgUr1aNojdhrS/BJYXEMpPhTzpN9aAFUIjogLih8xCBxdcA177KZdihDIDJXhQM0obnj
jRTXpbOY4tBHHvwKLyAq0znBmdcusFktLJpnobL/Qs/7r1T2emAO48Z5CKzGWM+jEwDqbjpvm7po
McMEV19IQrpVpPYpsHFIlOX4FblIFJOGV8QomnH3+tc1uJ15gECJE8neNYvCGIpxzjL2MZ/wceOq
rmKaIV5PZD3USW5T1q3Fsw6q4tUi8zJcZsAZp3m2gwvTDG667USNfU2a9rdcxuGUiXp5dFBSJSoq
d6WK/gbp76nz2JpsBD7bUzmjK9YzCDMn9LdrMH9HwV7XLdJTqzoj92LStnjVlikHxrNkJY0mSl6T
VZIAYh49p8pfvIb+KOkwta9VyUcDIoPhgF3v5AQ8RhXky7bM8UsMNHTH76lK0aSEujiJ0meVaFRF
WUvDgpjJ2YmIMWaq1+8U88eQLgSmbXmGocURgipZs3TpE5p+mf8Bz6BOTslQAnt5AaAoDLBbNe4F
HiiMnqAj6C/pXlyHm7yu3EtTt2RWMFxeZXffQ7JMAsp0/QZkn0eWghvrCqprVkGQvUKcod7nmlUJ
ki6YGXbDYEm78sK63D7Wtr4kuqrvogSlzdLYIq4tRnZzMbZnQki3EKJR7ngUtCBLtl2FnzasSiaH
03tg5GskOkhWxLxhI8q+7GTGtTTVUAC4qmRfIVbSXnowLZrMKD3PJmwITWkORdfdzHzeNyJA2kCW
nZCWU+hKN6N4On/ICsUF2dyI8tuOZjXUoHVvEhCn5JTo9oaW8qpyzzmu217U+bVw7TeJsG4TtlXG
U8Qd4qDOj1MRVvHg1bAHB/G+/LiO0gYfPgvO1UeZg90SNDONFVN2exeEEZNE3R1NhV2mCSlMFxyf
dokEP5x3aJEFdvP8Fds2bXOPN6mrT6ASntsIlkeqAaQBnHt3vJm6PmG4zj4ekUwlh813x5wMFZfB
/JNEbHFKGjkvIm6Qu2GTJeo0Tm0Qw7BG89eVFwmr9KhR+yDTVhXESPeqR1UBeNUZ4FzvwFaHWtKM
9P5vVQOfBKL9ua6ZKhUjnEVc2kzjbtiCNSm3RuVyY5fJp2fNfJ6t/EwjfBZD1St8+cnKAMP+rRrX
j+VU32V9eAFtFzCPZ6RC7Ty8FggGX0SxmzOfWWbPNjVqaJwRG367FopNHtiU7nklMK4n2edCBFtu
T0/N5F3dbr2glPicSo8ktUqAoubJhKqYg0mj7CzwtQNSe17HZT4k+uTnCqXR9LmEqFR8mcw7wdJK
WLxFRdeSd7qG4y5Nlyfhd3I7YwJgAHzs+gGHiZje0NX/XQGM0zHgxw0tJngs/SgKMm8/jJ48k0pT
sm7NrjLV+Cp43NSZU6B1i84sQYNDTZ5Ykub2LpcFy4IC4pCmWr4Upv4A8rNzkGedEGCcw16ET9P0
aiaC26siekR0D0x7gNkXLfpQZ2P9wHrwTjf9R5IwEWl0Ue2qYX2VLWavtRfLhuEQ23VjgpO/UEYg
Qj5miG+2t30x0mox5hKeqYH4kaLVI/z3btKYBzzVbAliLi5gF77CqFnOk+8uW9dCl0z5RspJrUS8
jNJlWdQddZ+pa58vlzSwzDkPQEl6FtsaIeyjO2JGaRsL/nmEMiyN8kvVLJqgCa5E5J3ONvI73Ck1
Gga7PLCFeR7m9YNLyxyd3DmnvVsfvIEmovJz527wWEkolMybImS9D4fm79ChjLU9Coe6fnYQLZ2x
9pVHhJrAxdzbojIFM8hIzUtdipdsYtS2rBp2B/iMInTfNNzW0YelAJdNs2Gk8ugQ1NWTwYwHy4uO
28viqYT9JfybQg0pXsYMBuLOLQJA2tgjO9bQS3bjOo1b2bPybVFBh4SceoulWNJU/sWfv+Ycl3/B
8I6tpv9U9vqoKv5FX99Jn9wm1pc5FwPCkylEKhEygT0O6IJ3CNj31D7tpe1w/URJ8VH5hsvYIygY
EkS2z+grGaOYc5Uyqp8RN3Eyf8ph/WxFoA/VIL8tAE5wn/1mnzvhRVU8rtmfxTDeYGFXeDLFV5th
jJERONm6U9fZt0n6ZSoBHgMq7sjiDNVpyNzOX6u9KXitwLnC+7qEpmby/qlnBo0BwWXsPq23TkKh
PkDP+6RmqP3REJAG2viXsmf8iw6bTnOEeIwZilyOrDp3Ye5dCP/xRA4aYyj+evmiHtyACfRQMebp
qKdivXBoa1LJD1HdYrRreS9RiAWXdo5uYzDyfqAwQVAsfEaRy6ENajSvkMs5DJHl5ZpUmjQ76XRQ
f/OASnwU92OS+kBcosua2qiIw/rGu4M6npAYGLmL2uQDnjZWHTjHqJ+Z9rnB/r9oQCqNMQ8uPkJO
u+DJxKazybs/QyQL0s8RnofoOb3xwLaBIcfg/fXaPVj1lSlG8Zk67u9lshXlU8eaVuEIqOXRWqen
IofIrkP3c7HHddclnOl4WPeCQhBvAlOLwvifEZ43shHSt27sQBo74zOlK7CT/AZdmgkCSri/5qmg
fCncVz7tgLchuvCA3fpr0sFW56G64Fwb3QbiUgZOG0NrPESEGOQBuoAwouoONCyAkaeAi5d5pwvv
tVFc3GJyoTFN4PQWAGudD3ITLN4XbKvHxQq+F7+yzjoscig3vKaSPHdaQCWuwpG/gyY79t2U7JTI
3a3FAHnhGolFo26Toa7aT63+yhY79m7NbznTWmihXjsdkbEo0DFRr+wRQA1MSy2HTagTG0t5+wzj
L7ImC74C++0WbMd1keOXBVoJG2QQhxMoHZ2Ox8RwOmbIF7VmlRvV1vc4tHcKRv4Bbe1D2ngmHk0E
a7GuHiXwNdiJ5E3RLEdmceO06IhDJkWCLU0XHRxMZVk/5HSy6r8VKc242PNDkcltlxfdnnnGl0xk
s81cetx+YCLllbmH1HBfjLihcXaN5wJmDcXRwCqqm75CoqMuve89LjKYt4CjdphJeMpY3H50DF+k
9Z57B4IGbhMbKPYIhVKVuMRH++CmS73P3eACheyhSQAeVtEIlw5ugpTDwZ2Fu60SUBHwVMG8jZp3
MS9f2zVodpzDT0NjPdzktkHKU9KfGRSaIP3HHLYaYG044tdc95SiLLPqOVJnwQSUOGy2ifh/HSQQ
w8KMYMa073ePGZPnY82Zvwr5n4MmEIxbeCAHCjFeBKS9SlAPswjGzBEC2AxJiEjt+dIIUoTZ/ILH
W5H5F9H7okR25WeYMTrLnBspzjMvPOULEig/A5sQVHc2OOEjboPHMQnsS+XKX4hmMXH4M/chAzA/
PxeNd8VKSXdM3l83NYj5U9b4UXgdqvY6O34QT+AfMabhtA3aGq4BU5wmrBbeBOdeROwwcc2bhM4k
J+67E9O5Q8kY5beWMh3t+3ZNmTw3858M7MCbKGh2KheCtCI4xGBRjSUqWntu8KYKbXbwt292LYp8
bvZtj++fsUdwG0VBeoPGzSF4E1f2aF4UBTo7XvvhRmC9MCuNNl2CICDnSXeIIrMzvfyYTWF2tPNP
aUchGSX9sxH9H9plqE9uSH3f3ksLAI/SzauMQj7QHLeNenHqBuWhZe8jQAl8uMzeaxIM/AkJR0h+
gO/wAVdj97Ci5I61YsaO7POltkPuSN98w8whgnAlZVjg8kD8flNfIGLL231HLpaXs9LSHjSGYbxz
1glkD9AwJ0tfIye6CxwZHicVHqN5fZlAoDK1l3hplf5Po3xnGNQ7+wIWdTGa3zktyF0e5oyOqe9O
o2hPIJIeEEjPu7mV4MvhKnQZx9pa6SvDinmjovWha/087lf/OzLNa3IzLjMXqG4Qngdti69+Mltn
Kd/nsfgMhQo26lolfCLSyr5Hd8Gac8uA9627Xllv9rz+wgpb7I25FegNA3lfIcNI3Wd3gQGUifY/
YPeSjdK4G6z+kaoEOu7NuKn1fB0DPgDkju9hR5PrTCefbRGTEy7Gd6OmozsXYruUqObZPBMJz4uZ
ZE+FIAhYJqPDTouHDjC61drPTLv6gN1sOJ9M6RJbqZYD5nU2KcTgMv28mPa36yh9IH7O3xL7OW2S
GiPJ/3B1XruRI9Gy/SIC9OZV5Z1K3r0kZFo0STJpkvbrz6Lm4h7gvAjT05ppdVWR3Bk7YkXtONWp
Rw0TvL0bgLdfSRQ4q04TYRqHnhs7j/akifAFQXvf2GEL45HlF2vbz5xXspXea1NvzQSBwA2JluoS
gLmqiAcoSXRxbioOGj1w7uKu6o1fbeTmZqpMvVdu8qx9vzth+kHJFScj8DZGGrEJnbyB2Hh9TziT
hoyGOM5OLyzHYXktmOcDqoXC2JOHOXAJyJNrsmzK5PGR0AGKSZTU3UHwfLnJcujLlvTQkeJmq5b2
o3wCIZGxjY5jm0NHfnWsfsuVEGCpNenBcM1r0s/cxBqZ7RZ9N2w9TiNfY465eyZsfSNuvcDROxfJ
gaOzNe+10T5g9ufh1QkcAxMNMoCFV6IJIMsxN/o2D76x7U55G1u01bY/QzFfvXpKOAW8yaRSl8jG
/2/kd5Enb1l0UM7KYwk365PVh2jN5q0r2CBI+uC3Od0vjjq3pL7mzN5JTjJ9VmFhc6pVyeBqBGSy
nc4/Bkn70ANbrQWAB7+rnqXqX/PGmbeWi8/XqF4qH6OZk38YIzAXt3rVATr0PHZ7yJBmBHGuchHu
VBXhB1P7OdP4rSjzRuYYR7kJx2ubz5TTghrXVgCxNEEAXwKimdCER9PkKcQhQiYaWxHyBffST6Q6
TufjqDm68wwsQyDPIfss49x11q8fdRuAiwUSVvWUBXzg2QpvEMS+Q598EAbtQok3Y0GSyXY6THZP
L8tADwpxZvxxgr945KbumvTSCWvLZJUa712yGcb6tZwgWhR5/4pnByqZ2OEr3Uu+hYm2gwdFTREr
UJz80g/YpuWVv4k6ngAi4zOXW3Lmx2YZbPsO36bibdNiuQ28K1SBtQ53VhWddQqUzQit8we+c7Wy
Q9po4lqSn5n5ZJeLA4JkB/eJ5kNhR09JnqxYQuLsFN2dLKP7cLTNvVW+CzFSEm88+qyqqhwVX8rq
y3GykSMz3oFhtLJV13rMH/3w2ZUjs4w/PXQsX2QVEWSR4z876B5M/ES9ZZKmT9Pqdhh4ly1OPKsg
8H7xpMFBQF0sZQ0bw4ovlt+XmzIL7uhm8JBBzKMMY7iCpIUQgx0u0Lj0p1VGDg025XEqFFOkcI+u
H+3yGSS5xDbAOu4XptV7K8QZLZYTDE6WmQMPBExCgxxMZoHApsWZWq5XU7rGLjCbL9uVWzqJ1n70
GHajWgVF+TwsIVnPK7nafLUbBblh2f7kPhdpT3sZGIDX0n0YU3U0GDpu7Nn6MNPUPTSOpGLCRs/1
COe69QshYTqZarrSyqhc95SDIXXYN6lx8hy8F2gqr3UGir7WJTesrzZGBIeMfjXlQz9z/0gJqN4Y
aiJ/34NJTDCPpMm7k+kXX9VrRTW3LHlwB0x2N9lIO1caIsT3VyM9BcVoM+pM+V6ZFzAv16Ty3sep
pSDTa8iAqic1el/kAD4Ni5EuJ84McA6gfru8qVkXP8VWBNNomyjOGgAXPnOVp8C7GiKNafFk97SG
tMSWssmyrnEf74MS43mTkVNxFlJKVRLL8Igf6Th+ShQhsskNkM4B7LG5frItytFsSWVEhqdi9stn
cn/Ly/NmcsEdBhkgls1LJKRGF9fiokL5q3ttbzpXxFza3la9GhkGHyPt2NBBHO9tmNUVM0eI3amc
nR8PKYimTZISVvEeQ503EuOnc4YjfUY97lz0czLFG1Glt5HPYnMObsBRB3/vITi0u8TTw0m/92Pj
cXdGS0dRxH4k78Ipf2iliWiATd6u5cbR6Dx5QRuWNd/m3KNXU6IPVm89IyMiPjnzufL6XSLQGYOQ
ZSSOGquY1zZLmps67tU6txAeYz4KqiMQH/gXr+4ZEMaG00p9tSkjzF08Ebx2mXts62rrY+HuCpZB
7NswGeuR1Yf5NYt/QH8YjyJdkxL4AV7w5FActG2a6oBhcZUOLpAwf1/MORpAUt9SCkHM3GruncQ/
LKpD6sPRLxkx6667ZVXGB61j2EiKf4F2L5Ne+i/K7hByPnXClWvWlxZXuIptCsB0sB+6W2vwb6fZ
2TUGwwrIghtK4TDPtDSKVOpW+epaWBNJUgEkvxd3s/Q52OCJxaAMK9tzjsmiEQZ63wd49GyL6pF0
sSaVNe90YNn/pgRrpx0QrJWbsUjf/Xy+Qv7YtD5WVyuquEwgXtacXtgp+Te95nzhsRuxJLMKYAge
jQ52Pf2amlj+GofkA4HJGwdfIFHP4SGHK166QNmWi1AY89Uw6b5CRjFFdwRCHOEbG/cdi7o8tq/M
ST3P9MEjchWda8F1Ni/+ihSR163xK2AjsmL7yHH7ChsO+F732ESMTajxP0NT6c3ssL9skfE30tcb
bU7X0MZYN2ack8ggrYQT//QW/QrzuEphi6T4l+wJfxNL0Cscl1Vb05fRjx0c3rseWyi1JxYnDvAS
bmqy6p5/ndko2GdNcl2ojgInXX5krkePuf2VNOJZiBNzFJXBEahDmoscEyEOcPpcWKdW8gK4ycNo
BjyTDRyuwnSeJ9EfLPXb836ws+GuZ8zFR263+65ajNH+7G4R6VmOxmmP4VpS4dLpi9PatFv4oLZk
Mn7zJ7Hrp98xYhExZL1zrF3KKboq3lPbtaKwetj0Dn+qrNoVLSLxvut4dwLFEbISp2GxQhHCxKFA
wzttUjsLkZbCwou1BHdNlDA7k2Dewuje7BnR6vgz6RgS6Q+k5cF3fjH57/0qxt7GH2BEkHg6B2D7
UjcANsqCzpC24BM8AkMTqSdPIi1Z9g6UgZU7QGcbsPPS9Ui3JP6J0seXJaVVJyf1199VRweRRu0W
FAErY6lY6eLn22P3ORsNPTlOaD2TZBy3GcHYSVBQlFfJ3ThG1qrsZuZ2GvJWYii+BrSqdVygl1GL
ubaaxdW1AIwNOBM3rYXP2qyqN/Ic5jFkl2KOlIp1jKobt0vKC9r/7FC20rbqozIH+8D+JcGiBUoA
R/jEPsLPqdxt/GORmO1F260+0u21CzDFXmwB36BszSVIsvxuDslwtXxo932blsfWqMvjf//0zgCd
HHtOH9Bp+Ld/X/hJNPq9468rowLz9sIHm7PY7EP7y40XVRr5e0fPLbhhZTwYgmxkT6P2JQioopmr
huUGuupQ+RMPAJ6fS8z3YWD9tJJ5YryZbfsWG078S1wHgXyOSXhKeW+34LDM1iEwzBjp5lq+lBzK
1lnUdHdmrYtdzF8L3YlPOCQdwV8383YUJkJhSC3WAxoRZK4zG1ubPZ7CSv+/L5mU4+nv38X9iTVk
ePz7vUyFjwoz++7/fPvfb3pdGR6T5vy//5eQx/qJODVx8SlqyehpbnzYG0qWoyemeZhk//+L1fkg
ZsJy7zq5c+r70P7vi7/8ss1ljleU8x6K7GsxUJH19+//vjce4hCtPYzekr6ycWF191NDstFw7iKD
LYqopkMIO2HXlcAWwYWOvKUzcKs25OAG0TDhXMSjv4CTK+hAsGyW9/PsHdM694/atL8il09eikPl
mHBgxegHp/OoGhSynOzIuqKz2AM/RaELdvolQkDPWXn8+yfrv0RBtA4ANe2BT7XHxHLa40S+4Pj3
y6LR+R55FshY0R6H5TvqiHt3MNP/lQXtyDM5YV2hJI+LEd9KKMjZ5aweJ/9+EmQ6sJAl5JHs9jS0
vxTfi9Os9XINUQLm8INE6lKrFvZdmIJ5hl0Bnaht601PoJU8UmccZzMxQLq2jnH878uy79d2at5A
0xfHYsiN/77UcYtIUHSYTgk6oe+xmfn7Frl8i7lYtmb6eCPHg8xNCpLB6M+utwJWk+yKbjrMyC1H
j4J2NTrqVA5QGLvubJi/lWk1x7QwWNL5mLesMTjikuPZq/GmCytuzi332UNplFtF7P+Iyw01geW5
mj7JFffbKfmrWtH4W2aLdU50w+olYVuCZmCMEU+SLL9YZsjm+AAOOyVzQu+BINDjC5tX2j+hpw2g
+MF++n29dn3LWVeDJEoZoJia1vyEtIZH1Ws/mXPNC4VWUYvwnozJB3eKcIWuFJ1SjkhxhW91rCaw
KQ6FERVIIRop0pUcPKzY+JHXrusvCRF6cFt745ogOaocuIQ1NQgXjXkzakrRWw8Rjv3+KVB1ejKp
Q14l+HKscKUaxdOxhhK60CdD7HvYSYmQd/kj3brGvBA4/XFbWR3HAcr5kHLDYcWPSNHGPyWi8uAP
QK8r/FtuQ8Wa0s/IS2fmEZDdsGkENtR1QpMlnOl53CjxnEbee1aIvSrrt9o51dRzjL6EVkX9RsnB
jqO6sYVTdtNn/xLBEQ4SY8lhFzZE9FEO9V5X3nGsiFU4JQGv0RXnAmh73Kb2uTAy9keROFRtCXCI
TGX3xH2uNxG6uuGuc+wfNpXdmkl+xwI54VotuxUkkefAgjtPlIafkJVD1dA7GTN5Niye6jBYW2VJ
D7Z+jOLoE2i33AR1ekUjicm0vBdpKOi3S1eVAeZSD7tIFt3SR7ZLedexIXj3Hnb3RMVHpaPbxKFP
FkMh04JaR/0AD1gRqqu0v26S/L529G3YO78Jtzj0epB1ZopyBZWbSndzj92zgiUeKr9cxVHxMJW9
t9Nq2rZe+tD6iyBdhJvUEZdsrOy1HR55UNx2dftoqKi/sVsQd4V9T8Dhxfa9x3ApnFu6ANAIGRBJ
D/aklnmM4os0qAxJaDufYzh+FQRhYmKbIfzKOUxCUXGr4tVfWs8xSQdInElJLGvSPSRI8asiELKu
zcKIqSgP36qifo2M7BUoF5ZEqn0ZGrTlPEJ85UmXf2e8j6ylnDec4AhtAwO+Da34ZrRh349ueJ8N
/M9KjbHJ6eELwS42NnJ5ao4VAXjHQ3DDC9HGxX0V9N8M3c6N+WpJBws5dZbxYMqdRIsQJpiJKeMR
21N+4+bfih2SlMnvMCfRoVDtVhviaVZQeQt307GCvRAvUFDgDnld7gMdvFKHxtYg5nDRCsaUCTEw
HH66bKboIUKeFOpqwYTEtU3OIRX3bHxqDirk2ZXBEt4nQ2MAVWKAsxyaEr1DHWO3bwpxK2xN3S3+
xp3jsicIWZ5lMMb6BEzAmPnsFA220jjpWDIaTf9OLxafAXvlly6MsdTdFEN2xbwPwtT8NDUoGR3Z
30mK7avBZAcuZGbB6blvERWoSDTgWykX3ril+nGdztiY9GNXPncmgEwFrK7y3TY7SLj+sekUqMuC
s2bjPBDfxgGZw492mfeknrZhSAQxnPsvfOlnzOvDUiZKIgr4Yl7EHhBC0C4tLuS68GAQz+13N5vf
bDDiTaIjtB6WfWyZmbInDnOsT1esxPmHnqWFnbTJyinitwaGbTdSm1jZLmbBYnqfev/BRaXlcFIc
+wzHZCQKBqAhwog45viQZ/2tVJsfh0DcNhzLBUnVgyg0iJ852kj+byzA5o9yRLou5mJA9gvvcRzC
9BuqK6nQYZ1H5ZfN05O3gRe0sZh7PIsnhTRf/HAmrRZYL0ndbkwd3+qoeuotw99KdR6cKN51DRQd
jFeb1G85WmBsa7rdrBR6b8X+EpE6TUd2i/bBJTDjxu2DPz2anT75ufzB3YfrpsDsqYdndgSHMoOa
MVp3eT01q3RBZLpFQIPk7OydXn0GUCB8L95Ozj62h0up5/gOIj7APzsAPIR0BA+f3BWFtYxxiete
nZhVQhVuxjg71uVShz2KvbTCcSsjnAHFwH4WIBoNYfBCIb5e5hYely5BFvhDjYMmaFe5jSVxzuZj
IDAaVimQDZMY1JCkL5hMITdNIjviwtibrX3fyisAqeaZAPP4CHQDbE44c7eGNKKGJMEoT2so+CDH
9Mot8Ajgr9q8WDhSOdtBwK7z+r5Mo+IaVRw0Hd1AU+vWVODQrT5FIcvPsj/0ipt6UMU0iJO7JrUV
Xf++NB8sO4KVJjldR8o6z32CsboGfuNElXnNnBi3a5ggZ5GMV6J7EJ/kjU86p4zGKzxeulmgKfFm
FrG5ypxHLA5sZXJmQaGDc8ksIZZdP60mePazclhZ9CYQ5GAetAzSmAKIwTh8xKk7npuqAj3ZsKHh
ZdsV5LbxbeBOwTfA9it/AupmnsGPs/HNhj06J4AGV9BY358HBns4vTaDmDNtG0rkQn4EV5noACWi
pWuX3V2etLg5RcfFZWWb3p+6u79/H8Q0xlS2RvaLujsy2e068TEx5QmRkpjC+K0wrgC007upDJP7
YfmCGH1OajrR7cYPb5dho5zK9N6ISUvyAGOWWn5ZLV84sjdsn+klHntKle0pUtu/3+0sKdaabmsO
hnwflzfWIDG2qJV+fOqr/D6asTl4FNH6KYcmZDwfDWxKuURzdG7GbRwkme9HXKjWoRD2sU765y4O
KD8hL7RmofHgcU3s7Wk0Ft9NgJcjW4dzjU6i6Vvg/vIsFAhIklSwNpv4pVn84t3gU1K6ZqEQ3jZK
YX1Lk2P03EB+Z8Jy36qeuHlULM0gXni2qn8tdKiNIKO0ZhMxPNs2tFrXePr7xUAny8ieeNVUst5n
pjU+N5BMI7wnj3+/ynW8DUZP7BIX02EjgxEHvZvgY/Fusyh0rslclc+Va/zz6qK5/P1q7iKbjq8q
2Tl28uC6vXrmquCOaqIHNUmmnm1ncnFe9ePu73fNcVrN5hCsA0Ol0LhD9cynpd8pjJn436rq2RRh
ekgn31ks1iQgfcYfD5vnUVoQSCB8V89FOE58KliHTFkAqxCX4Usrs/rUxy1xkSG8sJ2SV46XYMYT
eWvKxiN6YW3tEPe99HjQjpycLId7+8gM9O37eNFOXV6qD4A9R2CrLEGKUl69chabKY8QBtzhVOtg
OtdN50AHCWlimZt3kC2EJFN/VQ+0FJRUfO57bzLwqeknQ+XGneKCdfjuWhjhS67AKElOVwMBgj1H
PLCGlNTfaKqwWMhPj4VDzaoYXuGW4xYMM+YuPvt4cnYTiQRWUuh7MGXI1jjfbT50GyIQHOsWx0LM
Sn9XxYFDlyrGChCyGHTjnAUC9pbajeqDjsOt1ukGK6ONNCziTZowtwaAB6a2vysr1vmtE4oNN1Ja
dW9VUr7atnSRRsJHNpkMgqXD08SCmgGjQO2wyl/kPDZragLvk4DYp0n9YrH0Sdr18CMpbR5Y6PVN
xmWpk2XwhJxZcr6LAmKjPFMFdEOGFh5b6lfM05Ved3dDBcYL+D+Mt7gjS+Exb4nFIGyRRm9H/SYd
/WhUfLhrqGF0vCXnPrgVbg14l32H24/kL05KkSUQnMgWdvG35P7luVxN0cACfnLIvzatYtngeGBN
XWPDXYXnSDQ9uhxj9DgsHhe4Sj32XE469m0xDgFESgTIxFObZGCP4AcXEu6fcWXApovY/lme/2CP
/r1lKDCivvc1hHDaEmGsM/gb0BWsQ66SHsuFtnbL05BizGZnvIOFFfvB877ZECNDFx0cttjahYMF
SGwkGwyojfcydT+SEA5kpSx8FMSarJhTcpmWCRUQ9aNkKCxcCAoc2/a5Yjo3BJujIOpN7jb4oB12
X3Nu3eEDYOUTNawXSYcOaQCZk+yFrSrGNenft81CsiCf3NBeiGSFeK9FsAHiBHi1GiNiSMRkPdMA
V4IZLUUUCqvpN2eWzZ3w2gAwTRwOiIEAZhm7PbvM+ruuMj6+hqbGxOUQlUuDzxvWwJQTdgA8Uts1
t/2UiRL1En/SfSxzuUYa/kpmP9rYmMaZACC+q+KOQf5J1mA4nQjpqVLDnRdFN5is1GaqTQ6YEbmQ
EhRVBzDH1NZ3Lew3EQfDzsjJe1GuzDpimFd9UYynMqV9zOdZlAS051Ji8KAdXO00cqp1n2q0Jveu
crtfMxJfrTR+QA0k0+KeTFhbF1Z/kYP5lnnMT1NsUMFr33YlbF0U9QRGG6L9CBY4HYa907jDxsm/
5znLV+hU6ygcfpN5k8HEX+XJZeDtOPADoYUVn1Wb7qukeYuScDiEfN7BSt6G/FE3uqBNC4v43KTv
TS+es8h77trG2mRldcV9fTuK8YdVRrNvfJstZfqVchs6jLQkpgq3m8hx6vMqoY7q+mqm8TPkic1s
d6x/ozcApNvR606t4m4T2gO1r86ah4u74/YC33sTkE7aIx4/0bDXmhzypaOMt45YRQwsBJM6UIZ8
DG6CF5nRzc5WEP0aZ2RaWOktURww0xNHWu3eAUUDIsHcas4ZhgCf21xh9yviDkhk4SqvAMEF2cxT
b2ZTgBiwdp2K8qOCB2TMgKKwhXOA3ddBwWRWeHdi4dbIKbjaMdEQh/ceKLx9ipKRKhCRYnJnOZ7C
w19Pevb44Iav80DyG5/+tXKBKNo4DBDTJ+YwUFkbEC+40jJzy1WBHRq17GO2BuZa90rZ06umTyQe
cPCgyRDKwHPPjq3ZOJAhBlUZKy9FtvLCBDOtUQE+lpzS4Bc3EwKNzK6KrMA+5L8qKQkIsSgQ4SZa
nCEDw8jZ5bbkCadoVy0Q/qmZOxUaY0aO2L3lgHqZSlLKVeJnaEP5qxlXb4nvXaWcHlWqofaK7Hma
Cm8tVfDm8kyY2vk5a+dFixkoEgjYtTWpeR+YweM8KI4y6eIPx87YzVTCeLI6NbZ+IalI8pYO4SRt
qArAyw57TlUbl0QJMqVLMh9TAJMkhZYlrSB+/MtmBf3b95EMZ0rRLfOL1VrZxgpcWowdrx73YWKA
ZfCeglREa38IYZ2DkphSC/phER7yPsb6wOReWOBzwJjiA8f84wXsGJkNVrQj4YpwzEfRh09sHm6L
aKJBLI8OyLb8uFO3swz7ueiTf7lZiw2pspkFvDaGuzxy7xlD0dqkRows/9mavhvnB4/nV5rF12Bs
0aLngqSPQVU9cxq6+YfTJP42JF+I2d8iLwj7Ss/lo8T0w63kLErjanvilOX63ZP0Wfo9R7K4+Bh9
lKbKtdc9YGFmxn7L0xprWezirDP8C6UnqBsVgeo5q89TrMbdEmDbVLeBzyuTL6wbf3L+UdKz1NMM
/NgGLd2w2VZQY3BwdhGwFN1tYQix6luCIwVMbgBX70HKlYbSkBAm5jnYAc2IuvI77+W/xuLjEFuv
hMzWBRXmMAWYXhwkTxmG48oZ1AfsAKTBsXnM3OTgdncp1ig2PniFfNgjuuVvY7Xx01SARWXF8iRD
Eh15RAbdwraKGBLSdllI7xQ28osb79o3WSBTHX+0G0QizkZH6M0XGelxX+nqsTW7J7/vVgTpn3rn
wazmkRIqwveRVTzTGHOMbe/LSMLTqHlCGC0h0rqlj9XvLo3goD/kwRqC7FlrpB/XObQ8tvesXE89
NeI8w+1d4AMUGvCi9PWNZmioMBRwletrz6FpN8D8EyUX55ia1zn02jXBPtoDkw9Z67NLyRlPSBRS
y37VnX0Oy7hBQVpkfrfjRpPQgPKrSh4fUUXRhHI9e98UmO2WHEM7oLBCbuPmiYJpOcwwtpsvoDUw
fGt25rdpFMNu3cth+IwoKeKch61ATeA95wTMsQG6cyx2RTazEB4+rJZ7rsIWYUcg1ght2u1lcvkR
OLca3MJqWkJuE68t0IHS96Cbx5NvRPfYqR4lvrdNFCVUl/pUc1PWlWch5jzuhcr8rS2339GCRQ4t
vYuc5pWUChVbI5V3YfSpURdpbjGr+6h+0j4lC2PGrghBPfC+a4/Tv+2YZ0pVBy5X2/mIoWmxk+Fp
zN92X3owsFwU9VYiOusGDl4tsgN3ISAp4i2Ks3TTpNwnJgOyl5eYrNBVBe41lBuzxv9k++8j9fYo
GjlvGbgLtVBZjB+RmgyvSq4nYeAGbbvjtJyNPBwp4cD0w0flybMZ7dre+kQ9nFsP1dR9m6r+24mb
Ay6Ca2pbW1OmHzn6RthBaM0iNFk5AA38tDQ2H9HDcQoYqObU/u64d5eZC/o1tF+U138WE3dso8g4
AegfanHJvyKJy+Y1McUFv/sLvdOMsZn1iqj5gxHe8vMff8RVONfN16QwkzmKko5mBqXugJSrxzZf
u6aH2Y32kVmITV47O9Jp+GyNasf6ffO3Z8lLlDnuJ6Yzv4NbOcWavPFU+59QWTeJH72Ecf/kcxUH
jZnjaPoBZwOucAaok3ELM1VG9Z73e0XWvABc2YUlwm8LNoHa8xvyfHjRvewc9UClPZFtcFeYCN4B
4jWxBt51zHI0u1XZsYp1d2yDey9Po3VdGh+U5A17pJ50nE9T3c5ARwBS27G+r2Twhbp+ddxwXM9z
cz951UXk8tHzgcmbCXWE04s5ibUVmP6aHs2XIOe0Abk8ilFhcUzCzyHV6dfhh0Up0BrRNoH5wv3J
wYxCpvqDLB1Zce18OjE2BCPEJJYRd++SbmXGnG0kKrrv2S9N1lZ7CqBSHFYUdvk1MVy05M004xwL
AWqkHuDioEJMdYLhI++aw1QwnYSifXd1Aqze+ZfO9jP0TH/jFbA+EvehjaYnsqU7y+yfgSt2F9YJ
1JRjfeva5Fk1tCsYFr6H+t6rKXZVqI1dFK4T+46yjpdqGPdeujg+2yhah1TCjcXnGFVvGJkKMB3G
CavFj0Y9P2pyRXjeOSvo3MQwLdiTV4TtQpblWYcpAMLfZSaeetPa3G18UeD0aIp95lLxA4IPqaHE
fNu/BzL56rAxrHovr6jbw7s1xedAUltisdMc3NuuQzz3swDk7UhjaU352JSA0lNvgB3J1pHkWC1/
mh/EHxHjiV+mRGIgs40t65rCQ2TIEzpqEo4SN07dPJMDO/STnewaS+J/lBRlZ/W/MSbw7wwVXjwq
cwEEUkhxqDX2Ll4gQqkPWiaMv3CmKz70ZVi/V/nS7ZmRSfCh/3E2zI9S5r8RuAfy9sGTzW6qg61O
fM/b2hD8GQJIL6rmfk7iY23He2hVK8qtLkYGdbJpGjY7nv9hTvMhleWDnIdqlwXJjzlj3WIzxzBS
vYxt4uOYy72120Wn2IWXSUnJYyDEE4M6I6lpVTAHqF0o97MVCrp1ZbrGLsgIGc96Tffz0Wvac2wy
0EC8sHaOg7bKczGlGgCEIA1vTW5dnbQGGdQFH5BAk1NYDPyEIdbFavgX1tV37asJpH6yhozGAg2U
5brvJJ/1rN3AkHo340HumtbCXJTOmA0zbg6ZU3KQnct1UtnN0YwZTzroFSZZAq+l6RMgJt0+9Iu1
i+B/7Qy8NnlBDNNxuouHhb0YiPhqJHXief5Tan5C7PL5T6bN0AkyDT2evgAqglJsN7qRRoieeqkw
mN3bHH3eJGWNO33dyQZpr9OPOJLuI3c8DeW+a4lHDIWO+JYkvGMIrSSLKRB7cZObx8k33qLBdPH5
UfklxLvdAEkZ1Yj05Tyj+y2d5CCDM7drD2GI06g6jm3FAjnLx50SdnfunUth4LPRY5hsE/LuzWzy
4maM9KFz7MaWEzf8kcB/7Yk8k1eKqYS1ioTsM+dk2pzNtdVlxNNIZeR9RAxduq+ZivFnVae8C6sf
Z/AeOLvWVxe/JFsDlrp+xEJuMrKDH0dHIyY3bFk4s3UG4QQ6v72cZeK1ZfyKAsNJ2pxYuqm94p0Z
mvk6BKO/1uOTm3bYg7hQwtk8DQ6RQ3O4dUnVH8U4nQ179kELuY+kC1HtOwNXKUqIF8NDmUq8sF6w
wwRB//CLmUEENjLzVqgJXlucvfpJuFPgXfAtA03qPRAkWe2vRyYeVCP54wdOs2P1XukZKwVJzCSY
To3sSQqnEGac2dmOHTqbG+jHOeLjIZPhxWh4aCdOzz6PnnZud782xyYI/3aE6P5dLFZKhHOxt9OO
s1f906rFXNkDY572wzlwoms4RfQHRQWoo6z+BoCzGgOT81vIls6wCdQ206X3reBoaVkdTA1oRHVy
s4/aRtASuyjwIKeQzOu1WbLLFd43cjgknm9jdKI1NnX/xm3zZxhM8po75Men79bvek61cbOpG2Mr
pkyd0XM+nc4k79qCpxANZYNDf+LYyh12oEZ3MB9VjSbgd910wwGSXiI2nxwYp5uRKrKFaAFrhwQr
KtxTGZDMNO6bCDyPmHO2Q1l013OSMUtsERp8BKr4C/Ae5v4mhIvNhc6LRrOUQWmQUMVr1hQx3TM0
DE3EJ6mGjN4xqt7No3WyO3lw5YRNCIcTdDEPXRb/dIg9+GB0+P0zn2t33lgpO0r0toaJazhOoUtn
s4S5WalNiXh2tiAPreeMtFHPze3SDPFTacLvmGr3gH5T7ixPw4JKPABKcYW1P6LbElt9hf9hRWMW
bttl9YFxLu0uyiUiPvW/sk3vatLrq34KsMhI+aRDZr9UHqRLtEoFWm1rUpQmgcyNCXEKWY+cGf1k
ZX2aKUsZ0Rs8scDA2mfLdr6bzDixmlvHgXtfYXjeZiE5APqzkvgjQN9u8/SzlywygU7c8o6eRCHF
oajZa8csPwd8H+vMaLA2Dvm6jFmbNtwAzZnPmW2WwJi85oenhW36P1i/601mb20Dq1gstlPO9RHD
HODW45KeHi8JxgQYThPwINpVlT55/vyVDoXD2Le2ovwR3zlsKt1sM2k/+6Qv0HTkt5cQ9x1qQKqO
w8XnQ3Xb+Mu7Xek3/tIhd9WGBkkzvHeF/TFH5bM7fM/t9NlmeXescvU5UpE3ZuT44TZk9njB1dVt
eBK9N0F4NofpPXVIA+JaINAFuJPjm/lTsNpdYT2Hamsss97/cHQe26kjURT9Iq1VpawpGYwxGBuw
J1oOz8qxlL++t3ra4T0bpKobztmnbe9Jxm7Am3fxwy0JnBxkXLEsW4D+cc+8EovXNe/iOylhyCnc
LSu7d42fFhg9icQTJRS/BWJ3TZ5UqJ2woqzpqNBw1a5A/b4ogjHcESA8LWLOB6eRH+x/B44Y4BIT
zfkyYXAatnqwhDD2Go+Dwa2DIKBNqm8nQYPcje1DM+B1mp3Fi985m6Tp59wR1CQcsKRH1NVOQmBa
T8I+6Jnk7+QtpawZngQyCsbtPrx5m/ciL8yj3/+UGqGzhOHNNT0bYzP+RwblR0hk9MJG28rLgFEs
K0zGld20rXqkucy42P02zcdggZzREYAvDUv/GntFkDPj0yloF8LVxxXnUEOuz7O0nLOMSP5z59BY
m6fciMKNmgkFIn8dioy2IYrFsqpdprjBb+rJ3wpT0MIcMi5YZWFHa2pUDcDWUGjhz6lneQtbDlle
3Vh/LSvnXgBtoNZL2D8OPE26N4+EC8WiK/Mfgc6Zxu+VBPVIpd67i/qcMWJH/edzQ3Z0SfhcF8GI
KU837P2gxqNZAHE0n4cYl5lEVraQIhG7sak4yzJgzXFCUYd5lX80TU8NK1IRhigfXXtufEnSy1Kc
r6gxMBwgqqHUXAozubDRm9Yalc6yMU69p3Vs4kqcja342QWel6+dGEJ9actn/Ihk1BYdGwzDPhIg
WGyd0j5FBY8tZB99X9odX4uY4yorlj8D6/wyYrRXCgozzQv8HXptgBhS/KnBdl8UjvBFaLyOKeVT
wFx7wue2yXNCezHxNJr5xuODzFgvfz22NizoJ8rqOTszsuOzR7mBZPIrGZKtiHE7VMTOdMOKk7pb
9qQK0n2wySh5o5jVPeeRsXdGqW96W11loB3cTqxBDa0GmBtW+urgSEd0FH8bMVlOsVW+Bgmum8HJ
9GWOb6XsG56PknwkItON6bclXQ30E6qQtAu3nVdsxzEnBbHq/oyaU9JOY2ABPLFWhYEyJpvbqDjM
VG/tu7p/xHF5Bzn2aSbVR+Bs4xFbbaHk1UwTE49j85zE0FYAAJzCEAOaGumvlN9v4lC3VsF1TEdz
bZUjQjkZnGUNVthPPmK/otpquaWI7KHM95AXFxOQPmTE34PLVr6ajEtZ61SsSUM6RJpeCo/iX+HT
WmEY4C5nib+ykL1ipmMcxzT+1xqw7lase1HrpyvfT39ju/wq9W1q6xgPBJeO445b3yQtKkN2Qhcy
Qo5Q/SuC35q3KG0hFaGtB14e0oLHrEqEKqIFIrhlYzEth03NTvilVSYIx9KimKjlqW3ss8GfiXVB
MIpmWJYG+On0IqHelFs4DKSd9e0vW5PXoSwvoDnAMcdXyU218XHZMpEG6mgkenig6UYChUcgRWnF
vb1sRlRIRj/OAD33UCU5P1KX49dF/yZp3xsCk/xZQ8SPDsI7TVhpBhmKRbu3IXBWko+y7uKtVOX7
pMp9r1BUeeSgUFNmBY99ShlCmNAWczqEmKE96vDJWZipSZ/WgYtJ2hAGmZN2xrsmW+0p1eKDdKN0
0yOZWSZwLdaCv2ul+cl7z2R0X8T5jfFCvfPk3rIZGLBXJ/OBSEsj1N4bJRixmhazL2k+7Kq6mYEp
2M9x4qbMB8sWx9mQq2SBpO6DzcY5pKepqSHZ8oiabq/8X1+i47RdGHkwbSall2xXEaONo97Sxbtg
s8r0r5lnOMXAhGsIORCEl/3rpW7iVtOv4jgAhF6T6pGuXJMs+xpEYY4bdh0OnNSSCb5pwKxCCDzt
WltwVSjjko0O41YVDywJgDv7QPgE/5LohV1X2+FShoNcmFnwPAYW+7uB56zD0pJqXoQ5I5sPFMTX
vBH/b5Bo6LU5sSFbqhZpsadXWIGQkFgcbxla9tTgFvKy+jGAPCjJ8xzZdRL4aUdeeR6gzqyla/q8
45thPp1VazewiNo9d4RFlAgWdWgUCHtcpJNd/Va2490RoD5Dga+64ZRnQEQelp59hN1bPbmw74Jb
4PVXImp+4RDOJmpDLp2AC6USP0bb3F0LwYIv9b8hw5Zv9dJfsv+AjKioLq2AaaStYAJWQbbkeGBK
yIt1LYWDRIZSOgwJYw2ZCtEJsEz12TQV/mddqR/CJw/AZvYqxxRNmmChXRUHFUwOUB2Y7vvsjoh7
ETnd1qTUZLYkEA4zb26mb7is7zHhXw2baJ7IPZgo9CIaXEputEJech8kejBF6zQY7mkQA/4KRbVI
f6qgvpr9+G6V8jkmJGZxU05D4jVYF1PqL4XTvvYWKGGj27Oa2OVutpvUcLBDJJuj8+sl0U20znuR
cWwGAnmowYsQ/zIi4tv2WBhUeUN7QvsBszLpHG4NwJNQ9ALoSP//A7LUoa3J+KGllCGTtRlAgg5j
ehQdElHNNNHY5Q5CN+bNI9LjyIABiruaZRV3hTWRsFSkFwNxXWqysgnMR9DhvlLpa4WFgOXBsmPD
0Mr4yGAel5QzHKOkOfkk1dVluINVvNdi9eIF+l5vGOvjY5jie8yaQY+AcxrRM5QFioN5XMJGPiFR
DRxJdQ+16OZPw1k5m6nq90lZnt2h3xRWsQ+jeBXNiAsjONYtfEey5uiztDD6HCaK8g7BIMoT3L/J
J3iOt94OzoDysZns/FCeEye4xO2WchzZSt+8Gk57cAP3veiYe5V4O/TiPWwLsmNLmGC8EvaIccap
iXn0ku1Yg2Kb4nJpVcQehCmngSJpRtk9fNx62KZNfOq6GrLxxNRKfAqq2pDpDyzQgwPRMR44fcFX
8aYW8U9h/TNSQVIvQ6Csq39NF95sZSQtWb/4nJkfxnlBORtjhMsyI9zNel4aUFxnMVQ42ArLFsVI
0wGuHNIbT8AxcTDm+W9VmbwL8JBhapxDwp5smX1WLZhMYOiYZsx9xXK3H9OHsj5knv2wryfbzR/P
Y8KJK3kdZ1m35v8AcQCHkTC1MzIBD1ttLW9eGlQ81PFryVPKKz4ucr14ALbcmWN2zHpOlcgcfxgb
vyUEuWpjfYL7SDbciNwBVCmuPXMl6jzD2gd4z8ydVecEJ2JhoUDm+D3qkM9hHE7pVBrbFtHhIrFm
fbB87nVg/mP5zyFreBTmVUu81641XnEEMZVP298KN/cIviMoINDDbVlMubgAibrJOXW9ZGhBKNYy
ckhMS7ZpJsWahd2h9up/tan94Yrb0TyDDk8d4HuWdsxtuotWFsbC9dsTU0RaHCL6EPDjhEGgEKfd
ykv6h5qjq4PA/MsTDP3uiKivf0KZiOR7Jha4/HGtBblr9NHZqYxuH6bNApZfUo4wxMMXtp/jsnC3
uaS1jWqSBJhuFFr2XvXtioedbNwi2rfecAgSBzvEABxeEkZpFzO0ZGSzW+I8YZwQUR9Y4Y+u5L/Y
xBnZxskNSedGTz1u7hoqosAZ10z1npX/s1nUVwqJryyLm50t2PXDqCJQJXkYE9zwPEN8Ww4PVCov
qbarddqlMunPNM9fmiYVXfjIdN85xozMsauZC6biwcJPp62VGNRlJnA7QBSFiWKZunw/5/zpIeeO
MYYXI/W2ee98pL11sVvxUbKgWmFCDjTz1LnqL+kIPiyQB+fW+OMlxr7kIRTtX0R8H+fbcMo/qzep
aKED1ntWW7yl3nBvRvPbiaLX2BLXnJRBCnECOpzqRvT0k2PgSfeg0gXkCHSWtrbpVAIzP8RMpx3m
r0wLYTvn0x/t3avhmv2Sqbon7C07DHLWtzHgwA5CxXL+rcmZTbduKdiSh09mMp1Y5Jz0rFrT1h3Q
wM7Yrd+6pl7Aq9ITz04nbCGPXmq5f8oARKSsu4yRuMlp65jZceDKGvFj86WuBzH80CYigKWslzkH
RwpZbNlP3nly4QEUAJhMACfF9OIp4y2W9mfkJwmH0fiLC0cthhpVmo4DgubmoPoJsDsImFjxXA0l
LGLC+3Lmsoiyr3Yo0Obh3BvabdC3F5LbO0iuxZbRy5vLlznp+WvPhB63NHGBJvr/uMtXyHkbZDg2
xaDjwYmJaDODflgRipms7Tb7xtSzrtJuS4dLIKqz4FpZs4TzuCmy7GUovlCeRp1dbbzSjdeRyXtv
u8FN6ulLUmjYkixMpxNMEjxapKlPLwFbYjZtb8AXeYnhG9lpfSdS7q8l5pVGiQRyOa2dhiY+Rk+2
UA110hdqSXi7Uasj2QgJoTLeye+YNVb0VHYzF0H+QTeIy2YsNmSH0pK4r1MOLPDViymbFqIjICYi
mod6mL6COolBWvgvl8JeWnV5GeEHrcqaJ9rlu0dQu9K53Vc5GEO4rPraDou3SAXP8eQ9d92eeLJ7
1rVbvejOfTA8BVW2Q6tWE5y1jdGppa3/RX9VSjNc+gNBEG7wqWkRmwQYhhXGiUVIhNbYiDU0ib2p
dQTbaWxEoQJjYuZVL9GMEBe3jTQSFvRRrgd2SFPc9YAaG5xKcdIyZ6i2Leq+2s6O0nXkss+INvBo
orEKww5nlthU/+wifjZr+WwkDBinXj4NnE+tY6yTBnwXoj+t3SHZRkRPanGasGYqKqjmjf2pJS5i
BEi1RRk+5aoBqClRI6j23td8m1WcI3J5BuRMO0d9v0j0V9PFeZvH2cFQDTa9S8e5NpFvu9Dd8G9+
B8eivYQd82yq+duQ9M9xrZHwbUKjCT57zzz4dvnm59ZTCUxgJfQJuS0g/oq25Niz2F15TXkuXPml
NCSNFau01uywBBXPE8sjU+CjFYAnMpNfPi//9eZvnhq30nbUNtWcN8rwvPbspUNnv4gGzO9xvR9M
1uwmJkxNteWiaTMe0A402YjKn/qm5EOXFoaBnMz4MST9N8KKL8bunnOqLcDP8u89zPlzYhYu/Hyh
Z+bNpLrTGhbJtO+Llr6yK8SV7fQuYntLtsjDHBB1BySATI71iLA7t9wVa4IGCFMgLUNnbI55bNFl
DVRN7zgN3ZvVT3gTUn9TYLUzvRg6OQA/hy/FLP/fcq2i4NxjTI3Cbyb5xsIboY+0VLms7f7wgL0F
GvmqsDsJP4csH7krs4IcJwAPBhYygrLFJgatuTatiysoRSkFIPe1iPuAZJsxqa4eEpdl+CwmrnFN
9zEMAeBgnnPFGXYRGPGZU353k3exMABxAlUtqpZzGv1DrpQshdKeR2c4hSQOyWjTymEdaMMfNVS5
bwOm5fJGSOa9taIfUdvbVnjboWGVqRkriNnDWx1YZ/4cbe0XgJNTOzgEqKWFNMhzs8jxkKI5+09K
lB+aySQqKzDtdc1bWSBJllbxVTfdrjFgPQQt5Yci1RwOk8AbcI6t+iS4bjeW4f7mjYmV3D6SGsCK
n5EzJq9iEzUUErq2HxsXj7anb5qB7BzGC87g/UwZBY39m0ewE2cFZyJZJKZ5ebRD8GsC9H4gymcY
YWc39m8CZFrjTVertcZ1q8evZlUBSXd2NIJkFmbBJ4kND7LRCU5xly5qutI1YeOxyGH7pL1JMf3i
UcO6Vu6YVAGR7bpLFkV7UVGEJB6lTIpzU7HMUADXA+fI1uGEXzI+ZLH/rpOuuhQjQzS4UgjGf0Qb
/CkP934T7cBCsXYhdLPEy/NmwfHyQ5QMbEnWNHiHFMKQ4TxVrXERRdsytyRAxNVIk6pJZCsYzadS
PZdGSPHHcisG6bpoWZHwJLtrzusMIiEGb9eeDiU5hJOGzMGW/bBHYY2lKEepFffGSRuNW2vlIxty
bDq+RK4qz9bUUZ3bp84nVQNxtdOPvx7zg1VAIqQ9Z4oJZ3guQcn1+CeEW93xCtyKqbyUKQ06kaL/
wGudhx6pakPIGVqQjNoegxmybDanfb30lLZVrXdEdroEwUJuVMg+IOXaF+NhoptEqYgj3WjVpnb6
Z119JsGcZWvIS0qqZiMFc9ZpXftX/OWQa1smVdaI68khFCHQXGMdGqVc1B4JwHF97qLwXNcG83oq
KiqTHwfPuj6bepRDVDWgDaJ93oiuP1sk0yfSu+nBmrS9qx755MBAuZui21h6b9i/8aLQukk1nDW/
uBheuu1gRQMbi7To3Y9utZNezELdzKz9S0nIwHYWSeCI3OT7NAlgdVx7FZ9VH68rk146JJGCVPUz
YMQEmxf38PzCYbEGiIJIr8z8X5n9KwWI56JnajtULKSzFL9D/B114cbW4kdWkhzRETiwccsPu62/
y3JaNj2kiqQWt8Cyz7wSM2GHyW9USRSvDlw17yyIzVypMkDTULQP8AXMi6V+r6rgzUjTrRD9JtK9
X2VmzC+S4blgwOOZ/kua6Y8OwRlQp3XqRRsHUCj6bBa9s7GxjtvfSetXkFxGEhrwZ6H3BfjvdXTP
Zn1TMv8S+WfmkkQXOHS0NYU2s69ZArLGMPmH8WWDvg2NVSiHZazO1GrTLqBTJrn6ZXD9VzdIEKaX
BPYJ9dFLa4+qgqumptizVHbse+OQwgyEh+29G5qHP513NarwPIj8p7CnmzVeSqAIvjMcfNN01rNw
MjaqvwjDUTp6P3kqvkFqfmPl3uBqeYxoDTAM8kwiYny36uq94lwnd/tzaPyLqYWMS0I2hiYBQnYf
/mhyJNEB+Er75pTtN98P4qZmCS8Qc7kPg7kpMiZrCONCkW2k23HT9zSX3WhvudWPcgILEv0FtV0u
LCO4qW5P2biNpIKpzlKCz3IOfujzdaGLv5DmSK9i4D7z5M64lwosx2DUwXKyzJ3hPxFI8u3oJN0Q
hBvG/pfr+XdipQ6YMZacjhhsUPVJIR5kYjKrs8UzcwwmKZJZbvMdie422O1atSCLxQs8/BdbUFCV
VJD1M1mjj4l09rmhohFgDxZZ9y6ntBrq94q0h0ZExzTBFiwfejmuDQS+EYRDiVpWuDb9b3w29PEb
FdvRZ9xW9IB9DHsXgyVVWfMg4O7PdPb26DCOcCABNBeHCL8Sb0DoHDnl9nQwe2EZL/MPV4mTrN1N
Vuj7Lk7PiekdMqrchlJSZ0FIImdyxrqjYdSJ15ZJ4Sy7iPFEpt2gNcXLt4EjApjKQW/Nf2Y0HZVT
/zidxzjLu7QzRzdRb3KkF7bmerDIl9WYoOiZ+yfGDcwSSUyEiv+B3YKtkjpFahWFKa1LMe+RUyq3
uiZ987d34QYlkufSyEgsYG93LR4FtkuRcCQ5PgFhLvrqKMIOH4xIWOE6qtJZ2xTt+CEZ1CdRB9e7
23LenVqbDliHQux3MJJdbYapNmirmCvUULPreDQWhq5jSeh3/RifiWL4VTW2iaYHQR1YTx7UhuiU
wrFdssH0WQgXZ+CC2JSbDOaQ9eeigOwFeiiVfI1pOEIdpUTuPJiYlWK/bdB9cORKL/o1Qu5+zgWI
bsNT4ffvSsmneGKqnqPhxIc0YBlvEaNUEbE94fhnuS6K2IFfJzs5ofjIK/vMHJmJfv3Mponhsf9e
83hMdfiA6AyMSvnPQUAB0GgcxSOwNXdWqc/0RjoySN/fMa6MJ6cZ3wPFYNy3kZ7JAj5HdjXxH9dB
2C4m12UmiLvlx/NQukpufAq2f50snt0+5nSbf58gffcUL29iI5qXEdvZscUMw3e2G8J7RkezKsF+
M3gShyas8fDSzCyRjhOJqTOQZSAcze75qEIWP9TRzq60SyLMP3u4e3X9GTdoeHFRQYV2aOKnbiBf
R3yVHVaGMucdTwGijfjRbBPScdtd2dE8ImWVDMxIWbLF8OzqyQt59bxvzhxGh10jyD99WhbsZBuS
LpkmRcW4JWcAu1t/Kz0kFd3AMl9DeK5Hw1fBaLPT06dgOvXuiOy4b7sNJfG5KQoW1hXWd5OB1sCP
lpsezytJ5QlnGG7+mxjMjEWr84wa/8QKSQnt0bt9xRuFRiC0upNWgJCbgnctwTWI9vVPl2yXy/HT
qzhPYnh9INQ8yGFEeaswZ92JYVK35iFXsSLO/KzyBuBhDYuHCpPZs3/HUHj1eyEpu+LPTrKTcaJv
lY3WIm78bxcjG16r++Ri7e7UkfiqdydhsELmX7MU6ETNxr7N7/8AB3ahIkj4wsFJEjT5t0kZPoH5
YLSNQHmq3LvMT7REfNRtEW4If0HxDeILuCZ5CBMkGCiBJKEnRy9Cf9QjMo0HErg6xeI9qXfG7G73
Q73Yqh+9N1lmJUwncZcuQSFbfNTGkzflu9SYVxP6ypkmxJpAIRcEdn1iisbIPRjzrF/etSZ8jBzY
me2uVUEIjhfT6WDKjGzG1zjE1dJiZt/MLxZxE4H5jLl6B3rj3nt08KRygayrAGHRw/cT7ja+XSUo
n9hF6D5vXTHd46x8Lyyqg7Y21RIjDWxzHsVsyNcdjMgVy81XxigbEYGGyMhSY1yHzj3po21bavdI
q2kPWezb1V/syb+Gh5WRxS2X9mMEExPoYl5IEJfUyXfTUq9jvA2H6FQH45Jk2HcUFp8edAP9lWCu
H1xiima6XqKve3eMYu20lYb5twGaMaW/witxBinkaal6qQ3/tcvHVzG2J2dMWY57IWc1aTsDtk2v
sP+BRv80kJSbsGKkCeXWc4s9KQt/JlMeW+Drm4Xwnn1LGDz1mvvTFNSBUEigLHInUE9AetVencI9
gdC46MZrjC+Ks8nCj9LSxsn8KSV5zxYkYrFfpJTK71bufxOBu0EyZgfBRxjgNNP5yAcCRGERxyfT
8fizyWtBJgCYP9IP0oJNUEcdYFlveGc0xIB1MebifcLwl3fOn2aN4SpMpx9DO/f41nmpYwxNzDTn
tMiB223hJBheRq1Zlg0bUDi8zzCr38vW+1GgmlaO+HAzZk0eXJ9m1vDi1yF0mZm3RLJVmz9xZN5R
lh+jnuQ4p55bzCFY2AWvy1ijtGBGDtQj3Fu9x/rY/alH9cvPv81m8pIQ7bgNyuzPNdy/nCY/blC4
Zh0aArvqNhZWaSpQ6862gdHzGl36p6sxQULdT8SwNC65VX/WE099T4rrbAlfydhfOxjlMPPmpKWC
r6tsZM4+pMJqPtZLyQCW9avif1Jl/TMq8Vr3OEfkP7MIj0XSvKRl92vRAKwyW/0iDtrDh1phkl/5
qvrEQ0K6T+fzPF0jLMHM77AzGTUiUNiM5OxesMijzTRaDKbJI3bfYmz8BJyTL9ekxCfxE7muc8lT
/ROAHcqI7ivq2ieB9KJ0dTStXKzcwgEyQoQRvsFX6Y7uV6Taa2n6p1FGF1cX5LOSwFUTzAYKaIkI
As1I1wzrNG5fc935M93mOjjePjKtN/7y74SVH+oxdvmkThkaicOhwU4KLZM7sA2o5A+41X0eWS8G
S2poFObXGCefclmEwanDsr3AFXENx+gl0wBxCcM/t9GwY2WHznFpsEBmy9r/ekqdKuFse+S0sNk5
IXk4I37kMfD/GGWP05cu53F2RViLySsRjo84NZEsYkwg2XmfBxioMtLFbbryqgIlElf3oa/4cm3j
wzOvrQVtle3LwuCwXmbS/q2umat9+e7EY+fqYMj8cV8RXYEIqpowN5UlJSfT20hv/tJ2ukcTu9Z2
PBrdnOoo5/RbYoD1gi+j9Z2HDSsBYjUrjTfvkgIrAUzWg4r2eJVy8BoVoh6p3YOMlRwEOtp1B3h1
UmTkVDbzPsb3eLygHLs5Bx91ANusskBcXT9amd3cAi/UvDU+kug4rDxfPJKW/zCVEjNcHhPPSDmY
+uUhjnFTDJLjIXdhzWWW+28qT4Vl/qka1bQ/m6VApXGsBk9qwgzpsl3t05qoGzS3pIqEA1N6Wzgk
qiSkvSEL4U23Ke2hwGpYldJcPQM+FWvLY/pvtci50qSfo7TmbSVxWmjHuU3hDQVs0JopfAty2lPw
jpLlPVrnVHcXONBmsP2IegRbESJfnqWJPK5AezhVeqmNfFiXPtFb3ratioNU+is1HJPgnl8x0Ele
iC5elD1czIds/XvEF3QL4OudlU4lppL5szfyVRG9SrP010Wm/xpteNZiFkBotzZo7J9CDIKMjbsH
aetPjng0toYwUzEeszCVDhz+TT2hLUIZz+dTxz2fqZlki9YtHqx5DqOgSupNo2cuKjFrmtcJT2je
1NQZ3mUwWQJWA6FYmS1//WQWYrU2livn19VRZdoxszqMjY/JCd5U6394swsKFw7CAR/pr00yZaEB
ayx4PEK9u7LEmfOZcITYOyCS9RrR4rOATE73S6EdD/anUzC4iNNdZR7jWPTMQmLWZw67WSboL42D
OaUo4cpZpASlItpUTFOXkJ2pDDpi+hx14uPADjT5nH+cCxw1Cz4koO49S8vCIWrXico1JpHnySGF
MfY79qhx/m7YeCgHt/ozterkTph+Peiodm9ctDh6Jv4czR8usrUjtM/eNv869EvKZLY2ZbMfrdJZ
62PbjQTr3Cbv0VpCDMrIjXI0RcM8ib1ugksxFCh6NhJYfv0n2dkrM5h4ngeqpwiP5xLr65smylUW
aCQ62/dJgMcvjc9EJ5e0Di/Ct96EjN6tpm2AeEY/Qa6jZIJOk2Goz1zUrg1DXjfTrlOAqk/gznP7
+n2wUjisY7Txhftv4I6vMzTyY+7z3uGUwG8pWTJwHbKGeyXO2yIZNYJivgDJUXOUSKh38iLMfI+o
4WxzIywYxODUUxcxGGjtXKiChkqfS4piRBOoGkvm0brtVRtHxWy7BJ18jwJzrQbeAi1jqDQw68mj
mqUJtXYMbnypqoI2RwUvQRDxYQE5J2rFuhXcjqJJXhCAf9o1hYTJeHteuhF07JWbMXL0VcGM0eIJ
5m6Iv7Wh+ElY98GOi0/xKe0THqCp0t5RCvaLKBnCL1jaLJqKde2Y7U3oI5yyBvq2B9ffMXMy6nnM
NYzTsP/NHdI6lvtKHHKbgITSBY+AIqFWVXayknsz0T8DHnfeTBJ+GOZNM9g3u6BSZeE2mldJq7vu
BkIoTVGk6yBlBhBqgFEEwT/4pKNkQZZb8kRtyQRc1HiUGan5HugrsxfNtptqDSR2x6fqN5vGhrUp
DeYk9Qzb9lEYr9MBsW5TBOlqZldiu+o5q5QDDKQLL5aIWBl6ZDaC0sfUPwqbh6y9exMLK1RRm9I1
6n2J0qqpdNR6Yfk05BTnoe/4G6W705uWmRn4xxNCbvaVOrWTssn5qlzOodIW28mutqbNyCdxMJBk
T6l0xSqpjHY1Nbi7wcoxM5libd/EN3gCCXBegPQ+v4bX/AutnvnX2Z1aeUw87asVTbuyxPzm5hF/
NU74oAhh5spXv+vKteEaj04zmedTx6FeISYU3+6qSg1rEYUh11QavzNs/ZFmD7/P8G/1JOC006CY
D0kOwipS9UvbR68QR69RCJYvjYLPzDv7BQm5ekSKlJEAZsIvYkO7cOiKUOGZ+8QOeCuKaFiCNr4S
M7vGEXDIRveOxxyYBtPoCGVg7SYYQNE9jCzbB73oN86AtgO9Mpl7FHkrcGZHPIY7nTllXyFBtprK
XOn8hvV0gP5bhz+Zrj/rQ4SNIJzuPPJn5AgLWQ1X12c6rc2puDqZjLRjUKkxs2gI+mQuD+hTH+Eo
qYgVlF45VEsgm9WqqqgKooExVv/nkjAdo+cyhci3LH2AlMZ8crUQDGg8/Z9WRjpHWEvCTzceI2Ee
8GgyQY41MlfYBDWG91E1pKc5kBvQU/Byj7r/SDvNvxb9jI8zGrRtGid01IPdmLU1Koy48taN7h57
m5LMrLNDahrMYYJi29rFa6iNnxZ1vjkhp4FXxAwi+S4SdIvCBR4fWuim9ffa0157qAZRLl/ENH3j
Lhu6+ruqGhCnwcR6dfY8+9lZ6t4xAEZBo59+MhvN2Xq0DIKhXIzfVYYbtYUfOCtFOn/f6IthEh+p
EbPWM/oflIu7ySt2fuSeKqOHABjCZy8KuQ5GdklZR2oWnrvP0eKCwvZJaqAATReZSE7rfafrVJ8B
60ta5RyJmQayj5hzJs0Z512vYU6LuuprCpwJNiEkc49CpaDXHn1KDlR6HAY5Rl+q7MeQMvaEQ702
AYtDxzdPU8BtHZrTlkHmjLuOCtYD7TFpstXFRM2GvwGQUiECfdnZ5T+UqwQqDcyVlZt8A13EjePc
cWqWRKnn57EPjnxnVGDg1tbRBMLDxiK/qAfrYx76ctvtsQGdh4yfH7g+fILDlLngwEfzn1d6r0o5
JyOfv+/KfBE9PYov1Xkcn3mS5s7AM5ei5aTS52m0nj9Cr/0yH7Fo3kc35qZ3OcCkF35EAyYb37d+
k5a9i206qyu5SJBUSf+j9sx+dSAFuEHpYQbzNeRzHsP27ER4okB6PRkSrR5fM9MMYqmW+UVJ5qRM
vKf9NOivonPXpPbsKll+u52NVEHLnif5y7Se6sJu/VVMBkcPTnucwnd38jb4uW5pp36shIoKp3QF
0X3XROKWBtjQsLC8EPVCApNCVqWT97ZwscZykosjqXKptxsi98JEnyWUr8SCKed75UzkWyd/da5f
I5fkA+KRftPABYJIR+iT2c1cmcso3bLrRgpHUNOs0gQul96A3GC3gGRL4NcFDsLC9eK9AtnQIpfP
sd9oSv9qev2otA+3asluCDMMzOVElk21rXIMvGm5M8L+QYzuQaQsqOKlJbx/novfUqlzrrgJuuQ1
CDybZvmqZYgMq8A8imDY0mXh6xrweBtiuE+kvQFzYogtPWZiqL/67sOvVqj+3oAQ0QiU6yyuvv0x
vSSufgg9XMahTijoaCwdnZhFnF9vbLPXmgafLKy6dq0XwXvP62u53Z1h0W6cPiWufQ8pzX/Mncly
5EiWZX8lxNeNKEABVQAtlSnStHmg0Ugzkk5uIBwxzzO+vg88s6oiMqWzu3YdC5dw52SEAar63rv3
XNOiTW4qlzQS7QPG2dygxCvfq2sVcMyfWtAIWvpE2fzZatWEUlRceSi4VCPUg2LwznHyZUTZto+R
mdJNZ9+pDGwawTqbsk//V9SbDm97zEZOIi6hJFZTPo19urTBttJuAig/RUCEO+wfHUezFn7xlOgY
EQLWCAPgmAZlLpK3NemjrGHv1nSsZLfw4/rbKnFVljkNAc0sZ0Ul+xExsjhqGlpccAhTwcPXpeYO
NnS08ovpzuBekb3s15SRO5Kp0epOGF9tE81Jp8EgGLpNP0CLjXRQPngoNnlILhai99sJgYMbje8m
cF5SBZhwRLGLSAng+kCLW1bkPXVYPINUvszmldbAq0Wi3KcVVKzJYsJyW3+UAWROLa4OQzXaO9d8
iDX3zTDdh6S23pKyD1YoN13DStYgb4EZckCvZQz8YaS9BlFpF6C4W5IzsVdx/NkAHteQCoSgJGZ8
16tjuRYcGHzdKHYNl5fcZMEtxh9kd+15yvAxF2Z7Fw3d25CM9dHrynPmxyCmywBJUc7EiHhDGomB
bseYEjQHLcbcNCOIMPDo6Fsu5BaxLjF/AvK2noyZlGHhjGWzdz3nQ5nZsYWsYyXY8JoCpZkL+I0e
y4KvQEnsOk+ewUSHFBwC1haeFCBbRgiTQc/q3o3PTYeTtomdg89YYp/3Yp24dbjpKgwocXNBY2qv
+462N1CaiEbHh42Xgo28EkuXgyajaPqlll5Qt9C9wwUKYBQnFUjX7tZWqbUc3dNUAhGICv2hiegg
TpYFcYUqWkrqJPNnPrcOZIK9MbH4h4LYqEnH5ty02p1vFtPSSyeaah66gJGWCUCz16Tvod1WW1gi
HURuX9vpSLzcWiJAzzZuoD/lSfk1imY7gkRgflsosMLCkgiHkGi4uOqFAvRMTn1lz2Xx6BVLylBf
Z54cgf5dxJn/RObCQ9HMVmoslcvBAxdavVVpZjL6kd8tdgI97XmDJ5ShdfWRuMln3znI+e1gVxrK
uYm9M843JEQjXqrebw6e/yKr6laRP1wVrKeSQ+4CkdiLbk/QHA16wbTOOQawbkZ0Ik2AAPgi77Qj
HqXgZ6E9RP7wJBPmkt3orvSSdDJ4qGo+3y8X8ehlSw/NBfouHkTEV8ekG/jxvjqUkw8pzz4GHEUX
GH1tJKcepWrl3xVSPtgZyhPaGN+kySwCmsY+67flzjugr30InycKZBVTHFW8R3qNRFU53c1WlsVd
FSO/8z2jXUmUa0GYvDZRd6sJ1pwyhVuWmqif0SLQXuvvB7oIePUgQRkxtUcMfS8xvRNBYiw67LGQ
UyCYSuOpVsaX0RR3AXb0g25CIhgq/9xh3nWB4CN78GoAKdVXpCc/C/XCzX525l+I+fmaaoXKHbBA
Wl9sWr8IbkiDC3UsrFkzMrnGtVWqx4Hm/VyeYd9BaxVB6tcmHxyNW1CZuFzEtvLXxcBmYuiHWKcd
jOMUKqlF9hu2HT3tnAVxRe66g6HB6GlWFRwElIKb3IER5wJesNCmu2X9lAdDsSyfGzlm2zSoLFDI
9rbxyRYd9eIJbiTZWT1+gYh3oUMisopHEmbkUB1zmt9DT8tdS2nIVOgVAA/3OzX5TOKNE8P1Edz2
hIyPDk5P10LXzFXvl9lSK617Ko3HJgSKQchmvoYhaaiS03xyhTYyYXP3znTqvtMczUs6HhtCU0fC
K+keIFlOaLMo96fZ422NqgOv+o0uPn50Se8B4DHDwKwhwNbGzF6wYiaWZmLCUG91Jz+gJ10I9UzO
Y4h0GtKHbIx9I0jgsW0Tf4A/YzVpIGnWuRzZETjnNYTKRC8OehdFGOoC+QW5r/T0RX4y4Nktx6R4
C2yeprZCO5bnhHAOY7ohXRAQQEF5pQlz0XjfQRlvjWHMV9jHKY4QAaK5UrCIKX4E/Vod5fSNVEzf
gp74PZq/mt5gIhux49G/Xekhs3mdxnUKM5dCAS8lSXPWosjja5hSBEpr/GrIp17ETDF6HeRJnRJe
VyQxmQgu4ak2EdwkKm3Gtl+kOAGpsvr2YOCA4xTLLhdb5rolZQvnHqgYNY/WUL28iIHU3dlo68Qo
GBlZEoyNThKFUd+rjTVw7fEvBDkY6LLWEkTLDq7N9p5E5hTJmY3IAMl5FrRXgd6+ZtFd/OJWpWmF
pDh8AcHzZY7gZUb8R4LzyyhTm4HotGlCbPdJam6qKROPSDZnxm7u6vpRaBQAZci7hbT0AR/CnWBy
ePVb1FH5LBYl4cRZBZ1y9zJA8yxRb9gEBKSTqT8pzWyYlpLLEAeABrxRcy+qDR8GAcMgzNjrYJsx
I6ynl2AgOalkcD4XbTEgnNFfAl9ZUR10mEr9mgcY5AkPvkw/Ktneug12kTgnnziE+OfA+8WsCLeG
YwEtd4DVgG1wwwKwhYRWkmKLAxbXhk8bz3RyRPzNlcwKxAD6owjmGCafpi2zjkuC6s12UTxPOrcO
st6fPlQNOhXUES360KkcdixBLiCq6YGqb+E3xQdZYf6arVKudO7OG7h8JQITxrf7LsS9yljOMQdk
6/hMCUSgm2gdMIS0y9DJLp7LzFirrQdNm6PuTBgtAKE+AqO97bRK33kNJ+pSgYAF6HJukAsLw4T3
EXRb37S2CAdcTmDFk67Jc2N3x9JBA1zR3vdr41S08b204VsPVL5tHgMbavMvu/OvVW5eGOitfDty
F11avxjti4vH3mx4GIqkPvfQcYhWC+RNojFcjoq0uuHgFhLOHX/iUmdDK997PSPYRTGZx5+LaE69
JYSGY3uJvzLNWmUmuwTCPZujTb+rVrLglokK+2kM89e4hwwXMqdFDcuNVPTjobPtQw/Qw4z6fdKZ
LHE04lIFn64B0yUVuvlsEg/xnAc/aqCQ/Cq7p0Y4VuFX0ZWbPLqvgJgsCEzbaxZF2Ei3cG7RcDJ3
3nP4vIzRMdSHtHSVkh/Y+hPIzoSCjiMDPYUOlRjs90L2r6YeX4m7jDiwsinUDUKartOwSVDK4oT3
rJr76q5Lup+D3x2gO6JDUJiH+uaxS5qnWg9eevBEuDSytY21VAWGWLkEvjUwRTQJ/pW2wZvQTdAU
NBhlZUocus5Zq7IlwEj2W7/ulnpQbLKcdaR0zAcBYFnrSB1pGBmCNBAzhYpG38A2v9LcjlMLooIF
Q+xslYpqoyOXxznGTNckfVJVwbP5admU+SGJXSxsoBDTOXUowjOb47A0FTAUi6U29BlscMdNEg1R
QTjZQvgM/xo8xSP1NepSpCY0lipn+kkYM2xXOq+NadQ7B/C0HjOvCaUHPMqpToVeN4CV+uLZjZ/A
R+xy1RzN1OmXFNjANF3nG/repexoJWs+s71klsgi42ccyL20sl0w05Eunn0T7FkTbiadXZgT0LBC
6BNu28gbtnDHlnoaMoMtGLJUafjkBPajuncd73kYJSkiHqjN3Di0RrPXEDzeZVLfcNuWS4Vpc4H5
Hnw88u3UjT4KH0ZFbW0DRj8Lo+GoNLnkYraxvhaZid/TpBtXaMne1CvnWfYoclxrVqKW+O3w0umG
tkN60ch5jiqAkuY19alw7HXIwRy/KdLKEB+mCBlWVRY2Ci0w9qIpVqKu1FoQjIdv2SAaCVieZT2Q
G9Uv66gH9S30gyWSeh2WZK4IPNq4AUPkOAVGxIPJdtUVRXzP8r+aO4rmIC+x0bTXth6+4IN8Uv+3
7DfJxR8hKPl+dUssZa5nuAkCc1p2BWQHR3N4JEzFoLYNOCtI8JhTXW2kjbLTj8z7sPOgdvDplpk+
mlEevsThMN/FauOw926cqqyukWxX2ejvm+kusAm/C3EcrOJAxARwRZyQK9LzKj2mC2FXJms1rWUO
yh89rqdbIEyyZSTn50220TTo3rmff8dCbDrmrRezHp+MGgu2gSJkIXGRI7axiRdwkpDwmLWXQVIb
o4xOHyKPvdKPdl9Zez+x78wBOU8dFTgMRnmECbXsxthgKaaGYbodGULti1z99GNBRSbTtSbTdF2K
6mOiS33wMbEffv0fUUfsdSZjBUDynO350bRayXKmHxuBVFLVzmOGIoKWNHPPIX4WRU2b2vtWcnaj
p791/OA46kDWBr0ylho9BaTBAK+QzqpV27gMHUv7Evr0rFshXTa/cKOCNcUwYxUHIIQsyqtK6nTZ
p/G0o2N6r+mKB8ExViOCC52sOKat47RR7XRAyCtJf978+O3f/vrv//Yx/E//Kz/nyejnWf3Xf+fv
H3lBtocfNP/w179uvvLTW/pV//qq//ysP3/NX5eX/3X9DX7kb7eX9fUfP3P+cf/5hXz7v//45Vvz
9qe/rDKofuN9+1WND1+wFppfP4QXOn/m/+sHf/v69V2ueOH+8uMjb5n+8d38MM9+/P1Du8+//DAM
+9eV+NuFmL//3z84/6p/+bGrq7ev5J++4Outbv7yw5S/cxo0Dd01TMp813R+/NZ//fqI9btQyHh0
YTsmC7th/vgty6sm4IvM34WrO65N7wfNJASbH7/VwCb4kHB/t1ymi7ru0u8VjAN+/Mcv/qd36L/e
sd+yNj3nYdbUf/kBBfTHb8Xf3sn5N7OFrQvYOq4hLWGbjisNPv7x9hBmPp9u/I9UYtXzrXkoaqCp
pBDq2mswauIBxBGGNvR07Q7QiMPSx04c4erBP9n5pf06DjA3N5lV1Ag/+6E54+trF2OsDSer0Id3
5Fca5lXyUN2wBvGbJDpbWuTVa7JFRuRdFX0+MRjlHqGdZlF0W65cO15evFhGn+X0DouaKTdgi4Xb
TN63Ppr9tOpyIIUbJB0DwRVBbxLeGWWBh0iO9HnAsTg9C42yqhHZuTBCb0nmWkS3jbGk8gsmQQhO
30wr6t/STMViZXaaf2jc2NqTa+jtY1HpnBvN1ECc35kyWY9oD17CEj3o4Fn2uEIrABzBSjkT2h2E
4K1kLcVAqCnlrbVE0TYinJ4/8wbjNoacyEiXgaFCiexFxS32taEUW39KcRunaYj3J0CxQG1BZgi0
TWhx5KsMDeZtvMhasgmAdQOBIC+YfXQao5Xh69MtxlW55JfpH3yvQAqQqPrDkSAqO8+ZyHsaqm1J
AMhy6gzEjkZcOGcnydDeDyPajqDPDgI3yTzEjNdZ6fWEDmDBiloj6OaqofOWFIruE+Nn/Y7ylxhr
8WsdGo0m+VZJLz61ePRf/aoN0puS5vMDriFnWdFaWSIp5rUOXVu9FHEHCVGXxiCRfsXiIYsjnbzC
XOy5WWEoMqFfigQitcOW+Djmk4THHsb8Sf3HaQSW4LEKHI6GyvQ7bDt1A0Zm2JJTUS2sQO49x0au
Lr5k7X03qXbXoCRYWORGLfSOsSkMgds20tRDzfRfWXM0Sor6Oay//Cg9lk0ebTqXeQmOj/eEKJWF
EMkmCxQnriqi4ZO37qJUNjIrZvpmrdgz6tBG2JdvQxeNYAvmAVyqLWdcwfil163zQJSAtinJeN/U
elreUwrZd1msmEgag2Ou6ekYBQVq1t9qtD7v5eSHe0sVt3bT6EdVJ9kFgvsDwOrxOIKduq9JnDgq
U33VSY/2hcg9IBeCcxM5rgdaWsBuqIvCtZaKcFWk1PJkehOk2wDO5KECulXwGbGNfGsWGpozKsRv
/WcYJ8gHRfTp5BwuosTkFOYwRwMX9u4NxbMpW3MNveXo9o1BArOF36PoL1WbXfVsRM4P7HtWNAGA
Giy1o1M2LCmh5D73qTG6JmVu4UpxU9Q9k82OvlgZUL0UNfwGuxNrCs4TQ/xHrxFHpB/eIonUB0q7
PT49zs5u9VYrUDAqbsgJyW9Vi4whGaezk0FdyPyQXNbEjrFcZvTekuzZt+SD0It8HRDJu3ZUpW70
Xwh9GcLjG0KCQgrUfTOWapHA1rupMu+lS5NdYliQ82ykpDJU7wBv37JxMJax5yH7n7CaCkQOF+ng
7u9dOm4eAdmR4SvSqMlyRfwQL4s4Bx0l6Evj79COUULGhjRdc6PPa0SRQk3pU+InLAvuhGUOOKoG
IkQoV4sHU/eKA0PTeJ20tcFTXWoLSh1qDOTXSxGqO1HK/KT6sXrumny4yyN05XKIf+Lz77Fr0pxx
uK3jlSGG1xR62dqoawgmThjgvzFZtRAukb3k+cWH6GyqtTriPqN8Sc3PKGfqExVluSojDi8cMl7g
d/dojyd5SjxlL1kBy0Pv5eYz/KSJfSiaxyBpfBvYITLRzNQXvGPZMaUjtCTwuVxHsktXQR0mR2vO
OJLaOLN4a1qDpSD9pixLtckmS922uKC+bRw8lHO1+2nkOlERnuzNFZUpXboku23mqoRC+BKN1Ded
3Z5EGzCT7BybIrnylnRpiWS2oYcHufVStEwTtSIg6SOcuzkC8LlbRv4uQ2/SQSbCSol1guiGOler
zqrp8zTig6AKLj9zD8SlBdkSFBMPsBEvbttMOyX04V7TmjueTe4c24ZL2urvwFf9ApF4AyUoDrYQ
q1dGRwmvmXsUeNNtM241edcmd8D+8uAE2pPpW9WhGa+u+fTe9CEw/50dfWQyKVe+DBDPGfWd4drr
0vouxFs+ndriuQX/F8gSx2pFMSuaTazsHWs+x7o6X1aJvS3iFnlnfZuEGUH3OI1H99apLhAiOT4f
J/cCSs9g8NOsfZo/5T7lvffzS0qCO2HMX1k6nXTL2GHBqrGcTsy5DLuBml8WzzYt4gWDslLtA//a
o8c4oqMkcwvl14qgIKpXEJ990XxDXfn2ZfaI2B5JlFFt61y79T39Xrn3XfFhqoXOyRHLRWxXeC6b
D8eYj2I35EyDC1846PDi2yTr5mui+dNNSxdPQg7NyGZ2BFLfgwhBGVCYQFeNzXgbcLKX8iAjdF55
yRKI9M9/K5FciYDwuDy/ayF4dpICwn3HyX7Uw3RtVQ6dzvnbz882hhgTexijKozfkhJ4MF8Tstph
I94g7bkBmqB6OorZCfhewe+lNeU51Z2TyO9dkPbSBLVsfArZzzhz/hhRbtZEZRhacx7mlr21UapY
MA9q1k5lbQLlb4uhZRMp13pLB8iLcxiQLD8JC6LG+V7v8GfaX2SHaOPHkO2rhGV7ws1U2C6KyOEG
BVPU3bf6s2yhNSoGlfFDXWyMASGdVi4N4zpCkZztQqG9mllD3oNs79qoXuThycGpMjI5DnPrAXJK
U546PKBNfDuYAAV70mnqW6M2Xhng3sDJt6ipVCJOSVE++w5dNzypN7awbvg3Vzs5nAu15JGKHRtx
fjS6ApLJJXdeyG1bYICQ3qKeB52MKZhuBMHGzScCYm8Telxu8FSYeDog6RhMWVoutgMxX62mbgtX
Xlhi25LQViE1NNBNljRC85Vm+zvK7FMYWneYulZY6LnFsmtmePusr+/lSBE2Iv8cLf/oGyk8x9g+
0GVb+UF8p3PUG2z7QkV85jx1dUw2Ipwtj1WbPPSFdrHr8FhPFuqUjLxsWLpYDuQV/GfAOqb7K6RS
l0xET43Ag64ThszV7uGimVz6hqwvO+TVFN5eryDk477e+nF4piB7VSDt0OnTycBNGbfdJ2rfgCTY
1NaZGqRIxu5A2Gr2ShhIQBlOMqZ00TZipxwcuiwRYjEc0aCZM5UnizacQtwNbmYx4GugU46GXnG8
JNBmjASQpUKrkJ8U1n3d6NU+QYlEU7ASOzcyOu2at4Uke1Szn7Vfwk72+xaEperjg0d9zti0ar+Q
dgQIsmlHIm1lK2/OVikyUGmUxEQROy5T3C5L+8vgJBrYSc0zdG+V9YCXtj6kW7aSscrxEVoh6TWL
wjUnWhZBjmqCVE37AfZIf+iJQ51Bh/Q8ntLA5CB801USlsKNaF1YeHUQdWJpeGqOZEuS9sqWPJ5w
beKf1Cih4sV/v4Y9vXXNV/mPdekfy9L/Y5n7/2Px6v7L4vWearb6U+06f/7faldp/K4E2C2b6Z0t
/6NulfrvpCM4UjfQzVIzCirav9etQv2O9k1KyklKWkk8y3/VrdbvliOoZilmMTVYrvjv1K2G++ey
1bQ5troG/1k2kGLcwH8uW0VRotZ1Gfp5LZywMFtmiuFQ5b7FOg0kiqc99/lP6yzITb5BtYtAGt/J
TU8SoaFhZSsY83mgCZMhe7I8Ex0/cWZ/aAJwxpm7IX+srY35NfyhtDZtqUvlKEL1TMkLnuv7P5bW
8WQZEc3PaumM2nUc8cQH31FwcgdSeUjH2xHmeApt3LepQa3XDRg40+W/fg28Ff/0Euz5TbIMA5m8
4P3440uw4oayINOZpRgYCjQF/8S51h3bDwCwa9UP0FEGBJr/+qcK659+LHeFK2ClWUop0/6Hd6cg
3dWZCpKzx6Rappa3dqN03WZkYA1y6fTaOtasZYDoyQsHqG0s0sWwK6InwbgdFgzYJ201UC+rKn4e
/XKFVp7IVe3VcaPb0E4Rj6vg//ZuWfr8fvz5/ZrrY1O3bCRi8FXmi/mHVgim9aGxGmbm0qFl6RTN
MZ5c/7Ux6ctOuoUncUr8reGizh0B44EMKocT5HVjOaLOeuaBeKFDImmtrvJkbhcbi0pNp7hzUXoL
0oKT3URnHvz+wYS3kTvyGLHjamODti6jaJ4e0jA/a2O+KWR4UniUkGvOvkqa5O7aqglnTJg4D9Va
jJylCnKjzK3nip1Sj003rqfBWZiAACZyrexoXXAyaK31UGjbBliTU7c7Ml9WE/RUC6WrnbNh9zUA
4GyjymjradNtPZhHojB2EySuCFpoMMrl+F2H0zpTKAPEeDKGfR7Zm2nUN3ERr8beWHlZsDHack3P
fqFd/Dp4GNzs6HnWwUS3q0q5TMAUQoe8DyfSuJy7mYEVtD2qParZoMTvW+bXCc8zCYmoTtEl6cit
PG1dmM0qmmHuqMig2JtoiuqLXg0X9iM6nmpnN95ry5xhPpa3FgVw26w4yG6cFKoKGeGpbu/a3rgU
gO4auI52Up7IXzv5BOpoYXEtnGlbluO75altLiB5R5zdbsbES5Y15iLN32s5R0kNbWPRIS8Mwluv
txaBlqwidiTEMmjKh12pJ+vQcNcIMteZfElQt3WVd6oz6IwhonBXbKBvPwDOXbgJkSB6A/hv3Ia9
RB6FUtu4E4PYVHW/donKwNE8mhsjHPEvAaZpQxz55mYgiDAoi1uKhoL857Pp5SDoe1YOn1uBujU8
dUP9iHimuBF28+GLiN579RoA016D4BbLAfuF20/34IwxJYfMv5s8rPZKQ6bIQPMCnBE/CsENnOsE
2mhDUvtzYslgtfALwhBCNauMR5184aQYH4El3QdV8tHqOAeQtVujeoiT4R6QE9QgrnKvp882GR9x
Zi5NykAOlCEiIK4VhZ8mX3ERMm4AJDzgVRz5xvELJfLS9Kdz4s2qIsSKILiQApTVV1Lj8MmzdV0/
OdF4kITtqIbQyuZbI3Y38J2NrNJDPw8p0VGYobMtKL8JC+S961rNuWmlldxkTX6kor12rv3mS7oX
GikxC9AhjCecfJ1jdXHa6ehDVFNuu29rb+0Yw44+/T2ukZWMfaY7+rJH74agm5yMrVDBbj6LAdY4
1/JKRNraiaetA3CyIf6jKYc95qmtGkdsIsGqNYFJSdx/k4mpOx12ZEusZJQuTfS+89I4QemoRx69
pMXlIh/aYdx7TXLWA3T5jQW6FhYCUbdO2KOqPCf2kQCdKg+Pogdeq4mt5Y6LRsKmbRBbqX7n1t1h
CphnuQmplooWb3vfJuNc7B0kesT5/U39cpH5+S4Mn40gQvFT7O0IcvRkn6ICSnzT7ZXFHHjMn/1E
R4Ki7DuPRPEIlVqhnhrn08rVsg556SmcFKY9VZCu5/doNBDgIKFIKE1uZjk7cpZTvenaCak/rrlo
uPeGYadZqMa1zWjbKyOXG6tvVwUS4s41WTyQrg8zrniNt23ZjE99gTmt2WHR3/Yuvk/QLmWWfCch
b2VrWnjr83ujCbDII3r2bW1cmyl3H6niz0BnL8gT7/XG6MAxQJ7o/fhr0lveR5c7zi+ZrU3IdDND
Lj0X7kwYF+SN5PyoTD9OzoCLPdpFKXCHQv4MUIPEVBGLFugfqcfaW+d7Fy+rzwXXbGkyDQRRh4tn
ZCOQQ/ZtG/gZytS81Yo7ysEPJcb1YEUwr2HbTXjdKx/PWaNnF0Ot88HaxH5yMUBYUMrsI5zXoVmv
M8u/N0Cq2Xa0Z3atz2z+Z/RMj0Ujdrpdrzpk2/h+npCFaFSsyalAJOLjq+6N+t7EAMusHdVIVi8Z
YP4M9JiF3986Uf9a2suQNJYbLD8bLWM27jBp2iG53PeT06zEVDP6D5kq66FFplZgvlYg1wCGROYy
T2jiGj/1NN3rHfkIQ2R4Nz1Xr0EVtBBls41VUJDM7XCsryXyKt4vzdSftaTiTXRoSmnULnGQHRPr
2KTGtbND4hSSV9IGsD3lu6EhL6rKn+y6eDVppYR9dsnS+GdJZ1N1kt6FjmyjayOKT8W38mOs+X4g
Xnyf/kCuCICeI0BHHzHe/D2gGc1BJPnrOKWveDRfK+AGfrBP0lkRmPI7RJ0C02AhwDZlSGRtfW9n
LLlBIreanp7RY16dPPr2ymg1Bz0RJZuRZNUoXk6P2GnflcG3XZYMhGgyxjaCPi38bhmc0N0YWdsk
mcRzuFhqvVR5fCA5DShaH7o3vDH6jV1kpHoiFWm4xml+qukSJMw+M4AldcF4PztmZsPzCgTcH5gY
+za3NbxGHEcYxKN5Dp3K5NsEh4Djg8vSVfz+5O6sOjFsMHqs2hxMahcSOGoTGaMipvlTbixhcREJ
nQ2PHDHukpqctjbUnoAvdAuCcJ55et4xz0GuaTimSaCGIUc1A9P8Td2OD6qLPuzGoqEzS3kZNa4F
k1P2gY+sw1s3jOG3CvhWjcabLm0WZ0jGvDjMIbRkOdTn0y1c9HjZh7yfysBB5XfANyrasGs4LZy/
0IDQBQ/qDKRon53tjN8Zb5ACv0QmGis9MptXIDl0SNxyEQrnE6z80Y/5cFvxTTEXfM/XLy8oEJQ7
PWZO9gJvRPKMmIsstDfAYba1QsQl7E83BGqXeukr/ovbitL3JrDTc2APP9sA/PUgtqY7/AQzR5KD
pT6tojszFttlZY68NbjqFm8g55K1rXDKD65/q3nf5ezkxDj2mqbuhahFfDkI4+I0fXVHrogzMEwZ
yJjAj1e0oIAim75UWz6awtvy4C1Ca4qXOm6bHE9vi169HRlbd8Dh0oy2a4eCKmGxUxXC3sRGGJfh
/Ob2GhnYrHqO1cukU+uIDlOnqYmhwDyISkm0m8b+HT8ZCt3GmmXDFPt6zs3IsAxmxinxMSMWZuch
vmJswe4izfANaCj+G6+icckrKASWHat4sIlCM6xHQj++fz2fUUfuPSphvc8PscUdoA3wSnxl4g/n
b0QhcpyZL0PY8sevu7mD1Tb42UMwkaMbcGGEx3UrDTCXQ3PRrfzcGzHD5vxsoVmx8/4wyBEFA4Zd
bqUbMxhgRStQuHPp0/SftnIhDWEuW2iVvHT2PfjbYGk0NJAEk03d4OGKDimj0nkgsOWpZEUxQrVk
go70La+ZoJcHBO8rfTZNlxrHe5UNV4NmWcT2pRCs3Ihq7lchoFj6ebyq8MrTJGboYCDbcWsLOXSA
nVcT/nfjsQU1Fg5xNGQVym2EAhxICoaeFAX7CbN2DpZa0PTaqG4ka5RFU1XJd+2gYEqQrs5ZjmAK
WPJqdMB98eYayGMJiNiU7gidf37QmFaliEgwiuT+2eiSx7Hgp0zV7Aqw3XNIG42Dq63BUjAOXKGL
MXbhxuuycIPyhu/PZXbnhTjFal6j2TUz52p3fKSJcqR/9NfU/Bj30tyPI6al3uaXMFCgOEO08Bgd
M+hzrp4VpKhw41c9A52gR6DRCc48e0767VOhAiSmTmlWXQkyXeG/dRNGktY43/yhx2FfPyV2B4Oq
Q6cYAFc3a/YTUUSMvyGo6Bov1j5rGrdOxcYbBdoHCJrbrnP2vcaATWwNz/vSi/A7h5ToG0gGFQXQ
kJkcRBQtLNuYFSHlfY6A5qYxxiuRGP3SsATnCpc+Pv+ajeoqInUeOGUhLD7ryE5uYp8vBitKZMz4
CoLySNbSazPY13xIz1mKUHquHnQxvHWFtXXnramq2K50y3qsq5YYhbsRoNvNCEiY/Sg5ayn7ilmc
9egdCQDtXu/KkOesuRa7kVfuiE5aJbaC3ctGZY3Zq6WylCHvrq/QZsasbYyaZt5o91llA4sQy0xk
8FikBH4NOd3/lIpglSYhvnP32jFX09HZt4F/K3K5RaM11wLlUUt4lQR6c29Frzz40PYSrq5I5DXF
4FiX4dOv+yOp+d4jyzp9pG0hgtdBo69hqOh7fjg5vr2WpXc3P6yeyYZqA6Pw61MBSEEwIoLgDx6L
r2Y4eWlz0gWi1/ldatzkaLMrWx2lSoXVqDJuQ/c9CwnKDP52gf2G11U713l1iEfzGvsc6Vn5fdqG
K3TX21IvYLwSnUuCVJuz+scFVx8OF7ECXK6AeOP54tRjfeemwf2vKywF5wOjS3eZXm7TEcRGGr8J
FrglFDvwsf667CeQ8fSN5+X219fYhXsnkU7+utdJEzgOqJ1jrq+ZcWnm58fiPYT3iGxUu7YeG7LR
5Wci3840QHDyzwtYzf0Uk1w+8Drn90WLaPdrGm2B8sQg9J1kbj6QwPNts1ct4rOy8jWjT8BEd9+a
DHmbtrjjF6PTlSVPXoaHmE4D+tFbmtHQiy+cnvCLOOTheSDmuKiU1SU+eaf739ydV3PkSHpFfxEm
kEgkzKNY3rGKZNG+IGjhvcev1wFnV5rZkBShR+llI7Z7urtYhUrz3XvPfXelb1FLi2Zhessgcp+L
eHoODH39+xP8/iiAiKe+3GYq2tu07y3mJ6+weBkupYTRbVryWGA/ANHwogz1EU5sFPPy8btSaGCJ
WqxLqcRqEVElKL70ZHwrOV+aonnJJ3mBA7NzsYSmknNPyPHr9wvRK9aa+ZuZZ+lHHaxYZDoGaOhQ
YL0W0hAUGXZHSKY1sYFJG7fAQ1YRh4OUJK/TLFhv+bnMfTDQBpJ3mMTydBXp+i7BdYL5ZtHbDT4u
2mW0VAMaNxWnPpQ/okwfOg2TptV+k3q+yoCMZ2vdTa5YCYYWTX2cZid0lXOQLMpL5Po/7A8XwbFI
jMaK+QJ2S2M9b9E+mHXgn8f5rGg42spUNe5tla4YEfyecKnP/plEt1fpYf7+/x6MaDj+scKA11c+
5Vh0Ux1/vXKfaYMlDFrUd8PAAbv2EUisgcw1aL4busa2mexYAzjbBKyVacXqM299fR69pVr0oyxg
EnF51/AYUXb4wxhlQW/EUY/iH1/rzuFuflgjw1z6E1IPX786mRfgav44bL4DdKIQzKBMsN3nhvHu
cbSjRY+rSVV/YoKm60uk8OdDzKjDS4qDvhTle0/mnr77hemxR68dd6Lbsr4jdLUO8NZ1zPuptTY6
QI+sqTkfP+XFP7LSL57iSZnXDAqAyXVr3wVv8fzdmL+1RE2MFZx9KD/MdeaykaE+28lw71TPHo9b
labHNnSv89eFTpZDmoZ38+KSTXJrDRxRfv/mMMou86pXVclbR16FZO6W4Y2pvWCieIu1kx4X20Hr
NoOjPf0+366nJQuf1pY0r9ZD0G6jsChWuqutlM+CPH+CMHKOv4fRPBs/kxHSGF/w+f0PeEwoxdnm
qXobCkEGpR7PSjKhzmdcalF9KI9nXWisQTSYWt+a5IgY0DE/f99DrFks6/nCHripZmXwNn9acUbd
WmkEABAK3Ld1vROkj0hYdvhZuU8CGqZdejzMC/D8fgx1/KMq+5atadkj2ozkQvog+Cn05K2dZyVT
Pz14bXv3O5meelYwq7cOft49zm/Q7wMy7yaD/+wlAwlsYxypfCq/up6ttHV4D4aGr9OIRyTM2PNd
BR1ymjw2lLxfNh00GtetSevrPFWAnB4CIe5Mn6cLJle8nn8PI2Pwzn073rGi0OFnTdsE7Iim/GST
TCS0yzzgXXV0IqwJNbRww4g6OxDnZDBuusDa0QNMWXNrPVVEc6gq5HUUmoYrgdeo+ibZiNjdpPGx
07g0tQDLOOym40pjL1i0YnqKJbtgA2r/bM8dZ5oruDQ6NfUG0CDm3T7JzIY1tCczy6rdgALZjIwC
KQ8GfieBAvGnk/ciJkurKZjAVonPrhnYmQxQI3Rml/uo1e9KBZs+MrSFWZXBymsYzr3S3FfuG/Jx
dBEAwyCbRPFcC0URHwixd/bLobS7x7GkYgBt9ROH0WvIRMzLhhe90sEb14a4YovVFiAtDK2L70q0
OCRo1zmljIEhaacBwijRyanPvttWyVNqp9YmyOovOUQmxgF+abCORpX4p99fKR110Hvs052N3xmX
GLOI/1k5ELMg8S8zeFs5lpSIFbatW/rfZ/CeRgVATc/Pcp7MgiNcFzn1nBjr9MDcOPBQWenZ27Hx
0q3pemvbfG2DcqP1xkk5+vb31fzDUXr589/9Fwfrv/zf/1bp+5sc+H/O0KrQ07D2/jeG1tN7hb77
mdd/0wXnP/OnLqjpf7iuY+iuq5BLHKErE83wT1erJuQfmN1Mgqg2YortuDhK/2lrVX+4hmHyS5aF
Sflvtlb7j1kpcgkRGTryIsrhP1/e3z6n/9rWKpQ7Pyj/+SChu0EDd12bo4ywLSV+Jaq/iDlFVGOi
csvvyeyBj3IjberMm+zllADHpYRGGpVD9tQBdfMpqIrRBVuqk9YjGYsam/16cEhp30PmMgF30DBQ
HTqjE9bOcdvOeYgxq+OGsAcewnNgxl66Y0UhY59StSgPMhp64Ih4vdO9xiEAu2tRjzOHRAftMB9w
fGoP1BSzh5RWXCdrLWwwUaS6EEw/xSRYMvoIkPPat8bylLF4cXKsexbyEVrZhHtKxOngYb6hizZa
p2Q41XekFWq8ALVJmke99hVlTSSc/IMZ986GktJ452UxJDdfV+65zwIbn42wDnnMHjF0yv/mBKdx
ZtCj5mIHlb1xgTxcy3DwiPglJEZVo40nzaGY1ArwYlWZ624pURi3eeu321wZ9FAG8NphIBJXqxSZ
kVr0W2mTNHKxIrMLaTOnQ+TJWjeraK1A1d1pgSlXhnLaDZyOngl35C41MdRPWjJ5m2yENT+MtX2o
bSdeSk80x0HV5ZlPS6N7Kc08Jj9B/IA/wN/kmY7N0KihNlT4GbZV1nLRTakiGb0a/6GwSfMP7nSe
MEe95pysC5xkMrkkicPcv7Oy9egbHVMOaPakEAVuHUc74JbUgNsn7ioRA7NgqaZLQ3P8zu5zDNK5
QZwqxNoZSogkN3jv2CyItxv0uyXDrhoLksaBKN4G1zIxgkQ5fiKuskQdRLyXeAK3IqYMNpVCW9WN
5+U3GLT7U20VyXJmJzH/DdsDJD15RXYuVi6laA8ilVqKCToqN/Ck1V7Hd/xEhXy1m7w6AzzZJxIC
/p5OHotNJVYmje1R1r47/Kzr0cr0l2GqcU1NyVAYX25V6t+AMYjz1MOo0384pWn+KOPUCtGKi06j
bLW0tGtJI0M2jxHi8Z6eDNyn6AgSTisxz4Ppl9UOTywZLq1WeCyjHhrnqUzhjJicJItjG0/gy5K+
iQ6uldggalNSgYck0cKHTq8xNGmZMl4VX6HXwramg85vnUeSaADiZJd/jKAGuKWg1xFTdGN/Wbol
W4VHtvSHwaiHOGpJpEUR15yANbj/+myKy7/SvMDMFaWqF68V3tlH1QeSqDfgqmQ4O2EWO2LBKoB5
RjNofNt0poNLTMjAs2DsdGC+DbfIHESaApjDlPXx2rMAhQ/lr01l1JkIVaFEcsJZWe8TnFb5Jp66
cM4alqArrAaLu4sceRNrfINwaHZgmOhSlXjB+xwI22T3NSzfaXpLUkX/mTCHdtowPRH5ORwaY9yD
HrJHWJaB/R4LtQ8jQiRY+Md9Pkz+EnDZtKKZJTrlo5GsTN1t4gXjtPrWLfAUGXWaP5eejsgwacFh
9Exn0zjN1QjibGk0no9SGdMXFVjnIFfPvdCvmG3fGrBDN/7kyTUZB4cSjELi5c8VUwXmY2WZvATK
/0l7/c1WhuAk42aEfTTI+FU+rXKliU1X0gPVRWZ827cgZMKMOvHeCz9HBu0Ls596nmTHe9I6wWS6
G9Pt3CfR+7g1AyO6jbUMD7VjhEu6e3WmQsKzV4nuLvyWG10aR/dUlBT3Cuf61ajb6cnuhPcV+9JJ
b2p82ZVWfNWYEogZaN3OtykR82x/EQyswLk3fIlmQqMO+hRIVkOyAMbMvtFEclcCgt/OtKlBTNYW
F9k1nDpmhJlTvNt66GzmWNqZCQ3/Tt5RvCCugCmuuu2s4s45Y3oCTkQtZixsIJu52LTjYC1qiCuk
mC96jrpdBjAHtN5/dzTpLcKCNa8bDiDziFF6VOM2OQVfCZAjOv8wVZp7082eDKo4esN7Sh043szb
+bS/JeYrTrzGeiRBNr/neZgf3UBuqTr5zMr4qJliPxbUHU7WK7BjUIRZ8RLQk9AC3FmZPJgbS3T+
Nik77atKKDxngMq/qcDcu2pPQdeNQYqDcc8pzZwjx/2VIMCakeEzOeVmESIVfZNaR4FNFVNsEm8B
rJx5bG9zkd0ZlXxhIIFgNab9+zRzDbIgyva2F+DUJydBmNVhkzCjjVFyyUxgTVQjdGn9ATQAJAnX
dS/pGI2c/xKcYka006fG6kDLNGhG6qzKaa3/Yn3knAvftJn2IPUwgq6K0YSJVZjAgvPr+N4ARZ5F
+rdVICjKMCofSD7MboRyZhE7FQTT0lvLYSB4MGX5Q5RinLdoFIDvgBAh6j3Iehu9wRMfIyhPe37r
R4tZUdxl+Qt8H8LZnYKZukaBznZBbheb2EPzcOLgM4ldBpZFESqW/IK2Q98HpGUNH0E8vYwkJG4z
I34zxGTc6Lk6e05f76G8rx3yZXA8WVOy7DFC8cuESaxEAW+zgO+fm1Gkw7oUcfRSdHQVBJLpPjXx
bvkcCXupM8aGV3kzGs6qEumGmxdmWOs2h0cX+9ZOpt8R42zQHou2oNVAJlSlGc9JdXLN8DbMPjtA
B5b20+GgEC852Wqf2WDsRxuX+y8oqqUSwY7LHn141ptv0zeRgbzD3CvL4WSUYpMEj171nsRvef1S
xunRR3Tg/ALoR5E1EflKzJ+LicUCh4du+fzDLcp9d4OzGWOosRk1VEzDW/HgEiCcO7yiY2r3i2po
qbKAfNdKviLDK0VHuyjOdkY+XQGCA0rVnugYWgyQkhhzrKV9G6Y+7hIdDDRSbz/u3YI0EJXPhlxm
TQD3ZG8b/bNVt5vG1l61XG76gBlID+Vcx1Xfk61O3sUIKyFxHqMMWmY1XSEqMF8Tey5sVCI/adGX
ZdO0x02p66+5Jl/dqj6W8esMkAAzApiTN8t6jyZ/A/2Ka7azcp2E3qDwoqjYGAxtleKcLpD72Mju
U9KzVqvubL1d6ra+NylRsvScBk1/7YZsMCU/alFNI/YE3iWdEp0wo0o88AHdym2uy9IG3asIMgy5
H+3zEmG0cc1tYWESsCgB2Q9opr3Y4zmJbujTWgTWqesPphVB9RdbWYCeR/yhrAE92ZqeJ1Pf0hdF
MtQ/Ng3z0l5n4tasMGcvSBEsSpvxkEu7cnyaCI+aEcV2+sc00Cuc7yq3J6CE7kRuyfUKKsthDSrC
j5U7fSsApkUQwM4ji8WWibG6aUtIJ9+R7eFmQUWL4wNrOnWbxV1tt1etZNxn2UJtCchDmBp3YfPW
N0+DtydNBFwJ9kR14URKRzYPvk5fTWleZVG9W/EzHKqdaLfY6EE6sCmIrUi6i5hv6tBTTPvSFXfw
Vxix8nnqxDLiEIK9vahiubDCR8Ghoeb0pmYQZv6CxwyA8+xYQ3Pt+ZyofQXt2N7H0RN7xCPxgZU3
UUBfnOL2De4UxeTDumk5AHSotw5EzvDstgp9plrklrmUhbPFx3LnYP9N1W1tmTee/d5jofGpVvVH
YK9meijqmio5yLM6xU04LoxwH+ZfeKpubEieHe6pyERE1G7N8KKBMa+G6BSPe0OUd25zGxMS7a2P
ukUsckn1qVMI8XNI3aep3Qn1FHADR8VgIOcvDMeDjzN3pGK0IaVAU/vg7AcMIcD0Vs7AjWdEAgCX
42QAuzkUpnm37C1jJQhTJQkdWMDiKJjjaxAxdO2OQLWwShJAiZD+5nXOvCrzQIq6E++MBBlubH3o
r9F0LjWMFA5RDiDkFCp3TH7aYNz6TECgubK8GbgzrAWhZ/LfbCEnBK4bYnt4pT9iH5xEf1RziUQD
xjvcCP+guieNrLlCHFdKv+FcxxWt2NY0ZerNVx8VS8/c0n8JJPFGBC4/CuwbrhOc/hdxhHsrWdX8
NAPEBqM59U29VmG6iQmomGzbfYz7SFBElWI7CKhAJi3s+O/6xNIB4d0LPnlMbiZUJr88GzN8lhdv
OY+eFSxNPPEpFguRfZVzRrDEk+4/95Nc8mEthzZfQJWnDxKfQ2iuXMINQXSvMRsMZb+1oVh72WNW
fBl+vSTWyV9V3Y2Cu65pYo3Cv3KYKE7knr+g94CQEJS2WXKwX/TsNkiWkkfI094hr4VkI+JewgKh
bGygvTYBpU0VDGiNrvoUcEyyqtgV/CV6fmy9EUX/udcTqheuofmlSiZxPSXxOa2BMoaS5iyMAqnZ
ah6N7tIO8xPEB5fYH5rsDknI846SMwXGPjUuns4xBKyrhrXN4RE0MTkiN67N6DV3HnGxu2mxS3R7
EbGE+AA+xlBCRgkbcD7Q7lrq5kNw+U68tomw2/DrZ8y+4vXY4AI99ylrZkXyMJTrHo61FkpKG8jA
JGdtuK+HetnaH6P7bblvLSKZE1PtNnxV4YkUAF1Q5ygi7T8EuNqzhYFiTyySYwz13O2wDhxx7r1P
w/3kyEbnwE1VzM7M4FpgUthavrE2dHEsLGqyu09cZ9sJQanlwFJRLeJUe6WfbfvaE2nJqDjw3qC1
T82lCUgo6As3A/uQgM1senKyCZJc/zQ/6S4JI09VnK2aRV9ijjCptOAmRu6OuAnKnrPLqTiI9Jcs
f4rikDiotnDqYbhLJAxiKyEScVNKg+O3cploFPdOq36aysuQstmz6rI9BVz4qb+q5CbUwwm8pdzY
VHmPTRMsZc7bW3KB3TVAidYQCtwlqQl/6ZutedO5E4icrvBXtc0XIqcuZ7AoLApDXgU3S2frxu3F
Gv2XGPeXn8Srtm9vpbBIwgL1XiSKMrqwc6wnBwbQtYw9eYw7na6MHMiD0LXovamARpJSJFir0YTT
chYlQkwgThsHtufMeHJS96Sr2R8QdmeWbogdEJSimKq5zH31oWCuhkk9FD4tPrHHt55ii/YG3DE1
DTXnmKgfzkaK/1EG4l6jYIOk2vAV4TX5btGnrp4bD0fku/5k6sU28fTboCJTQnVou0k5FSLa9o+1
zodRaxSgR+VjlRm3nZuujDp6cgq1j6SggKK2nltH8eTLgOql7t2ceKnGgByiN4c28U5l3ezcmF3a
9Ve53e0l3X7wGqfvsOsIUSj4Pjb+eXRrAwuVMuimjKCXu+XQ7kNapg+x4WJ/og1yAv8Zuf2Dldvp
WtZg/SbEJj/V7j01qtn/RHBbfer1+NLqPl8N70x0fO3C0SsnazFyKExGyu4bs3wJGvFNhCpdRiRE
F5PHP2u59TeDpE3k6HdTaGLbQTSgS4M5A0xSxusOIyPTlBeiBc/F4M4SH2uQJX6yvpi1BCB3bvZg
VOZPn7zbE2Zd2WGulx3mtMrLN33dLpNCPeRR+uom0WuZpdmr22qs5ZUFG7UNeT59zagWo0y+fRJb
qNl4eg5dlwzEXzoOdkC3knXNORJ0dUFXnc5pOsrL4SDaNFmUIEF2Hm28sElN2kvaWu4j6AqngQJV
nFRAaafQoXmQYRwh4bpY0iNF0S6lO550rxG5ZOZIsA2bPcl1ikYT+jTVpky4bRgQ5McObmKMYoiX
qQXwtJpUACnPatJhG8VcTHRgokrLzaPqiI9ZspDPYTXCIlQDdgfmGpcs1p+NrqoOXkXzcz2m1TKL
FCZ8o+WTLwrG5U40nVrOhV5arznUVlT76hg1iRNGqAvEO93cfW05Sm2YGvwwpHIXZulszUTL15YD
p5AxW0q/oZGFFLq2d2Pqcw1TwlpBAMlX/ADykNACvhktUm0M9AmoMhFeh/MtV2/J97ljcUhMokuC
XisnN6eT1+Jm9UlEYR+bimMxlGrbl9G7brWoxKG3clrzEJPm51rHeGoERFzOlOUoxOli862NW7HR
Pe4hhMLTjHN8PRD78ObnfBmmhJbKDNNNV+5sDIxtSOm2Nc9BNSrvCnXoCo26rgoX29S+ZhZSnJtu
Dcxbv76OqlxS6r4Zu/EtKxB8h84bDjoe2Q0Nt5uJy0pW9RtN1QstGBepOewQCd86ejKxpenzCk34
82HEWqnpX71SEO4BjNug02p0Gu3VYGu148fUoT70sRbPLadpA+NU1BrbMOvvGuBwFqvxWpsYLcbB
xkvHvSn8F1I2TYC+Yz3GtVgxhMeO19IfRJUD6htuBNyk9Qex/YRYo97tkKsu8SQf+nZXab/b6V3K
sKxg7RyChMY7cSPb4QhO4D4k/1hNOFjTaZt3Sc9ZtiQ6ly9QuG/txD4UZrk3sNciqa59GL4WNEgf
M03b+EtGsFxG+lueRakZV4ebv13j9zeQbO2Kek1wURRDohSnKHoeJc03Gji1udEK947CH9vuy5zZ
rZUyCZr4wnDemPo30wyfXEZQWRjedUo/MMzCu2cMD3kIxs+XT/NnEFG30UpxrPRDRNZxBijIwrvn
dkES42H0o+UQ29yKKrrTNCLeg9pSW3j0We8qWLgHUfiHTDc2bX+XdXJdekzlPfFTzPacKsJKlYEb
j8OKK1oOjs++DFKtqjg6Wk6Nm2o+/nFmtmgiAcQONQynBfjL1oAqxDRvysabgnoeAdq41a0VoMWb
nJNPWnM49f2FO6YACLii46zeGE1/BTe6SN18XMxmqoJZm92cPREc0zD90EZjwcQB79I1tDEn8LZH
hoVhLFq2kBFpJjPWIkkfJq9fasyqkGGLfNN5JL3Tlp8gTAIdnCRXeBRSGu99KgrMejf5QLoS0qKO
WtbciMwmAf7b7TCAETA2537mG0Lte4SIZTNcW6e6Ft3cjplyChGrLqDMaoLcaaUf6QQrNgYqGY7B
dh7GFmV9ioAo3UB0YM+UeJDq/tpFDR9cxFEZW+Jb5RzQSM+WDYBm4/g9vjl76KuQUahirS8ms9gL
KjQEH3QVFcPsnLSLAZKutKznyG8GyR2YwQ42iViWPWlV9A4NDAWVWZIeL/LHTr+y/X5eBm0DqYEa
ygiQY0M0wx/8Q0GrYrLuUt/+1Kl+fU5HBC2uRsVYqtvSdVkJaiTVDjpgJpr03PQQi7iAjaadACRF
5r8RwNPg4XJA99dOZFFlMWWZF74bUxB78ULhU7HrZQosgTMAPUVGucvnfYN3FEVhTfk2GRC6e52I
65WyGbUUXog8AD7bc1ihIBw005Z1smCQUIAHpC8ZiYtrk99AsoiG1unZSHhi7izhcilKAm1Axc5z
P4S4Eg9DsukjlkXAn8qL7wm+g+wQaW1RTFiPqtfeZGjLpL0ZTNVzWyOXgNd1UZVhLU4dEXeC3Izd
+TEWeV1Xjdz4rTeZD245psV8J9NSH5oEIb3nSuv19thisDavsYvlifpyr9O5pqopIXJ0A0DHI1mq
tTYVoZBVJ9nuEfZ77dA4GWD5hGoe96KZILH/jKr9ryTe/195z/8x7flvVfqdhe9/1XX/I+1pWn9Y
WGuR3W2UUwu60D81XVP+gZ5r29CBdNMlbsmf+Yeka4o/pI5rlagfWUxD2YTm6j9JRdL5w5EQqXXL
wJRKVvR/RSqaU6V/EXRtiYbrKtsil8e33EEl5vf/Iug6A4M4GZiwUEuxRVwhasDtRc+nr6IJ4jVN
WAUNNxaFEMEmS1RInR3Khp5qK9sxu/2kcVYsuPGrvG7Yfd1Vz/maMqNo7XXxyEyKoSrC9k2h0v70
+z8JASeSR2YyO2vPfxHU/6FY/zUcahgODKe//0CccHCXSUu3lOmYzr9kM4N+qC1RtBS65+qFqqEX
q8iiDTt4sKJVKJpHalrlbqqBaj/wBlsZO1vseAmuK0xHvXbOkqIn8ebWzB7qwzBgBKOXhn74kG2u
+9Kh+zRlBRRpaE0G1WRL0ql+GALu3W3K1ue64hQbbXvophjP+fgd98Gw5McPlpoPZtfALdTE/qnO
3WHhZ7q3zIroLYCUbIjmri2ddJtDOujNhFCR0wGocxJmQyP9ZeCPTn0eMMVtvlU1pMs6KdeS8Bk+
Tv+Lys3niiYQZoZuC4S8fHQafRczw56Gu7CvL2aVP2oU2ofBj1anENZvmtzh3F7DM6KWZO5mtPFu
0gXVRk+qQv+x9e3ENqMq/TxM0UXm9cIXb0QJ9DY5Kb/6NAKGPWH/IotwV8ACZn6xaiLsYI9RGhFM
oQw2ga/oR4dMmvcyzn/CRu3bqdxOs7Tpgy2GmxC8tRjj2jx6MAWhJqMCv5/DVhgDGC49kSqW0zhY
FHDWELkOYzWeAqq7+b7dFlvGF8cirs6cuaFYMoMWldrYZgTI+1Rn/SZiBNHEOlkm0g91cJXGMg52
MNQ3rlbAihZg5uPX1PFvg1rsKEbYOQlT69C8WsZDQi9dEZV32C2XIDu2bhEs8zTZ6oUBw/+9leR/
a7mRRnjCaXBvRc1zOSVnMJrkJndpix8/6lZlWW3G4OQXBRk0m/MC5SC432bF7mDY2i7391Zj721q
j3NksVHTjgVhK8JuxwLb5FANS08U1dIoyx0z0tcKXPlAx46I+hsQDStd2mv8VHoIuqmRn0y0X5Wa
Xr20w/fLAwpCp8/GXUNRotPNDPfu0FjmqYhokeOe7Mtu25VLJ5hOw4w5KEpJik+82A2jg0YNX57k
GJnr8boq4PNrhzKQp3jS9soIn62suDh1rC06KukDaqgSn+c/9o61dC9GrH3EkKmRqVeMEd7pxeQQ
3iCvTx5MxdB7LTX7TcJ4SdNTGiZbrKLbohgOvhy3BecxxUKSpHTAULUIPp3DVHfpCI6l46PGnDbK
NFoFMxd4OOHrrq4+MkcnjhAcnaH5jB340uEE5KTT4aemrr/ABHWXd9Tx5QUNO0+URN0mEU9/9RhB
0jYGwNcml1aC0bkKXk3H/vSS6DbI/VVAj6QlB+SN+skHNwdrWf7QdAkgRdgnNM7hz+epYbrLf+IY
ZBlRQe+pSFhWsX7Ssb0YdvvSZ+Zd5MlHykJKvIqcJrdOpS/JE7zXZvQeuOqhZfxgXMldbB2veyhy
cQIyfov18TQNpCLxQGCkPwrCeUC35gk4hjrJ/FZP3W3Q+IfeLrbQ51a1zMFB4KiTaf9dcDtEYzuW
PfdFOt0YKHTEpTqYlaz6nl99hG0L5Jsx7sZs6y9HHz79KMDC53LY7rThAsuWTjxP/SiruA24baco
4TcEyiiBFanYlOqZoN9L6xrPDWdZqMPn2jG/21K/MMNmsTWu2CeJm8LVZBQTMMH+GJORIUC1TYYU
EmWKdTO6Jpn1nBGcDQDYQ9Jfwkc5jXxbRtacEMI33X0bZZZ3YjAuuZHcYQu8GgYzOOHH2ySkcyKy
V61AgR6C8djSMBxo0PJ4C70ifTOmNxwWXHT1lHJ4aXAOBMLuZKyG4bvbNA9SqqMxdZRYUqzjBydt
iG+tKL1rNORpebYq56lssMZ7zouvjfecHzeZm23saXyo/ZYBzrSdPwgVxw8Gf5w14LnW7mF1aYzw
r4mKzkFR+Fs6pboQqk0kULL9alhQXgktzcT6Uq9BrZw9Zn+pa5z02r6SnOawzfg6yCnZQDNiAndO
huBIIH3rW2snD7WbjBtxzWXCN7VDWnSHrJt7TFl92pReBpoSEQGP8wLWwP50+t1IQJHK1B9zoByB
Uubbqtyo2UHku4CfM1TfYVlL4zZTHmoD6yQ9QtvSWLddfN9G5guE1+fOGT8soq01A8qFq2OFCLJb
OCtwO0OCnyV4wKR0CL3voLScgBtchtxkdfafWk97yCdtm9Hey2OB7uPt7SHaD/grw/AobkdEs6xr
UQitO4GB2/Oewm56UG17oeTrUa1xMzzw0k6VRaBKSpue38fQ4+rlFzfCm6+tgv5upvcsXEVv31bC
e+G64Vj2e350+hwMo7fj7rJuHPtIQ8+8ISpJ+iBmeJPEJ729JnW+pS3qNk7c3WD3hFXbgUplf1PJ
AO5h81JbJbnpuXzPNmcTxLhpGM1RlF1RnLXqAVQvuWuMyyIQd30+7Xo3JUkNbIGRNiIoQSFiicQK
NP5075VPfiP3oQaRqqIiJ371ovBbt4IPkqf3ZogGmarunPHZjh5WU59FLW7P2Fvvozp9U3bxXFps
GZjf3S64UhSwIUmKurrEP/w25Br3drPf5bEPsmkBQwOQa3RKAZ91pn3PNYI+B+cwCTqXFXPa6OLT
t+7H4yd4N0hgbX+wEQAkb9Go8UXjr6Op+yMNCIgVCvWp0RswFB55epIEjhesDG26BBkams0gbQrb
u8loHzsoTKhvFSpn9sQ0ET1wSWLhaArjkoTBvUufgDnm99V8tzfL5++INa7788XHy7BwaCGathJM
I+igfawj34t8k/K3KDZojIUrPoUpjTcEbje5ElerzbjfRSnzRDhFVguuEN05mR4ro2bvUdur1Os3
KoG2mC02OS0PDjfxSj5UqMVtXW/tPHz7jVD5PkTjedCpb9NMf2tRz2+Y3oBUNjh/5DnHFGUTItB7
/wIWJD+b4SG2kr3ntuOpUaV3R/5ZY7mwvnM7oHHE1m59BwgwA3EmbnFH803/oJWYgqJqzykPda/p
UZaK4DJgtDwlU49sau5jkpobyEvUIMCjz4TY0QOMxbna2pp/MTWXaafZP8mY+7HtAF+E9cc3kKOr
7oXRRmlWdM66r37ozS1lYpcGfvFB5mIX4erg72j8Gz0YHmNB5GWqtTW0JH+hFEHZQBUPcT8+ct3h
tDeBJDbpdx+pLydSrW9GV24TR5tAkQRvdeMC2/IZwwrvs4+ZrWZgFA4IGi+qpjQHDkHGYQ9G5kQA
hxMdSfucFC4fB/3NtCog2Vgr/Pv6EiMa2gegLZdpR2kYT4ymefyoNkQ4pBJ0CO7NCZVMi5sOeOoK
8w0aHeReOn/VPQzss+tOWzTxz7Aoj0UXLb1S006Dgw6CEeyHw8ncRLTHskGNfMfrgoVCzwJEAdmM
L0F1sgaiFlNJGeE02u+Si8TKRf4CDz4tXZOyUpetom1wcvEy/p2981qS22i37Av9OAEkXOK2vK/u
as8bBMnuhvcugac/C605MSI1I8bczw1DColkdVUh8zN7rw1QkrlolM1zmAjME1hBdK1sd/OHRnXg
KYQB0tOvycTwP6NUvyC0/NSmsFgPGRdeaJsLXeU/KF8ZlfXpaVLs6got73etIMK+mvE2m0hX48Ki
KlpkQfJcEvO9MIhMIzLP36UTJH1ZLnO6MIYw8QPZH5D8Y4bnek6ar1Lmd5uxalIrBSL8QKEx54yh
JfTKkeCISYdWAAk5y/u3HtloULOV5VRParJvfHjzbG69WzFMFTI3wHAV4QhRTcRtCLWCmQfi0NaN
r6YyNk2Y4O4f+UppXGVXqUwgB3Lk+k/kj6Zqo5XoKrQ/EoY3s+0IyApm0R679cYK2dqRG3k2Bxxm
LOLXXtoW684hKDmuBaNHztOln8M/dCD0Qz/RqQ2rEgVybX4WQJVWKYKVVupsAPKJbO5w2mc2ITV2
ERlrTcHxNKbhabDQ3pHldMeECouzrb83ZXhuUasxSjGjpcRBueQ5xh1niBTZCBOltdARQpGy6grG
qjwr0hf31ZY0WpeFDRJgi3HZpLOkLxnTLyNXJYtgrPVtFzPEq0bEbsXkPArbP4Skyy6ws196myYS
Uuil5pgBmqLwc3C6L2wX7m3nhzcj85KFE6X3sg2Ml9EaN1V5yUtHvwI4wNA7qTOJhlRTzffUtdn4
BvaSjddPW5tuqpU3KK/OseWvTu1BbSIY6MAxoA7m1Aq4i239VAuyuEyTPzmjDbZRXb7oBcOuaqph
p0TZkjzn+NGjHPfb28j4cBsop8B74qAqEQhYBsltMBjDskdlRaCnu3XtYUfGwmoAlpS21KqDKm7E
9L2ITANaZrVHUIesZQHjrpTBhte6Cyu4fmJOE4KLtUBXszNnLK0KHRLJxL3sQrR3FY2zW63JG8iX
4CShrRCtGbEgZVT7nT3CwFeBprZWH0iYi4WbhkBEa4kVVqb3cMzXqv3MJxYqJjj1wLYPfaNne4Nt
GM5riD/lnd3gB3T6H5b9Zva9cXICZ0adWss2knA4KrYhnsmFnQ8nFLCvkQDkP6ocnKtLfFHuJ8gZ
UmlyqnrZLZJ7kQ9ixdLR4NZIL4VZ3RkTGvBQDhVSOt+dV3YocdAsLyKNNseelyepNbzGwbnUBknl
xkowCXlPguKbSqqDB9VoIilmtPyXJK+bXXkMuEOW+AlS3g/t+0gzMVh08OrVqZ5CktJOlRqZlLv1
Kibds/QEOgcYw0tLr6cFRpYVLLxrPKeO9C2lfZ527Yo8q0XnOB18mF3XqWdnfLUJJiFFyhSQN7UF
/gSHtSiZUTVAO9QSjQYnsUJwloIE5TQ8Rk6JmIEUbfYRHhnhenosDMBdmlpasBUDb7p5ShLOyrg4
Noxig4b2sXUC1owa8NaqBPACqgixj7IeAr8zH+ukecnSbBvT4WRJdFakDC7CUsONWBdvQzzezMJ9
N2qxbbScTtCXYPl5lE5Ii62VBuN1nXIp1OGw8iai0FXSfFhd+aIhH4DF9wHN+TlqiLHsbUTD/btU
2icZPFRNFvbdUpOfKUaOZVZQLtgURpGhiW9ZPeTrNqg2fqXUUljVOwqquyYiuypJrYsPtFafS2St
9IGcEp/J2wJv1yw7Gub00Cvd3OVugREa1aZMBRK64c6v7Tt2/M1GNhw4YcSFV09qJJqBcVblxM+Q
yvaBE33ADsc9htA2opjYFPj4tvnwid0twW+p/yQ4t0DUArk1o8QeYxQ8AQ++60Ew9Uc2wIb+VnvJ
fZ2UYO1nmxQsOLYEXK66T4SfaazSgLKsLRhG9S6xERGtgdtp5aaKoXQSU4C8BTmEXpwHPz98YYFT
i04jrLcdmrsuTO66eFbSEOsVZ/U17C17TvAJl3kpWwro1lh6lvkUiA5Dko1mlZhOIudAm4yrqEBu
UpzUQItX1gLKM4Nr/bVJjLPb9B9Dx3lR6g1cilqoNUlzUGKMCFM7CHPOSw4oMkiXjsbzYvsIlaRR
3QDiHSr0cXwOVIoBUWXI4mHPymvskXnQKw9WVoZy1pfNoyHGK3pTjeHhoo9fRkThdJ0RKywmdD3w
nNNYX4nLAa+ZwNUQMGTYMSB+oI2rdbRCfWPts1DtJ28Q3AHzfmB67gV6tIj8VawTOfua/oW19bul
5VvY0zyxAWp8YE3gc97VHDnXw97eFTVCK4Cx9BEEdbV6eEGoeo5RHsGsV0tWQaIMXEyDvQdwASCU
Rcybg+Ji1M1r6Q73wCD3LAAqInsumZvPcklxb+mxWnFEPtKQ4vpP3xFpsCTM4f0nT3GhHUaFmre0
BoIyTTPeYrb4aeBgdwE4s8gmpygjsLHJFA5cuuqh1Xfw6rZdwrxkMubKpedrYlkKjVJBuFEVcXVD
/15oJGM8pkO3qRq4Iprm9/tJEXYmu+6z4oV5BcpKP3rP7FmxEdo/lMuLGZI99+pHYmRPBh0PCSKr
QnnuuUbPPg7qBeG7t5Sjf2cEvbGpE67SUAZPbmneSLpZR759NtyctR4wPZbTRJ4nTx0ECXwQJ9qm
nSvTY5M3gC306Zr25D6VyQ+PcDV0H7m7CmzKhlA7Dnb1TK+AmEAcmt67mNK+KQwBG9vIuApoY1jE
PxQDO0mjfbDMjy4jySUQlBfdV9tI5Lvv8GhC9krWXJniUJTFrdWZB9ZBvXYzsweYJGaWto9uEK1t
O1GMZSTgsWuKl0BNdJQG+uGUc9GuTcNUGw0pNpgMH8Z+TuSxTRJOhdSgFoAAO3GZGgvoT1SiM2sH
/aBTJrIaI0kgnOsNqoOFdHFOBZl3UtOA6pAaihSNuN6QUMd+3cgOlGnFs23qezQeOAeAJS/DGxo9
v4Zqnhgi3IYjeBoy0w5+IvYSct9GFDGJcPBzajFHEYj0lHe+t20c9y5IUb7iH1tGBjaKCXcBi8yM
4wdMUz5iwpeFp20HwcfswE72utBC0wj+mk95G4BClVnBpzgQvUZvWh+KnIQySm8OsgrxlGMclNYR
dzOzuyM/+956GWGfZNiuIuFuy6n7IFYdIXlvvsSke7f+wXPKu6kuz4ToMX7QiBque/zXxpSu6Sio
5rXhENvea53qgorS81clDK1pcC4qKO6DnsuKMAZ3Dc2kQ607pR9jxvkWwJ9quvZglNOr03b1qp/m
BFHqDTdtfgacAitPda8NgElIcf07vmD0kh0lN6IPFpXU454pftCg8T0Mg1fNG25EREPW1ydO/rp/
t2rUtuxj6gRAhyDNbUVTvdbj6k7rKM0Hk7yjhNzqzdAlVJ8E9LUk9C36ioS8MlfXel6V54J5wxgk
3yoTqlUGBLFwK5RvzXRntaCqVGmRSAiHh3NIP6JPxsSTkC9u1/z4kAxCIn3GihcykW62BC/5WLkO
hKuSNK8ywEmbZZfcjD5S6EzPrktfIYxEbEVBS+mxVCeJ2NHcaypEsYnenSQal4VJzFsw2KCtnnNk
B0Y8fdD+GE1x7B1z34TGo59PqPlSJjXinVBqRTr08J7o6tDw9VoVxTc3w20xeMOPRKB1d1WeoP8x
ihUxDWwP5DcMzR9u47+rtrK2CP/JtJNq1ZbvlYGA2m012r05jMnss1M9pDcbSU7gUDGAeAknbcuO
hAmR2hq1Xy57vUpW8QSccMK0gWzXDqgYY3YeTk0iswXfrolPQ4+FeDBG1BI6Zmh86w7YCf+QZulD
iaIZsEeSERFSAU/w7n0ydxq9izbImBG1E10cdeQMtQQZR7lvLmyjOJslgYYjyYMbapKzKtoDtJLC
iS6QwO6IRdhkOrlwk2B9BM0lc7jlBV9fJzXHlbJ4B7cQjaslO0GCp9vsbNgoxHNcPEbP55RJ8+j0
DJq0eIlnfGmZ3aZtdPwpGKXIe6OAM8djOEwIlK3P3NBIlu0xQFgOTbP7LMSgqDt5ZwedTl0TG0kp
Vhpt9KJrfIPMDtjd2ETtNh3OtVHwZ/rebRzzeFlYbrsImiOmpO+29ea47ass9BdkDG9OYn6OyfAt
aQSvW6K56ocdUxsPaw3i3f7cedu0KPdx8OoE6pCZayqMkh3U2OkvQ8fJQbKw39ZvA++jnpPbK2kT
43brtu4GS5eNQL8ls1x0hrvXAVhE87Az6/dZFK5JlJqPPFSRZAzKH1kUd8zwnM0E039t6xxsbOos
SOe4CgxvxcGOkhq5SDY86zyNECDUhZSJ+JwTwjhfm0Sf4dskGup73rufLjENq1K5C7Y5OGnxFuiO
kWwR7CDKLl1uUP+SWUAPmFrli4I0NZVPiGES7n1SsYZ5ICrVexKi7kYwhao6AZU9hls75ZIC374K
CVMpEM4DFaSCscqNk5XRSkFZIIbM2are+0DpDrREhms98Q49DBgPgLhhC3sF5vCpi5PvgUXhQNUI
xYT73vU+fTPqVkLT0dJoDdompoC1KnuE7q8GGp+DuM9QfS7ha7s4AfTv3WyqcW7OvVdhCRnqdmFX
FGNNT2JxiKAlFNq4daaRH8kKO1Q0Jd1KAKAi12AcxAgvVqnEn2NBhFlIwFISseI6q21jIdt8k8ce
jdOIaNTLiSQjk0AYw52ZKzKIOxdn6fDRtpgaLTU628TrHwTI9dbJ7sm+3TAsgCNfc+S1zl5gpuUV
kwI/NKQRO0ZsLxum/GE7OMt6IjcnAlwTB1FMgMWInF5xYG3Dlo0OiBvHq3bOhBpZRNoEr+S+Mabu
5Edz1JtZvRmRTtCua7FAnphQhGpuffvqIHM8Ah7MsiNA1099iOOdKWOYXMWB76ch2aj1lfXa2Wjh
nNHtTz1kuKYkzq5uebi1SGcRUt8juWEFyfgxq5z+cSRgL2rqeNES9uD0Xba183GXoCLZyj6cVmVb
QHZJSlKBrddmZFcxEX62Hhr+VIjt4zixapR74lrOEAZ6bFEIqYCL9OijmCKQnxevK/ptMBaUi5JD
NtKSdRAzdGYJ/prHeCgAxzFZsrkUBqGvCh3XpPusOGP9OHwGkldvZMv80RPeCQ/5MVAx6HTmOnZd
XgcWt8s6jLx1AenBj6+8DzoaK3NdQ7pZ9RZo355udOl5zyqEb9GUwOuKJgEkM0tYqe/PYVMtbEI5
TxPlJYMluPmRQZTYJLO7JNOcozMm9wYzLkKLwv5g9WO589t4C8YUmUGCCQhHLjESOcETUT9HKSNs
XFFh3WIyFd6QSuGZ8EfE4rRNhXdpzGBc2yNyppFoVd2jlKeAh8ecMtBzGx1tYBG2iwQFyKYsm5xN
tmNvtUpDpTZ/SmVs3g8c786V82XaytYOGAYaoIYwFPLzJyja8uEwTwprvqQ7aZHX6jIlsfGXEkk4
KwKTVZqYTJlHY2fZ2jMXzzuJck9Cc6JVVnjbMPWqlUb60kpIPcDfnz0PXn9BQeLvQpyOoddfW1nN
mk4yH5SKfyp8+VQPjBR6B04WRUfXFXJlNRfSKFaCnPsj816qf3JNtuZkjYc6o93MMS1rLjmvRvju
O+1uUFr7IMQTLPqHsEhudazjLLeKfRs2azlY0VY2JjPC6D5u2le7C+KXyh6PoIaHddKH1gqJFEMc
p7uL4AXy5EHiyHnouJfHU17IWx1VBcyVu0Yb/R2JeXBFCBmaq7UNxVF5VLlNEkjK1CIAuekE3dYq
tVefDhhPcIkXvQ9z5qrFymzFANlOe2h0Ua+NaWo4gvakXT1p6Oip93xQMGeeghbZMUzixg0Zd2kr
i/36sZsvwYEwhGUuHAaoPvsTffLXjlcUbN1gLpJuzMDD/eyZ65/DTBw9T/QnISFQpvUzs9r0IVHa
DkSJu+zBFS1TDWJSVia73qSwssHO6Kwmgy46kbCOcyTJx+2s41+EJn2LkxXg+NL7EBfEqSyfMFHa
FPi2tw98eNJGFRlHZRwpGJKFq8v6GAwENWeTzUilD+8q0gIXptIeTUwMh8SqfthZzZYchO2mr+G3
2pF4VLG7pD4rcFC5bn0OYlx8SpxRxuKW6LVdEp7MatyELO0qBiijaB5IqozYB8iryUKypJb0g3id
4zFqKrHz9PFgMvlR7XiTabuP63SHTrgYanAC/kUm0b2hpVcpo1cCEFCFY+RIfgJEXFUgAPOoRw7Q
qE8wEc+mG26Q5J+T1PjuzMC+OmUyOCQ2t42ak17RgGYDAlp7WLRuAh5gNbDQRrz4jbj5VxFlL/hB
3/gusNl4DBONiolKsmTBqbx36fufcW/cVW8Y3p/ygGFcMPrc3512cvVmlyWkCRpZeAYl+5T2+Xsf
EMNag6oPPf9pyOOdxlcNig4gdz+7z6P2R22F+M50GDSwJd91lj9zIaImNppqNqFBbiAdgEjuQrsb
E6PbpLF9K4Ihwf1nydV/ppwUnrowIvxxXOZm92ahz/Qq4wSz/mc2ew1Vlj0bVvfQSOe7qzmXNBML
rUdwPNhv/yECvC29hPWMctKXJNK2gY5pKLbbe7eOLRxMgvFaMSUYoFZU49g1ZUxwo3xJHP8dZUoK
bpJVCMtOP4GmhLGBGHGrXAa0/5PJbJYUxh9aLOJ5APmZU7EF5Ty9HcKDMRK5khCnGlm7urO7ZZWy
wXWz+6Kp3mI/eP3P2NUKihtaWTNQaA8c+6ClTE6MpIroyTWCSRAHjYRidDb2r9iUO6dsoMa79Y20
3YE0pxOboUOgJThC6cPJUY7SlSLUfVXUVQniPb4GzYCG2SeHpHfaJVJqLF2SwNGAtQssuuEuk84m
kci3/z8wZ/wrARI54v8dmLNvv6e/qioNg9/wFy3HkP9l645EAyl1XefLRO7AX6wcBJcGNBzPMW2T
3HnLQHH5P7pK9790D+2kKwzLtG3LAb7zP7pKmyQNE7oNwkGG9jY6zf8XVM5vukrd4G93LBvDn45Y
07V+C4AsbOLiWmg/zLlMj+LmbRRMJ5KAwYoeTCzuc9pH13y09I3LvBeNJfTI1HG2bme9SH0gFnB4
qK0JMmDw0VQMbf72Tv4flJLzG/d3naTQEVvM+kh4Q8KxHGsOm/ib8DMeArIyIxPLpMNKNbYEe1/g
C7tYN9ID/yCWhdCktdBGue59fPJF/BOsXvcQVdm4L6Kk2sAXCFDxj9YhsyYfNLYl9kXZfP77K7V/
C5DgBeroYIVDigSUCz7zX19pqs+fIAgCxnuqfCvIUZvCUZ0Lp2m2Yd11tHS4L0sa86KVzsuE7+aI
RaeCfiFBcwUFgNJQj0g+s/Z8LPm9nXJtDExxCOwZv9XBwDLpzW+UuId51Nxas3ykM7QRJkmm4zEr
3G3rjT8qcPRh2vn7pkKtufVD8lFMremusnklx8J5pMRtNy6qGtca5dHvHG1TccOHq4y2gV0/Ab2U
8Cu9T4tDo9xPjdXpnZ32RH7nEvOaxqzigfRbNtwAmVsiyzGpwLH/9/dz/vr/+snzJZemwyNDtYbu
97dPnnEMvTYACEAJ2nXoKKaThFmhV2iK04tRLgi1fVz5+3bMjVNU248jcPYdSxkku7Ez3ruye/3D
a/rnZwzVCsUnuS66OT86v37GVVKjXgUHuTArS90NtaZO+TQ9lwrxDe2wds65lNPJufVJ+TlVCf5w
5rHfMAy/FB3EwX9/Ob+rovnKsXMiKNbWQdqgzv5NREweXNP1GdexaqECoYNEx+XEA0OaarYuF28t
U5I7s810BrODg4sAl8M2UgRvK78q34TsjSMR1MaB0MN9Yetvchi8VytmONR3BYIaiz2sIgVMkulE
fkAsFoZAltr1FrCGbCTVsGxSRLNJ9CcW3D/fajTj0uUQhEFMes1vb3Ve1SKplN5RMZTPlqzFqjSw
h/dh8KNg7a9M1e/yrBufpP/dGrTkOAhXbACiu6y68Lz9+1uNxv23L6M0LKgt8HYRc3Mg/frBe6Pv
FAV2GPyrM3EqxPwheEYpYeDAk/Rz56nA2v/73/mPs88QhKAKF6ImT4DHB/3rXwo+KI45bNgJF/kT
5CwOE8jTy7y3eBTbscO041vtTNvE3I+F4qGbam+T4WrfROmrTWNwIvvLva8s41UYob8PDcL9MhKL
/3BKi/mV/G/eGtcU7y0PhDC5myzX9Oa372+nNPEd0cwiKRajbb6QemYsKmWYZ8Po3xrY7PQM6D62
1VCaT1YB5jEguMEZmF3HHco5Qi3gYFrDsZvEC30h/7+dJtM6kTxRTWYeurIvLnpW32TfIdIosHy2
XnJVpXr2FGwjG2UJqnOjQGtQqT88ZQRU/f7T8WzZjissm2tyvrR//emiAT0wOMiShibx9oSrbofW
rO/StsGiEqGQrEb30ccS+dBoRXCSmo/3JS8/9DFDa8F/U2BLH4JcaMfCLULK9khbD2EZM5Brqzvd
H1ddZYYPSeF8dKOIwR7DqgsNf9pkdY83sZf3nV3DBtFQA6Ij2CGM+jb4Q/PYS9J4iHTwU109eeDL
N/GpVrJZZ+7o7ayOaasjpmDpezoLRNfNHzLfvMBacHeNz8TaFCBHekSgu1Cv3r5uLigHakW6p5b5
WNxA0ywIiDP2fQcMLmMT5QXmU4rXr9fN8AwSHDDzfMbVEPMX+ZSh2jEgryEk7Q/SGWbBBuN6T4Tl
vlIw15tRPkoW3ZsUwAseIg/lhl6te9LzWHwW7Y1Tc7ri5d8rA2Y3EXweosuquJSdjvlQoMBL0Eup
vtc3E1w4hjSq3sW2EotmCINzkEPMHGu2WDp/+V7MuIA2unbc3Hu0CSgUxM0zWvOMAU9bRGVSboo6
ZQBm+tZeOg4hLY4VX/oei5wEvrbp5y8f48DiYiNrY5LdPLaC5MDJJ01+DDKn2RiWVh7aeo5f0Rgm
Ta0/HMtRvGqO6R9Fxu7Nw1e6qSz0scKuvevXL9WEjlvzKWhUlVPse2qlylz/oCg75PZ7kATfWH4U
95mnyyPD73pRJdUA1kDQSVcSCFTdXZsu0PdScAII0DXn0PdBqpbtKmmtj6JnTEcearzMpzY4FeCn
Y70AZ1emE583/1QAO03yrrhv47cGkdJjI8he+euAYSuIVjZy6/t8dKsdzhnSEdA5R7IyXgMZwtQA
4nVPaBaiAfrwZVLm4tBGHpmmvQBo1MKA0cYUBrlV3yPygp2G62z+oqe02ldPq6Fom3sxVf0b1m8k
bF4LU4jN+DHu+vJUReOPsjCd9yyv1ikk3q8HQdoygDu3CwsSMxqdwZLiK9wa0Pb1r0IIn5h71QLX
3rD4svGvGk8x4Z6o5oOc5YLMCNzRN2Hg34GkJbaA42o4JIVvk4tCVSHJhF43HirZirmEA3SMVthq
0QTmyR5sZL3zpD8hVWSfrc813NdvrVzTvdekb+6MIHT2Vew6R80pnyOvj09daRPnUvkOu+rpNQjr
6VBrCAAVGoQ1AIXgMFWE5pheYPO/uW9QNuyjQ5E6t8XZ/MsYmslG1bEDSzrfNq1lP3z93XrrOCfi
eiu+w2201TAtLaKCpU1njhNGVfVhSKt8SySKoMlECtnIvH7iTmmXut0gWpx/F/57+xibhXMYvPaD
sIxh5QdasY6GeF5F4ZKURevvvioGUxC410yu9dBPAJCNYdpatpOcJ1eNy1pM5cZyyFiGV8iJYrDj
6Ovw0LIqeUx6M3tQ0ZXpu7cwkx6Y7PzuBV334DXdps6hJWCLYavh6O4dsFuYKLYfPmObTBZxYai1
Kbqf8cQAqulr6IxcK+eymo4dIrTTJNAkdFYCES5I5d63xoZVDUMdLbzHHkqQAfTwoLCtF4SDb1UA
dbypx7uuiROg4WXPOI5NV+OF66qY0BmG08Xz9fQyQZTcxExRcYHo8Q136Sbp8EQ02jyrA8F59Fqv
2/k/g1Q5+zIq3evkZChKKv2Yxhp6XCBIiu39qh9idU1GFyKNboKqVnKDBzU8NTrLsEEx20sCY3j7
+qcmQ9Njj/2rEe0hm0xnlPz5xRoZ2P91Pcq8cXaEoRtMGPNo40xZ/4jYkmQkTOTIdfobT9+ba48o
70Rrb83IIDTcRfJt2bLY6Tbw5LLo/WM9/+JCh17VkV4ufdthDt1SdLNVvdNN9SOyLQUNTbMeQhJm
LXIq9jw29jFCjXIEQQB0/uuCB6zTTpl2oDXKt2NuV2st7YiHipV3NiNMwagEge205VYk5bDXo+Sz
yqbyEMQjhrzIiC56QaBjErS3ROufdQqjfRAPAmE34U2NVMHNqlhLDp1ZP/tu8oNN8LlsoQgWdplv
ejMv96TKIW0u65DMJHetK7apSdE/OljtNvahnkgL9nBzb0LLHL9F2lV1w8Uvuru6yXjIRROi+IdE
15sTnn10AdZXzxNqRnP66rg8pqwEZKNhiNzhrsFDZsRGcyEWYICBjkGvb8GX1F3yxjj+MjhcwDiO
rzo9w7bUzIut9/X9DHtbuaNbbIjh8k6WfRx1vFHl5JVAsHq58crBPvr4h2fXnmIl7sEWO/BAMCpm
6XE3UThtpF7sYpl7APtktALcEB7KCJBsK/1D4LbmjbwSDRUUEXJjXAyIzJGotuUudBVrkh56/vwL
IFO1zFt2pUWYhttJgJowsV6cDLNMlmSAHUFwx+dUZ7hqo4dbZ3Y9nA+YUJpTOf9i6xCfpKsU4ifZ
3OyA7Oqi3UUgaTVyVRq/N5+yGHZVZvqQcloqO0Z528QCGN93XvAEuwSRUXABoEb+RgGXNm76K6/N
3TRtOT0YYXStNXxfiBQMgqB+DBRPSzm/RY1yTHJHpuQUVl5yqiEEBmY4HasgS252B2jV0sMHrMw5
emiWbEXsdFA2tXYD4/M82GBFEm70R1n5Myif3XZslNoqAtR7AlsYY0kUe9Jk+LdK1qc6sH+GhLlf
WnLisShbD83Azrcklf1+0oKnKnfJAPMy41a2LjN+/Ea7zMmTlZ/PkrjRrXFhV4oqD+B3jMXwKOY/
1gGHvIy7tt3iCNUOjc3vKDO/4seLxLLhlF0qdDn482TxwgPNNLjLbhCLEbfiPWd7bywItphPmzi4
zyKT70FsPsmEaMa0vCnlJPeT7j50QZitvrqBPu3spSATC5hdOdwhlCB1J3OmVVdiR+1UNT1nhtjG
LLajq+H303svqaYK90BtQ8EbjBOQjTJfFfOPbubBbZwHHqywuAaY4BM34lxk7OVXFrWPUOiRSsdh
sAPf2NwJ8xrg3YFdQKC903Df2WO2LgmSggTns1wZFY4xf9jQ7ZJl2UbtbWp8ptEO0UmxNb3KuHqX
rpazt/b4NvUFC67eqS16UKLBq7SBxsCja/SOeAJs26zbLHpS6FRM5d3kkOePzXwbNQQ3Fe1CNt54
A5geHKNIooTTQX7Zli9YFPJx/Xs79+VR/qVJwu0rsE/PMbi24xji1zbCc5hfmAZ55giUD/okxTbr
VHujywtXqaa+mY2qjqEmge+F7EhxK64pGJvr1y9B6q5bm+i3pqvBUfGGh5EwD1Xp2Hsx1Ns4nf4w
7PhHT+e4FnMXlxGh4NT+fZ4lhkpPQU8iAFTpuEwtj3SYKfJ3TeY25yLyL1bv9JeEuEdUe6P6UyLr
P/56z2bGSdASKzjHle5vLaUs3ZCMWZ/9YtmyByqjcINVq2fl2dU4gPV6x6aBcJFCBsc48pqLiypP
bsOi3AgYNqfeNaZdJ8mOoDtBHDiGtJBuXVwwK8ntv3+05q+8cfpfzyHV2ABcTlzLbKL/9aMN/Mzq
yUJibwPFdNknDjxT6hdV9EfTdeYExuRGqJ65itqgf1KJt0gnYb7MVc4pyYNo6fbZiF+CIpIjM1wh
ZUOMkiVq77WWt5WaLZdWA6VyKLHDRE32kDUN/UzvI71sdPutdj0uSTgRYTNpG0kayJ/Gcf/8ET2a
X8vTkZoKYcjfJsUDwgKVJZLEmLminBQ3JXH3DJakN+B1KEDBmfO3VXObam3lGnpOkDzHf3+j/zEU
NMiSIWHakWRQW67hzlOjvw0a4I7RTFiYl8LaMBadFvctHig8kX0siR5NGYx8XQ7x5LEUYrK98s26
OthoJ0LpVO/T7AXt0Z7+4RsAzuC3CQgvDAyI61hg7KX4+u9/e2GTNwot5xQFupMRZpkZp0J0+QUo
TkVJiqzSICrVEDR8ecRSm1XUvmsTFr+YDM+6axZ/eKcY4v/2ioSOmB1mgbRMRtOW+ft3Mixyp/EN
TrUYbmuBvPVrxuAtxdiWK1v5A4rirtkGVqO/tbL8qXtu/9B0WbfPvRQQOnL1ImAAp5fxoRVpinwD
PhMazW43KW012Gl+n8cDtt+K2MHU7rD0z/m2k+49h3l6SLqCYEINIZ7jFx8RaXoYUORDU9XNtc2C
7Po1Ane+9YEqLnExiyu+KgRbw+2FWoC23XBwOyYx5i+ejK9GC2N4Qxs6m5yCEOfRPFz6qyaOpBEh
5kc64rbeG+/tLW0ZyxaGP9BrHmUOFUmP8Muzobt+TRrqqU3vhXzV139NtyeQeQjmS2T+A6DDtB0o
VOcmRRn2j5pVIBi01nwCFH5XlFMDTt/TTz5gk0VUQVtprIuYfykEXfX/6kX70NxTtNnoJYi4KdkI
rzx2hRD+GgAwXcRGtHRc9dPKPxu6so+hx+uiA16lGc6iYxEk7RXYHb22R2LR1BX7MbYzwNxni/4r
SvT29vWj6Jq367H2HBzBeWHY9BRRaOM9NJEKyNYrb1BbP/+brzNZblvZsugXIQJdopmSBHtSpCRb
kicIWbLRN4k+8fW1QL+qiqhBTRRXvi/etUQg8zR7r52HbbeNRVgdSq3C4OLr8lmHyMLqUQDwYrm/
zUFrb4sJgBpt0Z/OMjBgoqxfqWIJ5zYrKJcjIYh+8+zkUn3aCvU9pan/Fk6ApqKmmF5HILcbpF0d
cLCNNdETW4zv2Xg26j1S6bAyJyPb6rODwnd5htQEMT1aanLDK19VwejDgrwQZzrTIt5v3Am4aFmd
guijCOrdEeiMO54thSjGbr2Tlcfy5EbPcC2mm9vlE7tivWPH4zdAaXt7wys3rYnYXftLAZBlbkHA
9H9aKVfTQTGUFqT71DhLB96G7kxE08b+r6xiKyuMLyRkNa+rrZ+nCiztXFjjsUkm5MZ8eAcb7wXp
ErzGjhoPdpNiRW6be8KwpyGsbm0p0PvSJXrYi62tb3YGLwkDbZTOzZckjByv6Rxd/+e7riDecsYD
t9YW4nW7gOHGYXJ/em3Pi2GiKlJGun/8R1D4EfA0kofLFPGOtnoMxrxCkUoqbRYmsE0n6/nRuRNa
nBxjCIJnhzHxBiGxtm303N7advXpmyjaEiPVdqE1TDjjwFnEcvZQ84v5qSEICLn9crjOlZcErm69
ZZZdnpQXH4ZRi85Ais0VDpWcFxBNLu+nAalxFsGAs+8Nu9h1yuzmFqaII8fU/C7Y+72g3QG4i1Qo
oG/Y5V0uXkCncXv5xrdMxSuNv32NSP6lNQTgEInpLAqeREPpz6E2tIfB6NlaGeg5Eq1OznOWX4bl
EWjGjDRuv6EAMJyYKL2uPbllBz8UCnt7SkIoWWRVHSe718+z7X78O0Bc6fbXWaBPrGIqiQTDMxxu
7wQqPbqE6L+sWpzR+/ToKnVsd8iuuHUKdgAjKGH4fts8AuScmoRe98gQnuOoBWvkLLoke7xP+D4u
jy9tI6sLACeeJALBD7pTJC9OuS4KZ3iZVOrSoMK9N5ZiRSuY4FptLXZlD2G/d6cLK0TzYHio9lNE
2ktn7s2sXx7XstNxTIzTEhYJYQQRTbt9/O2LWX9NEZdgc+BnKb1rhuMgXe5MHAxpgzLdNt0JGkS4
ALYgjyzjsHkMMUk2RkSgRGgdB3fMt/PiVfXQXFgT0lkN5lgjmvb4aI8Ll0lrT67Kv9M6VmTNlZjH
gHmDsm8JmV3+463nIULh04Yxas1nSy92c5WeQIRVVxl7d12k9tGxTayWWHv2QLcCMsp7ovHsmWML
J21pNRdvgYgQCSF3E8s1mIKO2lGLB3pEwgCppLzukfgUc2f+SLuwuKrZ/ZxdNz41OiIXZuzuxeQd
uZC44WyRSS75hTI85WiKTqLpjQCEFuHTOIMOsd2U+04AoLaYkWzMNqrPcSbaTVf2ap/n8MMbXYu3
WpuoDc91+lxWpDD/e18elfoyzUlyS7ulnTXvWC/VHzgCxXZugEn701Qu/NEdVkPeBNmpdtVRU7Mf
sF50wzoSmyl30hUl1D/rpPoKEKHNrEZNPfKbSQ8IqSfnYsg+debbAQZsskrq7KcYQzPwFopq6abZ
TkYOAlS2qidG7k+PIikeU2OfmCiWWoyrNqkTZ3u0M7JitHYb1bV3t3qyISM5fll06/cqMojrcGi0
7Ty31iESxjvS1HmLC1aeoW6CZ132TVahZxsSTiBze/mXppqc0L0pQok70rZbSGL95eYkkeLddKAs
uQJoTJdaw9ugv0dyuk4kRKPzL357Waz+5NOrGobXspi6Ty2dr335XdasAHVZNsgjl0PCwl2S2knZ
fsA2oBgx2vLWECCBRAfaWq2zCJvJXbBMy393eutZ7VM5hc9mXYCNihJz3ivpADTlb9Xzc58MRFIx
8NltE2nNmeK2OqVmzY886l8ust1ja43+qaVxq1r8CV4/wFHC539ySXWhXXfB4TfRi+pEseYOmD/K
NHqNMD4DErjbyhp27Bww8Pjkv7pe7Ab+sO9Fkvwu1LjXeVfuiouYa6LGjZ4v95iZD92ukGO/SoeP
MBOI0K0WxxqLyHI0EMDZkUseOs6FDAr/qkihXhkVMkxdkrXAUchg1Yh3Zin0HNE4KAyMKx2xq/fH
Qscu40PuJUfZgnMhnxeopoXMA2ATIksDjWWRjfbffMjAHs/c86wbt0UNlWhlTgR54Jw8O+aSUe2k
xSHBMtQfeB0KgLS0BE1Mum1FJQxUr3E2CVLt9aMVi6DXqbhnuUmxCqBmIgY995qnsrOBwOi7cZyr
t6SK4vO4iP1aGKErC5XrM2actynPhg9VAFyyGQq/mi7uVKuafgid+Zgt/filwgJ1l85O04h71XNu
aQpSlqWouGsYc7NejXvk/PXmMTJJsXc4eJAG5dYfeQ0ptCgNckxaz7WQwFdM2VR8wy3LEohYk7XG
eXcYCjy+pXEac0TP87Iag1OxwEdzsc2Ww6Rf/mq93zGoy9/IO86PPa6lS5xEl8bVqldTtEfEa/Kj
YAD92L8ZliLHZXaqi2uQUxz5w3ggJ4PDJXMja5dJhh+2nn3MFA1bqrRk1TXgItOlqql7niy9l+f/
v+2is/q/7R/dBJ2EzZaM5sv1/u/wwrSLrLGNTocGU1G+CtOeli6VAivDLKg9ZlxDQ1aNZih1ckiw
cjxlHTjJ1OnSTqL/rTEUhyQPoXp0RxRzRWFfQY7p5xHeeGrDdW2L6LPTycOwcQYY83kaGnhPOC5X
Lp7ALZT77uQVenJgNE7ypufA8Vi+zc3hP/+CHtmgEu9+9nIGutGTRenEoXm2gd5vcVLZT26xMNfA
E7B1IPeKMNxXHAsevNm4hLTtp/he1xqkqpW13A/G8oWxrgom113cqWyo6HnIm6z84WYWGFBHLFEv
5A/+Stz+TyjAnlY9FaqdW/JuKVxc6Hu2s9ZVl//9khQpKiulSyCyjLgsfx6h//saNGd0HOXB7pX7
5Y8G0SWq31pZR3YX7fmaDCz7h4TrTqSW2kUwSsD5s1ATmufvdbUEC82JMa2M6WSRyX54TG1KfqIk
4vye/XnYh07rQQbojVfAA95OC9XNiCtrUVDKD3/USV8YmKKVTvFZZIthY/miWXFLGgAOYB2qqp4z
u/rfXw9brE9PIm59nABCxmdJeX4gqYU0FCKRBQTMQ7FcDE6koI1Xgejq9tUHuHCz07X2JRpocK4Z
VjCvxHQyMUCQY1NHHH823JVllMdWikn/dCmKJjlh5/6j6n6+qTj9ykauqN428yfXn+J/ayHm4Vc2
fUvjPf2sCggdkQDvu9Q786Q71zjt7xV+qWD062LDW9acQzwTR7eZ9sI6g5jRfrWDawdunoUbYN35
KpTdq5u60OJF8g5npD7oFcthVprMUf2hoMsOp7WTyrdF4nmJR5fnZsEg6Iy2DlqRzPvUb9lRPfaf
35EPTuUx2CuyXpFviAmgNYgNj5nJXvDYTwDkFSm2lW6/+CkYN73xs6vX67vHpoyOegMfhlyxXrHF
j5cwGFGZawziPbbd+vc0dXjmzLF9AkIbrvxy3uGtbYN06LM70/dZMd/VBlO91U2PKLiSgSGHiT5c
rkujEF8DR+RK+P+pjZWv9/8aqni0rQ2aRbyEVe4mT+ny30jyAYZyQT0FM4ZYr/FNd5JDWWWHf7vk
jICnl9pz3udkQswVG3/zxtIBFTToKfRir8HIc1el7uq7blqw5JGu7TE9jIybW20/t0m4Zq4brSO9
8E6DigeyHdLsSuLBvjck4bHa3J50Mait0DrxQjVbL6QqDk3iTu4qmaw30TU/8i5RXG+k7AktfMm0
UHvTp/DdzbQXPy7mX42wTlOSJT/CMTOOSUIHDRRtL1m1vFY2re5MlfEUtnp505TY+G3zA4SP+KOz
3h4IB+eGZ6OhwV34Yzjw7OuQRG0nQWzd+q+wJXziUPSZ3OVg7CI4r1rK3oaRHUvbNIZWpXt7kZb2
Rs3+AREoc2oUewGppyIwGwI1fMs3jo6fV/vMs8f16IUGD53qNhYDxI0V+sk2ywaHyX/hbdtUQiZr
J0Z2uXRXeT9YCIj2DxVGMVjUjKUW7W174cl0rrMTdkI873KL5802L3+TQBbwOah3eJtI/5yRtIBF
HdqME16/NLv1Htybxzi9d8FyzgWLpJCsu0hk6ubPYoIuxM3n++GJ8IPPemq6Z0cvSU4uxXOT5f2u
zXrU5pj86DSBLm3/XbatxO7QLU1Syzt2efwT0IqLtAmwelQU1iTJlLIOEffHes4iP+hUEd/62Y1u
Oej+bWVCbH98m1g22QdVORwgt/foIhRD4rF7tZfnRNdgl0TYqsFdAItpoOPsKVrlTdUMCIA2HeLG
7V4rS/xWEoa147XhXW+7gKREGeidVdIF1M2hKZHKVmSUI3yXp5B9s/CnPXOc9AquDtVmk71XThdd
WOkn7Dx6vKVtYfwkusGyk/rNjOXWzHpymdLQu8aQtzYTi9fXBXdT1+mPx+X++OIpVtzSvfCXiC8D
PIHXOCoA5CcFKyPTf6OhyQ/qUcA5WDrWkBw2JhlU0AuQ92XjFPSSrfpkYOTp4CIwg0qMs2CstnHt
ERANruwl9YPT0BxyildiLRJhIFbQpvbe5zNQ95CF60ONE1UvZqvVF0rVNf5A9VxC2D7GOEI6IBnH
nMoN/088MciIomdDvTWhaaN9GAlK8RDlOCmpQUlI5hMa/YC035FZ0hTuvQw4pRFrG6MdrCMdh70h
NYFX3ashFOHt2LZtThRKg/HG1Qw3IF4v21Qs/lYRhqXrEIHihK0JPLyOzStzMxLKQpLrMjLpBq+D
YWjRXw5++9E4Drez4/2dKoHhS+j1KUXqQgBP5XwbAPq59tw+0K2uekXkpq8ArsV18s4lXG4MerNj
W5K3ZRP1baeM5fUmPD0GTFP0kAITmKHrBMP0dlzc5AgtJaUB1aaeST9c6A+TsUcQyWdZwUmN9dTj
nQA9iicOmxi1c18oK0hShx8lLAKlGcTQ1Lg1y2xBcRXtb0x56D1MRwOxyqgI24Lf3O1M/2vmoJ67
aTz6Ihuv3Erdk4foRPqRc9HM/mda8qsB+VRhBTfMJ3IpSmhOnC1rnSDkzQhFN5h0sktbhMvbf/15
ztqOprrd2KNvbgYx+kdlxi/D4w0eqWdWCMKSDfdus6uKbL48/gmFDa9g04lTHHcnh47tbSJ+QJLa
s8XDnOLVL/xLPDthd+iEkNvJtawbOp5dbUbDZdm+XP15ZqIUmVflZ+/mUmhTlM0HiBBvVhne69R0
SCQFiQdZLb0nSzEMHyyjfBY/hrHTSIkU6fPjSxsSHmHr2F6WP+qkY3PmE0imx7D5jIaIeZUCpvBZ
FK3VCA3g3/dlWs1Prdn/wscDM89v37gMMMuYeuezIkYgT98M3tXRnh7/JBd4/FSCbemRJOzCmcbB
FpZ4GT3KgrHw51OzCOJUjiOrhMtDrCYxkF2ikWhqZwqUV83rAOlj+WnNqISS6cf/7nreI5YME7Aq
13M2dT16PN//vSp83MgkqKyxi/vLgvNRHkhMgPC01LORt8XNVDmiouo2WqF1znozvLth6N4M+dKX
brKP8BuuQZQPr82S8Oi2cXHMubb2IHIhufGQHM2QTInHb7DEpLUzakch2AyUUYV/OsI8iXQfV5MC
PenitrkaWrT9J5brxBI5qtKX1umRPMwDTtZ29vYGiFgswq6+jZpE3F2/E/fJZBzrTr5NB2T4h4zc
mC1ijRUIhRjsiITPi0Dlahf1ts1TqM66zDd2r2UXqxPmCl7OOyui9t5NrlgLh4oU5JF4sfCi6qHH
KTYPNb25+gVUojk/vsSlRdJqz+QLtw/zpMjZtSYBSb4r7yOpDisGkfZleIP9U//ExUgUWjniucl3
jtXHL+PSEAqFa7afZ/9JQtR+kr6GicJj89KGyfqh5RHLNZsxeqXM68hQwC97enwx66rZW+R8Ovms
jv10rdpIUg9hZ13JsCPU4TGH7U1GJskPtKzdkehrYJu15BjIOqByDf9uRaN/tV1N7f+NrZdJ59AB
FYr/TpB+Tv2UDSdHah7SB/G7R3l6agxhn4oeu5NZ6PfByPeR9mwmCjuT4bMqYnbz+NKm5qcYPdy1
kVkQOypzRp7UgI8H0CqQVZh4Rg+x43GSVDxMyLvjwGiFvU977tBaE/K58BJSugYpAiuDOpZ26job
ibo+/smr9W1C3cQ0DFzE4zB4fDHIAwnYm1Qbwx0+Uy+WxJRj/Bra/sMnwfNlyWCivOme3YzjRbrZ
U4673a1hdqoo+f6ns8wmmvxwqU7QuwAUB1SyabuK/Wnrqm0Gj8YgMqZfNYQWBdPgj0HaRsMru/v4
1JuP9INPjAb2+1JarXtMAGuLTRW+O+Y/JD+lO9WEnOBksVud7m1yp56fXK3AG24VI5JF/mWiiF0Y
YhqzsHFpeOd6eAs1Y3EEz+bx8S2Sp1PUNgyVayaROFqmZz7KU7rsjeco05iyzOQhS6Tu0WD3J5l3
b2Wcq9chDqf9GFs1RLPCIoOwP3d6Pm7TvKT+WEsDaSvIDU7dLIr/OGP6o65895c/sCrvEotY3iQi
R4B79NQJGBBy0ZP851s0Eo9vsz5295Zkqkg+8NpOepdkQ+JrCzcxrlNeDvd5HH6HHZG5Bb0ewRRZ
eaubIoYGAVfj8a1nWS+JLeqL1BF+gTeQO4N6mDiIiKdqIL6hy0r0hFa8eMARzpgpWHc7m69iGe7U
0i6hgyyEI6z0YaLs5ykv7GcW8O/EBZUY1fmjdo7AGKLdXCV9If795RsxylNeyv98S9CFRJetBcoH
L2QngjbY7tAnzRpK7BkFU6xPAYQZprZNQW+GTqxiWALLeCpew65z7lyu68d3STFnrwzAfRzSMHO6
XezPvBlMk56iMvnyUSYgp+ABBZDVH8cZwI2aT25rOt9p4QROl/zRjHJ4djwW1oVswxNwrKOySJCR
OkmscMCKSf1RWQOa7FHkJQZWfp+yg3OxM3amzrnwOLjx9WqbksMGagM3++PKTKSAVWUi2nssMvN5
EOcpRaOzHNckJL3LXNYBmVxkXOejep/scacEUUhjFMFpLaKLQwO+pl3XPgpnwgrbq+GpwpdKI7+k
WaW0rBULoX0i4yLIFTdGp5vJexRNT7nSIN2M0Ncp6PwzmBL+4n7WfjqCLM2iVD/6ltAuEXtsdsyG
dGAKGQZ9zZ3Ku3wqBn6vLTk+tae64+OsxchA1yryLoD9VrgFw4r/+WKx1FjX4Df6TuMCZ6TH+7sD
Glv8aEDEnuEvNetJJNrdcfk/NVLSAhetcUQ5xs22TcbS+CC9d9rEjjse9a51Xu2RJFLXCBoerQUc
AVXVnuu/mEJf9dRpX8ysvTl9jIxyqOM7WLlhXxfSwquWWDeZTM+Y9+OgTWcgRssLkS9fgDHLi80C
pwf13klruMyOY92cuLBvqDZJ+CkhDKi4ONjcse/VxNM1y8O/uzTB/5aFqrr0I60QyR0hsZtW+9Ut
IFQ2UjqUUIPhhGZA8wqjt2RRyjkdWcBT7HlBVUnYOU5unAvFmkda4ftEmwyMtMxvIhmr7Rh2T92y
n4fmeMm7FjV67cgNjrV7TNDHztVkA3NEo71cBEJEXkcgrUgkXkvmmV3qhKfSQNBCCWUdHssBMGzp
xjIxosxlrQ6uP2/xgIHcEpP/59K1yiZLpiHfKnXds64/uaMJiK0Z1gU8+Fdqb/05bqp9FHnm5XEw
KzfU1mOZF3sLgR/+Jf38KFYhErjgq707w0cwBFihL5Bs6jd+X2xeAXVhL/NvPIr4gQuVwaFebDV6
62X3cTl9Ju6jQ6WWMlK84PBs9s1CdVJpcYoK92zbSoJkmMO7GRnlzRph3KNLY2oB6/2xk7dcfIph
3d0JHsfRkoxE36bJoSLl5J4Q8bAu7eEHxPD+bs0otkluXoOntNZMA+1bnk37opfZJR1862aR/ySG
eboi5n0ve288we/G2BOW7r0EMxeKsN07Jf4kf/nzwWHwwALp8PhfPf4oVRl5OBE7d64t0PHGRPc7
GfZz5z9Foc+m3WZiHeXy2rBX36FMhlexCPcf9VPi4L8wUkIga2dBxrAuH3XqrUpZoPcfE/Jl/P5Y
xtiqByDIsbii+OSYcmcCXwqlv7mm+CDsl4WMkTVXERGIVs5NBdnZaoMZsXnwmLb2KV6DkOk3r9na
8HtnG2IlaheT3yQlO+CSJ27QUzBn3H5rBrQEiwKKKKBnHh+S+Xjo4j2YlV+E3jYHpZxk3ZH0fpDM
u9ZhzuBFdNBYbIf4cVtLn8NS8874+m4dIs3j1Mjx0ozIJZkCb/nNfpY5WqO0zQl4W4R3XV0/PbSP
mt4ABzLsCm0jxTAOMnXVkT5zGxURMQkeRginv9Md/Y0z9ighIs6dadZfc2YYT1Gc/240BjMuCQK/
7VKxX+NuZPcONGq2YDe4+EAyHIVlzvthiIbrJGHEy+QOmIUk0PPCVDt0GLwQfAwYvEQwty6G6FgI
xcxc/B4cJbZpZjzbY8JkL2a/0zns/lR8ZkIESzEc9r4fM/4xgKuC0t/1AxrxkkzmjVfF74ghM99+
0j0bdCn6ytki56Ciy9oywb/5RHkKZvCAq1d1C4y8Gt19QXe/HkQtglmbk8D38djY3BTh6KuXYQGz
1BpWAWHWJfTrOoFu1/H/XewmopAwOyRMpEB9rZVuzttSy2nSkk9I9GKH6vzeOM2MG4hMZTUsEVk6
+/8qNj8oSRHOzBzoMeF3gE/WlvfsHbqiy4Ku097ZZ6Bz8EhUwwsJOYKYWvpUpOiwXHVadweGHAvm
aG1poG6g/12ncWCHa3XHEAJcMCYpZK6GmWKZfxs19dWc/Wh0hsMWA+AA4c3E+uoLSAXyV/JnxSSW
h1KGQVa3GasQDP1wUaVeTzfGTWtz7n6wan0nFfJXQsTXEpqbW2WLz9JgfDh8teGf0p/uYdJ/RRaR
DzQZkmZywbqBtIvaJ0cPq20IzJAJsF8eunnxGQB/29JA/4m1MXD4DCW5Ww3yN+Yk5bUAA53n7904
hdsuYUAC9sdFlp8Jhqy4jMmk+psBeD/5oWtuGNoz0s5oYxp9Ojna85y6mEINPD2lLDPOWQ+ImgYm
vvVz2BMJWQV21D97pttfiLn1AnRDpAc3LFkmRY6hj/T+1Aq/2rGrGFeuTH4sc/YziVP1pmdLAGym
9CznVGoxyxcPpUftM+cdfF2t5gT0Tz/OxQ6ECYMNACQSzl03cMroo+lDOF4ZVmYe0CVNpHtuLMD3
Q2I3u0n/qmzvq9RIkke241B1V0mwRB3P8+BuEtb/rk4GQ+jiJLYm0K+AdAwstTxATQu3T2u0zxTQ
Aro4unPCPCqnAMsKNHvtSRrEnoJrbNW33zqCVDgbKCd6BvxpzKviNu02KRjB0I2yXZQsSXbKc4/O
tCdd89R0PqqS2c0OkTv9yEnT3U8OVWzF1YCWovYxkZQmDEZQaLuoGM/abBCinqs/IehdlTNvxENB
cqJguKnNeAjADhk9l7Ej7PFSHiINAqivlfGWx4bUUTH0t1D0By9eVOMFfr5hYR/FgLfYIwL8Slkd
w5bwib10XnC05Gc/LXed1ktKJzYzJnahfonxTXyyDYHCzRBLCVYSOVh4sqzNkQzYEqE5pPWDLAVH
J9IKQ2ovqq7Po58cEtke24jjqSa8bIW7/bnjB0bQy8lgSuDfzCP3mt0/gXPuj1ZxQI/CEB3baoqP
vu0c/Aui3nrflbGwnEi9QGdayGCW/MZGByC0wWRq1sW38OJ2i3sK7CnjTE4qixGjQ1CR7mRpoGmS
aFf3hQqQaBS9/qoc2FxE2rZH02luRv8z1GGdEteGDlHLr4gGf3n6uFhpkltfGJDZy5CPU2OTYgCr
Q2fo28R1Rzn7JEVoQPHtS2/e2t5zWcdwE+e42PfgdchRi9YsStpenvparHPHXasylodisrCmFXTk
gw2vyALaysT4RcPxhTAShlWLJHKI7Bx2j0wgZLp10DfuG8p490nwmc8IWMZeZGc+8XIHfulvPQ15
4DrELdty2lKV+QffwyqbykEGqEqwkKY7O9U5vycUqFbvnuHTvcRhxajKKK+LcmLDRr8nCwhAW9cn
1gb5Bqm/02+GPpc5rypSlR00pkSbnnRKDC6Geq95qOdFSA1KJN2uVLyus/8cxwzsgLirRG8uGHzh
xHT5E2eWvrP5gExzNmALjd8mpgt6tjaDcGb+ISrU3KQZykzA8hdTIOxjKF2D0oe9HVUJ2bLhRPyh
/B26dbX0PkzxemyoFXtX6C6KtE3l5xBQWdjQmhbsRcjLBqew03OmXBXboE2BUXNVu1DVzYHFfxgN
BDIabrSWMCqDMBwTwLok5Zg609ioJH/brbtr3vEShDax2VG19Tb9zPbA0QqCpDKaejW2xjaXTD6j
dN94gFiHULCPzgKVkIUeFoiXUNB45GwkzgWTm4z+ai3agFBRtpN1LjdyJOzLqtmHE+OyLfI5sKXv
rKL0ndTlzdyYxJ4Wcb9S6NRekqb7wJ735FrOuxDRT2TU9ZPvFUAmeHColzdGDPnCme6olT50Fr8r
doG/LU0k6zaifLVFdogjOG/p8DlwWG2aqvkksCJaFTH0bzyKQZ0MX8DBER9ZE3dsv6w9jPk1iRhn
pH4SCK98LhQ8owbnLxNrYP0ECwC9CldT0ph7p2lhaGKfsSB4ECE857YC58hO2XZmgotK9MWM4BOS
g7sySO1va6DAoEYOiQDtToYFA9DKuGS5SAgT6lG0kAj7RzQejs7QuKJOLLeRdm1og/eYlUgein7y
Y59sU5+2NWCnzcxQlKldP9PCkTZQ8hGRRsDYzl8bxofDK4oezOCGRgJgSlYm1BwYPSfi2dmd8tGy
RsA0DFHZigtCgbnfVMskJJq6QwEQY92l6W8kWah9teQ8hf4nch5Ue87Ib8hvjjJrSXHhQG3zCOXK
p0go4jwHznkpvzy3eePJf2G7nwcGmhKEpTFulFG3b03ebUxI0sQIKKCcKW5S1f0aqbB2ALjh7bNk
UMiirGEM0TcmN8cbYBjWtVx3EXxBVvHA3pXFRxkWxhWFPJIg+VrPEUMhQoNIMr0Z2XiykMi/lmVb
bSlTEYt7n0icgrj1NpbefccdWLWcLkZriAEW/gu2WDJkQqx/U+1ATS8JxXFy0MBRRtwM+i30TD2J
QG3ekTJepCstpdwXHpnfeTVv0mLKzlrJkpIcA/NH47KsrOuDp9zvoak+9HEagrBmQ9z0Y2DqaCZH
rzf3I5NFnIfdGYt3qBjyhb7zBqS2WNkELm88v78MpI5ZudTexPCTMLsWGq1+R7RurAjOXaOp3tZA
rzdxRQ2B2/EnQAUHFyQE30Hi94RNQp8aD+N2yuL3B+s+rY7gPcknwyJN9R6YWfpcDwRn50JnVY8x
rQ41nkitYaqq5/VVUwfyMpHWVTnW8pBzkdqP/F/8EmbFldl5yE+Vt09YmS4vgs1tXiQ2z3jr3+1o
cfrm5o4t8a9lJpSH41ftkuWBf5SI1Iip8czCVaRY7knOWesaVjcJVg+/FnFDReTT7CzBIXn6leto
MCtDM/Anettx1OFFicxc4kPutjVFZ1jLrCSS7Vwy8utCi0F+0R7pmHzqrgHXd+1+hmUrGGZwmAol
qYx0/rJlc2/M6CdhWPJgal9xHWhgzIaccNS25Gadug2eiX03DG+1bNIdY3BKr1zx0mCqRnJAcKts
XpRP9HaCESZpuL5tH3y3Zi0Pi+ccnXGpqHO/PVEDazaw/7HkVk8j2no+KUKXdYmJPqw3dtq9qnLQ
d4YLL9DStS0SYyBePA4oIPbNDPAW6QJvQGNtWbYR99TtxJx8dwJWuTTcnS0HYxObAyaimXfJyHRn
L7vugOO036iUo4A0DFAvRlAlPhVSehrKIwEFIa89lCHu4GuLnJ3phdj6nWltp1IRO2GbJzYJDD4z
sIWCQVRDAkhfZvl+ws00hx2kNP9Zrxy1zSsTG2wzHqxQvgMSYBBmYRVwTRfkvIJIiAHcTdujp8F6
M3wPPr17ztBZIdFvupeOLIyVBVdvXVjdr9wvtWfC6C4J3AzH/V0Wrf+hu4iYuqQgq0N09C6kRodF
I3Y2gPS1KRq4Bw4IHZeZWsL6JQpD4MIibOiCDED/2JpXUwkaHfJztss0KLdpeMysxF+XGnItwVS8
g2ftOHNAHj2BA5MRLRk4cZCjwTNVyYQZiZJdDLuRj9iCkRWUjQfojuyQNb63Y18lORkPVbsGWnOr
XGQmcnSOiW/PlGjVwoDdo/F9i2I7W/kkOwUFJ2sMbiQo6unTb025kqnf7BL/D4VWvCsm98bIf9Xl
A2uTioyGNClgZXjGreVQhiFKcyOhctRiOPLrvsQZweWiD+/ehAIxJ/kO0orYxF0woz7BcQLurfRm
BEIEEhp41b3e+q49ZhfKQ/vOymsNxrtmuJYyT4QSi9XGWxFF2W4J1QmDuREOVYc38Kkcskz/2eTJ
HksBcQNlZsHFhz8w1OgcV3mLCAURIJlSRrZObLTmI+7fTZc1v6wYgxML0Scbw9YOcalEI4x6g/G9
6fE+oqCNZPtWYvTc0qigsEkZ+GHED1pUxho5nXs77NdDR6Pae6DCsV4G+P6mz1hsOsjHfoOQlQRm
tt8HqKWw/0fjyidIRo2S6BT8H4LK79BYxWYEi+e2/aGGxROwMYbfjRZ60Wyy8snBBVu5JlBD8a3H
POHUsRVEl/E9kOKyYQIebc1+Z8LD3jWw/CHOkI/yX5Sd13LkSpZlf6Wsnhs1ABwO0WbVZhNaUotM
vsBIJhNaAw7x9bMA3u6qumMzPfNCS5IRSTICcD9+zt5rTwOHfcwz+PhHWr/XpgnOVQZcW9es/K4a
L5WGz6yxQk6bbRKwpAEgCHQgeYQh51tRl19Fm98XmIFYHxieOPlPtH3xvoymnwVrC6+ZvbJjexYz
87aZDXtGEHDJ1g+aNKdNxHGOrZA10NJHWp/hHhgT531HWFvseTvhWAfwofm1VUO4mxFc6ygzzuNE
fEBwRn8Iv6/TIII77rSpDXKCmqGmj/2emEbJ+k9rlgWipWti30RT26/bMu/JriXwUu8ffdP1LmE0
vohJjttauzdIqxodce/kaqIJSfCt38SECk28RkDoDXwGJlJrFjXTRfNVWZ+JKfv7UrOfkfeJszap
R73+EVkYrh0EVww8kXjUihG65u9c6jCiDkK22M5bIdJSK0vPiK6ILcmSYDGwH2+GTstuZK7TER2r
U2eAzkSkQ8iURVxMHL/WiH3B7lKYpQOntgpZyK62KAQxYx+AsN0QB9hjyuX06wRwiYcFLxDJvWHy
VnbQyYMexFimN3do4hB8ZSSFSzM5+aFytvDh4Zo3w1udF48evzmcfJROCil0DU94Ff5IowwW9KGA
cxyZzAXaJx26wA2+4gPTygh5X/gclUgwpEUIVm4AfcbCBppFbDuoqRWMnrGshjW6q4eCbvS26j8m
JLHbMMOhmeX5uam6Q991060Zc0d7klrYqh8Y/+B+c5uVnHMXVA0eFPPsc1SX9tbRhnY7GHjqwM1s
dCNjYyGijroW1QO20A1dc7TimTin7XtcJs7FIDQ19+vd5A/HBkX/Gmk64F3Tv5lC3diUkiTWzkRp
NWfc2mVwIvYXgdc0rvq4+ll2zYtVp7sxNbk7MiDfblPfOkGhUR6MR9bUct9E3Q9fhcah0JIPBrnB
iR6zWIkAmaXqLWRz5KBMkkCIzrFPyGxhjHk6WGUH9MPPrsvbU2epT5nGX10KFDXyOg4MQ7fyibYE
1fzk5YXcpgieCcPSv9LefKDNm284zQ2cpRw03vGHjXx6l5GAst6nFv2kCfH/pgU+VgfhtK56OhmT
FauT7JLnIqYjVKRFtTES+vxxPSciTB23ALIqPUr3pR21Z6caD6PREZ6UmhLYvHcXh/26m9tWtqOG
nRlIibejlWvMILQSYpQLVu/sQymSjUlNaFnddNWz7kA6hlh1Hr1wX9Fq4gDKuEfv4k1dOoTvDbBY
VUyjpyq7fa2m4mi25g9kdR39n0rfGuIzIjjzIIhjdkB4O/HwgrzvV2mFPEeiWbLok0QthnPbfACU
dC0dBP/VlBnrsZ2Qf47eeDPW2HZuRMMb26FkIaaI90hGJl1qgZFc9B/D1Ny0TNZWSY8bgZgIopAQ
1WI3g9CErX5lp+OhZbi7qolt9pFHUD67Gxmn5ZqmcIkf4Kw7+btZpxenTC1EvMa1U/J3E6YJqofk
1u4qj6YmGQ5043I/9VfgaWjXMYmDzvA2ZJeqQYXImVLVnG/DhsaXw6EjTKqcbpC/o/XW7oOJiaaM
8ot00muvnso8wkLaa+VB+czXZCbRsRfTT7uOw6vMEHwYXUpBMUPZY856/bZ0Y8HCgYCsq7WvUZgv
aobyc/7G5YVD0S0Z8BrYEVaCn4685soZ0kdIzDXCZf0W+vUhSLnzM5TmxRGCa7OpiLw4xeXcmF0x
F6I35LbpRTfG904v9RPRjO80Y3TADXSLc2ME35HP4UjP0iMAqajjN1MUsGG64UPJPFvT/+UuaLqX
DtT7xY33gtswhh8DG7hz6R5PZ69pTXQn4SudRhNQI2gUP4J1UNOe3wO8+x2O1d3EGLYyhuTsk8e7
6hKn5H3Uzo5eKUIl6oNeWv6610hII4mO2wX/HYvkAzor0lu74L3XSUw0Cdddleyv6xyEBtM9nYY2
QW9Vqt8nUvm7JhFMMceUpO3o1oQKoUZOLkpg+fEBCMYO12KVG3dxl8Pir/JuO4rmqrXhbacVnxai
fM5xVJGuRCOYjb96X8dYmLGFjoy0XkOnjW/JY2AYE5hEPPkSW2s5xP06wRK76aTa1USTiVqpYybQ
jmGwfEydbNxpvXiF3DmCLCH/raJUTjjlctChSdL1ryRtEYxJIoaYhMK4RQuwT7PHQOM2VcZAOsGp
bODsTBIjiDLR8tniVzOBQcNveu/6qIZqQWxA7YGMEGaykfjzIftRnSK2sHEUZt22znOoK3r0qkR0
Hgk4ORAjTcEXawZr3NztTlR055KYFTooklqm42cCsG5ap9N51chBAWGY0PMh1WXq64DDr9Gtp8J/
D2NfrYFRYY/zteg0TPZDX8TaLrMc4DslJprYmB7MIrqrM33DBR/fJ27/2Dr04brxZVRd+YjvdFeM
3U+cDMUFTemLjYNqMHzCQ/1rVg+PQYG2yK78R8YbHPzM92ig/55I6m31XjUh/SnfyC/dD2XoHOZx
kaZhxGmgDfRt447Dyoma5FKoCi2nSmKiT2FOh5x2Wa/Hr8o3NroZi0uHOlsO9ZvhjfTOGx6YxYDc
lOH/IjG3Ofcxr5Q3QWNJaqYGJFakFyP1oT3PH3iJVy0jny3U6WnfZcFn4ZLsBGHyl8CDvreisFl1
4OU1y3XwL1Ej58R9oFjnOMcos5f1YSob3vkk2yeCMz9SQKCwH7VAu1dLNnkDIaiv39kmWRl5Yb7F
3ddAE2DVB7pxbbqRzdQJSTSoio9BqN9RxoFHjIhO819j0CAM6Gl8ppb9I/Y4cCfk3vWC44NKxVse
Chc+nX80KsZMMg/oKtKHLUeqwCTeF+TB7fEpmtxNcPOQbGwj8iAOJmILHEvxFllrt3YJV6wVsdCd
y3E8yMkCCGgBByreiW5o6AP3hFOllFITJlwdVcBq6mkhcpP2FvscehptgyXedDkXI8p2DwlyoXJq
ydWuxVfLtMEzxMfA0XI1EXpJAZ/edvRIGVcoavwpOKpSp9WFGIgjlwjXdKro0g9sGLWQK3eQiNDz
FwGM3NJY1OLqFT4o9idT4adX2bOvTXNaguC015no7V2Dw33ZnRw9/mpDPz1lRf7Oye7FnZzoiGQW
6IFqHhrPrfY1jexIJ8hADC79SYvGkHofLYVtghVdpsNzP6JRMr9C2f7iNTc2Tkw7PI6C6q1Ey2wO
vs9hq6k3OOX23hDL+9TKCc2bdlEHLGQq94yUoHY2brDlF32TDsMLIb1Xj+WqjubjNhItU/sdD2hw
2vKEc4e83NU8UrCb+kj37adb0mSWJufirhq3auDCI2Sq1+kGhrKzdo5NjcRSmUL5SirrKiRlgZVi
t5xoDu044775Ywsnrn2L8mAgUoEu3iSBjvkD52vKO8B6QezumP/OYYinBtLHFr4phH1ZsHUon2Gi
Zl2SuOelrUgNi5pwY7k0SdTIycoLrcfJU+nJNYbXzg2jbZAUJ/pp6abKEHFUiu65Y+8af7RJqom5
LRmRKcRaW8MwUMo1e7KAyyskLqZjHVFrqKmdFAVZRawFQW6sNTJMnyM1h0BW5F3PVYueMnsbchBB
EkOWHx4mDvHkJhE5OnScVmMYDZ5y0QzMeXHYMo5azVXfFGxIWkSTwBM2jTAGuWunL24MQauAmohQ
ODO8Jvh8tkJ9mMKzZgUd2cyk/BIURhPeLkdOQkb4UNnmnsmuv1MVzoWWkjHSiWON3WZPFpVcJ2bC
5F++lmEPTA+dtxAIm7FMHpl74JuYZieq/ZjXFpFlbnqEa7VqKRQx3K5BBn51aOK9/qfP6cLTHTI3
M/vRDAsPKQapQy3FR+Njz2ZYUH5UHPHH6Eer1z1BImPNFJcLMWA50RXFqXKRc2g9Sba86FlosQFA
SZhT+Valj6Xel/TnHZe6tCvorPeTAVSiL0YOXxSfQEL4cawGTNLUKmEutwZrRFugnbNxXU5szSju
6YygtLMDDs7da4Z8spB+8lAX6aGXbbfVap/Kp3TJQRNApXqPUg0YFksaGdTpWzlxVca++TOQIjt5
c29wbqMQOoCzo6+IBopdwYQU+1Vp6jT0iitQHCwR8GA3rpOsOOxWGwcO2IbXnUgbLcJmqSLSl7OL
InlkzSR81dWQQ1uOUusio9NGHzAcEjLR4Lpsx4L/yXF4DTCQSNY7+aDh9fVq9lh3uMlt4jBdnUZ5
i7IliiecpO3wmfnpcPCyjmTQgml+Y70ivECz6XTJleYNpA1RcJNlVbFuGcxlZHVuersmvEzmnzEO
dL1ydSgGI3gpNK1dxJvvzlMjFAL5FR35phJjxaOTnK4dXn4O0mQEZ/K+86LXftYnW9jKTK3ABLdH
HXXvBZZ/b6eCSXY6Xe3EvTSDti50WZxtqc1AsOp36vXTGncyN5QzZecMok0W5LSEPe09AHS6r4Ar
rTxswbgiiVlV0XSWgf+gm6D5DIBlw0jOiuidiG6QP6MSDQqI0od86lFE6A7x7LxnKMdXk5d0xx6a
iwzpodWBi5h5yslJzj4GeAFbH9o7ByG9ga4brTLNp6+J5SRD6r4fqYEldTK8iRqvJbyaVpnupfMJ
waFaQW9RPyHAORtEzm6mCUwYwEPnUIAI47pxT2PXzKCWcYXB7L4kH2aj5ZTaQWu+2SYW8vjB7TRy
5C3apaxyq1pBwO2EvhmGctrNEjh3dJ/Zj4sjNikIDBXZ25AdzhMrgmgpgo1ADscoSvZqHL84yqXE
7nHVcjrRtGa4ePl4xsZrbys1bq2aM4hSstlm7MEtrqjTqIwbrymrXaLyJ1HZVyHc6abuoTgFXp+s
6UEeszgEia6N2ZrCBNwQfY+gFQ9dWEHKKGWyQxnQrqVzrqyQ/BK0AnZO+DneRW6FIfG3bj8cLNV/
6F2GELMsCjRM9i0tR+pNegabbDA2W+bZ02Vi0DYlmdhRBqOdgKjS2rE4TM8pOe49jqBHf7aIDMlH
6KXZLeCzmzr5HNL+jlaFupQ2LSQg95ikhhSLDU0dxDenAnD2rpKORc88/BGDvWFi+LMHiYnEtsEG
jsV2ixzzNwM1ScMjvLXk4O/tVgTQaoxnLfauSZxdDcKGUXDq2gZd832A8SeKo/psZfRKU914Ub1O
jCWolbxVX13UZDukIRqbBH9U8xPuDIoUgZ5a1W95wqSnYY2ebC7hKOWQTrrda8C9dCDukVSTSSBY
oFndNcXWrManxtVtzhLUJUnOOcAvyavExGBmEjWOIui2wMAVBLKANTg9+UEInBekIvzZsCWqKCzp
SLpYdqyA9gyKvV2PEZ4dKOL4HOAgSL+s3HPWKLnetKJoN/5k7CQYKw7EwRPOWZTlaWqx4+MW19UW
l1cNJL+XttwFyFPdkEGDQSrSXkYYBnz3xOBtl87i/ZFBRxv290ah4Q/UBcKRwHNOonioQcQ4LfGk
iNDQXrx5CRnF7kQe8ZDom1yhTNeFMSuB40tMReXaYieG32lC/9fsHnVCN62Ky3moSKdPdBHcJ7ZO
/+E21eJxTyvuoiN8WRmeVhJ77gL2aR5KNx/p/pHJZvj2CSuzv8M0sfI7Iz8UhtzhSbEP1hRsGdBY
G5HpNAAEOVDz3m13mbq4Oqf9wda2RQye24HPj56whyYzZlq2NTUnIaSQNFsOvUzOkHioDxiHs0GW
THRvxNdCwbnHBdcTj2uN0SlKWzA1TJBdNaU75wSRpyEXT38xaDNCtgyQ+FANKrxjF5xsLx55smx9
5s7z8PPXBv3mWhX3Q6uufW0iZ6d8KGlCIQEOrxkRUJuAUzv8BtoYw22bA0zVZhMJDf1qZZHQetCU
8abmJLrHnuZ7wJPpfNPTL7I51Y3DSkOVlQ6augnoOZ4GvXwQQbZXOElZ8GrvPBTtnWG0HE+JNMRK
7fyknK5Qn1yqBM+GnSbwEUAUXyukrat6VDdaSR5RQCpQFNjttcT7tnPiO1O7M2QI7VGnzyYa9yCo
nYgy0wIOjMTEL/JGOZQj/4fr7RbORaH3SLXqMLjD5CtXSDJQ+XkQKGZjH6Qg3g5UcUiT4OsMXHBi
mED1hqDIChm0twuOi5RK9i5i0Fd08LwKzz4UZPvsaEKjEaNxAELcKyrHPrgiC1a5dNSewxMqSwcp
Z8awn6bL06ILNXKWLkhC1h78ObqU0JvzJuN1gEKcAT4tveVhVIfJGRWwu1r83XPvauYtt3HPZTg1
OOoipM9o1Z6RJwGgBe/aYJ6iKQhDnleRyow0RkxVMeuzFzwVtTtXLupjADFkae5ep869Z99q7tFg
mzTZQvbLzKjXywshZE/LdUIKiPQVTiSC9QRZs90N1yRytxMCqWON4vW5IaHQnkprNUioFYWPzTII
oRuESHmfAahwHpj0B6XyB49wuVtTU+vlJxuywGVRN+riF7HLzpFgyySG6Ul576iZKTyHotkv1AHq
5mgD8EQSmc3ljP+HqpnxTOWJ17oIarSOJpbrmJST5R2zo2I4QeS/k0M/XhZJKqwSa72g5HokEIR4
iGCH1zEDltTS+EbnewtMwrrFzl5vfKgsWIXGCKWjgZ5SmbG5Niv5+Y1fy6zWerIpmedWLpUO1TzO
YsxlNEs70Cqeg1esQlIGqnZ20Swf8okmT9iKvdHVdxOzlMfB2zcDQ+c+zrUD1O2jTgjJQ8EQeE1Q
BTNMDVuwnTvX5fldikTAE86LHPAsBuiQhJbuHWocRYt9u5BjnBGmUV8MsNoBFi1/rZKTD9Ok4MeY
A+bDUcXPmDkhhYUJItOF36srjJigOPDjslFTk6bEB9P+OlBPfeUFNQRMD7ayQo37QCPXInDlEnb6
RHpgj4nVa3DYYcRJHEx+3DyCDazBNFdXT6yRP61G149yQESFDMR7avJjPdvsOuDZSzYKyX/FNukC
nwIJFDtNmnJVZs6IeDq5GnozbCzMD2ercMDTjgOZjC3rY48eTlOF/DWkAqcb/d0OlNWYsSulGIU3
hpF/zQSQczmbGDHgwI0gcRKNaDhcAYsTRFlGN6gUUZ+G8PjtKU0eesvdjbEB52hyHo3FRNlk1W3O
Z02NKrfwc4g+5rR2dFl/dD49YtQK4X1uDAKZFW9dbDNuGaJ2+jHEVHxZf5eHqnweoVPxIg3BNcl/
0Bbur/0MzE/N3EcG290NvfNTFxYnmG4os3X3zRBpjOxS+uN4F1eU2fVEOBwYzDN29+aeHDGb0SZy
ayO0O6R6BcralIBLK0dsxdJjn7Ppl8bXtyNuSQy6XF1IOB4dSACbMPSKF5OIOt9XxZ1pJgVc+YwN
qVUOZJl4trjjU0VjxxjbKt2DpgVIZudJtylbgWO0H+9g8TPOwFe/4GEihZzKDuOrkRKZts4WIgu7
b3RGrlZfTCYL6wj82KZu9Xe6TdlpDMVA+Er5vADWnTEC+ZgK66b2q4m9y7nTZM46IEjKHJt67ec0
b8YxRP7YxBbGsN6gZap0uuE/a6ILDwxy4NLAAupRJq4isGO7NAXEjA/ulDjEOhSel+4sAyB0YIWE
cQZefJI5JXHLAnwnmBfPHujlRUWasC3LeOIPdJB84mtYbIl1CONA0G9eF9yAB3fs1QElbsYxeVYK
Wtl4aehVhTOsK4CUZQjntp/NuqDJw50vcDv3DqGzehpy0J7fEj9sMKwndOV5HN4QBrc3mhZ6u3zG
Y2IFMQa7vOY4xYk19Jkkj/2psOYk1BnVR2HnEejb5w9aXDu7vEGX949nB7r+Ae7Aua07xh4cntND
KsJ3pObHBNt7NBT13qILuR0KAxw8MPAbvrBLvOq84KqrOW4ij2jYZPkx0uULcZa7Bc9VWyjsFyId
YXMoI9ppXjfCxyE3a4K69dWyIGKoBH2Rpzu7SZEOlBx/iKXgkFy49KwwePZD8I1SK7JtlSn9smy2
RWR9yi5UkDzi/tLOHzodDxQ0buMQN7eMRi5s0vP6/p8fMvenYxb6bdkXDz29BOolvmXZ/mfZgxRa
PptEnFO8E07fHTgRjD+ETxwiQzHkCCUXgRwt8aDlzbZqa/WWt9S4iAnFNSiIkUfDwDcUDQ2JaI26
56U1kCC4w/hDmqQoh94xdzp/PQVZ/CPtHEa1tsbJoiZQ2KjmiJZUfSrfFT8jpyJt8sdQ+dEXRBt0
HAYt6m9qUFNIeGr+V6CHmC1sHACk27xoGgxxpCg/6fEqp8JVUw3BjpBtwAVIDReGTItAYGXQWRc2
OZDgHc1nORovSZaJax29LAut73spJLXmB0F/+po1xbsdSp9fIg/uoCnKBxOMRZ9YWwi7bPp9lV8R
ld3DpCfsUgT8cTO9UzP8tx4LyAkDpH/IQfptF3SCCvq7YTa5xfFYHkfNCZ/zkbxnIOw3Y2VEz11k
0GVzYoDu8zfF7IeT7OjtUFGqTyzcrdTis4va/FoMSUnvDVf/1ABv1hS40dI3UNQ6xKa0aT3s+7hP
7puSxbix6OiO7HTHeJQP32y0uIcAEAQzXiXdIxGBxu3TIogqdRvVWOU1A73BbN+Zcv38veFXrvJQ
tjOswuintfwqg9BxRRu77zcHv1TBoZj3ep0AmUhzB9c2aMgm755jmo6o3AbtPIQ4VtD+NpfAgiUZ
JddlPdGCfIBG51g4VkAQalQhq4wb5bAA2qfRm470KTg4dIwYnaSKPsAZ3DusWJcK0+BKb2v3qOtJ
te17BzoKtvNtUNTDtUp/LxVOxr7G8RXuk9mTdE0eZnL+3t+LxBnvCrd8UZb06N+yGoUWxkAEH9VW
xMZDSfrOjWvG5Nwye53skigS3RopSwOTZk13tL2aaU0rfLwMI1mb2egfuSjrdef56TrCYLJheHzS
UVTdtn7BXHzel5glufffvwKiQg29jyoPwgnK1xFx4Cy2A+vSlOVJi+dMFVSuJzu0XnzNJ/02Yu6I
NgAmHlyhEqX9wSPd+MAWS+MJmBGv5fwkolbuSI6ZQxaKe1vDiJYlPsISln98xGip6uzTgkbQNl3x
FNT6FQmgTQ/I5jMK+LWGM/4p7zlbaWRf2lnZXGI7r25xvXFm4HZgLRl/4PGGwzb/TQ6uqk5pHNaw
u+/oFhiXsrA3vanXl4Ub08nyD6TPN5JMmLG+svogW6c9KmYm/IxvZEVnrySaJrQ+G0YC3FbbBfKb
MBESrbDuVVCCLcjkEZnPTZyG5XrByBgqtu4CFaJ6RemH1v03QBHuDv7Ry3CPaxpMRS1vl1/FoMle
7hW+NZZVX9uGHcZc2kmozxp9/NmFzG6zprnFhSMfvf4Z0sF+SuPwPUgLtU4sg/5kZHu7RGeeAr9m
v2BSOxVluy4Rd0VH6J4zxw4Y+CMrDNjAUOPZLv/HkQX7jMIAWjA3dwbnuACMl1VfhtTKVeAcDZRI
eCkjUDwVzGNwgQAeG8rJ5dxWKtNcI5ZAOD6f1BBTBdsmjYr9HByB+SH6rYP0K9D/74aMkhaNnzjg
QkbZPoP3ld9bx7hX+KEcG/lh1Q5bZTOMJo4b7oARp8c+gaKI5izaNpYXcy6hRLZnrzGkAQYa1fDR
6Iha8sRcE5pEFE7uQzn5/qeGM4T+S70xikq+CJdQGC+O5AGFg3xRbsjc1czf8sZhigfCitWoK1Zd
bouNMSMwJYalsx9Vn4OF92mhTY41OhZ9bOH/Fq7zODatt6nr3+QyYkklvvdilyZjQhC1a1qPPUMc
hZYWo9/Ozaz4qPn+k4Q4dFuz9lRzWgxyVB6q6LsUve59p1Dx+lCiIwaJMK3HjrR2IxUici0qnd5H
SbQcCUrX0Y9EjmhTi8S0H4yH3LfopCbVR1mNGmN4uBwSnOaqZstZ1spl1WT1LPPOZCR8BqNWrDkI
kv7WQ5lyCxoHy2+VGuEZUW+waUtA2dKBldRrwoN1ZR50I/itaBvv0jFjuLok+/QXhCjZwUPOsx89
m3jXNnrK2gsVffmjtTLqn9qOngCCON/rjsUFMD+zna0e0RQ0O7fwrDW3rbOr3SY/lVrO7WSLRwsc
StWSi+WE9SeuzIuhMyuPMHLf9r77G9OZSSOOEFtIhXeNrV6nyOp2UBhpDfiW/1QQ86lCez8hZFmj
jO5ui1Y7DGD0AIAzCWV2hNMzjeBeBxzIstBHqt2BkpsLeK0ljmRZVALdZbeQ7YZbd7oJzIlBIitZ
73B1q3Dc5xVF1WhjepYhHd88t48KgczF8oa3gMC7syMn98wamUCAYeaVssY+lqxnfjb1T43JIdVN
rReWrfhXlHb3Vpa5aEOCE5O1cVPS1T+MpVHfuFy2q6RmdDYUnbNZdvt5yE2bbbwsv/PYPubuUN4Z
dUVv2qAuWFJOBOz749Tqx2Uzk7N9urZ0bmNSy0xiWuYMkuWrYxX8JC1GgXf0el4Qx91GQf1QGL3J
u+x6J5n291ZqHqrZal6V5n3TEwc/2eoUmXjB3ekCsqTboj7NnkZ/nABFUEGlHP/kDBeBcERg8XIJ
Q1x8MKCznrhh0EVNHTW6IHdF6qq+/8c3ktSXBxLVaEtW4Z0/txTG1P+NXEzuMFx/0l4Vu7ovZEqu
CUxKiVN37WSue+JI+a6Q2zAaZ+3SREJUVemj9purijB3T3YEdqE3wL3m8SN+uBbeTODOZjGWk4b0
4ryDFUC9P9JAVvU619NjODRkynWpf+085EWVm5R3bcBI1mTTaNdD2YgN7s8faCtBTGPZXktR/Z4Q
IBxTtIHsW4HLSS7cLHEomacx/SWr6jjFWCPZH4O9JB7gWuaKModpBpYESOmlHyKXG3Z6MYwHrSLi
bWa13YZ1dvuNJJaWt+vChJA1QLDzATqpaQ3C+UHJNEetQtsJZ7cCB2tQV0xVYjKUqurZTsaYJhwd
Ec2IT7ww0Cg6vKzLl0a/e5bQadYyM8jncjghN170Vql8n2bpa8eI80Zr5Fti0xcsY9b93HhEG9g/
SwUgruhmouiykNCyvslausJ6Ie2nJNavUQjXv80lFPCsz47/VvLfR/QuDYK5q4p6PxPw1iFS/5tu
hrlD/0ey3Vu3hcR6rqUng6QHmq/ByxBImhHTpqIMGjAXRsQ+oqiufoP+iaboiNrlQAf6TfdmFWsN
mL8ZIWBW7ioU9B56ko8q0bwQAMlwMsTRh2L8rmmtR8SUWyxTbAex+dgP3kdp2tu8APYzFaW2TgJ5
15TtxYTuQWOd38KKDykGzqBQ8Oocma0YJ34iG3omMJCXfA4pcnN5FE6MV960ENEm/UPYtStPZx+O
/fqRkx5AIka5WJZbr2BigCW9RINTRy2dkHGr4Z9Gg0ywN1bzkPAg8KWGy7ixEoyVJsIKrMzYBgZK
c+SUmtCJ/nJ5TYn2POT1fxNwav45McLUpTB0g4mlZdiG8ecs2byuSq8d4opWc7Hp6UHdjPOHxL1L
GmrwyhpLJkp8cIySD7bzx6fL14KWOErdQ5tSI06/0lI9iaCCPKDlKTELQscPJKW4//5QUnIWPWeR
v84x1//jc/j34Ku4+86uaZZ46c+iHOuIDt6fPv2P/Vdx8559Ncuz/utR//qc/9g8/s+nv/wu6r9c
H3dPf37k/OP+64n893/8+M17+/4vn2xzUKjjffdVjw9fTZe2/5l7PT/y//Wbf/la/pensfz6+18/
iy4ny+zhK4iKnMDu5VtL4LfLm/V/Dvy++er/8vb1nr7nv/63Z32nfsOcs/+mSxIXbdewyU0xSefo
v5r27381bPk3TydLQ7ckseCWIE30j9hvTVh/E67lESNtuQiMXYdnNUXXhn//qyb1v5EwopseG6Hu
korj/n8Ff4s5P/f7HZ3/QulyyTmeFGSIM33RPeNP+brkjOpmb6fywyvq8Ogg5LqpWhslbdM0a9ph
Z80QPZyDNH5iDhJtuhiZbDV/igLeOMaSJdFzoMdQG0YPxE6g9eaby4dsVuvUUr98Pz4xpi1GR4/u
BI+odUpmyH/RPz2h9XAcooNdHqAlEMK0AGlcbrNNNaSlQtMFoRPmMjjGtvqV+1558dsGoSragDJt
k4fQV/kBJb55MBFr3mPXoXWcDc0vesNK821SKJFO6azy3w+dYkU9ph89mZmM7CznCaZTtQu6nDSQ
5VOGukencpjszp8OMF6vgWn9KszEfcJ9OMEGlzjfpio7T85Ar0DN/1w+pz35L1+ULRatHJ3M8g2t
6vNNo0lGaxgMo5Uk9epScS6lKJ//uXwwsL1fXBNagUcZ9ueHxCGmaVxuWG46iIFmto/izHj1axq/
voCzM8yNFSaXF7dOw48Bfx8tgdq8aWmLXH2Hwnn5BmJkoFxD/eoSSMiUpdb2gVOML+gtT8sD0slj
Owm0l7S00tuYoPGVmlr+OEZSj5mq4nPh9nhwzC4r1v/4dlSz+dqTAWa3vlpx03011ZTPDNHmyZzQ
EXsiiM911JnkyVqSs16ivbaQWgPW7Jt/ujf/WKT+Qi1xR2pP2/z9r0s87z+udPLjiU/WWacdHADz
Nf+nK33KYHhpgHXebB+QY0nrZAlN1Svq2Hh023keEV5z3HVJFzd7EjLD6xCZOMxm/Fg2s+QhdeV3
XFE9DavboCvEBu9ec8gmkm+8ULknYHclpHLzyslF3FtR0j5NCEvjDh+GWZckgTg2St4My/AaEka7
7gsRQftMm3tjGKKtNSb5tc+xYM0e9NkiU3Xwk3Rzp7LiNUW2466Ktk9uRT1HHOIYZbL8JmSXb6pp
bG/KJArORZoc/++vnZhzrf/ltfPYJXQajxYRXDquG77/T7FGFbmxVhaOw5ud5jSYG/2xXgJLLOPV
jKn2oqKQOK0tuo06R1HmlgRQl8zbluZphD7uYvfGZz/jZmQT9fhIm26DwDQ0qD/ae3rN1ncoxVKJ
hZClL0qk41mGxkMgYzbCaLYRUX6aK8kaMc9CtCdlmK/G4Cc7NUmTHTsfkv8mrc2a45H++S8Xhm2z
REtIkKyRhvmnq6ZPalE7lpm9q5JIPjJ8g03QOeFHBqDILDv9B+xHdHGINQ54pQkRjbtHl/FrrNIf
RIVa5y4Y7gMCenZmyJmd0/p4Bwfjjw/wjJKozO4GE4bI/yLsvJYb15Is+kWIgD0AXkVvJZLyLwip
VAXvPb5+1gG7b3ffmZh+YQCkSiUJLk/m3mv3mFiwqiUfjHL9Ny31IDHojnUijAsOoIXTtRinK+7J
fJeg6B3kaMUBvLSsRun4Su1vfFvVl9yAAXDfyCO6WZPhHPkRrFvkRuXS18Ny44O8pRtJU/+/JKTz
HPtffzKC4kijV3nk2ZaNrfM/T5ZqhH1l2q3xJQLxQES09dznLu1FrcsJKWA3HCKXSSsxESWWuCZI
NKRf8ZgzbyLQRq315JJHb/PQNlGGc+uS8vOvOa58C8Fqt5X5yujGwnRLWACN/lxo6jp7NltKTV/V
/sSJAuBKnnKNonprI/T+uGbFCZv2SDdhIK3gHCEakCuZ3iZJk9O8XCY6CKHc/CMxRV2Bft2IsZQa
BBSyUkCe3AO0qtD0bJqqMV67otq7so/ZJB6zm7zhGiwM9YGehCY2peeZJ411UjSlv7yi1xd20rTn
sYjJBYvLaTmYQuZKTkCGiJPUVEXFF98oh8n3EGMhHvhgKEtQw2QbR0KopxcMw6uRiv6Dp12xTTzt
SDSjtyItRdmiywpA4zBkjwOluDFZPk4jeV02KFLdNi17WXUKXY1W+7QD+4mEAu83Nst1RfLUV9Ky
YIjl4iq2ZZhbq2+Q+xd7J8VDPZRBuxpaWi/MJKsHC9PGNXZZ5gDNW6tJbv8hbPm+8dc7cgPpDqyM
n4qYcoeQ3BdNaQGcBSr25q6d9nHxGg0S+xHEposhRY3RKRHWKWW0W6txduD4suOQQZxuSs4RT0vs
pR2ODhao8Z04vhILqV1dmNsyTQ6HkmgZlVsFaR8VMJ2i3CAPiuiOkSYELWmroaJ4AuaTPSdwfRYj
zq1tX8phPJAKAqCLF4vInyPHtNzmVlkeh7+2VDUqt2rYXFyrT49mMAEInyZMWW39yLlRP/Z5ANjT
L81Njms4BeB4ywfRXTl59nVbFPDg++5ghNjlsW+UhGh1sDYn7iJdHePylalYnflKKNfjEATWpuP+
ny6dQcv3ne/Rw1DajaOLBPOHNTG7xFTC2sp6EpoIl+Co/bfBk0WEaKxnAZuUdlBDIBbaSGWjyPzx
wOZl3jKx82wML3ib91CiQurAHrJzwxrtcdIexOhMB6WIEG5pMLyhccTTSnd1QIJ9BK5uip7DmGzS
DCHdMrRr7Vbn6WdnBgsrkPDzHrmn8ddWPQX/eM9Eo+Q0vfXK4EhfiRxR+DAJnFGeywCrH4mLg4RT
2K32LGpbey6V4aqEjno25Z4QOM6NAvXp/BVx3LsrN+txs4ruUa1TUHkIvGECeZqAKzPo+qo16NvN
TVcr0DlGddmR++h3yq0y+/pI1A3CyMGOmmNW9UuL2QAjyBr5p2f121H05TFQneGet0tpAQ0ZleZK
2lae1NBGD4ORemXiFXkQGOVI4B6MNyP8Kqcif+3TQCzI5eiWccZa2RZF/YGh+cE2WcWX+vhpJirC
MXiLhwJS5rN8fyR07X7w+soKTqGggdYVI78Dmum1ozlkxfBAElC8sbXRFLJXhKT2CwdLNmOrAf0i
ROWLr9blIfXLNysCH4c2B2e33idXtKuXVD6k67xkwU7Q9H6IUu+xs1g/QxTkNgV6xI0/TSInsFQm
YptCzFgyfWYg4MVusUk78POzJCU3ANhwGmTHu0IlUSVgR0UKWTQ7DTLAshIevbwaTaev6t3RDRJ3
F5WomXDZ6Se5/qfDFSfXrs4Izip8ZcPIU33wiFthpkkTK2kBimtpSUeMcnRJ35wZrOYwxI8750yD
NKQe1+Hj+W8KWbXpIQYk+sSJVJzxNn7NJUoTWURQ6jauqSqJ1nRqUHsOY76LU92gbcJ464FWHaOn
2B1OM2A0KptD64X2nknXieIWfoJAimZmuvmKUn/RRWP5gUw3h+oHiJipsv/gD4m3xZnC1cKgZlwU
OgyapIu2saWWVwhJ+n35AaSysdJXLnz/Nvho1iursDcqGuuPod4Bfhs/9QhPVolVfcPqVQHwvzFc
6nkfKtZLO5W3VKYpVTD7H+K8am8VEfTLBKUTsRbpk49yKePqOrQYfZ4mq7M3mIGbNW0n9BaTSH8p
pUYTN+JKzKlT24bCnG7cJcGKWq/NUdgUc5Y/YEqidqcBCX17sIuWrMpZxVeNT3r+ERdG9pOHMrGg
i9ubYobaGrH0SXXbgZkKKrG5jptfulGOkO1O3U19+hjklnWOGC0/NwEuSkMuJ3WXiAM4Tp+c2nSw
TXNYVXaH6mkYwwWrhoBo56Z5C81FzBxMc4JvZ2RwRFhEf4jisrgk4VAB5ScezIAy8FDo9ivz2PDF
b0Jzo4Gc2dYWzXM9rX5BKEt/qT1JZ4YO5UfoL2kXsoJEwvpvu73cjQLOaSdt/AuWw99tYygvE4Qi
zP5ICzNz0HaNTU7WqQk15rlo9Q8NhiMfbamj3fdFjUw/4zRYdBbdzSSx2w0SqmklAkd5BTIOFzEL
xh09IP+NjuVvmziVM9QD/Vhr5uecRTbVYJOjCinEnEo2v0QyUogsjRixBB7h1vDwEKr8t7S5QTUl
UgVCqnqxcss0WPGI1YaVAeKjFtpHZBu98Um3oor3vVPZm8wMELXmU7adctUGGGU6z+SAvzd9mf5C
2/klSqaHsQ+aKa2qYyw87v40pme8vUsTbxoARReq31yiCZWzE3/6aaPeIFdbtMpNrvIcpUHbfQy0
3ZjAkkg+qRpL7kT8sjwa2wxFyxuj8GLr9ALsYziMNzDeERmjfIk6mPu8HdN31dO0VSZsKCimj127
4FGvjxoQ3dw9/G03acmhTYVZfjMPuLJ2GJ4SedtmynPOwgz38nxjly8gtr5E1Fw9ci0RHTMw6voo
WSpTRROhzIzVlDflGr2XAQZ+GI+ar3RXGEAfsaMEF+RrGpoPT9lUPag91SLTyCOb8zilSbdqkdi/
8Qe9pmAw1kbDbIZOVL8IaKGfjSQiDJIoTkzPT24ebtOs41cS6WSe0sJZtEMmz5woI44w4RlLgPFn
ZIqIcIZR8DxHd4wugBSmeWLJ48hnlrhy44RFFb3UlW8xOJwQF28RBWBKcxLApgSlIkiQ34poFS/j
WNQdA/I7RZgyqF2btpmt6P94W3ATw8EMJwVpHN8gc/zz6ET9Tx8qPCdBdCm5e98Y//nO/JEDWXWe
TkgT5N4YqnKpjxbCRwPIMevUqx642bV0wpPXmMabbTVf86+QWwaoLhy0zI+q4Ka23fAYZajnZUgM
BhX4tF7NBM8a9OcBwCb0NtjeVa5r94ShxgZHMkM3lbz4oyhKvuZMSYaLJm+p7eiuRWDhiU+7i0LR
jR988EnVKTtGWK34cYY3o4ialW3p2WYc7Fvh2tFJyIlL3SX0xRkxMgq3n6IME9i8NagMbnSAkfOD
Y0qjaQ/LtHwoMNhvi27Cu9E7/ulfLw3r9UWJJiipvXY9Nmb31iiwFokYPESEa21SQtYcv3A+LA7B
qkplvMNczql22X0NNfMdEtI/yH2Q9koZfGmL1F66CT2KliYWnM9YkVBdh+c0A7uL3/nY2vvy6X46
OUMTY6dC2mVFHhGlrf37fhIVOSR20+YukJot/AeuAxzC2RbBG2RcNT4DV7UWpq4zCkiApf+jUGnz
rlrPbTmHodtqjp9MotjjKgvs59rYl1KpC7zPQsguybpTk/zkMgFyFhNjuBRMrIjLEx5GeD9GOjL4
bbeKykJ98oO8W7FQYonrM3JkGhk8DpB20OVal1zFGK0YYBzVUA2+zQ7xH90ur4mfIKAYD77IxE8t
Fk7h5T8iyv1FUhTgKMB5M/+IHx3P5byZ+vEzMUAIEfUDb6xH4H+/goh/YeQ2xd8zgDpUayxWERGG
BBFp1VJYFWpPtDJb7bsrQiQCQZrDZIwHzDK9d5pU1knz4mSuyBCkHuU1f7Bj+8cyIgS08iGp5W5I
1gnu5XY+lJoxHBm17pxWSCSdowKiCfNLoNs45QcAT5Y9ukQuILSaDNKA5xQpdPOyM+BXOy3yo2Ve
Ajn1KqyZbhky3VI8e4eVNNmUGol992NgGiTxTc7gEks0YiokYO+DfKIdKSMR9YJCCqFobEBoMlRd
6oQSbNSsAzXa1q+lib1bw29woLYLnrMcXScUZhAdYwr6DEK7lUG/zKbkolYvim3WJ5/I23Pxo4cG
i2yvOc3TtMqCcNFnyqVVCUmd3wr75hZFoZbyd8qaGyrXlHNSRUjIjO+prju9wt0JVKrxjT8tRodF
Gru46ZQJdtIuLyscQV4uyDZWq7NvdWIdya08RRdIgCwwKcfjUIVrKCLO8r5Aul9dVhyb8LkUsH4t
JFRcMpR+KrZgxyWfCFMGGcpS7dj15TU2cVLNsazzWzGtOdiAICfjqPMJXQdZNxV44T1CfFYictV3
O6k2Iy0FbEboCPpsXWqVt59PrMl0213paq9InTyoZSqChlF1bxNRDL6EzXuazM1sQ/0U+016gfSJ
FRv31k7T4gIli0VshFwnaA5STwVf60oxuGp7UHC6P6a/mGM+WcTvPd0/NAYFp0k57HSGrpf5MueY
3fdGr29OQBV/tA7VyhBFXww2yE7p3OoKjoz0ZbRcALLL9Oir771D0EFB+uai9UrjrSF6ZjVCNdli
ZQuetCK81CkWTPh2Ewol3Tozl+qVm91ojMzt6WhJaSTqKPqh82ZsiGJbqk9m2Kv3G/IQb2stc395
MWL+uKRIj4YOItEImgeR37AmIwW63P0I8s+hA8oC2uRRyIj3HUfiSdOz8qX28E2zkvZ+2whNG738
rUYWGkB3LJ7FaKZrGLvmIezb/hjmnG0xKYswDgWp8XiDV0Xko5nQ4d8aoOXWiYETyKhJW8rqUPlJ
/J0fW95vtUOqXY/t9KJayQtB0PrDBNn25EXRtNPThhDiwvUfSVWwlrahmS9aGaAAr4NiOxZ5sBu3
2dR6v6a2phNt68ajYlrjvkv9Yl0lOS0QSv8hGImRaRqxS1jcb8Gw9ndVsomabAsJwS7JQ2oNQRc+
5hmVTOH3fUF7P/gD5oEnq1StnQNDaVH1bvrsTF53sdICpy9RqCZgjCiJtEOaDigKlXjAMw+6zNL6
8pUTOn+w8zT4pTbTJsuLEIkWrj6QI+PvKmOGHeTDu1LSDc9ts7kG0KzWGsLLk+5R5Q6xDyVAchr8
IK0x6g8DN1juv2XoysisLHtEbTU8pvKDSH4QtBYfKE72SChM/2gjQP/3D+S/6DL1H/9iW1ko71c9
EgjTcMvPRESkbkRKe0y4E55Nn6LR9j39e+h3OkvLX1quIVawx+ZRs3qwp3GiMhfgNxi4FVZck78c
w0wldSqqDP1mpj7eSr2l4ccE/Jyo8JghRYmPXB+Zg1nZbyMIbxFzk7cc49EqJfbrlAsfhTpxyKsU
rcXLCMSYHsoLtUlfHbJQLu8T5ua6vVf8SHlVcpmY5EQN7VG+TOOYG/SNvocQDXqLK+FSEUzQg6FE
XJtBQzKg0Eox+Sy/sdK2PFk2AIIAe2Oz4Z5Ehh7B5xznbn2PChgZu6EyQbjFbxi80FaLVhHMqTNt
0GBX6WT1RWpVnl3TpqODlTfNfHVfYzCOiJJYASOedrjl9GfEtZeqc6Yv9M4pikm75T4rU7ZEAIOw
D9ulgsIDVViH8pG7ApEReL+rJEakP1/0nCt7X5TBuazAgFKY1wvIDvk5UogNRnLuLIhOJ0C4YeQI
3lD85MFYoyv1gmMP5lXN+uFqgNecKxVSQllqPJsdi96AJb2gnGEkwo9nTu+G6NODBCqtc3149ova
wzc53TciNubyuG4K8aJpi8ZJ6t9KgCgyypLqGTBwsm6dY6JN6jGzTWKz5cs0ZNjj5iIXgXrCqAe7
EABXk56sWn0M8cqMG4UgTSfcinxo10Lu8vRe1ZadvsaWq++rBpXk/GWRZr/FlOFE8Rk2B0GpzkPH
pKP3bfVDg8KyoM1jkZCqhs/or2ilFNqHx5xnqXvTnjmSJnMQjZeKRcEKnhsgKzA2W8fkmTAritoY
DFzQ90emAKAj21QNNlE1QKo0uuxp/pJoNC+zoDVvS/up14iBMcEMnSnf21uXFUdtcpx3JSGfBZiz
up53OYZXDd38VUla8ahpPXZC+WWO0RcrqyMTqGe1k9qxclGbbjohXD9UQAQv81t5GbVbz3fdB31o
vMv8QQOJgccDcoiIQHeaW/alIUP6UgV4+5FKVDsfF8ll/sDUPFrEsXWa94yomHjIfdhmq+1aaa8R
LI4vShFY56Afl+G8YMwqXV/fBx/38vl+XvaaD+sysgdcnJp5HlME13d7im9LAa2UstmT/x7H3mXy
gHOCFNbzhRnE9XNvKnQmkqp6ztEvU85Vys4m2cfGYsX4kKFUvZmwS0yZrgtU2uVnY9E6k0qv+WU+
BhjqHDzyrH/GWw4tcD0LT6PyqSvMrZklzS81HwP+UkZtxSdQFFciktXj3bxBHLt2nPcjyKSHOkak
+tdbeusQRcCYa42aFFCrxL0a6TNql/Q5syDe6MbkH5m6KKwLhbd3yuqn6K3oS25gILlvoL3lTEh+
mle3MNTftgWxE5H9SF0KyS6MggN6Q5YMdXGby46JTMT7g1nzuxTpJ8HrIyreuK/IWsXV/tn7ZJmr
cQxnPQveY4LEUIIJgSPUBv4yyEQGmqpfTlNzWuJSrYrnCIwLbHp1p9a5tZ+3gIKa+14xX1jrl4tJ
xnrREyZ2uvegxsmhV5YhggdAbS0RRgFKgxH0Eo8ekA6v7pfzCnRULWfhVqLez7tWv1OA52ah7/7x
dW09b0Dbum+g0l8rRIM9ZNTbx9lQpZj9h9V16t2FlaSuAN30OX/Uaf45RNp1mM0OnRXu9TyojvdR
roj6ZNO05L3NUmC39rNd6VNHIEJwHx2fG1qptfsitFxUD7w1xnlxxCZNp9CPt3qBybrLXf9qq6Sx
tzLRcChgola+J540mLnHxAI1ZzN2+AOhUyMU8sadR+e8M17CiQipxIXrwMQsX/hTs5/kQkq2mkql
MT4ye6KhrNjVbtB746Q2DR7xaBl4U32dTT3+EGDJGnEazrudtrbnm7xCHsG69UVyLlTI/TK7hx9j
2hYKHIaGvOPm4I8NZ42hupcoK9t1h+/s6HWi2PtMBbY+0YOPngErWwH39WI2EIo85Z0mr59eJq0J
qOboT1G9iHxkYYCZQ9iC5L8mjUlDqVBYBMO+alvGjk2nGOs+gz8vbJal84vddN65Hm3ozcmkrzW7
A/Lmu40NFxBBSozWhFU3KS4tM4Ery+j4KhDvqZlwzvNbJizn3eQZu8ES1/ksm888UXZPNO0y1K0t
azclMNdUUISmFqVyYsLZvZXP0JyNt6nF5GIEuPzIBijWHiy5G0kbwI1cP/3GrcDq2jT+aGlAWti+
cyIZ90imZoyuC0kgkvTMHLcmzu8HXFHNvpbTeI106EyfVomFe9ITVru3Au9nFmqGwhPL++OKnEro
PMJ9duaxZRqCtqRD+2R1PZayMquWXVAGi0jNoz0slsKAXoIoo4VpKnItfS4aLGOyO6t4VnKINQZp
iq0DZsH9Gy2KZNQWLatHCAo1grRyArAVYHhPmpqBqO0Q7zJhwvhF8yy6kuG+bZF3Qp72BoeCnPv+
5KnWARAe3yypAMmieJv2hXCIU6UnlIjOXDdF0CzvWpNUNAhndfMp7eAFemnhb1DUpcDcqGtI63ka
ERA9KRFMuD4W9du8lfUQQvgH03nIkZza4hsLeL5k+vo0DrB97hNiar+L56B3vYvFFd3aiDAIlr2h
cMSY3wWLmljNMG2PPm3XVwyJ3NXllk+kGk4Lsrhytzjr9cUNPJlyY9FP1mtfOeZAsDbFNKbr1BgJ
Vym98/xSVZq6/f+lG5optRn/UjC4LNIt1xX41eieIcKy/qbdSMII41KvZl9xISc20k1Th0VwaDSM
kIhc9qmjv9IBSD+yut2TdCB+5DshaJjVkAL96VGYrvxmMA4C1PTJyIWKMIHWPN5n9KJ1W0HQS2NM
mUNhLNLGfeSKsanmvL3upPVtHrEyCIOZAXp9iRjvF+JjxNPIE+8vZtkAorXJmHAhLBydCc6uNjWn
2cPQSCNDrBTdTm/dX4KeyWPUG4xNU1iptIsZTBav3HcOBgGj3w40ehqivnnGbfii5MxrBukFml9A
0cWL3Bf5RodLdH8PUba/Qe1dcO5mYkNCj7ITngsvP4CxP5vUxy7LtvfOydDYOu2F+eD7Bc+SoVsz
RylWw+ThnIgkiNZMxR8Wk9mToloofAzb+DZrEs1UsIiqgHTQRgbg5bL69t1hgC2SeHAjkvcRcI1y
A5yVHe3MhCvgjOO6KtzhHWre/eLFDjR9UFfvMr20f8uNsBH2717UOJWy8CfC4Bgl1bh3W1izDzoo
hW00dfhe4Ibikh7pisXDabIATSZVSgItsUzb0lWHXUUFtCwCg8F6HVwLesJxXYXfI2mBXlQHr4WT
MvBi9rFx+DHPFoyLB3PdYZd+wZCbXdohgZ9bjSMt59dKNv0SzzRxhsFgKeXtKRzCP1HS4SucnPYR
LxhtYPx7BbfFx6qyiFnJu/9y8jt/P/cpqCBp2JrrmjzC7b9rvkTlZoWGvucLlOCyk30mzyb6wcpk
tITcTduhuSJM+ay1DynoemkqeKo2Vynqf/1Wyb0mDfrXeavm4lnY2FZ3Xlo3e23qf8+9F31Q8lVV
wk7ZhBPDocBpVi6F5je3FeMh0fHBuzh51loiWjLWlN+NqhhbKzC4JsAhnxMy/rZz/rwVfNeqdq77
NwKQOYLowTiPTJSCBP1stYHsIRYisUoNrpAwrrYM5o9W6CQHLS7xtWoJSeJAKYJl4hIIt6p1gxGC
S93UzPr90HUPdmodVB349wDwZU+Or/4y74ZAgViG6ggOtGhlFyMz1043y03oVeaDZsHPbXx4LSJN
Kly9mYtZzerXdTPlUq6A9quuTrnzTLJOfp69M7Y5cTe1iQdPamqi/3Jns8z/FK+6mo5oBW8qOiNX
Y01vqv+pNFK13CHGy6y/iGPP6o/Ir7U9gerTo0oFGDvwDWR+yVJnNrXH3AL4UL6Ef23Nu6m1vz+c
zKxfw4UJbwLYyJLQkXITa46+qbOGAJdcS9Tlvb7xacWu1MrQaE52zmHecv/a6h0llKjV5qGNmFVn
PXo9LIQSiEV2Pc0lvYsXFHK/UqfHNeQgN1ALLqaMXFZWBaH/plbEDTRp260R9/hveg9ZJaLIYd3O
p3loPBeR8d42DjFis5jJI7zGbRPzcdYyxVP7FSkkR8Q9TO1ec6uviKiSIhqUNw9oALMNwSQ/jCOp
LnqYvwCFT7ayK7fbU58IZv0NPXd51aYlhp00IgXpn3txbtjM7KkgvXQZQdH/v0QfgEte6T44H1IL
ghqpxInj/fGE3z4EjKV283XXohp6QpT+MF+KA3RIlO/TXtRzt0O64VhgY1hrO8KjMPuUeUcSZllg
2Zs3CwXGYIR10VlHY1VQivrMqTMFLGZYPqJ+d4/3u/Z9BusTm1zRqG5IhL3pEnsQgoeJ6yy5EWZ0
NRqUAmrRXhsrrPY2ElyL+3mZHCf6QkUfHHGppjeEbepjQ4fwIQ5Q3Q0wqTZxgrmqd5rf/NZ/aH62
wBALwm581T64NqCskaSlFTGH9mugam+xBvL+PnQxhzIGo9dGpMm01QVzxE0vSD/StqqRt++K2o+H
kIp5AdLJoWut1Bw3b3hwurZ/DHmMUyVz6sy6AWCy/DUYqD+mtTIsq8gBihyCnpH34pbb5BPuicO8
R/epOLB6Rm41MkCykWjTjdeeyMCE+0Kr4wviLgc2KjNgCmZ10HyESgAY3EVX8fuwKnxQ5cjMIDHg
ASFcf8OJ8GApMF+EHmXPrjIEZwOdUCBXmaZ8KyIuHLVwuOLSMHjyZCJaz/mI80tSnxz6EyR2q82V
KIY/oQH+MqDjsZe+TyYGCTHwWuC9JsL68FCmbe/9LNatgCDJWFzA8A6f64G4ix70xH1rku8l8lNH
wU/3t6+rp8bdjSYVn0YjGG3aiylftCxa1kSBX+e3rKG5mXVkn+fP0opwReo1/VCUYfgiAs1YtMWk
bOdd7lDNKooKRrTDIN0YxovtR97KzUHQzrv4AECtkSW5nnk386f/2tUqTJqqpVJCVIR7sCB50lqc
IHU1wbdxJMDur/c8zc7PNhOKMLXsp/nF6M01KrjxkLfpMcBhSIBYpeQPsUm5N0Rqd4MIF+1qr5S5
nMLYAPKEcygrKiCylRStn+eSa35rftGZvS4ngJR8b89HcpIE7ywZdJEDkAU2A9MsWesWrAzLM5L1
vDt51VQ/oNLGTAztGEcirDKhvDNR41ARc9aqETOuppjeSuWpch4VXaO92TSmepw9sF49o/XoWNQh
qXw2Cqt9C9fgMegTF34g0wDO1mIzR5aygGMkXFW5uWymQ3foHTcjFSMMVwlRN5+WXewUQ2gviNQH
ZFqRsuH77SAQ1VeeUc1VDdAPD0jB0GIx4kCyHyzdkMFpEvd836LtdqwOvEss09E7Q1ulteOd5z0R
khBYkUan1Q3lZp18+Za6CoKBK1hu5X2kMYVo7PJb05kKzdceYx5K/skUh1pemJPcteWuG3OphKxi
7El7U2K9eBs6VC5hkAXnsPTqfZyq0jPGV1iTRciIPG7zS9rDtLJq/kcD5RaCuJGhqq6WyvJ9ju2c
nwqsnqrLYZbRxiZxIgJt2tYcp2rlBnG4uZ+snVWtwsgNNqD9jZf5075oy0XiG+/zTXp+iQnMMxv3
Mu9AOtgFOpHq800oZzDV0FN/cSsF8ahjYnVGoSL8LnyG+4p4BvP9Zv7NPXxhqxp2+mZ+tNReU6zI
jsenvZmV5GoGus1JMRWag/FoTlA5Z5UkMeTuKlUbBA4YooCWWzfcaNU2KSqGaxEdn1ZJAJC3RAoP
4jOQ2tuybT4qxy6hOkXlg6fg2BigXrwT8yMtpOafsiSjopr0n5RiEN2JvvUM0s8Ur/o1DKzcH6rR
HslVIH9jHnYXDpNeG9U1FTVky6XDr3v7+xa5wptakG5PziBDidEo//4ldZU8Kch3wJCHHl0DAFO5
1AaimOGCoHwnRgev3CCCdtcwVNhGpRZfBNNopJZu/Xl/ilDxX4Iue5uPQOvCmVIMdKw9HJtrGfR7
1GUrQiect8qg7p3KoDu78CP2QZ4Nm4lx1XKcbJkTQAalk/nxR1i1zy4WSiCr3OiNTPkDO/a9ipt0
B3hQW6tg+WCcKeNunkCTx3RKScWg4x/Xe26yJTlmHaj2MBPPGkPAByVMvG8ReGcnzeq7pIK6Lt65
BYT7ipay02pcv6nOesDE6JLgO1+S10FA5FBmAaz/3t1oUVouDbvJzznMJJ5fJllBMRRmINDOqrQT
dCeUXcFJbTGocEFoJki8VEebayANlaq9kDk7CLyg3dMRyp4zn8w2JdJXg0MsSzimgEiJN3lS9aIk
i7qwd00Ld3U+z+eKRckh7OG+PFIMFbtcQPPCaFsearf9mkp3XFG56BtjLIwLRT+KZR2rgDOkq6oo
3ZXCH3g1u0wMu+J30zr/xAVIaIfgCWyPor4GcfDZ+jn9HZeQ2iTp1aMr3yeJfN8SVe5hVMATr3Pr
783qxAXBzYACHpyDcyvJD54lbVFBPG8zGQDeZMmkBpW2LzMa4k7iHea3PBQZh5Ho5kUwgB5IkRIu
BjOOt3HtqVdzzNtLHb3FQiGDzoSAtIZhUi1JgTPWoHaytS7GbGUO7njwk059VPyJdBg5bkauu/D8
PHsx3fG56QhriIn4+wB2Y5J5mJG+m4/+B7xb3MzGm5Mq6nb+kUWAy1c0JK0mnuh2o3C8XaJAFPSK
/DaPqWtouTSLBDWcFDKNEufJysA5sbZdhLI7OsWtC4iHLWuiR+N0KiIwo6AfgIbPzSzr0A+hOLTy
Zd6VpmGssiM6XPmeUjTfQdm3tLHcur75U5fTqORRR2vFuo1WGZ6IAd3Nt3Ffj90V2gTZu5SlsMZu
Xdvter6ZTVis758aTg8SS0EYa7T5D5g85bFr8u4WaO6ubYzinXmQs9Uq3AiDidW/xjX7UKhBfoqC
znpN48/5bRZA8cEYSBut5T/qk5wHq8isfTvYPsIyHuaaf+rlmTPF/YZOSPYCPjeU7uXqc97y/bEm
QFDrjqpRkTA6jpf72o+9KiZ91SRva4+7CHquFlrEnrDlD8K6qh6Zc76W19RcCIEJ/ULBiJ9qV+eA
yqm7+kMtIBRUWTs+Gmbgn8KC3zo36uA7o3DMMewqVVR9j4PLUCkMfkjzpRvkSK16VPSrIWiwcziR
RURd8XSXwXUJTZcE3M2DQTiF5K/Ez6SeDMc+8fJr/GkZDWkTUs9h+eIbQ4B/zZRJOc5iniGPN5MW
Ta9DQHjMNPTZ8b48R0BDx8qxq70q9ew09BY+SKWDGHDtkeLL6rcp67UxQlTxShYrTq98MhDf5jAT
SMIrwMkxN73ZYdQeVVLg5gX6LL0l2Kjf9K0gp6hzJ2gJYM5mASw8iX/oYRv66gtWDMOu7xrko7B6
iCmssrfELI+z3rL1yZxF52Lvcj+kufufXyblX0Fb/kRlWW066f9piNHZdjaPX4Ju4isqEYUH/c1y
0FuluRds2sDuuUUw4ZlPzHnXLzSkEoSjobOB2L3zJ5in6ygLYG8GMLsNvRLH+WWCtwPkSjUe9MQL
14PLUl61Ruu5hQi+y2L6Wx0WxucAq+dJcYrv2pYsf0LuN7QbkuP84loacBT5Mm/N78H32nSpO+5c
P++Pga0CSGy87r4VWAe85ySV0s3cFnVHLpwJ+RN1U/qrK/QrMgT7xY19yFCB9Zo5sHPxSMlpllOc
3Kj5QLpM/xHIOueq+6LmdnE2fCe8GEl2m+EH0Rh526omyssk97zpqq8AKnWdKdZPAa2RZgd+GkAp
hGym0bjv/4e5c1uOU8m69RPRAQkkcFvnKp1PluUbQra8OB8SSBJ4+v+j3Lv36o7oP2Lf7YvlsGQt
SVVA5sw5x/iGUsHu+nBFODAI8lCvXndKK9e6N130dl3A/vWRS/LjRhHl9MKt/aO3zPguyUbY9UOm
H8BPOicTQRmfl/t5JkscvRqhhDoR7+Wfuro3gX+ZUKTc0zg9lXQYb0qIWvdMQbz7IYS2RvPOscf5
bLr6yXf68mRHhGR4UInBtGmQvVF9pKwtXxthX8y677notcigs4k4q0T7QQ7XcZlaOE9x6dyl+GVP
XoMrzFXMJpokIRF2SH9mvov703qwV5V0OOKDlSlK/eurvX449BlRKZn/bfDz5K1B2V/4hf1R+cXI
hIEF7s8AUFg2cdewaiO/Xx77a5ssZCqKCnr6wiro/7O1L+IvX/JqRpdcvWkQSOaTCX0cwdu6sWIu
LweaJBPl5dpPJHRw3Ng+XXhbRbduNGfP89z9vE5HrvyKMqnhajP43Pls0k+IFvsnkfSnJRvF3fVT
8wICKEllvRcqhGLV23hQ5ZxsObLQv8m98IPm4XBfuFazc0Mroj3uLd9UUe7czDgfToywKw4I7QA3
aH/gFNsHukT7lNJ50M74mszZX4RFu7coJfSrK3GDLJ6nj9d/bIkOnCJw9XlpQBatF4Zo0JO0XRs1
fBPfxmjdiNWyqqPt+BEz/agmkLSfb9PE8d8yx6FFY5KPimDOk+eM7v76Yb+QEynn/ImlCBq/qn5E
OTYFkrb7G6mb5B4rCHB/v4PxThQ6kirO8cPwARM0/daPSHBZjiGSBBhGeBa2vh9PH61dPqduQ0Vo
9NGJ2vGvqO5+AKfaOlgBHwo5Fo+oP76GOZi+86QAIPRa5yjbFnJctNwrmlj0shHdsvylL+OE0F9p
vuL6IQix7kGO4s9H6eoBw7nyz69A0R9d4lCCrusqODvkYjKWSZCdgT3ch/DMOGi13jPbsvcMxAL/
gR4e/3zkls1piUNmAMA193EyVSdVU6Z1VC7gEbrwqetWP4lfjz+jsHj3emd4DWbSHmVPewT9+XCg
ceDtsTFyLyXu8rVQ4DRdBLJd4XmLGy//VS/0KnxQld9UuLQ7n8EfxeH8XrRedh/HlJachgYW2Ba7
UVQs2W1iIeCOxLe0VM53nksHan09PLE6WAeoceZGoC8lp64ND2mriZVB7Hjm6KQ3WL2yL4cEcXSB
2HGZAO+Qs6s7QfzGbSW7kMhk/yIipwKPJfAWadK6wnG2n69/BBX6dBpc6mQQij4DQMmf1pwKzmG3
ZedYrC6cKpUXhQ9EaWgOg2m2C9bPXf+B67yvSf4BIUTc7L++64gfYF9k+Puvn0PbbD8DwNkDunMe
un68GTKh7w0iy9M8MjAsrq6/WE2XhRjh+6Grx0O4SHns3dsmF4CMy/Tuz1/y//MX/slMi/gVxd05
6+KjKIV6vDpHWpddtSP1/HTdBXJijE6xcO61pEy8LvdToyBs5pKIwnVySe32oMAX7UK/KnbD6pu5
7uDWpD9B4MTnXnGhylbRQKsjmhKmQb3WGfTyfBRyFx3oyPcbvNCGESf7YEePbwXGlCamQLp+PuXN
TIVgeG4zmuqc9nwtBrypw97pI78qpeGwUxz6xW4/QquC9RcnFNrrhyN+pcZk7xj8IbQqSSSjyzCF
ycz82CERW+r2dzuOzpMzO80dbM9hCz6JUwMelVj8NZHq99AWpnwN4PqkwZh9ryoOfFVG9Nr1wwFh
wdYF6nqjVGRdgjJYcycx/Aflw59Jrpdi7Uy86XzVOxX4Bu4MIXHn629DYk9Db4TRFD3/cb8E4XiS
UfOjLhdOXnZFoHnY9Q9eH+Vf//rL0uiHJB+Gn1766fD3f//Xf/uy6z+tX7PkDAY9iHv3dDqyE0Sw
NbmD/agmp+hEPUhc7sJr9EoygOZ8fESk0P0wMW5a+GvOyxBLEIm6te7oo2VniXgVGwLYd+yCCFQQ
w6sn4QSfdZEJhvlztMMupD4oyn53iA8fR5Rzj77r/HW9LEVLHdDbln8mUbf6wMG+XqyamJyDndpH
4JI4jRrA/te/NS2TvP/6t+vXoXKu99Rkj4HlqUs3+cFtmIZrBqYqCDac020btOIHAti7hKPuA7wR
em6MUlIxzG+yLQtIoc1ylE5ivnHixA3s6Z8OU2tyqTwOslChblcfK060RJLw0RdT9H1cG4NhvXwW
huq8y7ByuqGonw0RghtTZva+rHx1gaoN0iFQ+hnjTXmJWCr3tBjijwQPYF5I/TMqUDDQmevv8NxJ
cLs4e4ek73f1NKQfZZzedWtbvB3j2+tnpiXtyflOpvvKcfrLjLfqOMY0SMay6fauq0v8cLlzW/uu
uQQcGY+QBCtGBDOmJkai75HUvzF0m992/BlfGxThqO/9vht+sNYUW5Nk4bPKs4AAAjQJHrSze7H+
YWUFqi404OdySV6WnmSdLph+xTYU6J6G5d1krPiG4+Cy70djzouu+3NJiModb93xzzS1ZZ10A3zL
HpkP2+uoVELUw7kQUTZUhu1rlWRlkYVJYSQ60Myc3lG17MC4Djs9YwzhsFncAKr2X9yydY8u4p1V
lzFu/4yg/oh1rVya78iMMDLTzkCu5WzNVNCAp2P2EDMZzgLG+cOAUngUSfaURHN+gk5yMle3i5ez
vFwhdKox051pi4+wbIZDmAflQq1mom3oW2TitWrUe2F5HZ4SCN59MFoPf44FISMX3E4gGP90KhLb
xa1AbIUEJL9f1qEkw62KJyNqL9Iqv9MsyTeVTY6TF6sTsRXxfSdiz91UwxTfi4bj8yL98/UfPFfR
g+vb6rzUXrbrYbY85PFUn/0oa05l6wSPzXDTk3y2t7nISLlSdpCkfjCapErAn8bGW6mDJzxVSJ2E
eLkyrP/10egK7sXr8YYOfrXPKtXOhwkvxylFiChQse/I9fW2VxhlN40QcK8j00UCw83w4v3EZNht
3Hmwt0PTMNFfQXV5XS1PaDa2V25sry6BruVzBxrtz3g7br6D0pkQDzS8gFA/XyGgrID1pYNaR0in
bt/rdk2ncxD20/Ky6BFcBVNXd/IfOOQ6pZ0nnwcG1VpIvw6ZEKjRP6/B7kC80Jz62V3JGWmC3iKI
2lPutdUbna0+Ht23Yhi2loLSR0o6/TIZ/vrf567uOlX9u6BEEEMvkZQ4EM3CyA/+Q1BSpToqGJ+J
r9ChmAhI2rMTYX9F/OWKJwwUwn1nfGQkFn4fLe7LfCHo0iKZrOyzneUai9weNH+ZwtaKcfbFIrjv
0R2Lz4lmAlBaGIxKfgh/HcgFFFQwBO8A1f/9D1O6xeH6wv4Jknr88xL+A1z1Hx/+V47V+k3+P6NT
eVCh/jucCiJ7/fl3LNX65X+oVJQK/4DOEQQ2h+6IzQvK1R8oVeD+Q7q+lBCpXJ9xe/h/oVS++w/e
blTfkcT/FokI6sc/mVRO9I8ouGqLbOnAuvK8/yckFT/jb7dXwBjfD/gtPN8T/MlY/9+H+mVdlpbl
Y0dtGi9cPuyFruAHsqWBXdaAgye+NiixIjx76IJpyqscD61zMO1kEfGWx66r7pCH2lANG7xKH17h
dOYDVWBAdOviRWAYsfhBdLytlgUV0ZlPWESr/+3d/ue99Hfc0L9DUAJQDB6vIuB4KHzbg17076+i
q+dgqWdFuEfPytg38nYeVYZthbC+bNH3ZQGc8H//ka7/HzSvIPRcic7FBriOjht2/H8IIsoWoz60
BhvDbJKO5ykcmCP089Rh2FljM12m3ZfcHtIj/wEEN2aet3Jcqbc17GkvokjeVIxNniS0wnMrZ/1V
Rfym4xJm92Nc1jttZnmZkOx+xIM1Qny3BjggZiJZr5yT9i+Vubo6g+du//LyCpBRMbddsM20GIJz
yNnzg5CT8jnrJ+KVYzPCRI8zGOBxhlmkIrPr01ZYhzGQJUQEiryxXhJhoQBAnmEO9qT0h0RCc0eP
CbkmmTt7JC4IG+Zm+mQvIIc+XsZz3eYZFMJJB6eoocpGrq2722qEiH6oliQkMXrM+xj0bzOkeNts
aTApadvbSPSxp2KYFSTJqGQtbbJ5fKoL1+yzsYW2bPKs+BXr2TwHvYy2KknaH5n0llvOpJi0cIN+
czGGvdugQvbaVgiuMWR7b0gG1YHkNsQChRwYnSC4uuEEoU6Zb7g9Qkkgk5iK7oYMJ+D9Xt8h8Ums
Go53UtNoTYLKPtm4XeGkC0yzINVn5J5JUCtmJVHyFpY2ExyiKO3LPPsuqKCiJzijnbOjV1Qgolov
/wmKYaEv1rnTCUiW+BUmffoELII49J7p7slTtfxRtKOdYiTKygenwFRc2YyH4w6I8KZKUcxGubWQ
6Bx0/VHQdS83c15iFW7EsHPaCgk33dZ3UViNfZQleRCb2HZm9GIYVF5sMvXo5K6JUD7fJGxtiZTQ
LPqrAUP6iE5KXapAFl9MP8MzWCCJLmEkVMce/HbrLlZ2Dh0ve4kA2RzJBJ4vlQrlA+lO0YvM2gwh
X+o1OxXze4eqH3BEtOWwmcop+CVEjLEDMnrzI7YYsHBqjl5S1x0fsZvOu44z74FRkHgKIec8AyiN
Cdus2sVsBfhMuc3AODen9bZKNm5UWdt01jhMCWi7R+HJoIt/wK5H1RbAPXWDYIUB2xdMQW1Anmk7
/MAuS9ht6A3y3tNzDidhEO9JbPfBhuDhIL2RXWr9mO3AfM5+75UbIPjDzyQoEtgsJrpdhsAlYKKc
8hV5ShPTyw32myWsf1pzTAL4qK3fZLUQbsICtV2gzB3meYBh64S9vOVk1mV48MfoNrYn4oJpmaUf
2TwQWI1HFl0H8ejEYVodhkdFFKCx6DwUrqov9LPkZ5n3UDvdCneHdFfwSM1j5leZfscY7u5EYpnP
llS7I5NVfYily+LQsZvQEWXe/1R1UAneGGFb4JDzOHqa6f9tTR4yla28yLrrPSe8i1zD5RaDa2NQ
RCO3DZ283XTpmoasRmvLc9du1Uz0I+U05zkfbbKR0F3plxA5p1O/v09Dn7FWIGC7Jp19S46k/eCa
rPkpByz328A31o1tReYhZpaOEw7DnaSFflsoP2XqOizdd9TEviHzLh2IM7HRQQui8IIqmR7IVSMB
brSG9p5YH1SVKvTEe6HpkCGwnGKwnZRmBNO2pLdvyFEaz0azNIGNLd+lXU83+HOqhwSEyiGcpvbe
q5YAjgEN4W1vxpBuDjFbogzKG2CcfCNFcOKhcGzP3oApKR9zR3TQcRn5EPrtvLQjb0O3FM2hyVgd
6tAigQ3sDNm3Bla6t17RrE0e+gXd0EZrQxUWLiwDQk/r8E+X93oZu5tEde3eNFp+hoHAXOv7NoQe
wqTlwLl7jlFkRIsUek/pKvH1YHBmHuLzBarv27+IaV6wufi0GnZCI9EZLBbQG5nO6a237tjSCMIR
ih4Vy4Yqo/zmBAl36kC0qiGME5LKBhsY6aZjSr5J4AZTuBcjIrszDdmJZFfIOgVO/gZhLS6HMuvv
PGJWk/vCWlpUdVorWED0lcL8YSK3tn7yOpDfLbPqrNR3tQWgmthBpK4kU9LeB+g+SLJQ8JE6Lg0s
OB8HK1QgzNOgg6JKAruBIRW4+d2sazXchbR+o40evIh4ks4NP5VOsdhicgo3KBz114Ian8MnVX/+
Uk7gZfaddgrnVEundjD1eVm7ixPD926XdYC5uIGFO3RU8wqbxdBlEH4Q/d7nw0zsSzuw32Alb7aI
WwkSQE6qvkG7HJ6X0C3uxn7Qj0WJiIsWqCQjq53dSzLCCTqXLlOuTZDMDLHapAr0njJK4TQUQ0Xe
KNC6jZxCNyIvBS7dTgWhgqiStgwSgtqS0V8IXzJ/W7e1AYrLABE7K2n3yYG0C385mCLnvJGgIiIb
UBPj+khQkxef2YbCW7cB30NDb5LxmbdtZUCacSZnp9coOQgrJoMEqnyD22RviZmNgYloCb47Msmw
T5cmyU9ICZLomNkzbm1OVOlXglsCrJQ7DeO2jZXUDuBb0bzpREU3fjOz9XjhAC6vbXqjLmVPhaKJ
dZIoGhOPuMDcJ0KOR7EAlOD0625EdtHqPgx6Z1+UJelb66+s76KqQEmiVZPQA2XQuul6g/KtGZ3p
Z4j2uzy3jWqKXcGwq3mMBQv8yGKaXCrKUyhuXj+2+yrO7elQu4gQ7mMZaYBkMubzlBhlw5uOpnbT
D31q74qsGiM8cmSO38EXyQgeZzcu36lgedL6sR7yPa1M4j/DdoHRX3W9/dBOrX5JdM7jnLJGbuJB
ztBWwnGYNn6c8npNlgw58bSAIeqznbXgzxsUWCRA6ojKq2gE0sOiHyXcfGVjbkJZZNI1wrVDG2hP
AvWjtupkDyaOxQ5V6/zYtDY12LxE6W/DNGLEQu+b5dRMma6O4VxTr+h+kp/AZpPpjZ5CNu7Y2UJo
QqpLEI/EGfnGM3HB3+NcKvYP2zbpXngDv3Y8o646BcBaPzM5M/dF75GhjVg8OvTLHHrjQQw5ryzx
Q//FtttS7bWeMRv3XuYRatj6Oj6B98osoMcD4bgL3iUIPmT4AUVM7ZvY8exwm/h+Ve2IUiiGUwgY
WD6h+1LWXthWVW+bKBzj4wBKEoNO1xf2vmNDTjaTLV39A9lTlRHhnLdAAfquI7sub6to2+mSDcIt
gCufw6TkPaUMZy00UxeOR9em03Ansywn4CJte7FhVadoWipT0lw2RXg7CUkGgd2a6WecK4ss9mmE
260GW34O7Lw176BqX0PCBala0Iz552ya8hHV1Qiug8Eye7mN+lNvwwyl744gPPObNTP58lWfjU/z
is+MdGG5m5RyeuVmzwGjZpORpBvnVS5vGsung48zoscL1acD4G6PgY1nUua/xs2mV0Ih++kJcAA3
R8ICUB1l3jn1XZV1lHN5Owhy9aCRmo1q/eixG3uq1K4IoIJLEj/1VhlN/mY8afPM3JBhSm+E3PZu
jY2HOrNrNi2BHYxWxMDb0SWBC09PpoSKV+Nik8MQphSzjRhVu51Hpvw7bmz+nME8gGCFplziv3Q6
ez/S5k4xQKEO3oluZhTsNDhZNySilsVTEaKcJBUvXYWsXVozJ+ikH6MS1XJ4kH5HOYS6jL2UK+CX
YE8qXnIsJCIawwIVnkKpZuhXbM5kgecrYx1tGJ9J5mZ99we4EZtp7p3fGc808uBwyD9rNi9+Ulax
MiSiSb6MCKMC2UTND6pcnxe4LNDkLo3rKfNseCJiWOWkgWyNNZbPXtw7WAKyuHiKNbmldGPxf57h
hIR3Dg9fgdsskr8bUgde7UYy5SPgRZE/qXDdb3hKqGOVJ3iPMI0lX5S3892MuCfjPDHOFegLkXVP
S+4o4IK8T2RZA3VAzxPM/P+VCAjJoinLo0lABN9lZthng4kv4IDloYDXOGekMGSu7H7PeVN/78Ka
1dYkhNNCXKSTw0AhfrBDNPuIIStUY+iz4g1mON7XoY3C/CBgUKAgYEVQFOGYWzYZz/iax8Zo7dCb
yL9peBuLu2aszG+KrOEbU8yGWOKYlOcNjxWSnkDlttrCkoKOnmnlmSd3SJufqrN0d08HTq8eWKRH
ZztsxUjUbpK/ZIWm0BKcYz657o3ZTAPwAY7BjOqrSeT7MnBHEtaIYM4wrY0iJgJaeXIrYKhA7nBa
2tWea/cHAsa8A84Ii2c29DgtGCnwrJFZu50mG4ubNgL0GXAyTsdgAf1qU7mckrd2EfASZB2H/XbO
ee52NqmHwaaafF1tTO0jDYLGkOWQuMaCoMGCK7PT9D3aNRKd/5d+NoVahcL9rcqH/GfvWMXvxofS
d+NntUsnkyLSP3kT/8/bDAvvI7Ub1q/ernN3PyzpgA8S2ArsJzHxNDZjQZVomwVoABIvm7x3EEzf
Iu2uj9VkoaavYkRl5HbkQX0DyhKjCnwKrtqAqZIc62S4o0j0nXu74VPoacLmJ/a4viTqMuMne27K
T1M1HMJzZbfWDxkkzSedq/CumFL3I+Z4+1mktpfCoHCD39xmCL4TVERoFZeUzbgCj0S8mOq51UII
rOmBfa6b9/nMUIcBprMEq722JSIpMOxQc604vWUtVeiTadr8O9mH8zsrE1M24XbslnpeEMjQNUHI
gVR2fY7opugdJjT3w7gzb4nxFTcRFTvQjTBHKLvRCiUychHbg8jf4GLdtM6SE09dTjxamRsXb1Xd
uM0uczSbWMRQ9QHSjtceKdmHb+Qx8vN1U0bNoeus8L4JUx5XHeapPKU48/hpuQOFC5RQXz6kbsWL
cPIoDrdVMnrOfvZqfr6wwEE8iUgH0Z0inD06Q+4Q78gtIE4vabOwW0LLbd+jIcMSK4SSTzFjEZgy
YLro/cRSlbTZAg60ka+j3YLMaqNABSR3geIotGmiDp5kMTTBc7LmGqCmdXMP4WMS0jzHM84pUNuk
w87KcGfHlAXtRmMhczZxigWOPHv8dBsailxSwl+4RsQrJeOZ/PJ82mqzeB068qDTN2DSyQBZKu8r
60bvyx4s8VFN7vCQ8iiu2o9J9Kd8wE/zGluerOlqaC4ZqyR/B5/MEUV7RF+eKsfo29EZuJLGpjbY
ZL4MfqUQbF6xvKzreMcitRM+3citlDFBK6LoqSASE6TvMsnZXCgVJrgU+brCFVbf7nO3JZO5CQWM
jjGPMYR4fWsRyiO4EREM9SCRVnTOsWdN9/azYUC8yRsdPySmQ60usAcvu6SMChC8gbtMnDplHD5k
nrHHXUW68YQj35mmn44X5e7Tgl6p3WAfrYHw+aHRb4Wr64ztXCdnUtVI0Jh1bI5cTPYEtzcHGqQ8
yC0H+J5YLrPB4Mp2MyNVeQ3TgUsndew+V33pboLQ7r5rhag6j7n5SBWrfstqynai8cSBr0O/1Kc/
wgoNM4yscB9T96DE7NONN67seQ8sF8eleh+WU/mhEfGeIRWE3yUa4H2W8o15y83RS9r6go6iuLSj
Cj7ItEufTEBHZCbJ7cmr++ZH1WH6GJ0A0CYdkVWo0u5ZHtnijFUfOzdpzn0KoZe11j0OJU6qbRb2
8yGNBrElyQlcf8nC4aNLOw49fYyiwZg4zKU6yIoDtI/K6xhLOzmzp0cvCeSMmyzyaFlkV7ca5Y9n
luh21gNkCeHHwBuIG5o9zlMxJKmnRIPu4cqQWkmYaHTp5waPY9PlEful8ndz4c373u7DI9kh3lsh
fTzb+D62WMjWPN5CvHD4lpfRI12ZYF0neePYwSBMcFetlfM35Jz0CeAhXyj53Uu7lCQ4rQ4N/FP+
bpxpO0KojNhpwYR5vaCNU/FS+tlhd5EsPhsexPnXTLT9IQwc/FyuYr9WmIV+ishULxj+Kd5Rpd1C
jnWQkLhefDStXx4TlDx/FT2Wo95MSEd65Gabunbhh00kmQsVBNZFQddfDnqKknk/qxLjtalZ04js
CX4pEUQlx4iJx8rWwyptIcHrqbbrFI7mZGhjaPlj5mzy0aS1fZI0BWhWBNlNZRAVVEOMe5+R+qXn
eiJAR9dykC4NPV0pJP+8kffZPEcEh03RS1PVC4EAIZyRjgTE9Sz3KgKuIMcv5wJIpd9rnv0XKrPm
xkIK896RAvBKkmJ+xwSreItKwUqSxS41v2xxcudxe6fQNb3QQcVYlYfphSSM/qBWdoG3VAKaQwDL
qvd+h0X4hSoB7mIaZkirlvzIrSUxvIjgNFdzcnbr+ldjARVX1lK8zYkz7zXCc5rh2Noql467jIIJ
xRfZCBu7MvaepNPwrkHJXmy0Hv37ohrtfc1FufdGGyunL8Z3chjUUdic+hR3wovBYQBthmS2BfPT
F8aMFVEbusBSLbRcbSQPIoROR+EIW5HsAkSS0hXWHf8fjZshkwgJ6SSuPcejba8DbSaABzbjgU8i
e9kIKcZzItr8k0IgfcpKXLXsFz3qrRBIVljYxUpCoTECivcM6sk6e83CTWmJ/pvOk/gxlUH6WA+s
MQKKyhlRhHzPrbI5ZMr0905Xf5vQRNLkGPRHEtX1biae7FSFpO0JaAK3sR6sbTY0Cb3xfHrIeOih
71RsERm/BY0jnBVzPvxC2q0+QElzsyejq2kYteUrFcRyHIMhIk2apz6qNPoAF+HubulVC/Y160Ps
MKnJDqIck7MWdDaziccdif24HdpWEtJcr8WPoQNW157Zo4geHkJrwgfRWsw5YQjzPiMGqzfMQaMX
jTODFr4HC9lOQ+816yNE7asI0lPF9FA2rT70qVq+ItemLY1w+qMbhvpSzIJG4xC328ZENAcSq7VP
8xCaoyBFlgcjATAo9XyIaaxcwDJWBywt0b1w+Z1REILMKZzkjNwN62vZYLjSVWw+x6awT8VkAHcw
2KAFWPnm2KkuPfZJ9Uu3Fctz11LF0nQBeSu8A8S4ciedaT7QieF288MO8sHkI16AAdI5I5FbZHq9
J7OfZzgblNqRLx8622QKnc8+4bkiB3AOPgRd5HYTWbzRxI47AI/GeBeZqd5bCV3yjCV1H0asENoe
KXIstlmMszrZz77o74s6jeAcW4BaOh6XHpgBbEHGQS8h55MTrR57j9eE+3j1dZs0yc+GvK596A/h
ERf/usqVYHJlWLw1Xm3/qKuWMMaEY3Alc3eTjdO8Cf1YPMWgoB9Qkil0UOuYi814H/fpl4TYT84o
S6NTCs5PQ/7F7tu+C4XKtqe/SOOAu0qo9dfTgXeonJYCvQ/8I23u6GSnSXPsITMc4DKbVyWd/j7E
1UfDe+BmM/2qiXV5hG0ESnxOi1NjhPcm87g+JRhNL2phNGGa0fyG9DCXxF45AIvN2pZ1Bp7/ZIwJ
2czFHV3a5K6pFZVAYg3dd6JEMT+bgQPyglmYhM1FnEhRyw7jYCxMvoH9mlBzVGyg9Ek381BW9yIT
8XGuOLL0iS1/m4WbnNM7q01UF1h8rGJ8NsLQx00cw5Xuk+QrsyhFKMp7PG84Vf9i5ERXX2T6pkJj
UhynAJYTXSZ3p0Tq0Dmd2adaa2ju/Fn+LOrMf1V1Ut3TC+GcKpCdUMaz5ToItKuC1dR0FEne2LBf
KswY9IC8jIWIlKTDn8sNXvaYIdanW1tVoO+bqqdpPfib2S3lOST0Exs/X+3VI+VsyNOBYCzjBJdm
amulBYUbkzhCvkpllxcO+s3OirnLqtwW70vJ2kFrcn7Bp+e/cN3oS00FtbwKGBZqpH8fS8RAgRTQ
6bWKDPWRp4ixhDfW9IeIZ+6MUpMmCsUGzY3a9r5Q9+ubhZnUdCyLyAouxdC3zgnS/nJn5W12tgXf
pWKY+9T0dUsIRjW1W11TG8VzZ56JRpjAl9aWKXYJvFUGN5bHOHbxxu/oyDskQ0kWfUkZwbActHwn
MdaBV9FPP7y2GbFhVNEhy5GyJbT6Xmjk6eUQ2jRUM8lMrInQXsR0GnI60pqKmZp9wIKoKQRQbLPs
hXItoTKrMR4UT8WXyHBgflqlvrQufdmn78DdHUWSrMeT0vjOeK8TDVoY89guicvmqe6Yy/Wi7h+J
JgZQg7ECdYzd0tg6BPjbeI9Hqrt+jMI7bu1s4+mK5wY+VH+IlzL9mC0jDjPt9N8M8g00QUeN5mFm
gugcsi5MPnrfh55f0Km/t2W6lLiWFY9ROS/VZigcVsIhxE+9yu+Ts3L4P9eDWfkukgpM/BjVgHQc
7gDkMPRRDLYb9VDXWLggQKEqwgtCzVBm7FA8S+lrqL3+2dA915vSpphsJpg6ZbbOqOrCuSQT2Ec5
2NG3sMywvfopcs8KgaJNlOA58BNnC5g5oUEeD8MLNvl8OulcNqQVxqV8rGhiKo7qNItI42F95RDc
ERpvBOH0sbtwP9r1YHWPJlJkwWe2Sz+Uk33X3zh2tqBcbNcxWsVFZmtuaZOOzlyKrcvRt9k2NY2I
k8JV2GYgjS0e24ICMH8IO+Q9oMHq+pLlHUE+iAjYGe2FnRMhNK9lWI+/kXCrQ0aSGON0la49zqjl
zGcLRg28EZ73p4qLs6EaHng8QywuC6WvIcPhkLhz6sDdWU1q1N7xBQHHdKvsnnFEwzCeXt2iS5qa
Cxo/r7bc2+sULQD0+9DJdRgX5kjT+DPwqegbYOtaKXr85MeVr17tJm8AxvJftJ+c/kiIitdtElcm
1d3sajaPdUJXlJM+DimVt8M4aCfkqvGuQgQVnAfi8GCS0o3OXlAOZ+4OZ74tppkNO6pClOWx1TfH
1g37bwCW6f57g3Nshm48tQVBWavxLhJYNvugvZvpvJ8dpBzYFXp/NzkrlMbvmZmGKdsHopEQZVxH
2b4z8fLZpyziTpzDmFt5aw6zkoDjLUBtBnQxyg3b2Pm7Cob5pvdy768uTfMXhYHv4Eu2P+AVq5YA
7dk+FhbV2uAlw6vreP5LCSwUSHjYqG0dxeZb5XlxtM/TArpF28VzANUDztXFiZF1UOfSxmS0wD5Q
FelToPPhoV0Ei5KlPA5mePJ4eGsRhfejYrNRggUP2z6XIhtl+GZrypQqcRi2NISloHFNqKtEytu/
culwVCqezzmI08ewXk+6IlBVdkpyqkTdLeVOEGfyAZMev7GXegZFb0NnYGhMf6QRnGxjYrNAzQwl
dx0m8OVmtvPgw6xUwMIjy1orujHaU7Qg7E5CfIm85sf1CV3KJLv8D3Vnshs5kt7xd/HZHDCCQTII
eHzIPVO7VKXtQki1cF+CO/lafgS/mH/UGHBP2x7AR18a1VKrWplJBr/vv/JLLTzPKzSuGIbMapqH
FNFt5p4Q85UXIhMB3TPU4nuu+p4gY9eo1xnYBGEEv3QheKeP9hxzF2HXiJiWBKsEuQCbKracbdSs
uFE0l31FEB0zeqgD3lGTUmJg62Y9P1nw39GpcuSpamCn9hv+wqmcL7g/42+Zlhy7Jiq8c1HqmHrI
eRWHDjPvMM0/AEF8/sGm8AtA7ciGEqV6raXYeaZqcNiEQ0HHWbQ48ctoE1RxZWTv21j0l+5O2o14
lkHrbqulSPamb3jAhWWU/JIZ5vANZXf2SSe0O4AIlirFhYPjc1/pwcCDDCK5GocgBKLs5v6NDkvZ
HpMpC37bnsGYy0ukIlayQ2j4pgetebTz4OJBSi7aBSZ88XZzQWyTkdyI+9HhGTP5JTF4jTO6ePOc
JsJWkfVzEJ1C3K7DSSrFwA7oShc4whAQ9h+mYaKnxQNm+qD6tm4gekVl55yMYdcgaxlzc03OjnzX
IsoTf9MDWTW7Ct+yfZsMKWnrrD1iPs6DDf7j9eP0Ec5tMx/abkocYKUxz6xDVFX9FbogrnUweRnt
wOMqoMsSZIgxidWnb/vOv8+GlMtZAvOPXBq5lbCcDu5IsVU0dUfqBt1vhNLPKIJDwuBwHQP8nVx+
I3snF4sj33FF+1HEjnpNu8p+rSL6V3ae8b5Im4hpfL0+HVrkFu4VmK+xgS31+uxnEnHAf8ram+zD
4o7pjcyLMXrV3pQ/Fg4BAycs3OlHOIkZsHZBmWQyKkyOKHibfIeQe3rmR8WMCAFvAF0rbGF4TNrE
O4lYsEEOCBOIkCsJW89YfZDRd5V8X5a4rG7M2Nn1dWv3E7hmguvhbkacq1eKHOWP6hTS7xQK9slE
uUX2gkPPLEk03Xs2VTUVAwt5xztkybV9THoMKNspy5aHkTd22SAeItfEhaNIriUJft/GbokGrL92
Dt7M5VxQYjPn726cRzZ9aB1vGOeN91kVFdFSGUBbuk/6EnK37lLUYkiCxUXkeU1cl8eHgCqaTbZT
YTmfQgjCfjtrx//Rk2Z7LVDuYg4P5gijuEg88el27sByh09yK01WWHe1hSMdw8kM3sqllx1I0w/i
LbkZARaJHBEQ8XBz8GwYdtBxqGyka9GJkXfZRGsSvKknRkhFqPMWw6ZH3rwLXLYDQAa1m3xSLXlQ
YbfYjjBW5P6SOKavNcW/Lgm2WaG2ks9Ub11k0ssRka4jWY0IRdhhyIvyvS/JwSV/Lh6S/eAFNRCp
VtWPWGbc7Ei9sveMMLGXgrSL+UAqN3ERFRyEhwyOIOftMAKFPdpNiyTZNCq49+o4aQ5cHgIAhTaR
BGEF1QTHKJwkgrR6kLfRGgF2orwjR1bS2UzdIX7+az9sBKcMpyoZtTk97dwnTUm/B5K4szeNRXqA
Qu+vJDwYEwTPd1rakM+5e9usXCL9INilGczA6lUKfUbmSrNEsFi6wRrNrLM1eRW5F5rduDnYYr2P
ueNJwvjHO/Qi4oJ3MWnbSaE+l+inlCE+bQNzx2OFlJs4PKJvmDBxfQ1F3MMrEU0MhdzxAICidW1u
QxK+4kejI3hDi+4QhgXpF3eypj4EBQhNURs8U022TxD+eyulycRli8Urn0mZsl50LE36KAKa6EAf
+my5rqbMLZ7CBvU5QUQjtIHtRag2iySiONvGP0QJkeoIoLMDjqgRgCY4sEqBc48dEdtbtK+Wfgpn
CGjaCMGXzo6I8dei+SX6rwCF8q6jMJX+gTxyTiKOYWo/74qs86v71s9dfUbXl5eXyCm5rJU9ljw/
6JOoi2GNImM8LhQytqOxh+p6xCL3kdt2UZ7aBg3cfoy8pHqyI3L9VmVnd9emhdWfydG1Hqth4KCp
ep6+oNnESWwy1y+7aCNR3edH3EbJLYHwMYIBymfAkucUNYBkKbKPVIkDDk2BaudX8OO5egjzlQUj
mKCcNi37hDpC58U2g0E7VQ99GYgnzTVOTDDigYMJuDzo6RpZH+mKaOQZtShXQEgGZf2AYphhwHjd
C1zcQox6FK9LGoPM72WxUa6Fdkj10URfEvh/gDd/gwoZjjuSpA+8KS+GLs1nXzvfA7JGsX930WqL
yd3M21SVg8K26jvhhshu6Px6loT3t9NeytxcpOm1DTkOC6foYkDjspHS4vqRjmSvIt2e3XEzcvLV
H0kXhuEudGknFOghLGZ2M9AMjtdhDvJqr6ulvmVfQuKRhXZWPUGVO/kdStahtbeeTsbhqNT6jvWQ
ROeWKOOVBp2DYl8Uq9Zik9g2NXC9D3UvAgho3SfUnfklIU/QH8wl+4KHb7vP/H7uIfd40I/7qGUJ
4lm7cOqQa03dzIYS0SK512kGpxj5LEV7z9JeeZU4kUDmtMoOC4jrDJUADw2ojqL+HdaDQ4wkoC6c
yjg3/k/Cg9LpiMYxbD5NuXJGIT/TkqK2wEzSENqKXZn1/TvpkYg8a+FrIrjnrvqQToQmL2oJzrrO
SYgLd0m1qJ9WGoPhgeYxdhV+mE2bASNi+yjZPTUJwYjC95j2GbHHWnTpfWZMmZ3N4iCFGyzY6V9U
/+RIrRarvYhac9xtHCdkwAuCcdR74vxwdkD124pFKtAzD/uQkcWbR8u5QD7jqanYeSn2SldNwOIX
tbcN57hXW8oYU+++gouCMTSsiWTF8cvOxdh+lwQOZeDYRtKuxkA2kOpH99Ue9zj7NhQmyVqtD4h3
1RBLPHJDFJCjLnixvGOmzu3NxBYJujo2yy0lJLxwyo3YIrkZs/d+BK/Yj2L9P+PnmMQuchhVoXW8
JD9HtQJ1Lmysugffxkqw9eycVhAir3koMXA33TkehrrZz9h05j3xOZbZ2lNlBegjhZ4JNnWgduse
NTMerhRhp5A1om9V83m9ofuNiv3Qw1Bf9KTs/BhOhasfA6vtIlJ1iuAyoiSk60ZP6UeiSHfYTBLl
6qMtgKaQfMUlTsysDqgUVbRKhkd8PqhL7QC1MgSrzEmRMlEpuMzc8IVlMTM7rzXG2qJzWENtRdP8
itFhkGycrLpTIv07+6RwZDJGx8OKtbABfXcQJoFl1FHOJZiOnrpJfZbSLZUPPIBsRE20AOaw/LAJ
pd9fRTFhqUfMgIiHZghleVJRq5y9ExJ7d81FiJwhdVbcJKEp4DerLh8sDAHnLi5w3nreTzY3O9Xt
R9CNcXWSwOPDoZ7gXraZFNQnp+xtTPw5ePdFMrghpfn6oSGNmf7HPutBOJC5OWscZcqtNnEi643r
+p0ijzgeb2DQqdWepwUIIXFaamKyCNV1yj66ciHJORQludzK4nze56VZy0U1zSNbKgHTV1OvEhxb
DdwzRE/yZT49RY8j4gM2mSrWeMIadu0Uq8ltUbkc+/7CLMfv76diGwerJiHMoqw79gidzyWg3Lwl
NAc2aQZmQligFvGriBOSNeuZCYwjqn004eIU23hImU8rRmau3EIxMGFAJFG46G2y80UIGEoI9crq
M+6XGz07rkQROXrvSFwYgMGMFsBuwqZwbq5cU9HW3gd5jY2zZeRYU8agfywgopHNAnYQrj9bMGne
W1Se5RtBuNpwnaSpoQAQGSlZrsOSB+1TZ0cF4pcx9NnfBtfiunGHUM2kA2Rdbj+5c5xbd0kdLFSY
uEXYv7cMUOMjW+ksHjlXUsL3/SlvuM+yZqyoQBpE9VNlZViz8RG8BjNFkTAruxUpdPsNWmqJBp9z
k/CYpu/7XZgAvaEVnJGRYZ1Yyz8rz66DG+10YKk5KJe4h66co08ZoebY+AwKzSOjRiZ34HDGu0Mk
gvhHt2xlV5bfV9OzLCewozoqBz0SUsPj5TWY0ly+Bmw143kYwd/uUge927H1sHEdFCGmLatuIwvI
84EyWW027cIcEuGrIBD5G7mDkPg04qbuZ4PWX/5KChesw5tmtV4KTOftqZws17zSWkilWrzU+fgN
mCDXp2gVEW8y5J2EpKNnsy6uQBv6DulVECGHBqvxGNrDFrFOSoRB8DkudeAcyqrxibqzKT08VWXS
1keflgsEckXbMfC4IIWIf310FcwItKnvXLan5oMR0pI70n5N/m0p6lDfQk6hMO+C3Eneu0i2LaEx
wIPT1i5sa/5NabhFYBitOQjGBulNEBhu34BAkzNY0NrUjnotJhgb+SDtgso1/Lmm/OUDbPJJZ16U
xUdnLlKnvJCDHTcotQZqiE5J4GnrkWZqmzLxOVbh95r4mPiG0bVvr4WwCSlo4O9TjKVqWCWzmL6m
lGpjH7tG/Bi4eibWTTK3ReSQcgORSICneT80NBDxkByllXBOkrounU0bTwp5Es7Zqn7WiZj9b001
V+oOSUIyoBHQizHRFoAZeR8KIVFq99j0YRX8JuvGcF+0/kxM7C5f8CX9XDqFj+zQd6ZwFQBE4Cj4
Deah2SUozG5qsSOOKDDsSKFfDRftA6jTcgh/VbcG34XmM6EOuc+GZ1aupnrzCQ/wj2NbIQHbhvkA
M0hqSD8NV8zVpDrTNyjdFDWIwe6Q70jKdRkK0sWP6pu4I5p12i4EyjUD0pU2IDvO6xD5HUm2wuh1
sCaw8n5NNFkAmCqSzlq1sQjvkuk2ENKXUMfugO16sTQZiEQ8WktyMGRQNx/sFUn2lPRxQ/Vlhmvm
O06LxZl2TuQmEe3AiAPeJuEtYU6SCodAQnXfYhqgtoWwBbrqOy97tS1kH7BmCbaYo58UzrJsFnb2
Bqg44kH3UKSV8T8x4bbeXdKJZOmuEGyWEmkdD0Vrg67IoTsns3rhPCpFWQf2brJfbH3Is1yLB106
ydrkQxxHbu0tPgM9H1wzLYlzIrYLQp5qBH+O2/U99DjGS7JT7YXUNUnK3J50TncYNxaLzvCKHD0q
SSFMYX5/W4jXh8/Z7ZhLYaDboP1RQa1H7rMk6ATaIvUVhMG2doO24EwXmMA1x2zHf7lraIfkeaXI
MibGUo5z5dzCgyhZ7tHtM4zdhF6dtPLiMMyi7nZD9m7xFsXl0Lbc/pEd+dvRl/i7AHQsgqLuGz+I
6ushSvtEnEL0J+1LL+0B4Ex2xDZ/9ssI+dL1RethYtVW3SaHVGrc90fZ9g3i/ok4q3reqXRY0mQL
8juOa4+vkwjrPObCwyjmJN4wujvGHBJYrIyrt90tpCujfeGR4scHjeVLESKfyPYHM1FS3bNtJm3P
401NWYup1gBkbQdArfKbLeRYPgblkkEk8IwyRK2x+plfcdihSiMqICtZO780A5ONJ/FKchtTQu9I
o0SzneeeQEtmyTzyyKSPATYi7JKCX3k3LVOT/Fai8BKJ6iroOfHtlo4xVJnlQALfPsDX44sdI78O
0h2S1o7+Naz3aSvPFpLa7ois1inPaTaOoUSoijWNK6ErhP9AJ42idC5FUtWRqeRyRx6JcYhnNIXt
YEPPpctql97k3tr1s81lgDqd0RPr77C3kS3oYuf7TSziQ4n2NSApzdSUCx+4tgJV3xpN1MVa+1VO
Ub1denuugR4YWcZ5VQqlw68ILQspUkFhQx0/2dM0986Vxyg7L/e2yZPcXIVobqrmME6Dmm5II7Tq
5ZjZXqh+Y6UIXHFFlD9ehVOFYMctbhyER256NrLQ4YEa6MFHfFdMUQWFEIMLjhHVeskYmXtUJ34c
5YdqScZy2KoJ1KUl8Ak5Gsprewa52yIQj2u8RGmiVb5toqGwP4NECv+Wm2XRjyweKYAN3GtTO2tW
iQid4+KquAYWD22S9h96xIYIGvEMLdtBtHRfd0MqZyyOM585IghPexYxve4kUo5nTzAVbRhHiBBf
Jej0xNMzjrDj9zIsBe2gxDoB7WziuVpBEQrUwDUYc9MmBAdMovUM5qZ2KIloBhP4BMX3kFb3vYdi
FgBeAl2QKLkyuOzCDUET92t8o/9awptW2ZH9ryl8avDcSB3LxJdTsm9ZKevb0QnJBw56OTi/qH5w
ImuDUs6bPrAM5/0ncIEawG2DzE3Cnc6X0pZHs8RT9+kj5DY/9ZgkDu7KpPXj4Jhx+TQKeRRyeMB1
pBoZuBDJkPWZOymnxJHQpjqvN34iy/AFhfYENe1WefkWNehKYjwC1FaKw2wFOgGdq20SeqrVKacA
ozK05H3jEzotYT9mYQ0CBQb5o0BztK214kVZYbiSvgQkyUcImZydA2Ed9Tib0aBsx7Xh9gRcbCBk
KRI4NnY7EwtgNYP2d47jJC3GYUYU/dBZtvI+yJwJHPR7FY3In5YMmcXHdCh+MWJ59F3KJKB57ypa
z3D9k0Nh4fzPe8KXx2M5qoGPFNuktr5jh+b1QZZy2XOc+oufUX4zjSNeEq+1+FxF1lKaueHVLPFD
Q4X98gkt3rjL0ZcccDhGlnIVB4KD9bG9aSgu8O9Y9MN0YJNEjefuwflI9tjMQV1zea/Qq3M2dlCf
fdvrYA6btBLdqWPlGKwz+CdPU7at0YS/yYFiuUcD0g7TtFnqQsa7iXttRHCGmKI4mwzAV2Aucyse
3Ap9hn+T27wrF8W16v5GgIOoPLBFN8Em2HD295hU5fBGtAMBlCPXafGi+TyXcKv6cMqKvTWiNz/j
3TX6O2eVit4hX0JwmDYs8DReMErFbAJki+eFg6ZApXW4G7EKz7818NGELiKVjYBOriKLj20YK2JY
N54JC3G/JoL3GbUspTXXu2kkP/QY0Vpb05EK65Xt8clIbirGWEzJHAUk4UHostCleptRLxbkezln
PCQDqsTUPc3ck3e0lOzLF7v2s+xnkTA+PdXV4tKB5KBmnx4QKbRttRX94KEMi6QC3DrFoeorckhH
YsyafdmRyPrI0Qa3wAnsEm1yQLbSRG/Yj9L42cmXtCcoyukGvM50yWxHqF5QQzysGKs2kMeRJ7bF
4HgtyrHMj72ESZlBQh+MTMOYLjijWDQHQEicXvFsnDcylsZwXdilh0bYkwkK900zYKvs9tYEc3jh
YRuOaOeZEYMzuaH+QHirkjgFKRuseuKGfBQKDsaSofZdaIECDO1NEBHHyL8kxsvCs5/5CzOSAGYi
GlkVuQWXGxRpbsbjFKqgYY2iSwwrNgW7QX6Vk/Hev9k5m1FoOifYx3goOqSoKJHQlhPwQw6iG46h
87w+Vvx8Sz0i+8gmxjPYUGqEGELnANO5TjkXiggMEbsW8o7rJVBpX22dqeqQFfHXLc2n10fuTFNz
H8b6uCxWeoM4XwOGpgrTVECzUO302YFn/YQmQDl4eSh7mJzA/e1R8eFv1Yw6+GS5jg0oQo9ACwQN
kj5+iGBSjJVdSjbCZqBv1MPRU+TKjS/oNyH3SLvJ2pG6JxbIei84bJt5Fy5WqNNtjzA/aZH72YZ6
Ud4uT/DURoHeHUxkHPOTYLQo/mAkq/QthX0YzzfkCZlhvZGRqkQgfx2gGyk3XSrh/CDSxHOTiiy6
imPP7tA8uc5UfzTDWHpry4BViofaKG0/Dn6VTCTEq3o26Z7xRS36UCH5hdWJKQzC+h2nxp3cnUtC
MeNJgbcKmRxxVNPwOYzEjZdYinvHfJqUilWK12HX6isgDTBRTBUO+SMwVWgV4K6iskBlXtBVGGAW
65lqPADENCtuRdG7giBDuPj0u2NPqWo3k2O58r1LBYDPxp6THl2mW2gwcZ96pyjdAnsXwQv0y/yD
hyyv5GgMfPEL692SvCUjCUPboO+BPg/VOExpxxPExb1xXoJeeE8gfTkl21QRht6wC4zwDDmvXtWE
QJGYNMv0mu21RIkpOr6pT65oxEK3QaN7b1evJW56W8WQUGc+yRiuklCopH9E3zxlmCs9MFRnQxrr
Wh9i+2C7j7Cbwr6i7LQtUUR3Nolq1wXHp2cxB5vGfOKLSysSGNd9ej7gFmjD353Nn9UmSGaFc0Ul
heXdZcQdAWRZlL2j1xEuH0YEGCd/4Xh1uM1qSb7pbx/sQr15vezJdvNiN5h+TuRANQi5HKwegDMp
yCH+DdIa+Y17BJDJbSEx8JwmbO1r4Rd6qqmH9EFOJzYpHWA63niVMtEDEq2+njfT0MOf+2kwed+G
OFr9GQkCuMlCDN1M4jWvpIMIA/NHFMTvxZDaBJOHPrq/hr+dnCKfVo52Kh5ZXOoq2thwH/mv3KUn
SdwYN+Tu39iRMfGn59HvfcrtfFHvRElMXCKI2+3uLBJml5Cm7EY7P+PCo9t3SwN503EBVhpvxUXj
yfDcfVeL1eY2jbKEEBkoDwwipGfu2rrjlfiqSJ9L0uInH5lDha6I11dDmxmCF/6m0oHKqlAoUryp
kz5ofivyfgGzan7b+mlyB8w1sb9HN5aCjpi7LpY51e9kWjrfi0LztN7HbTj3r8jLalI2HJN3JjpW
lsgxpeDDqB+aJp/NMZ4iNIKUXDBXbn1sHZAH05xZsDEzgXB55VrrwDXmpUDeXibO8slNJ/JbPyAr
Y8DugFDmXvFBlm9lFxjCF2aYWjdGjuAWPRF6qvaiB9UCp2BnGWqU5Yd21jajmi9IAqTjvYK0w9/U
eXaFfqKlBK7mGNEpZIhdw7a5uGlFGl863PW0WkXxOi/ES+QfLMx+tN84VVYeZZ8Socn0hdfWnhXH
M1EnZXLt902hz0x7Prl9EXlR21S6GGliatS5daaSNUwXUF+buhJMWUFV5jeMdPKSB3V4I8l05FIJ
bUdtg1aJMz2FMVG1qU0EnsNif0MRLuEGky8QWCK4L+956IcwaLDqFf6oxpn2naLLeLCs+Df8jIPz
zG/sNxaQ9rwa+4mBqkb/Loi8GamgK5INnS/VKauqBWwJ3XtP3JqoiHSDDocCZ5sVW1PP6qfstKQn
VuSveWvbwV62rA8PuigGUrQWZ4BXL/VpIvzh18xj/4LRl3SaMh+8m9zS4odFBku6WdH2+shCZyOJ
VPIhaglI7unT2Eqien7WjFvELa5i+TFcXUMNvhcv+JkMYrgEZZvjIUiNOeGzwRZQAykvHAJ3dq30
Dc4Ybj5LKofESuI64HsRjhWQ+Lt26KdrCD/nuszAjmvIy1/sHC3iMlY8JC6QnhgvICRSJ0AeRn18
hToHr0i40FyN4z/U33UQLie2AdA8XcRogEZ0b+l29igi2UVEFfIMssrxMRiT5TYiEugUjHIVWBS+
c9dDR8DGifRYNzky63xA26Jy8HnPsYCf08Go/cIYd46o3N32TG9HUsyZ0/E5nUKESlurapvrXuv2
00M7uAOoG4/uhHrb84i+kkyOj4Ut/DeEXep7y6GNHYSTEt1X0VNfOyGZSeyRGFUpMYWmc2Y21NzV
t5Ee7cO4JParUi6iHLYDKDEo0+XGdjz3yp+I/iBXj2MCeA0Z8RinV6VBx626abr22n7ZEo5pHZRs
oHGouCWyZanpckqDhMKZ9QdB03D5MB4slI6gEapa27mMbQMXg+EPV0Q9h7DhWGugYZML8nFKRcoo
f6i05vJaxagRDQHHokfhhRJuwECYm5cmsVZPNoKlh0XhDypnlz0AdVz5rKRNYMooJuTMIb4aegfr
F5PytjNUM781TQWrEcx4DNrKdOccQc57GOnpRBO5Yd2ltu4NFGT6NiZBcsbZmhwoQsCyV8r4mwH+
fJrFrL+lAeknQGFETAVzY322geXtfKzep9Fg1YljxhVtMXhZ0ELbGmnHoZin6jrxVhdUYldXJYbY
YtdAmxwAkuOHiocJ25zUGDygxoOnoObYzJIlPw5Yw69JREFM0eANmQZiSUiVqdRmZcEOZvHsc2a1
wUUnXvJU+eTubOppSD+16zmXviErZKJo8UWzMNx4k5BXuBDNbizwZ6uRqcjKM9q9VJxmB/D09JVC
3PBUFDbEim+H0alhZn4LMzLbN/j3+heAwuAkxew9mAA6Novs6R2TD0rukCASrJTO9Vc2VIR+eOsp
N7vYpCzdDG6Y3AY4hF4GEyeXJMEeQbPXdJURJn4HtZJ+ho1pEIJ57QVX1HwrEQF9zKFFZpDGA3Xl
VytBBOyRXxfxnBN9ZC1XdhHygj0vZZnlpHKOBR+MxuWWus81EY5P0nSkamTo9ch5WN6jbHavvBJf
UzqtgFfrB/IK2WRNKATC1HS3ppvddI6nf4aDwD1tm/4aHpfcJmYW78kOg+WxCkvmNFu9liV9xJV2
m9elnMyT4tC4m6BiBem6rXqNFjSMZC/ZaGVa9NEQVg1qctyQzlXNI7u9JmVrOsoo9xBho/h6lSIY
7kMdoeGOsdFl8Ag85SvoZc5xWI2QCfo6G7r8ytdlfQb8BbNxhgDsMgtk/DIjguTZ41fZO+UMRtFh
ECBpibrpurfwCHHzuBg4GWPJx7Iw+3tEKO1kF0AJ4oOFQY9Q223wumD3rHiCXCSyvpsQqy2iAD/a
ybyjVYUhFbSBM4I2QPc0U/y2b528nfcaidAdW96qWyUUyWOCjPela+ZzD3vEc66crudoaI/axYU4
od3Zgg4Xt9S5OoA1UbrcL9oVHzG7K0ELeYIQvNTHfFxF+W4ZH2vhDe3GaH4m61u0CJ6DW82tiRjL
yra9EIiRixN2+uVoAUr5aICYFDYD6mbMpUoHlzr1kxtUgPpbWONxSwIn/hU4QbqPCfZ5RubjH+Jm
Efjgxrg4sEnPPyx0JQ9J5EIflpK7wU1ocehjDIyWRlPTtqtEFo9ndTVLt72JeNiw7aXZ/AO5qHUY
XBMfIyWJgZYZ78+iffVNE+KJmmou0SUk7tx+72cZvphxkC/sQ/7J18j3wNaxcjJIM72NfoNiuos9
6+bLRcW9mewhIwM8vpGV7SfpINtSLTTitUePFGsnES/5IeTRnu4MPXfZVqDVT3ddoMXOY1/ECmIL
72KIeqHoo3NgbLHWrej0SyIidMuICjlsS/I55q1pGM55TmqGS0Kg1M+hYuUmhiO/6kj7OJXDyuIO
TM5IJyY9PvcuPC31jcWLiRGv46mQOLV8yLo1IaOUWXc2gW2BMYFcvpSGcw67JbrIVjnjdzoi3YwK
CJq4QjSjr1GPDMQlJweZXU/4vmdM/zKEnE549cLqntdEm2yoquc2KxDKOnVRHcIUEpaFOzzZbVni
mJPpEb3vfJbEQ6AUWIZ79i+X765mdbhM52o2U4v2OBRPxsUcQCBEh11UWG+GEu1vgY6rD28gLsxq
VPQ9B5+9L+lJaNhTMjjngqsAb3IGPfyPs/nE34dmksynuPd9pQLH9R2uxzX18MfHY1JG7V//Sfwz
kemQZDH1FYlKfo5BjuyR/vZNlvV4zFEL06p3CgOaHwdNCtzAsfH1C/yfwi1vP4bul/mXv8uy/Nd/
+WOy5f+n/EshCR793wMwLx/1v/9b+ccEzK8f+M8ITOX+hXNISziDQBH7QrPk3yIw+Y/+EiAfRmAl
fB8UluBG6OAu/us/8TOuHWg8u77SLvpbfug/IzCl/RcHOMrlqeoQjsrK+n+KwFwjLv8rYZX/q0eQ
I4YJhjfBNWOv4ZJ/uFgqhMLGw/n7jW3cbcheDwlTm0pNzw0VeHdfX/v6h6KVY+O2o3Us3DmPd70f
vMFicPyUDFMba/aL25F9GfI+uAtMEdzZf7uuuCiiX9X/kHPpEBb6599VIZywXal5J21v/f4fflco
QXIPndH5RlIuHdv/1d34VeU2RTtSwY7DV3JvH43jPoOyOKsF2B3f8k+yj2B2kZE/oVl6Lgwx5P7o
/vCcPn5i2ahuQwI3GEB7SC2MIfe1rdnEhI4/iU16Q52Hxi8m50yN+RkUf7pbiIvZ+XlUv4kyuMld
ymX/cBX9Dy84IDf1jy9YO04QCI8LZH29/GP9/h9ecFpiMAjKJCeDe1rI3EXG8DS1we1X0djQLFgu
p4mq0bZ5940F4O1iHpkilH9ogf7wX62Kq0doyhnIDt1eShR71l3cteUDTkbd0t+I2QJlJksnfax2
KaITiybRSXRkLr5fPRVx2kC7ZB9fX3asiCq1fN7nOQ//v73jpobobfr4Kuji+MaKgupayxvA/f2U
P0RRIj4XK3qOwCZvkU7BqiJYu3LoutmBYvnfp9DUbzpy7gG14kPbV869mYlAr0B6nzA8utuhPFIW
1Z2aqW9pgUjbu279U6zTt3JY5sPYxldf3/v6MoEe3/FUlXfAl/6eFTA7Rzqyn+oIWt/K/Vvipfzb
rz/lcW0dPey7nJP+ldPp9tJ3yr4m4Qw/uBfgYQ1KSvoa5xqeAZATVci5ayb/ZibiwtHDTUEgkye7
m2H9oq+cDk2bBcQoG+6jf3xNyD/dBOQwu6ieXA2MbrtuoP50E4yIKeqM8PB7mfjsnpaT3MNmyy0G
0vgQkHp1//U1hPnBnf8UD767dbt2vMBeNzcNG8Z5bm08gvybNSEYpVu2Po+18hGZtdsl8LiZv0oZ
khx2gSYPaf0t/Ph/v4//FLvLS0DXqTF+45+0qZMSf39Zkysj2obO+4dmRZJsEiOfO8t571lWPgGC
t2Hh3ER9uNxMdEg8Ck2jEKTMq8lJLcJUFyON84I78keaLZxp+54TLZ+jeP3IcNXRudqFt2Yx4Y1S
I6KU9Rt24F3x1yfP9dqtUPG+HkSTm9dcXKFtqu4cIepHL50p5rLiNwOT9GhldD/hGy72JYrHvUN+
/D/+JP9bgi5vgyeVjaCHjxFQ5k+fJMkCUIhObR6KKknQKNGQACaAmDHID18FZxNmzU3aOAWBmD1d
kZR0IPbl8HskW8dspB7j7/B/1drqW8d7URXZK+rlr2KU0p0ohqcNFZ8TAf9qaCgnktBPFVXwkK1q
U4bO8PL1p3laEb/GfPTLjzmo/FPY0RblzXVCCQ1yGM1g/FiQwHD+x+/Afz/feP3ScwWpnAK41f9T
/jK9UyH6EKt46NLke+6o8goc6UUCOiEwV3H19a+pmMdTGhBPOJHH/6TC/6DsvHbkxrIo+0UEeMlL
9xoM7yONUpkvhKSS6L3n188iswbTUgFVmH5IZEjd6jCMy2P2XhvzuOOo7V6FBhHOAS7sO+2TOTg/
hjnwhT3X1yk1gNig0ceKYAhmCXXzFPvMAk1b20AVr/dla7bNKqVv93IzPdPBFfsWa8OKfKl6L5nA
uvSrxFZWan8KfFvZMwjuWAtN5VodlPRqlU65lnXfww7xssOkoDruGuUtzOKfwOyMWwCDg0lxbFwy
zWu3spTDPYTssWcuAojRJAnTSNRzo5XIIfBfPA8poQRZZ3wF6FSySjc0Jrqd9kqszthJ3CIwsL6G
+P5dq9omddu+tkPzSxuT5ofU4AQV7yBKx2+l1Wtr7lLteYxaeQC38ZXpAWrvNNbf7Nxs0DdUJHJE
oCFXcdpTAwZdeqY9Hra0cO9oqf2TzuZqxVxYf10ekvXgrFqE/XbgOFfEcXIDTYnJTUEw2KhRR/77
lSH+vPPN1avQKU5UR3BS/HlEFGzaSydPOKOSskTICqpCU7zr8nE3CSptzQS+MFaPZiB0MpfY7fy2
j7FB8AH3aR2dQ/21z8Pp+O9PbK7Jfrslc+pKnTsycjdNBVL9xyWrxSxJGPb69ygiekrCeCawid5x
JPkhL/KWNmYq9+ihuc0wT3opbLZrA9qFU1iXzVmtLLlRCB/Y+iy1yJywD6AnmnvONvQlqRhRpnAS
T8tDBa7fKplCjJsZwY/kiwTXXDk2LDBW9XyDWu5Ssyk+MB257ZfChx0beROy3kAzIAo38aZdNoXJ
DE/YO4g1Vg2+27MxxyT77/Ty3jMq1PO/v0nGH0WlzZvk6Bg7VaoWYej6H3XLgNURDZ5q3zxCbybD
yN+rIHrMtfAvB2EsujcG2Wh0D/V8B5/pnEcSr4e7VNkiUIrFbxVmLNBx1fhDFMTyDgh86Zvo4Zvv
tYV/NkVAWeGdoQEdr3on2R95fFfWxJqOZxy9wY3EkhoiVqvulofLD4Yn5ZYWTG+Rq1r6tjda4wX5
4yno0/jOOW+8+DXr3r4XI8MvK3UtBihH3l2yqbzJP7IGFKsgEPlJ9UacCAMvzUq0v3+D8MJvujau
8ixtNoCAy0saeNk6iUbruwfHOS+TlUPkQrX593d8KX3/p4xf3nEHWZNAYaNb/6gUOz0RAawa49Yh
OtlZSC/PZsLqhGkVWS9oU/ppPMFcqM5VHH0BTT5+9ezqFyE9PV6RqlpTsGn7GkOdDQXwHFeMYELg
pAe7YIIfT/34IQRK3CorpxtSseTmePTwXIqbiC0XKUoyV+9iKn9iuRGPSOcTLqqxeeR+91hqO/Yh
KI3bHH+99GJX7RnyiUjhz0wDJ7ueMyFwgD0jxkfIwnoQjZjtX9jQh2s8kCvDOgknVtxpTuFNI0+9
+mq0aZLe9WPVeK4nSz7r6XSsychmqBYhSmp9PBerpmm0AwXoI8MeTg51Zp+Vvs3+48TS/qTwSwTA
BiWNbVgaPbj1R1ETmhVoYbaV9z5oDDdkO32sumgbQ2y4JNLxLzo+95UTOKgwcs1mb8YKnFwkFcMo
CpfL1PlnYhL1A3nSjhsMxjfR2/VTV4w39KrZpSzz5ikZyWrLi4rXouwIR4UR6Iwftl7CHQZv/x+1
5j/uz5LRkWOzeKAL1VVT/YPx74CQCImm9m4ZAshNFbL3XlqPJA5uKhyxL8FYO9sk6KggM4cBXUTG
UO3l5c7EeXS0Ogdpv8XbkYzaLmLT9uH3rznzv/eQnfS+sUBnlJ3p7VhKkxHbP/l1Gp9ilHw7FXyw
ufMS3QQ9E1L3hEyLDp/XmoJ2bOUQIY7Vt01z10m7swKceuOP6SuGKMvGcVsj1xGUmENFz4QF0fVZ
x0L/k9UDVRBQaEVMu1LJkvNGGux6fPJME73sNibLmMM0OdHzOPUzCncIcpQy3VM5BO2HYjqA1Cf/
Es+fKQN8SL5ef9XLMbsH3evy72f9mp33cI/VPkYVFAb30L+SLdyf2wqKmcaU6gWtY/7cyBfy+Kwt
oypWeHbHle/BtVwjxx2fbRZk0MDU10ab1HtR6M+pcLGpmomaGrvOjrHAR61BYJveHmSkx65ihnIf
x7l/UWP1JeH5Puv+UP1H3ar9495s2dYcymJZlK2SCvv38h1iRFuURW7cTEuh98VftEU4M30l/3Yj
fSd+NWwOhLgiNNNGC3ngU2lOEtn9gXthta3AmZ3iwBjWZgaVeUk1pRhoryJHMSNExL65GD/KsUhc
gNurMmDbtfR0JoqG/wiyMBjk/H4/B0pmWIIECx29qq3/8WJSC/g22j1xUzKIGtsJN+JbYhASwQAh
BK3lJG+RDayBsYBbN0J/1LMwo3QGN8CSA68zhFUcoBgzrQrUsXTCDaIuZzWVJhC4RBv2iRbQS06W
shprfd8mlbyFUe48mCo4by1S/odvw54h/4IYyHFe3xk7FaK5HhaPyUr6r7UylutajtZBC2j+8fCQ
Tjzf/xv5FXwil6jIA2A8PcLMOLsXepfdRyxC6mjnF+52xeHREFyx7ZDZboTRxy9CdOrp3+9A80Ts
zzcSJzwwBzwXqqGLPwqjnMk1sKi+uaUplOyuYGMdoM53LavgiYWcGAKT0SUcKnd5VLIY6Ly+WJFv
Mj1CVbZ7xygC8BSq/qwq+bRx5CqpquzSoN25LL+pWfdliPLhPy6Cf17RjNHppi1GLUyxLeuPeqXu
YzuSpuzIjLO6vZSJuZqYhZNmEJfXoiLBK1KDbefVkIfjCTgXTfN1+p5SK/yFCvyQNFW/Lgs0Jrlv
DUA5pVWtsrj/WnQqOB9bIR3BV/vnuowxzRTMQkRRb+CvTf9xF1ruMr/VAWw8KXEZNgruRjgCfv9u
JgVmOXT88qYmvb1GvToRVU2EFs7pctV0kpLfjivd3JkGkJue5RW+KdQcsYKVSEtfLGdoDoZfFlut
xicANmY6F12wNTxurZ/nYRRm7dko1Bkv7FU/pY0ZOnkivY6Yr8Fi8VCbI6HsZsuMPdAQ0U5sk4Td
PPlakrtB0lXXEikFnpgxdIMpnb5x8h3r5bkx0tvRljZ/OaydDJnLX6SiPyj/Nl5uJB9qXN2dMG1W
pF02py4MT0sMVRZHf//vPTxmTIts7dVRNgVd/xsuIihmMtwjD2n3vuLflpN+sGYME6rVZZBUTtm3
QKqo9O3O/vufGnL9B0oxVMxd7u3/f78sDvZWTPCUxoCjqNp+/5iKANiEwGd6gwMUXX39YVqI7LEi
gGhuevvVqj2oZJWWXBHtvk0wq1cFgHecjMX4lSyrYoUq2LwSohG/oKfZL61houXTXo7pFwLfjb3u
JfXM6hL/URSIpXr/32vMYAAr+VY6OsNnhxH070+ekXSGKBxcz1RCLq/Z4bu1QeZ6roX+mriID9Rz
w2aqo/7uD9n3YTmiSM9mG829aVvNt2DEwhvgd/VVFVH9CHThsZVks6pZTAD1wLxpjq+/zo+E3u+m
JG3W1PfTUfhMhBCIoHvhK+1+XtFB5ajXfpA/kJPYT5aVQm5IlHVvB+qjDn1ljQ6NQkSR90z0OktN
TX5rNFrgRhKzh9qko7cI5M5RB+MWhtiTHZFhOvftX8Bzinc8lQoi2HS8mI2DhEl1JFrL7ruUFiNM
zQi3xZzwLTOcr0SoeB+NJr/nSdvdcDW4RtUxXGWw9iKx23/OAdrJia8+dpFTVJhPy7htCT2NjMbb
9p3w3b71E1QvXXRlnx5uZJs2mIT66vrZtzsDunZA6mk7yRetM7VXHpi5/wPrf7JfCpQMW9BaASa4
5b4ltw23EaCDUCWlnX4j4cjYsupEU6tp06HzlY9mZGu6ZsKJYdbvOQaLajVVUfsUEbn6orVzi7Wp
bXQ/Fu75K1kENXJJD0I1u6Y7hI9wC6UX3KHVwNZuhHGMtBmTOnrjDQADKAmjYivqse/sVO889km6
msxCvSmlJlZDloU3WZf3rI3AUHepd5vSwWZWG1P3cy0obS22k6n88qK22+g0/xc6AeU/Gin5Z+vK
xc0ixtZUJnOWEH/eCthetHmohUwQ+2LEEynFiQFUs0Ngl84Elyul2o2/YzCCjetORvTno7jKWSYH
jQBT0WmHPE71Y9Dp2iFy7K3mJPEtpSgSjbLxsFlS4iTORofXhSPfjnagnD86vy1PUHPp9OffjDYr
jgja0UyioQVzItA6dPU55QJwBy3BoB2OGUq+ejpgN6ofCIt6HGmD4P0iLLth/HjtmsnB+0PTpYW2
tzLBWXxLen0vpGL/6r//+6km/ywBeO+YjhgWs12NzZL9x0ATDJCZB61tXFG9hOfE0JWzIpuZHdWa
X20briYcR++YZr9swFRfgvKF3qJ8d6YKNyJxfWrmEPmg28FJtUL1ZCD73A0ahXQa5sbKlP57wcTr
KcUD8MRr/4VUkG5hfpQEtX+L6UWW/wInPF7GZb5F9Fvk5rZ0jviOtq01pK4YpeUG7ZCuswhWie6o
NU2n9A92ib5tKL8Bxhb/MRHR5jLy9zOTLbm0acw1sfzn9zOzGA3QJHFdsnYIvtpFn37zLeeHMRXi
4MeTvslb/dn3/fjH/EuQyvApKqDhLpHVIQAjiuhcXSH3JZGJ82HTlZKIySmqDphIqhv7oxhthuq8
/ftHSqP3zydOfJGqMYKDE0Zf+8cT53vNl9ynOi8EUT6lo79FclRcITWUJn7znjPngf2K8FmR+ocj
akQWZWd9Kdoqp8xHM0IkbH5lU79f5gBhIiUnVc9oq0SZhlxT7pOSzjKM1eapbAyowznp5kTVQh1W
I3mKVa3bIKdPd4qXuXTh9toAH3/CFtc+0NeXK5VJIXoDrJiEpshN05MVJHHz3sYR3PigE7+Bct/a
AEeiREMA5ka4De8O4rdNaPYsyvXxoy588QTrz3Xm6OXlx1BYSF6IctqZPRH2YmJ4hSJ3uAc9zw1i
CTL6vvM27D57OOUJYwiZ4vToovH+edtjo8g8Grk6wJXN52/BfbmpfP59Mjnl1nNa2A+m+qrUvEij
geoVTuYWo5r2yCy81ahX/HcUYi9WoR0aWseb4End4kj7ZY8i/nukpdDqHpyO/904rvHo1o+2V1ed
WsdfTOY9YphMwtnk9AaIdbuE8ipwStYxJKhV4SFrdXQ7diM/Sn9Y4PIDhtLXsqWtzvFIg7y7Vjka
8ERjezT7U12JUC97oOsZLkOUAZ8oGDcCcfK2QZ3aj0m3zbXvj/bDLyAIliQsyP0YYC80zStgJefA
96VyfTaom2XUE46JtWW+mrvGPBDRZgGHx5Y2UvASLiMrx84e2TwoxAp5XuZGjTXmx0YXOWOkaSCJ
rWo4QdgCNGNfIaxRqSzFYB1axdQPU0P0mYwGPLUlVmd3hCR0BQJ/ofZji0CU3q0wfODBNfbgAQG5
WyxhrT1/tclTtQFhm3UXv8edaFj28+cjslpdFE3wZMElHDB5WLdAJcIdTxQTDLOpcC48500dvf/7
d3Ops34/UxwOLpVzVuq6pc0Jmv+7HY4LncjagncqkH9FDF2+9EVV3mnZiYS1ii8Vh47L/OQBcbI5
BSCfu1WXOMm9cwg66mFb7bMgFO+yfRqxA99KTNnchn2xj3K7ozggyya62zgDPxIvZkdhFnKXTh0x
HK0z4IfMxmukzhYHC9VQTbUKe8XP9qyqJyaGRXIB96788JThuU64KvFBQ1eAkMcO5RyAIVr7lfrU
qEX3nI3UAgPSCTy/MJkPrZo0TxiUi20lZOYmVSTxLwzFO1Gu5jrViwmDTnDk4BbaVG16vVP3U5Ma
hypDARoiDcMO160JKhlXStvJp6osbsLvRkB+uPN1594SM33/98/DQJPxxxmPHZwOGI+jagtG/L9/
HuS4mTkxa90lwET84sT5WU7hcPOF2IcamB4IT4OB723DRxRdLK35pbBjfZmaZ4FS4TYGzU+7PXDc
TBdhVfk1RDLCNnmH7qF5tOngfs6ywiqDVqeV+0HSV8YtBBctMT7G0DoVw2tN7vUH6y7SruFeggkZ
EcAXVfAsIkN109RA0zCWIHx0Pb5qlf+X0xG8M7RBf8rodjeffRhaQ9VdOggdPRY2v/4E+ub6WSuT
eo9he5ZNAA5CE90UcNqkTTeP9LQS/7Etlv+4dc5Kj7mVZbDKkGYZff+PCIJMpIyMSE9ekFthhkKg
fByRBxzNKo2O8fQ5XF0mrHA+3j7Hv3nYH4PR+9Uh3rrFOOouoOidfTUWTMKLAUrPriv8/NHPT1mH
Z7UuQvBLKNnafZNSC8R9LW+moW7kALR9mX/DmX4nB6h7gng+ngOt5VZMPNXZi7ANrL12LN9L5O2E
nvFFiw2KEb1OirNXtPCPBYfHv19uQjX+vDfTXiDesTkChCktCtbfLzjOooTtb23dKDrcpHTqE+nG
zKrs0rvJSZ3WE+nhrwh5SUALcQYUSVDeMJqVbgoL+1QPWfFG1Mvps4tax3BkHiqUuOcIysQ6Th2x
xfc9PRthOV6yDknr/JcAbqKVrZAZDiSgemjd4Gzg5/8lEf2slsp4asN4W8viVM7D19qCkmWLJ1AD
l9pH7zl1jbEvm0Ac0MwXF5Sx3obx8bCDF9GcB7y6OJLEe9QR84Kyb7h0wXctmuqrgtvqOQZ9KWLN
3A5WWJ0nBvwYm4IfasmTApOFTlch3LGByEs3WDG4Y3JTWp3+VhTZ7vOVxnSvLwbiAqwB3YtC7txh
Pkn3y75TEnTqtpBPeD+c9Oz3KtbGjjkAwPfuOE3iuzP5+lEJtWfE7Cabi+KpJzDuBVAMLZWDqW0Z
5Dp1baws/JNr/IQHPTfoxudtF/lx8ZrpSblxQhAWDUidPdy96kCzCx5nYnAd+l71jaJ9i+8r2HQa
1ZBq6/llUsBYLz8yp+LGHcLGmTCetmj0P5r4FXcb6P9keib7Mrrkwig3SJqb17GyzpWWiWzbQNPb
dKYJykxU8s5eIT0T+HJp50dJ6//9g+AdMPSad/l/fyRa+1C24jFEYXNYSrVMU5qHqd46bL2JKyBS
rPiAoB+o0AeLeVuBbiK4IwbdaHVz9sDjfDWhBWxQuEwnB7w8xr7q++dIPzRNBEhSyS8RGVQnq1O0
bTFpOwQtPpZMAd+1EtWjbWLClmqC4fFFWBenorkyKqNcha0yr37GvfpwsDfNW5EkBXvUaHa4wyq/
DVSFvaEDW6T2+wnECTlPlhxd0XvK0SeJbT90wTdhqHCKrOjkpCbydW38gORiEs44chHMowAFAZDL
PFCrMv01ge3zOskNFg7/Qc7hNzsoB4g26fSBiOAq6sBaGWXKB2S2w6UdFFx8nWT5CG1ovMLBdNrA
+2nrPGOcL/Hu860QucWUjghY5egk6gvRLdklbRj+oE6wWZJM2ZU2Ep4CszN3hLgPY9s7gb74+wec
x1+ljtMol0N1Lx1lDR+0civbhO9OPX0Pleh7TG6Nt4oKK9iT9TRTbNefBWk4ZPIQsoggb8XawK3m
6OR6JPOqCzl85yG1FqoGcXpRuXYwGK/BsYpjp6n2wWuQ6245H5K1Om/p9BacWeJP9Rag4F9NrUnm
N7a9x+H3pJFIcEkpGz+PDN5lb610HP+7YBT2XZQDeBM1ndZ1rqb7adnEJHbGgEtI70h41Lkn7Vib
/PBFqShUQz16hFnkMO5sHZKE+aG1tYsNoUfzPbQgiYrhEk6PzzfZT55NZPJ7ckvcSYuKi+VUx073
zUvPDgVHjXZUPcIEyMpiwcRK66TP+o3PG2BLfXpX9MZdNtqpEt5IM+u3nyWWDFH8zqeWF1bpvkGU
TmE4KB86h+KeZT7WLKVhJUWWiTsNernX2fOUFjkcfER6t4vLbvf5PhfZEO1JwJu6FVzO6Qw8ptsH
Mq8PHgyk66AeMCPoACkdvl1NlJ5wE3hbTYerwfpd3ZbAEc9ZUcVnUMrpGoOA4+pkt4HAJer67JN8
zUpyrRCIeYw8FnCIBbyTTWu5qWhAYEzmDK4s4edsDY4sZZqdDzv1kvfaCG1MbU5tHLpdkiv7rpP2
PqqzZG4J+jWFioDy1OtHHO/RyRzDd73THoamiIs1v/qy7D48KLqrtMnypzIjO0Xm28goT2OVq0+y
UbCqTdXoJlFyU2Odevz2ubdHSRHtxPztE7npYJNXlWM1YrwkB/TCyNM/5DaDXliZ+dpRDZhFVeKh
5J49A/PNHomeh7rKazbwODBwldPL52WXVulPCN7Gs4E+cqXoLKkM/Ir2WCtHlKD9Ky44ePCj1rpE
DK2Wb0ZmSf+i2MFLIVTIQ/PcmbjG7wZhLOuYr4W+loCfUV0WTC7Q6+Ah1VYNtp7jMDB+B3McnNrA
JMRv3nj5ZXbt9FkbtJQQ7E464lEJTQ9VdqXH2iRYc82+6hVwRH8NgkmujNYsDp9j+dAz70vvVvXm
k0xDkydcxjv+FfZB6tb3OnYtn/+yJqv+OkrkfbluAkCH/LDR8JCURYOGdJrd79Czn4zAOmvEXHxx
stLeEuI0X4h4Hq9U80WiOg+2KdWmLfXgOdKyE97w+LS8x1APZ0mp7lohe187ye9WoZOTinb3gkTV
7dPxOgSm9xWNXbXiQmLI7nvy3JY+MaiFvUdLWrx3PmlSXWBGAICg4qLu8Wh0O3mPLHxrehXmXyrI
Y6t+HDYMnN6qsjzCRlQOTlWVu886tqflQwTCJGD5ERkY/Kes4PD0gLLkvgoHz5hzfXobLcHyCiMO
IuzcmBPnDzdKvOpo1KL1tvjbWc/OpfQclxHlLOaWnYUPFHWnTLp/QWvfrUdZGrvIWDtWGv3KfedX
phvy8ll4YK75SnRyfEu06DWQyWFpZicCEY4IBqyLANbvjhIjvd8QJOPEztvSXttZVP490KIyyd0o
VHGLTVNySeoGCWxQSlZsm9JTu8CF/RSvoaSpa+gW68gPxNkIlWNG1sjBry0Q9FnP5x0N6Uungx1L
0QLvGzUb10kclcemiy94OZJvlJ5ELECFe0HMkm70HEYkaYExZrYdyMiV7znWurBkeZZCeCcscTDW
5X7C/XpYKikVEMoql+Nwxzvbuq1jKhrzEr+Dulym8NjFS4aWAaHINycH0w4gbzglqsf2HnbOdtlb
YQDFpMqVc2ZXky435KpIdyoAip1hyxY3tMbxWzfgGETxxnc6OGW99VeQFCrME604EkfTfJ2hhcqg
XnC+WS40flLlJlTqXlk+SBGwXIDNYIWMpDuFORbximd+qcN4rcteYJCWOKcDQ/e2XDXq2VPK6OgT
NRT2ETZhoy6/ZmQErALBWR6bay2unM0i3hgxLW6LMQeQWHCTrWRgvtWT+n83TFEm3sOmxZGilVcx
D/EBL8+pxMhWLdX6ppmlfOuVooOubk8XC+hooDS2504GBlNPsd+WMgvCAPkaogioWDXdXSqO5Q5U
+FG/IrOi3BdVHj8peAorVAGEkxfdTWeD1uLYWmEXab8ViyiKWf2WCd4Ah21eHqUJFDfDq7eiH4nn
U7xwY8OIdEAuBVsbieoTwINhvfwGaZtjbH6pMXQ4nG69WDlT6nxvOmWtjkrNXAC4UK96TOUkeRac
t+mWUBREI7GOdEKdDqR3E9nN2HCsmecyOENzOLbqXyKgN+vi+Bwn2rEe6/i2CAl6retOotQYDTBE
W/68r/W/f2PjU2J0lq8ZH97VjpOfdV+mP0RTvyqI+I6yVjjJqTCKrRTdmx8b3k+8VZBLqfyHKhIn
R6gV+E7kW59Ldp1QnUOLdOQptWJa3t7vdySBbyOOERJp6klzK8oJwiOhSV4jKYpTrgkSMtL4tSOS
3LUmstK1pp0uHSPJIyoJc9fbsb/5nDLh426BFJUUz34TvCvC+Jo0QvupAxxQOS2PY49cIkv0dNfU
DOJwMZkvXJTySK1I1G5kGC8dDQc5Rwl5GwCkXGgF08332vdFGADQFT4Syqc8km4V4OKepvwOmrB5
EuRdbtTK3yoJ4LAkZeg3YH//Njk7tWIfBr2hOjSz5iDMOZgiTONwrJj7ETR44TzRNkqUkUylhuU2
EHyDcr0yeZq9dstiBepHZaFj1XHho/tAI2lSrcAY1t2SjMG7U+cVmX2jsVve3lGvi5MRdF+75EDW
Uu2m/qisFSRXJ0Jnd33ZGY/Y8qlYWa0+UF9yDGUBcw01TG6eSsg7MBQyTbLo2WARACYrvGYR1WJI
lsktGduXZUMMGDy7RTwy6wNxVhS2Rv9RVEbDIMSkzzQo4fjEvgjy8kTJi+iDpr2W6Owpo7Hxfla7
deKpGyNnpBjNb69midRVO3ZoDBy9k4YV/CQQuB8pXTM2h4b9xdBHcqasKCEogJKSANFw3fOyupDI
KFCIlLLDeEILmrlVWm8Q4YVbuG6Q0Ii1dTnToMeEjQOcgWoqy5UvvCkNh7rdEycus3XeDdpazv1m
Wljcy0o9W5e6QUiECm6JImIHL5MCtEc693kHQ8YZ77W0zO5QUHJGw9DDx8RWzz4S31Cp61PpRdfP
2iHts1vZyuwu/fILNLPizagHeUDn/IS/bM7FCeI3WDG/iBRrfub9T70xtQ1UK3+fz4eQSENXYZVw
N01WfFaJeIX0ViKynMg5qZqDjib2rp4V8H+uc5HMLXPptOSKW/NeIYb6FMPZNqe0e2n6XoEijiyZ
OGYMzsEwrMmYUwi58E5kbg0ctHWSzlLylD5EI1vNDiAUKWlyi+ju92gWtQ1UujOzlfS1byPedqk/
WZqP0nTWUPa2/qsCNb81RTwdRmooiseB1GDLxNDfQkUk8M7E7lGCimE/gPV/DdqHiLMI5zKRWgOT
l+FK+U48/bwGcZQ4v5KS1bg5Sg15UIXPB9s5+qGXUbPJBLq+tOIUt7MquGD7YbBZNc26bJRoxyK2
dym8i1NaExtSJthbZKx7D0FaXZciQjcnLDecOC8ZoIr1OGXKllgEOl6O2U6hMY4NZO6LmaDsAAtU
4WQfRcZQO8EiCH8bMa2jxRdRNeOdb+muD5XiYmIndTmRK3hYqbEPPSKFl0GPkXlyDz+mcIaDip93
I7MqgtPK6TjX2rWmZ9egdjaIe8rTFMV3Dwj3XRfqDaVg9IjN4q+uY/oi2gQVkzKmKwRT+ltFqq/L
PQbKFsXG6rMu++yuwMtk8VZdy/LdULt5IFD310y1jplKXlCo2+kepj83IWekWv08WNFfbIJ8VK6h
aIhhs6vhpWiyv7IEAMcsbE3KkdV10CI7JbWUPVRfvLWDwE3iscEvG/PAkpVN9DLWEZqdbsxSZC5k
rt0iRq2laV0+v0ljqP0oJo4RQ8nOcLxw3HZ6s895dzcgDosduYSDW4xWtl3WF7D8nyu0TucOsbIS
gDj+j+kpq7o/ptISCaeFbt+YHXOckX8I3EBlFWzLxMTIe/aQ6Cw+g/VnL/VZlFbC2aZDWj9Sa1DP
ZT49B0k8foVhxMcYVUhN5nWWT+rivDshkYLOHi2KeoKd9WiINNnUkyk33WzO8EvkAJjn9p0/4TiY
27TYTN0CU5dbzD1OasdbWqdqb4B4RU1gIlbIrWqnWVX9RSvuhRcflq46aMMdLIjgey+i7+zJNxkE
5B8O9RpU1GMDUWs9mok4T/M5VUHIq9pC8hXOxx2+2GfCu78OVnmq5p6McPnqgDj74Em03hBcK2BD
PFu9xvmz9Fp2E9S7PqN6kTqAhDKaupchIaK+iZHvMyXKx+4j8IbncMq7Z4BHeATz0AN0VAKmoGkc
2IleZJs8AdZ4bxw5m2/ZKUUZ1NyprfRDQ4UzwzacdREk7bSyDB3MTWyxFVT/Hkv2/c8xqfa92mrf
4ZghFug6pi2ymQ4sxY6FY0RPbRkcWzvwr+aUxE8Wn+M6aSG5Tj3LkAbfzCvVL3w3fcIa4YWJGwCC
sLP+m++IYUMdRt2hbWGQil2YR9MJHna9Fn3HPBBGHyoVRiLccr9XLcFtQ5dEm8wyc3wKQyJ3SVtj
C1UhYhlkslMZiPLVzMz+UAFm2oFVek8tc9z7PnzlyJ+urMJhM8w/egg2RCEWyTYRxovEDvTSFiJ/
keRBoVh4ia1m2ib2PE2iCFyVREUcltrW8q1jqCCZzjh2D60sFDJm6DptVS2f+M4TFWEaxJHmqCMj
SY0t51Ph1qYxAcDkDTDOoBDt2H/uF6VRl7VHRfdySHH8uZzkiD2cZGBXifmklsfDjySZ0nuYVekV
4n5AFx5+Y2Rc3ahTyvVYZ4LDtnPHWbnUlNRkUD5iGqrZtZSr7d+P88JzjgB/gYsA+rr1MKva5VB0
vFPbaBo9MxXHDOougp9tp2bsRHX5f/d0WGD9Va+dKNHSY2pOBqPbYFpDQqNCN0rtKAvi1KJyjC9q
+2EqxkXGPvBDzjp3+Ur4NbLqKoCDFsPYvE3mcKkwmyzHdlMzd4CIy/hlHooFZppthVoPbNZqZQO5
jgnYMsobc+Z38+W9/BgNEksm0y1pmBiwTrOxgK98U3Hu98ktBTy+aoEuBG7YMiFEGPaSIVhfj1bd
vahlk5AkWX8fvNx/WWapXmkh68igVaPzBHVYsG6pVZ/kKFLCryI2ktPfw2HHuodq11yQpN1ta7wr
4+CGZabfPc69tRm24RZBZYx8z8YcNfsJ4NCuAHpDXJ2X+QNxktvPk49MteFeKXgl29rIaB/Z5ocT
sByeVrWqsK6sFjFdqLFwyj2oEkwy0AxU+tZqCNZQ2yS82iqN5NYvh/3nvakSICVr5vmbvgmgX3Em
n+x+EicKSPBJTC6gQQzGHaYk6gAPmYZt+d+CmjjTDJbdp9Mhm3y54QOgLWnTglgWvgUnxR5HiHLj
1zg18zfWBP3BKqxsrZi8ghoFEkWkIJmhjYkd/D+Endly29iSRb8IEZgOhlcSBMWZoma/ICTLxjzP
+PpeACu66vpGd70wCEq2JJA4OJm599ppKG+8UNxaZTKgHc/dPLApJVkLXYlufIglZ/Q8eR1xkZyE
XBOn0Fgb2l2hgxwMM4Ik2S6mSUpeXwFyndX6jPKBJzEWGkKuiNY1Zt/xAHZR2UbDoG8SWlQPhHF7
m0g3HyQymH+gHB9pQtghwbZS53qQl7DXQaPVYq9kWz29d5LlTuyon8c00zbpvH4Fkq9tCz3N97FR
dacy0RtuK8muUTNuV2T7CIddYOyS2ideFBQIeWislFbjxq/m6bOU/gZ3RhGUkoIYoEN8S5NkzyWe
Ed7QkSl7H8oZjX7owHM5Uem3jgX6bbOM/jGKYDWc53a9TGtMKbRi16WltuHDma/u5V9dhq8ME/Qn
wU2w6hGA2bnPHsvCo6n4hO9WSkCWJKPdT4SzeampP2o0jnnOFggpMaJtLgw2JNpJIuBnvn2KrPsq
FT6oZpmbl9yW2TJYc0JkxbQd2jem5HbY2lZOLazhJKgozX8qiu+kRJCuO11nskHqdYJfNnJYs6zL
8tGHSA3bqbYCxxtoJEghdSGuoeJkmeVPkBbiuZeN5JbRR0hNm4lWmt5axk6nQddQCFgh1XA0hqhm
5cRdDluaoXiXroyAV6aWU0hVFhgRIIuNI5JeclIUXuzxM1bHeVGUChOsIW2x1bLmTkFROODixLbJ
qy9ghaT1QC5988/JoinS9cZtUo+ZQwcVGFqm6bml3v2O0iLeekhRUDbN7w2jDzzfafdb8wN0X6we
u9Ds0QKG1TuqE+NbgLBXul2eK2tBuN0brAVxYHCYrsu0+4L46836F+UwkcR0iPJp3AfKr1yeTLLc
UB40ae0s4mBihq6Gyt+lDaXp1pouc/PKMYkvXT6fmt0hgf2q6XySyD4Ktve28NLqauXuy6xEd5Wz
CPi/IZ6qKPmrzpLGKbqgfaSi8R5FxeU+on3fBtaAHoO0YahAIF89uRlcRNP4fXFoktI1/l70EH5W
PE0d0h4y6hyjLzD4oz11uFHojjErMgUwoTqLvn2m4y9oFMgMDYKP+8SpxwPuDKL6UEImQL2pafcH
qkQjlMJNFUvqwVqwmLlq3pZn6MbPVSONB39kW6fPEaa1CWG3xe9zJP9l3E+dZt57YiWblV0ZPVZF
v0FgiT4DzSP3AJiFcyrpg5QCH9HavtgvhSq4V4e+gPEM73ijG2OGDM/SH5YeWJjnxJwt29SI/z6A
HH+wu7E+9kYpqDAkaJ9S7q19mVoi8PXxX5wMi/j6n7oaPLgyvnRtNjFyI/ovJIbRVp4J++8CItjc
BkAICTYc+4xFsicU1as+mOgyOccQjPpOLRx9PhyFahASZE2A3VIIm6bQXRIBvjxC7c41KtsXW8u+
Sr8Y/2WLr/6hO7FhfWFbhpdEv13W9D8FEoFnkIMR4A/qi1jdLPJqn0wl1A4D0ahmWu2MIRNbEfTM
ddgO487pbkxn/nHkSS12BFV7MeJMuxSqZx2nMdEnhyvfYMPOjnngZOHGO4hZsLeo5vsCQJ3STLin
/kXaoBp/SEn5mxh3G/RDbCgotin+qFog3E19m7Lazrq5OmOuPRmE1SX0Ge7PlteU+bUqKtTnGC9y
XoojTe59nIyk0OS6tq2qtDwpgIWYD+V/FUBFNkZHj2H4VZk7HkbSN1i+bKKgwN3Fm2Kw4TMRv7FV
DcLGMm7sd74FZEiZjK35e/SkSytmKfNfDifuZ63a5o7Gx0GbdWvEsYWnLNouChk7YfdcRXNbwMO/
1gqJ2dKke4dynteqoLsOy2GH8MzhEuvWlQ2mMUVDtRaZrL34fRRs1I5tF7PlEyIWo3WTArG3HeSU
SlVpO0zhzJdCatD+lzQUB5LLjEE8eCIjRWuk34P8wXZo05DFRhzUZpHWg4Uz3ZL+Avy85CkQEXcn
hYTlNZTJcLvsVEcYGsSC+8E66vKHoJTz3/OTnMSM3wFPovmV+cnyyvwlvz/JfTf9wt3gcv+sSK+z
xEr3jfopoolPk9qLXQhdzfdQx/QdQoxKyHelp1qBmK91+radn2CKKB6DMb15bWfeynDYcU8ID/Ks
B7//8v97KFfxSWhT8pQABOVMiGRvwRF8l3NX9EX54SuicOUWFPt6CsM5YsbqaPTbEJ5apXvO5KhF
loFUbT6iLmCjCulXzdqWDbdUbIyqmM6QoyyQ2WhErcpmQ5166fXvL0g68UhpqKhGvorVTIMB1V7b
KvJuHpXKuSgjGTyyWXzokmKsKXI0J/Miec0OnUm7rcpkB4YIfOdn4fyaT6oUkI4nEikI+pUH820g
X1P14/CrC8letNqRzuusVKXpOjK/rQMYWUFwDmvOQS/74ymIVHsv1UAhbKrYz9EqVlFbjx8RP8CF
qzKQZ6NGl6Fhb1uHbDLf9dLAmWik4oIyVKbjIaJN0fnKx9TYLyazw5uio35HeKOtYAsoH8TifHrG
qK1wZLAY92VkbUX+PFfqcmG+kSuiPgyymbqLjCKnv+MrQfK+vB5mCiFZCGsI6NbPmm8CpxL+qdHI
gFllYjJ2epXepI4YxgDhCjjmhkJyGV33Q/FdtKJ5GHsNDUWTSauA1wi8ntN0+ng4+1Wt3cpgfNTn
D4DF3dJd3oOwIYtABJb0muRALRgAVZhqC/+Nmc1mGozuqcnC7qlqCSauAnN/v74FvDmYO/lnK8Lw
S0hAq0UAscIuKkQszPoc2JjBl6Y9mUmi/EiDDOg5WOJd3LXU2jFXfofkCaLO8/KAcKdaMa7MDssh
Q0Xh2qQZOu2IKMlsiuoMQftx+eKgMWYjCzg8cAsI7s+Y6Sq3YpYyKpN67mrsaND31M7RxqJ1Q+L/
KOomeRfrjfmIgOBtoHQ5DCwRj8tLk/XaDIVyRTWDLstItBNdmv3yJaPp/A0tBQLguPKPTCbm1HjU
a5g9zWuiCnyPaXBZjgTAvGteZhAkVBorQQf9Fbj4a0YU+RASsupPYevQ8VRx7inRsQ6qapPYUgTc
wjwWpai+TUC9qW8qLxMzPjrc0rSuFmOvTrPIGDSJlB0wiv0Idy4e6e8LfRCuro6jK4nU2ABDUvdF
0yuXoBg3ftafiDsyT0FvmkRr+B1B4fMxoMVqpaH35WNrsXinOde2sfAPfB1Kaa6AcZgPJWkIzqTx
PBM8wZxT7aoZA9g9BohpnrNZykJ3XewYm/+0qqg7doQV0PypS7buU7AbVIncDnYOF5XwGgcQgf6u
VzCj1LL+nZHz1RV99pP5AuED6MlWdkbLAqautWsr6JydUnnvlVxsQjlVv/S8YkNqClxyZu8dqxE1
A3s2hU0s/Pau/5y6kNaMH35SiFgbMSnmi2RMMD4nE2+11fOs8LZRn5gfUfnM/K5/T0XR7mKmYBRW
fFcwmpfGCUetui59OlPWT57W1NdlExa3xuk/vxYFqIZDxSD7dW7rzd/+9zfM327L4Z//OCvG40jy
Wn6xxxS1HdNQQ1gJGULWiz2J4fr3g6fH45U1jmkYnXHklNYrqRxcPU3Ui83STlZxvRxHXVz95W4l
sKOsYtRB7j9IYDL4FTdSRbOOy9DcTxClNrmY2td79xODkv46sMy4zFIETqsaGxaQxXWoFUCpp9i8
4VgRTPOM9qefKiuKBghnaSpBIByj/VLPDFpUUVHgcr/3fJZjrmEKMSJWVnd0j5dkMD/Jwll0a2hs
mebQKaE+idNHBQHDYjC4b5WXp2mcvJZmqrDEFrcUWQtyGRnHWtCeAswVgYEYjESbMdmIQB/AOUeU
u4iM3VFW3g15aB5IyzaabRcTbB8oKAUXzaFplO1e7ZXHu/hQCpo16WMWOwknH3DbM2Vd35/wylz8
WgbJEOtJsZ+zOWZ5DRG+Y524LWydvgqljS2r4WYMi1822Wdb2ksh6TyStRvlYjgmBISSxTE/HaPy
yVdCaUupxdH8UmXKnxEBGodONzcJzI+rasvpcyWp6VqIrN6hd5+9ZuUJPUK7CmCaPnaBmm8AmfqP
PTDq+zPZMvONDIvSLiHb040HeWIET8YsSq67TduP3W05YFkQm1AZiFCNtZph/dTd8tYanL+f5W0F
eEAwO1qe3b8aS6+cNAyXs3YEWj6FZ1YqRxKJ7y8tr2ek1ZwGiT4cWSucyL649tByD5JsjEzxvfpD
VM1GG6v05/IdGAWNPI7elQCBX9va/aWqrOiUTB0tRH6EnBAEmnfnYD5YfoJf+z8grJg4IGlzLw3v
5SENQ80x4cHNF8peRnPxTbfrt6eF7TOgKaCpRpLtLAD1j7pU6KvAr0dXVrHgy1HyOJc9TzZv9gFP
XuGEA/roFCL8nDQ2OBETXndR9XSQ9jG9a6hUZ+1e6MOuEXUmvXPHdcPZJ5JntrHK+la+IjE8si2d
HdAx9X1DbinWXS4bSUdiR3NDR3LeKewPUPuEE5aFWntF91D/zu3kg59Uv3llPDr+YOjnuBhxxIAi
fFBw/W2sMfWdDG4d5fnQvXma8rMfQ/OXSJ7u3RHZmy6mrI5HtaQtRLPD2qYeKk2jCjVknIwc1QZH
2phl1JMkyW3UsWS3YTbsVJUj87r4Y8rCyhHoF86VrJd7zLnBFoh59QQmgoypdu7EYFVx9XSaXNq2
vUOgK37mScekYoXBY2hp1tkYowf2KQBU6vbhzlIzFUBsYywq1iFoOBFWvUMUhUp6mGTlOhmsarsm
gUMtjOjWiDh2yiIVx0DS0BHGuUE4kiE+7fNkF1+YupNzlnrW193EzWeIM1wj21kXFnYpa8oJSNNz
PpVCpnpjcyA7Wuf/7pPohdQd7Af6bAs2s8Tfz68tR4Ha15e+hSOcm6CUA/b6fJRXtGGyeBMFOhgH
IjeceijUiz1n3KBWpcspjA4L2hgzZmuCdE/PNnrsa4LgQaU/Lw9NnOOxq7zHMFZo+ANuXgExqo9A
bDsCL/Nkl8MkcHJEIdv7Pyi8ZttyikEc8y8KfIwH9qV8YOZDiS0ns/3cdqXum9Qsm0gOWmLrukwI
UTeD7olgCDQCA8T93C/VS6T0+1JYEj8wR56XdOOPKpC+RhxHNxtgyLEqyE9cXtdr6/66Yuf42nCH
4dOXyo2hJtErTN1fo5J7v9TotUF/+Y32Eycry/BTjRfFVdmPHGyNSxnNdbQ2u3Jf40l/H8CZIFoq
9fNEINVLQ6p6x9r5LiLF22sCgdxyKJO/6aBECzzYWsxjMk6hVVwChYqJDOqSv4NnQZvlB1SNp9Rs
yk1vSMVzlgV0Y/JbxZj00wyNPZBk2eeOQyO7zcpfSK8Jg2I4XcrKm2niFmkiuXpMa1oTONBDQEm4
VHu5M6D9q5wviREDCuyxTp/8wkqcwFKqpynTEnxcYf2Uk1JxfzbMr0H4r+7f5wut2TJCb6Gvcx/1
SAfacZ23VwYENN8A5n8HrikV1XdEGDJCGMR3/tAouwp75nagYH8eA+O3gNq5RrXqH4ZRMeG0DTHW
VqN+C5j25WNhswTReOZOe5gmHAW6NcQ3FKCsoKr2RkuhJsFdD9doRMOHXiTVTecDsoqjJPuKenWl
W0e6v/2HB+tsG5QjbrN5/jukp8yUPisLPNKKQRUE7ozNg4tAIt3mgpvdIOBQLy7rrLdCimra63fV
aKiOn9SgxqqZ1UX4YsHJ1eUJciQxObMmMCJQbyXTinGXw1gGAEPhS3rDQveRmw818czDQvfJioR3
wo8Q9Jmo4cM4/UlwxTYvw/gCLI22ddDD2p6Udg3Zsnhu2TNvisRsoMn74r1KPXcYTP259gPzlPoT
su75dagwrQONO9ovhySKakpSbUJL6be1WgwXysYPXeu55Rlhui8IrFkvhz1zEjfXEIWR4K05SGSk
zdK+7AM7WI+RNbiLrJL04foSzg/LF+pgCjay2TjcO80THnDzpM8Py7NEI0heGvJyRW0o79nKnYqI
jjijp/yw6HK8+MVYNlxK3f+w0aBhDom9l6nPf8Z23fySqZ21NqK5EJJEYdRx8EirGmU08KSHRrAd
tlpR5Be5b+l6CK89iRk+DmFJGP2plIdoXNkENh5Ja1trlDBOpXiK2wqV8er8ENUD2IBQPS5HCoS6
c8XeCPZESEX5iv4s3A5oO3aePNi3ZpLi1SK8nb+jwwqwCiH87cXUqC9B9ymiKX8uk1jDvq+VTrQI
ykudJGlfKg9LI22hlsZNYz8MhvxreUljL5AqnCBJD0Gbzue7NXFByIvEBE+Riv5I197q5Fmkcsud
1KdWoJ2xqsCUONnSp8qVqDx0g08uoylPWCillP1Wk10K+YdhNrajGGq+q1BvvBdTvLEQ+O7SOK8f
QnNwqtkzk49lfxgDor6Ww8xDJVBPioEUpQWWM6vsO/yvDGV86hLU94vw3ogiYzdkw4+8DawVhhWB
S9sTh1yfXHOZtnbWMKd/SOkeqduxJ2ZpeGxjpGmRjna3GINqLReGoLYXEGwKuEIKAJtl3tjWU3Wi
Q/QatCh9JENGlmCa41MbkhIwgwKCEAmDVnOXmo+KhBhAC3UvTnPtjc7gLRyK9FH1UuWpqtttgdvL
mXo0pXXmVQjnY+9LyX6XiUda7QI6Fh5ExsnUnxoYuA9pUdG6mYljRHyN2zbMiW5jIzxdU5bcDeFi
Bp1WmgxQP4EhAyU8LodD0u5yQ0NqZ4X7IrRsp5p1Ooo+yq6iBPT4ZkGuboXhyfanzyKV57k8obpd
Ykmo48VwRGgQQri1gy0DH9TXcsD0nFHhbhRMLlomKGsEh9ENEFm7lbQy3udmX55rQaw6XcSDQDx9
TjBu7+n9YfDUu/CF0eChlrQLYuvktEy1mOOhuDbcMKoSt7YH39VEQ2MYl7CrjDRTUjJG4WBiim60
QCEoLmt/DBbz+qHH4JnnOH1UJD+iNUGYMAg+5mQxyCUUIGD5zTu2LgZe6VGZgFRtJYWcFUnQRlIk
+9MeDXomyyekbJtoI5XlRPCB+tVLjHekNNi2aF1efAaZxmwHEmOknJPYc4ZF4iRFzIUA0/9YVtNl
gZXQlK89ZRwfUq2vb0WtPzSAi10bg56rjeX05lnGPmPjt777dYesYrvqq9lHWz1V85Yh9TXNbSuT
mpGc4lAk8p7w1zJ1ggozaucFP4FSo9+yEtQaCH3sgyFvUlTmRwxH843JShNzm8Oz3SyHiSnRSrDz
xp3aRHZjJA2L7HF5KMpmgqBWRRu9EN32fh1blkmqEAmSiLAhOy5/2PIn4vC8BEYuu4MSTKuAxL03
cpmuml/Fj6wWwcuYWveXsSKiNkc4OZpqvFrWWcDw0WmyBIeNGV2llLmuyEYqzsh/EDmBYHlkBPUm
2ecy9UqMQBOpgJ5eSfj4FnjW34Ka/9OsEKbmjEg08iOOg/TzfhRiuFq+2AFh+7fxwAwd+MeEhvpk
hs+QCMK7LVSstnz9H5bQJvQRodDruE0XiS8Tg2ea4UYCy+dUnQ12QAXE2Q9DeLvLe7TBVJ0mS4xD
nKrag87AgaFWUm0zOXekqi4euK+LV2qNh6VfGlUSdl1VxTthxPWe2IntIpyo8f1jZky35qAwqyfD
CBMfHshGHtItIb04gubDsWPJ7fWiJMYey0NTxoar9XjUYSkMJ6lXMTvPuOtFWNX4tX4jyxPNUil/
ykroqsymzkmrjPu2jm14IZP1dle/adENVIF0WKQxxD23B4zND0FIQk+nPGpQKsFwKXv4cPLelgJl
jxXrRxl02+UNRxL/mSXpVoPafU2JptwNODHWVdwIx4NehqgR5YRJJtmJyFzkJ0aN9gun/spCaAPn
YNomOEH2NRlKDO+ijxAjAVrpYDwJH+kK2LhNNAgmMvMdpayselWRtVJyNT1Eyuw3A5Kdb0TyEPQX
BvUVMd8CMkRQngh2IfIFJKRrpxMh8rkGC3w2cyLo+tnkI0CfHLsUKUybzFDxDUbM/H0ieFq/eUsr
P1spRpvujblDiPqPsqZ9GitJ2ZsNJughL15GDLuPpazqa7OdIVW2srcrBpBdjIzLz5vWGeXY6fF3
/hWH8H/irpU/cNe2xvhHkdlpCsWYIWN/IDRoJmqih514q1rh7wY6QATFCw1wsNneChyNTzR611og
qy9q39Mzkcp1rsCvWvpfcjtsFh9t05nxeRDSdTnijlD8C9tW+UMqaENuA9kKPwPaB7uaP+Fh1AFo
KCI+ZPcekJYFrMtMNJ8Wuc79bojWG0XmvDVVROYoXSK//dvV/efFzdRPEShuAf9y1uw/Rn91GuJd
saLoRoQv91Y/KN/byUh/2nq+XhCMyhu4MQ2/sJQrnrO4rmQ9uv3/v4YK5/KPX0TXYb/A9UGwQkvr
v+bAuj1q9mQY+aNtxeHNHrqXuxzJCiVvh4iPyteqvffAKzLdmUjmOSAI2KGyln8g7aCbzSxkOXNx
xnhRLsbiLKtkCqSM9N811MYbLYpooAWDg2u9eFP67C0pWIplA85FW6gHSF8RCvCcilCOzpowkqcp
nMYtFziBbX3aXuGmchmFpGanSjy6ge1Xe0SG9rocWygbMoQSEp61zZS2sqsFo0+Dbm5bMwaMiSJ7
yWIfoBVElxU5IN6qQJ+8W55NaLt3nVHdprGPjgwgc+iaYbhvW7aXQWd8+0WgXv3C+0EqMqN9y+zd
FCOTM03tuG48mf6catzCeFCuWVH/ipO4/CAez6O4nla+nPnHZvYTFISJb5TSe9ZMsGWrKfjK0tZJ
aFG3NF8Vbz0MeYS3LGEUPU7HkEHGFQH2sBsWrFhHq9f1U/EJIkL/Xb6mhlJc77pWfm/ax6EHRnwi
S+1sysExRTzQSL7/M4JhQaJqDnUUufLH3Q2SVJPkUCHTa2HniAkkv85Hlf8wxbC/K/pKiaMEIgSV
PzNvG1+/SPYXPfz6voL7eDMDLcWDRWsO8+y85sW8yeu7TAwhJiW86itg+630IqB2r1tL6VaKJtW3
jIkUYihGQWFVQn3yZI8knFD1V8ybuj1xhdENq2sJOZmmZ4XS6JjLZbjyC3Vc5zCtnnN1eLZLjXSu
Rv7W8MZqq5ZqNuEG99EEid7ybXNRHgfkmC88kIj6aousrSR0iPEmLdCED6IMO8O0wnY7BE11/4q6
tnRJPEVJ9bh8pbW5e05NqT2aWAOMuIuPTdU6NFrDvQ1055hgHaAqkr7E+6LntSL5s5GSb1lu+93S
8C6iqd2O8ChGr0aLSXA5WFBj1QsS7+sg7G5WRzjE8mx5jQGpxc6buNVFdU3S0JYYJuli9+iZtsvb
WBcOAYrHZp6Ba7ahuJWNnlstGteDP/cjIs6xMdG0mlbUY4MPNGdosaMtZgk7fcP+BM1c0uRVmdOR
m2pasXTYnrCHO0YivFNfD0eJT+1tmcLpbahipa1Sl3CQ419rQ11cBvB7jsX98iGat3+l7p/vZ9+K
h41ENhXtrKrahzPvKFW7ftN7Q+RAciNmDcXLKrTz4MHwJiDVtdruZcLgTqy6pqPK4Tnpi2Yfzbbs
SGBBuO9vfNnOyDbyZ9UfLfoH3erPeTs9ewFEsBCVcxLW0c5vzOeBQINVXCpcnbM+Z3kjACZjzFIi
b9Wg3kFNPr2EoUI6yuTDjYzOkwrNbhZvE+RLCLYChlYwHj6aZbQzzKHaW3L+roFAYB+elgbe/8gG
3yQPV2soCGyTXDMLgM1MUb7u889yGtovi4FrspIxUTlsXfSNYZiRIGEXzV3IL3AaBQKWYKIhY4NI
Xd+vT1OKx13pZeYj3h3harFprZdDiWnko8A8gZ8ITz+agsuYWdKJrck/H7wEvpGcl+Mm/d1PvXFc
qCHLw4JptqxSc2RbtOspSnATD5vF5BTOTqfQ9Im874b2PrjxrFQ5MiliSzQMb8tplGQPMa/J59Nk
7kkQWvLXQzHwlt15xpbArvOf8g92KehLWy11k8Vdbwb5W4O62Sny6HcC3fX890Nakh7GSMWgb2Ft
72MwjWnDSZftvw49NcLzLGzDlXNS10gdg2yVyNdpyMmqnqNZBh+pxxDYVA3SUD8WUh+vK1mVXiSp
wy6YtcFRTZT8gUm/7gRtdJ1kteX/wBSkF63+lEVDt9HppcxqS2R5ooQ3PNv9o0SB+Snb6UoytUOM
XeoiJZr+SB7BtgqD+OQL9bnCgMQ+i3BgwtlXy10hCAdtLbX8m9Ckxx+2lMp606o7o3E6rQ/O1LPh
gSFrRVllrmv0FftUN+uXgZxwGXtBo5LskWXYvu9iN1wtjz0p7qzlIKenCFNLxNzrrikrvSa/MkCX
Hkh2nxf13r9KUbhmL6vg/Oo1tx6Gjd61hKfJTbyJg3Z6iRM6uT15A4Cj2se/+c+joq40xWwPfcxZ
GHuzXk3JavKS5nXUzIuitM26WoDkrVSeVb8a39UQr5Pau4kdmfqDJPfl6u6MNc2O+AfU7G7mN/lM
zuOakXN+M/ZqTkb/4kFC00tD/FRANnWrRmmfTUxXK33UAewjtdC78aEBXX0x5qFDB736kE+9xIRi
JosuBKX5utzIHuceGZyGYgMFoJa81JUZ7wmgbi6ygpwxZb2/7789BpFD9LkYRGBSIuXPKaETFn5D
MOzsJrnfUZRHrsfdvrBr61Hn1nRt++ZDEXp7CUw8N5GKcg+/RHD1+5hnOht9z2t+2XESKIS5UrZ3
E+bW+z0pnrsSgqTeUpAzSQgjbNnqELPzXC/bqUpXInepmKpO/U7tvnAtr8g3NqFnDARt7a3t8UeG
Y7Q1K/ShixND5p+zmsuYJb34UNKavYtTg6yysQAw41GKhEwRnyiJ+4VIZRBuFnYxPmhiUykzU7O9
JKKUj2mooRmKPPJNQ16HhhysTUkqnaCMNPRy0BAsqfRfMqPGuAhjQ27rn5J+HhYHma/m+qkjCukc
9doPYyqGhyAdflnINXZ1Eu2ZKdSnVu7Py7szWrypi9NcNXjb5Mr2ELSAV4lkPQURIqFxnSc44xyt
1zGachFTI6hFcZjKuBGXc9bJ3xbiDTBIMPXNg9dPT0viAltx1BWz+weO4hWdk+u3ZvAVymJjTmX6
LmXe71KjIEkhK25RUOQ/+t++lz/Kciy9BTEj8kaVX5HyFyCTTVxRcxsLaJ0JIy9x86aXVtMw/Mo7
Q7lkeZgyl0/QZMyTfZg7mEU8GzsRBhZz6h4WSKwIEXJHPc2XsTilU/PdJWnKjZoknnrW4NCekqtZ
Zpn32TaaNJQRhHmdKBayI2CEZJNIFLkI3bBCC9+Y0w6nrRL5zBikxLWj8YJvyHqHgpI6EeeemEfY
fmJE2LRwJXLR9k6I8WfVwHleL24AX/udM/U/T6M9Me+cFGyHNPftok3Ykqi6qzUQFVTyF/BPAcNJ
rHDLWZ1cyCHyCmuw9wYaDP0g+OONJwmJvIvWXI2RXZDYetZLmwwyK2oYQZdXLyp+FL5xWfq11B7j
EXTa3Z/ZGmyeo7yxt7VXHgpydHckASnHzt5oMH+2zTD9nJL0MNSVtU88Szv3soi34J6KLW4ep4/J
pVigAzjVk/XSnuhq0DlpiuB77k6kSWuvfUi1+Ogw9MuFVRxx52tb3+j3Vm/mpzHOsZsig3lKUvkV
PEt+gnH314MYVcZqlUNS2mzX1GsQpF1Dydq8dmnwxIgl3RULpgAwDdkPeJV3eJ3rMTgtupNsyN97
wO9EiXe7O7naMzKH+Uu1LVvNDWadd6pL25IwyckLgmuf19bxfn0MTQzSpCSylu3jUUICfjYJOtxU
jY4WesxZa9TOSvYNnXrQwUa1UQAgulNWjW6l4z4Z60mjq03sWDf6kUMOKi29QArMlVWECW3u8NVM
JA3LK5S8DM6DVE3u34Sw1GJsKPV689fuWhBZ5re15qAnTLaLxLC3ZfshIihiXQ38/KkwSSExxUDP
sMVCMtsKuogbl1XmTtPH7VMbaeiuar/+AvBHYGmZo0TMgl+DL6+V8KUtTFK7vCr/7ks7eqhb6Ucu
jPa5KcIXEwnMl6EabPzyb4oXY78od+gsEaOikBCv4j5b5NihzzyYVXYuV7xSpm8H+sJC3cI9Mx0f
VHVAERJJ5lmxNVT7mJzWadKIzxEuB7Kv4LWYpB5qR666zGNJ4TCfqxTwTUv82y90WF1p/aoqL1tZ
VaVepine90PW7QJafA5ijPG9mYdVWjnjYcruonheBYVxcrNEhLdlJZuPWnYHt5G6Z98EA3K4TlMO
y0OOvZh/3XobUUrGbsYz+m0b9Svbj859KPwDgC6sYjbQCAsFFMRi8zipZvQ2gnBiwtVNu6YhXs5s
mluhfiVjmD/X0uv9jPgG74CKMONctDLcYwS9qlrIJMc2xwWg2CosSXrvF9duxivaOh3WVuShS1Xv
H/MqYEfka2gHYJvA6pz1EXIjqUcdyhbC5FrEz4vGrOu1d1kZskMjFBA6Zc9Nz8IevCCZwJjhugJi
fhP9UyZ1wyMzNOUWtCJ4iOLqRW2kH8t2R2BPWJlVYl3VkNZyp38bZS8dUfjpTp1m43pBQ6RkUB+E
P6ztyTN6R8sm9nr58K3qQIOHKpW38DqVTaynm7Hh3N1VHbMZe9ERGUHWuKiCkjVnoOHyGzsVq2zr
HXSuq6Ophhku10E4EVkKxzTzuckAI8kmnHiOaRrpTvImYCrJQaXVc1vwFHbcwq7D/L7WB9CbnZGG
RzgXYg14gk8eartDW+pz21XDjNQ2xPYmoX62VQGnGrrOlkH+u7341tIovS2RIpwMqFga67xK/A2S
l5VRROqummXwQRryrufNo6L/D2dnutw2kmbtW6mo/+jBkoklYrojPu6kKFG7bP9ByLaMfd9x9fMA
9ExbdIX9VXdHqLjIAoklkfm+5zwn6nY1jO+ll4gXQ9IPJmCZGHIyFOmkGoseXPdtpbEK8gamzrWm
PGtO+eZ7INi9yWw0Reh25RgtWi/yl0XrK1+NydsfDUwBC8de0P8E2uLczKvU75ZTlF0basTNNZmx
7A4lw6ce+zdztFmFwHNJTqy2ol8XUriBdX5eQaiJ315JdibyEgoX8x/sesW8buKw2ehj7BxZH6Ah
7nvwejLcIb05Wo2Mnl0oLjsy/dRFXpdfy1AlGLymLy1Gg3up3vcLYujW52VsoVTbdrrZ6qpJrggL
45vCGd4G6LqLum0OFqkSn87TNdvVjD2yT5xhFUhyfzxlEVhuX9E4IxB9YY3nsNh+7uGJmKomYYXV
S6WOmaMOeCAFw6VZPDqMZomyqFgMPivFdQqIAl4DEiPhV/u0S/0PWgw0Ju9JsrUTlPkKumh7cJdD
3vtPDlKHk1UqXywfyV3AXWVhSFmPq5zEpgMYlG+mUWanEvUTGU4aReAT4d3dUxL7wU6x1M9N0raP
QFBWMoqNO2ILeGZ1zQLT/Heu1/kWkxvZi8rFvZ4dHVrZeUtfLa76QIV1y+1uT1ch2CI4K5dCGfX9
ADV+GbeN2PloiFaBBeVH9LrNTZjscW2C2OEOW6hBay11t2Lmy+2SVOD++ryUydDs3DLDIBawt3kH
qz6rt4EJ8oJ9Ceyqz5VNqUTW1qXoczAnpZsMnBqWip7vbacpr4jKixd+2yCXobZ+U7dIlkkWpWvq
5S9V3pqbakwKDPCRvJrPWiNCkeQ2gCDmjTVRElCd0DIkX8NzZnRPdptzp7CIHF8kvpfsSf1chEm4
TINEfgAbi1a4yT5BCt+0Vf/WytQ8OoPSPpZVS33QSHpkB2a9VmMvWs8mjLafsKRl6q2qvN8UWiev
BD5zPBYTen2eFQpvDO9cApR3cTvm21gf5cv/TVfjEax/aPX6BmZqeZjvGAKFz8KO0mQX1DGVMPKb
7mNPAWMBqIQ6oNh3kwdcDe291RPOs6KkkKzw+pSQj6chsW21Y0At73wX6FFv4Uv2q6MvPM7z6Udf
IHSgJIDkPcjUu1x1T+dCD8LNN2IEnFcXogy7j4ykPKcf6FmrLkaM4jl+tCwsibrEdbGj2YSjVIZO
j8VJlt9XQV0XfrTJ0aA8RmOK+6gXOl9FxC0wUxFOFWG28vLau9FVYzPvxBD54smk3+tWN4mrbwg2
r09i7lQGybCtouEFVFdxk+qqch9DCvZs0R1TwD2rwi4AI+ut8UDGk7EuNK+87gkZWdotZnLGE5en
FKDYxR5luWbtWbStEwvUm9ZVyYYo6wbDK5n1nfYZC28Byi80j7oNMVHmVr7Cg0e2jzvq6/msw4M7
LHvF/ZyR3HYDsuU+j8rio2mpaJlNDdB5V1cLSl2c67HTg0WJ3IMZ1f42YCqxILA1u44t0m3mR2Ma
r5FKt9tSpMfIHb6/3HSe31MAjRc4cbQDmcISHT0/Sr02D+7wkf6giT9YyvOPuDfNHehoqBxVVRab
xsG5sEjQdx49DwhxZ9GCp+E9WBIsnpzCcyl9KEvYFi4AF2J0m47fpVNMWTFX+uscnAd4ljxQj7M+
RCnNTxbENTQEU6d07hf7At1kxQQqb8ZjnxfEpk/ZbLlZKxRCSBqenzptv6bz5j9Nd6K1Mo5uva8z
5yNG3SginKE2Gn6ILlx4th8e59escCCq1k8ekhxcSkThvSSI4hiTBHQSLeUQMMnJF5dylQLk6JNm
gpufPK5AMtTtrARgzWozdbXVbSta/Yn7hL1CSHerGs6wnHEx8wpFs2ts9ply60vmA2fpDkfyluZK
8ig7FtVDBenn/JRiyglywVWNI+0gYsiX9Et8Cv51haqktoq7MXiqo3C876erszLbbqk1Pu17qyt3
tVLVkDzrPS5U7YnB/CWNzG/0MGgGRsGXoAAGOT3waOoG+WGI+41TTxPBsc36HWyeF3vuz4ZEzpjB
bTyte8PhVfOH/vhdHfTg9yQI4pXxOc1q59pJGcaMKPG4TVjlx1g9zaXQ+WXcHVDPg+45kBbJHyli
RJCI9C/DJhg+pAP+aAVs3a5GC7LRASVu4gGa4sQKzja4sVsalR3JjEp4xw1jvEuK6rHLYhskRCC2
SuWFu1K02NOmNcfYsneNWrWuQNTgaHC7Zol8GL9HSxAucRqCbD99sCf0MBgPAhS2yRCEq2zyoKqV
Hd3VKLy51afFcMRvrx5ZTDDCTXy4SGP5fh4FA6DdSyX2S0nRSPEgnncuV6Lh7gbA2VQ6swcKe+Ed
cckaektoOpQJu5UjhgMQ8exYRGV+kzr5qsevcDv/0CfLaRbUJz81rKv5JbO1HkhfKTYCLaK1Ku+l
CiWiCvvP2eDlj/X4qctm5nojtqmSFpshauCmGCRbzSgr36h2Z+lNnTq3syAiVB3/KtDdb4Yc8EQP
iXoS9YBi2w6eMlnCOpoeVUIlMBB03o1owSGvKIMuPYUbpJol1kcFUQC0OWF+hGZ2xypyOUSxtxC0
6K5mOXnNdb6TLKCXlDGHD5VvdIu8C8ObxOuo9oTI8XyDQx+r0T7BRMrC1aJtHVEQI9Jkk+m1ALww
dszIen2NVF/utagk01YYV/QRCVJjGreG+VySixY7j4OZ1gtw3eKLEepLp9PKD2dJyKgjwknS8nXu
ddRlV2/MMKm2jmYhwe4i8yip2tk5jKWkMIIn0xiXs2DMHzhkommPiaUAkp2WNW1dxQv0XT0rbBY4
IJPClVJ13Qbzvb7zgUCt5gFgfup6Sbya5QQNCXo76HK0iPVic2YP5qbSrVpizxjny6PEw/mA/Npd
UOEt76s6zrdIPIvDENjeDskDxuVQ4fh7qagXKPmKrWppqKbmxq+vIoHCB4rrMTcBgIgsW+p6oW5z
HahCPNDo6dMuPzBLZuask6RioIReBy6Qf8tHpeULTR4rRN8I/BxlYXOFXCtFUyxmWY9dpkdTcZxH
qzCMQytdMrwtCEK1cwvoLtul2qiBb7WaO5GmVG7kDnMZ5tCxyiDLd05LMWV67oMzRCZ3Y8x4IAOY
7NZh6rhQYZ5dxa29SWzPOYEDcE5Gw5IqhOC3nF+bfzTU769YN96CTlmo0hge5n0dtUtDv4sDhAOE
ZsaL86PMS/gg6scSwPNZnRhFAZW6mtCMf+sXEXoXi56G937SgXiEONarLjCbNf3KYmlMhxx+FAx0
nQR3r/WgqAe2vaynHrTqZfnayRnXotBGTVTo2aIuyg/6SCQYzUlx66eacSv72FpkpHhtW9ZNLvO0
CM+6S9O7DSJEjoUCQ8on/bN0TG+xPP9neqH12ugTrW1y3jzA/8yzn9y6tJYooWhEDgQcC+k9RCDT
OHJY22hNJufARN/0ML4xBW6UGt7Z0OOXUEPvlHsusYitkh/iSh4o0XQPTkScQaKTIDtX3BPEq+va
t+Jdi4wO5nd1Hw0FV0gUvxpVU6PtiY30IHzNOBQIfal177rQjR+92hI3JRJZ8tEaZx+GWMWCBCYb
kY7qrpxULtPvxkb//XdTC6Pl/HrhPlkOk/SZJ4BQlklI4MnbqKOdUek6Rf0CuPT8RkCZfJ1M0RnR
6FWnsiirU0uCyqoB5L5S/Ka8GdKPLXfqB9TK/drMXfJfpqeGmlonq8223jy79wXFSVb40aGRVgMr
AJmCPc1hzm9XQbsJ6jq4DcWo3FVltklGlTO0IXXB68e9l3KKBpPZjZr4uKTlTTfIxQtkR7R3l56t
L5SgxEY9aWTLxgqPRj08GVGfbTus3BvUo3C5oj6///ejaojGFYl4NGhj4IfzqQ3jAa3WWNfnaYWF
rGA9x1u1Obzd3pPDbsy69jqIx2JxZnlwg94plS9Ww7T29hrYf45oqx3aZIWTC/50XST781mWoVqS
hdm+RXX5mWlP8EGvSx3KJGEqvlU4izrtvjleJK5yxbMYddN2k1kIeVPIr2B9U/Gad+R20CCorU5E
5JB09iZ2Qb1HlfeFnuT4ivoNkRGIqtsi1qLroSFpowlG/YMCQSOvQlZ2UEm2c65XM/Vj5keJvQUy
lJ3cUNJcxED6QlDEshejezsfThKnA8xdFIrmp9QavJNLeZ47vbPE2+1Xm8ZmBIjDALiRZhn7wEju
chlj60h7fHCyM7PlfP7MZxLXbXWa36ikm0E85eyqwxhPxqwO9vSw2yeMt/HuLMCFWuzs5lDtmeIr
u+a5V/L6zPR17P7O64t87XlZt89c0zlkneBRgZQ8o/K6qJLcp9bfdp/mR13mf3+kTa+Fdr4laTnp
7+wRO75nkljl9U22EHOAvQPFbDPfYjHdEBItVLxJ5dWoQKVDpbGe60+iNRRE5QhRvYn9oKnDmxl1
1DkGPbnNk+ixrKPyptPQDddDg4N3MirOY3/bFtdCQ4oylom+aiHqbQrJVMrX4DVeAfcjUXtqK5aB
Ga9mfU4V2OFSOtkncOwCxX7/EM7LEZEHYj+T3WfO+yitr4OZv5zBAMxPk0m+h8Jc66xhffYIuD7V
kXLy+1PuoUU/P5x/RJiLp+7lZhgBVTpqHTyiSU0W9A3Nr4EK6l7Rb6vBzB6sCS4Tjz2ZCaoLuWyU
HyoZlp/Oe88P01Z5OB9WtWnHB2Z/N60Xhx/lKMJVDy/yNJij811POleO+kaXRNFT0VNykkFaSXTZ
LEHtW7dFJ2l+jtMGgUKgBhAsJ9RBl3X+Pe08ZUtRSz1PAuanETRoShu9saq55TJRhGitq555lpaT
Zboc2LvPpa5nMNIKc+F63nhX+xTbQpSSapxgArea9BonBdQToiM/y2KYYEzJJ9okYq33TBoUU0/v
na1eSk6asGrefH1b6EVPaZsurNda+n3lk5InWlD0DrOJU2uYwcrKuvie8uBNRhdx4Y1qftcrY3eV
JZRslHpqdrknqSvRsU3UaJlopXc7qOke3j2V9VoqVwYYrRP2s2EDwyrfMueds2w0orYXtmkWT4Nk
RJYtzgNL4drvLbxjJqlYtzrcqVWN6ukFyZ1PPauvvtbgRDtzui3CBtqwbHxAZDs8xvRQWTxp1h3X
/bjVA+ECP6XrUXmDsWo1kzmHXd3Pst8orB0SOSEBNU1uXDVheh/PEFrmatrRwwKysOymWAdliIGo
ML4M5ida3G6wSCseaPVSJPZwa7tOtjB0RIgGCV/Aaia2RZTb5ao3CE6nX+yyOOxFujCjMUOOPgwq
wsSGhM9UIHoFSV+Q6nBs6bTenf+1b1J6NuK7rsVzl6aD91UfkBmE48l1w4h1BLncwOPkW4r5YyPN
ChJWYVtXZpIBuZ0IyBIT/TjF60a2pl/BjZO7+ZGqVCbjfUvlTxS0DmWerGDA0iyV7mr0R2t71ifa
NdZyT9Ph740DJmeSo2O1kqe6lFxO5H7vQggXxiIb7OA4Wh3ArKlNJIdDNgbhoUVqtK8S80ZMKI+i
Zm6TtoITJ8m8euf48RFpWHOPB6S6b/vhmEy8SlcSW+/luXzOaGKHuYchRF9nrqd9i1zAoc/1kI+r
2UGRlV20kKxE4Wz6w7M93iqV2q5qaHHbcCKtNZlyZ7hoV2bkmtFYjxnwvSReVDnjgT3RzOyZrxP1
Y3ho9Gj77wHfFnW0yQkPPI/18xvzTcDqg0mDZuyHorTW5sROnYibey29im2DxY8vQEzzKnIzeYue
bzs/M6kTLl2zMLcwQeQqtzVlNet66kRB3MNc/CqorRPFdbl3fefJI4nlypgIS/Ojf/+YX7MGV2OF
P91SnXqIaNHKoN94JpEhTRp2R1PvIM/PD1tVtt+fD+3wZtcNcS85lRPTbk+NJzGpEvK9mu+q84/Z
ZDm2BGyrfKg2TvE6WcO32bKFa5BElNnKERa5uaPfUiGfI0Em0yiAkTJVQqQt/YfB8dR95UYU/KMB
cmJmxdXHHAmVokKH1FNqD/Oqzxrz15honQ1VEm+Zyqq8i3LfueISvK/0Mbmh6zBRYjJyd+Z3K+au
Ww+hwvJMAfMTP97U9bEQGCVqexg/NERMQyJyTqXEGDOfkqM19T3LXF2VozRu5h++j/1adsIlIDMc
7hKPRNusy257Lz3MQ3nXa5QzY++5qvdDU1Wv8BsQE1dDewthsNyPsdAWDOtfzh8kCsunTDT91fwx
Q7vWt00JNQasXgEAgQxUBbTs0VDksBj1XHmCA+wcUhyWy3T4RC1I+dwFLm6sEQGma4+IRhT7RNgC
rFz6vtvB8IMHR686unP0LJNqlxt1+DWloLhQ0CLf9cJjIe916s7SrfQu4sCREJyPX7T4Yf4n4Dcq
isxa+5D0U5yZVJ5KdcwOlWEBI3HluNKMjOa6Xj9o7KK3oNLXVutqr2ACi6Uqg+ROLfRwRzUTpFsW
9qc0Z9zM9K7/6NB81+Jua9O3XdiG3t9BrJdbt+iMPXqB4EZUbQ/MmVEpIhyZuFX92HWeskE0mG+C
tmxfTNMGxJz0KdkFFUqHphM3Rekt5RRdXKCdggTSfGxCVV2aH1rUiBRJau/Km37Mj0rYX/y21e4r
z7sxKr345ORZCsMxxqs2xSDM3fpzCgienp2Fy5+agx7sEsLDhkXTmQ8ZAQAngVBUanH4OL0CbuCx
zF0fuBAyBU8Bxmqlpb0uQDsxrSX/NsnkFk29cT1SUl55E3KeBSAR49PXRfH3tY+iZwmHAAkOJ3ho
jjdmZSq7gEola3VnXIqpw2UbinUinI5busbk0S1BBM49qSIO67OmHRevtlZr5yjLGJDB/NQYx3Uf
jGtJCWrpVBDFiII19WUyrepzRELHQTbc+wIXXQ47dKUGObEluR1CvEYX1XMjWKduCuLJCaJtX8Y1
NHNo0Ch8/A8F2cN32TAUe9+syHZq0tu5YgHNiXyYLr6dy5u2W5JCpSTXrpkgkaDNebBDbK0oaN5m
THMXVAgGaqXYznVOL0J/UOCt6xj81GpYdpi1d9WszImTLDjhNRTTLNjaNW101mXMN+RcE+VSYn/9
GDY5YZNUNLy0eg0cUdGnRpDhE727zANqSfVED52gHaL1LBR8NKznpxXrSsTy0YPQx6+hhoZzbmHa
XcBAMn8Cc7CfA1XlVtbrL/rkJdD6foQ0hI46ddt6o0CoJUHLqTcpKBPbMfMDUQ7uzRjdIBZxbjIc
mwtNBtpOVHl1R/UuWrhZBnR1GuydBMu/hmR8GURjuB5VS99rGVdrSPP52Te7F2iKxwpA5fM4vRxP
L3vCO+RWq9zVY6hdcZT3eQZuQrRgHjHTLaifaERJmOGRcJ4GoBvnql4k8d5EIXXsEqvYkzUE0mx2
bivhGm7GV3PakUWPCK5lKAva6nMVldQGRUB3jOtxOes50TJUu1S6L7OGxBiyGmmmRiXIYmqeVCjK
Q3RpZpSnaz336cGEVzPHp/S721Sp86e0bEmJ1Eoy6F2FM1tv7BOxMfaSUAZgSnRgj1SCUNWEZkLW
B+ZzWDbWPbV2JKBba2j0FyuuLbiHY3IEAmbfID9DU4+GDG1FUI8NApUrWqD1PUX9HuljzheJxGam
CAZ2n1FQRo/jQaZfhUGuY4WMm0M3+jZobJyfj9816P6wVgeQTzoxKnddT0V9Bi6pbvCQlnIfVmXw
GYr+zm3d4qUu0tegCpKjNdnnQjQdWF4kWRx4DHGzOV+ZWPU7dzBuyBXxr2bWhF1Gq3bES2ub0X1X
VbcWhs6HgsLdnROLRUNTCRd4C02szAukn422swqJUH4aSQRdpJ1Gtt6qeg0j5KZVJ7trVZ28+w0A
otKCkofa+BiaCtkjw5SfcD6hE2HKqfgIn0Grwp1jInXH0vMZgW9x8uo4eclZtJC/1ykmJasZ82o5
Ks5U7an8IkL3QxhHsO79oDrWjtsRc+PhXibswEkrBSLS8KFQmnEdtCH5GNTnEANRmB1ieMxBrN2h
t7TXE9qFSR3G0b7Z6TOlXJKpt5RT9bfuX/qyg/45e3KLXqenMkmFWyqrK8DBaFumS6fMu0dmiRDa
qfHsDT2oisVA0/v8NaEZ05YrkLY6YYmlYL6Y89J2n7khHDW/L146T/Qb4kzD7xhJuJPObkbNiaY7
DK7RAkF1yZibKZnAONIPHuSEZdIioPSD4W2WbBiT0jPUq3GhvvYCXTGAB6yY886vJyeGEiknI5fp
wbMTCAp+32PRiCiX54lRblqZGEuAuva2JrL8aqpvkO8BwieDR3QEPnzFqko74ZlHYkG3LhAweAoL
SM18PdqmV+5IadjoXXs1i7jyVjlRclHXmg6tT1Rk5CZmSnt1amhFSiRXBC5VTFGLFMmx9dktavfG
N6kxqere02v/ozqQVI7pEFxPWgKpYBFHQBX5GRUu3lWuplN9n1DQOf0PnSF56h0VH2VSiFYpIX9j
Fj6VdUzWXRngldcUVLsJAvaycIHhuTpkJ18yKA5a9nI+yO2UTjqfRG5UNad5LDJo569mjWnSy5Md
aNxTv7QNE8K86oziszc25SrxMnPCbifUe0Baj2n1rE6mDyuEH+FZaQZ7GTocDVDQXazZt7Fd+hRX
wcY5wDAoALiduOKzAgXB0nHG63vag6vm+V4faxYujXgOkuIJRDRRNjHa6Xno0zLZLh3DwSXkUvTv
x2ej0CM6Iv03y6GDM7WNBgjbKMK7amWH9N+DjnIlUEG6zxZyBWMSKVhq+dbb1tf5tuOA6uFMtT2k
c6FjHkSf21dDiwihoX20cEtVPVKAeZi/4UjqBhcuI40aadWtiMfbYjITqKEJQ3symJxvoRYa7UU7
DSbkGGvLdtK9q8GRCYV5ZbEfN4SRDQ8uqmd8xKL8EmPlGVSiZPW6BhOH/Ml02xQTJBxcv0aLgybj
oepH/VmE/s4ryvKFrvgHgSKAM7S06R/1ya0Pdx/9sX3UKnC6BIcIdBaYziihf/Q8J0NnkilrNGNc
5rZfbojP8R8KEH7t2AYEH2XRFQEk625Ak1T7pn62E7WEf+zniZtgN25aI/J2UyV4IbSq3XqxYW/x
qWKID175e+vZTqcYOHHPl/CMDC2NpNkK3+XtPrrFw9MiLNJVirPDR2sLAEF/OC8RE38xR5bN0y6m
Tt6irJNMWykwdw7z8UUYg8z02qtHQM9pzcXZACgiNYHABZimlAZtpb13bf0UqINFSCOvGyTIzsdv
/lE3H/POJlHKCuwV43F6axZIBhMIL4upSj0Wdf9kO7l2ndhSI42R/udg7DJB8IJZHpq2exnAyd7K
yPo2p/kaFpwORtF6q8YYqplb+de40mH9VOddGAKRpk/Q3UvcY48WKIIgX9dR0N8HKD7vA4kEFv2l
6vpvQ67Vi8DPwxvW5tvZmTHfDvy4nhJODHSuefGgp5K2YA758Tz6daChFmoBhKVzfWXlD352Eyeh
d5yP22/MhJcWUCE1Q9K9sUgD4fGls9LCRu8nUa3cEXMEY09Fkm9NwEzfoBBGm1LbjkGpAju0NBhy
vXbodJeUwzZodj7Q3HVTlxOj2TnUXekcJrfGRqT9Sx0PoKGQNi09BDH3jW1T3B1dhoVMJ7WySuUj
kcOw0MbQearIDViiDzL2v/lylz5Jx7ZsB48rhk0cwmjd37uxndjKIshczk0EoozRsvgujpgVEtMP
zkzmpbbJDYRfZTmqkBcxhK+xxc3g3DjUeusJeGZ7VQsMUcC9h6VqkYEsOyoDgCLIrtWzG8pm+XH+
9P/1zp5b/eu/ef4ly4eSfnZ98fRf27fs5jV5q/57+lf/91vv/82/Vg//7/GPb1n5x/XD5vHyN9/9
Q/78982vXuvXd0/WaR3Uw13zVg73b1UT1/NGvLds+s3/3zf/eJv/yuOQv/3zzy9Zk9bTXwO4kP75
/a3913/+qWm44v/rx7///c3pq/7zz336NXj96fffXqv6n3861j9g7mpClQTu6BMu688/urfpHdP+
h2ZBMnIcaZiaAXbyzz/SrKz9f/5pyH+gJeYf8Pu6Sd2c06ACN8lb5j8saQrbsaYLwNCEkH/+7+e6
Pdv6z0eE/fD9+R9wK6aZQ13xRS5sypRBbGohgAJV3SICWZ14yD+4//uaD18mdrZVh8CDr1xQkB4V
ZUW5hn6C3eq8g5Z47QrR7mI82fih0iRd/LC7/upjTJCBHyAE88dw8HSrQuBkNayL9GVdp7TW6LkE
ztESRo16i/ClhBIpO2cjh/wLBLvXrqVmGzMNd/MFXMNkmYSF/3c/iaay3DJNk52CXdmWF0HwiOkQ
P+e2O9mxWYG2QIL0olAWZRk3G+68NI3bLlh2Q6hOchBaV2jxuXkWU5/fGtEykDL+670jL3bOxUea
+c4/HKMh8G0DiIBcI3ipdngNw+cSb81H4Rl9uvz1tn46ITSVzcE659RTJ2r3xfe3LBvdIh5+OijD
UW3qZ9vJrrVM+xrqzDn3CS0DCv9jtgiD8DffcxrbfjwJ3m9aU6ex8Yfv2TRaTSaUtNa1JQuMX2Sm
lGvRV/gSvYKZkHxuE2efBTL4zUG/gH4T5sP/ddvGCw5cgDPw/Yaptnih71EfoFwFAsX/Rmz8gGE0
eU0hBv8nGzOkScIgY7xmXOxgKBxq7cZxsx07u3xIUAevkogmLOrY/Jb2i7b+D46oxVWl4brQrJ/O
6KFwUnzSXrZFnXCbxMoyd1H8y5QYOG7nualuhOLBZSSTqETZ9uutX8Sqz7v2h41fnrtlkYLw0wCQ
0Vwh78seXdI2e8uvn3+9nWmvvT93hEl71UShqTEoXp62fl4jbpASoAsZ0sK1MAbCkF1VDkoQPcs/
9SGxRa1DcuCvt3t5bUobYgqDOPMQW5i2vBi4qizua1m1dLJAymxzRL5LzarydTT07e7vb0oAXtO4
MgzmPxebouatKo5IwaSAIX2jyRb4C6Z+7mJAnfobfMXlpTh9LeEYwhGSoUDqF1eEYLxRG5cWRaGK
BYUmiu3DNpnm7CkiAYUyfmOhE1VPv/6Kl0dx2izEDBs9jZCW6lx8RZFIXZSx36Pa8rpXwKPdVvL7
ByxwFrLfKt6ZjXR2nRWMv8HkX56n5y1P8y5uyQY33fdDwKjyueKBULHCwGGgdB7FF+s3NI7LYYZt
aMBUkY05DlMC+2IbKd45cM66u1bSTGzo6DTGAYtKaa/GJoKn7VbS+/vnjMYog85Xn+6xl3ezYUCH
IwxZI8Gw+p3aTt8L+/C2o6Hxm3HGurgCp2+na6AwHS5Bk/nE+z2Yea3As4TzZ1QB2SRiofYferPl
OiyWZvQbbNFfXHZMqRipLenoFpyV9xsL8CnYxQA12BaQca9tm3wb0u6LtPwaES/2H+xFRrJppiZU
g1vg+63ZCKWx6DXNtqmKD6Oif+uKmPV1G/7mBPmrb4VSgmw5W7XIPbr4Vo5JGHYiOpSuKX15u/0s
xG3vI2399VX2F+e6YavSouysCpN53/uv00aok8wmA4aYDHvhuTd1h5H6727DZAZhsobhB1Wni22U
g1tzB0R4XSFii/e0LfwE4akT/24A/vmiItCCwUpj7FVt7XJUlJzYvmXY6VYa9yi9l+ARAC5/Gr3f
zQx/Pji44YTKRixT1xDiXuw15kIssWIgOVpK7vUHT36Nhrdf77WfryGbdTk0DSb3woSU834bQS1S
oy6wklsdKe3R4GiPeRRCgVNI74nUWMffYCW/OVR/sVHJMM/xsoQzjYPvNxoFWsxsklWkj5yzUOOV
rt+oxbXX3yI9/M22ft6J9uQ5IK9FChP01sWVBLhcH8q+K9fpMIQLah+faEpSIFPzL397T3LoBVM6
OFgwzi6OVlqUSmymBiDYZtyAN2swMlXPQRYcwBKsXWzK619vcPrkP05ApGMb/G+qSTAbYLr1fi9a
GqzVuIoLrKn9nSGd5dhbyxSYVqVHmFtifP7Gb3bm9B0uNsnVpXM+cuxsigUXmwS8CSeGtZsYGopS
XjEgkraSSJF/d/zDJye5a6kMGZqOi/39hhILTYgKpxU3uKNsbV0Ga0MaxX6ExfSb76RPZ9v7L8W2
QMky6yDZTXX099sKctEWjeuJTUsC4+eQfmm+xAIGmTKvQ0N6i6F3xuvOFcFLiT4hKCAMOBzSoSXc
xlCK6s4JG/fGSwP50Ao7/xJX8ASQ9MTuLX0Wk1C01MKEmtN2o6BuMhh2v5kT/nxc3n8F4/1XKJmL
pi0F8a0OiHVlKvGXWpDM/uvzbR7Yft5R0qBArGvM0y4uJR+Ot+/bQ7qN91B3tvWq3PcrMusOxkZf
q2uxNFbNNtl2q349rIq9slV5BBR+o61JBVyOa2f160/009KRNSN3FdZRhCfoLKAvDl2tCz5S79KD
NbSbHh17T4GqSQA00lNkqb40+gTluERd1P1mvvrXp41FVYSBjPnH5cACPijhPpPBDosYWKJ4rD/6
oYY3silCQjEUdk2TkTeMuWyZpQU5MaFVb2utvpdmjv+z7vxF7vcfC2rYIYTk1HGB9pFdssCd+jGJ
4Uf9em/9NBICY1MFUxeL5RFztOn9Hxa7nQH7tfC9cuv4xq0ec37gpr2j8XCuyb0ryf1Y4fnL7TDU
Ul1hfDflNPr/sB0Sp+20RBK2RV17qzgd+mZixyAEPfzt78OqhGnFVD/QdXExGBE5MQrUs5gSwLAR
mfNB7WPyyaLtrzfzF9cWKQY4pw1pGdP59v7rOH6Y5aVexlv41irtBWffMrj+5tr6eSx3WGCx/tC5
FZvstPcbARGm+06V92vCZq1Doqc9AesBbGPyf7cYhroXLbDCgx738W++3uXRQncAi9PRhG7aMGPM
i/Kva5RpNQYxaRq+Z6hg/TWXZqBlRdWNqmo0u//e3qR+zjArGdENHVm5nPb2DyeHsBpgdIXbbaOo
OHQFZm6CPH69iZ+uTPYft3pMapLaA+fFxTiF+N/J6xbRF/QFb2NlOWl1XpDua+lpmB0cqV5HBAos
oXLVT6Un4seOCIZtq9njgSk5DuteZKtOZO1WJ4R7aZOmvmlhH2zaFuMpoYoYuCSQ5V9/7ssTbfrY
zPRZz0xXKKWa97tGIUkrDUImyUr4pJnXkfL513//pyNNtcAhX06olmDhdDlYBkmejxkIk61Cls0m
MpqY3jzWPqf0g7+5WOKLUMCeaiOUuSjtXUzwgrwW3f9Qdma7cePQFv0iAhIlUdKravQYO7aTOC9C
Rs0SNQ9ff5e6L3DbVbkuBP3U6IZZoijy8Jx91sZKsz8kLgRbTfslQMG8nC4ce+dPxNWZOIQYgU2Y
lPLbGfNGE0S267c7GiOCFp5zN+Yb22kuDHMa8PM0rAlTOaxYly/kZJil45fPgiutLsbnuZDX5ih+
QnT61uPO9v47+iem/+8Zq9bdTEmLVJ1Po9jpWCmklMqb8Dxt9nDM9st2uMKmddse8i0Ahj3Ej02y
y3bVY/gaHaxruceKfkvZaFftm0O8yx+7DWjjnb6rjxd+2XqW/v+/jB3x7WRTNgcHR70R4xcEyrW3
CUmKmzRazqgyC5y/CsP6qunmQriwhdi4M/vqLkE2HApgrldO+QWOSuCjnJK0yYZ8fqjIirbfmO1L
jsDfb7KPEoZOPibk2/HnjcsdTkNBb+0QbO/ef5qzV/rPNJPIsU3lrmvn7cOYlSwau4bgAS35gBuB
jy2cCRyw2A1d1l3Y3NcD72TmHM/xSfMTNmMicDIYOZ7YtJMIEWyzC9P8Iz2mHyx0RRnJZswdfr7/
aOZ67p0N5/osojVFiJz47bNFHSDpGazWwW4be4sQwQQhw9A29lybfyBnMmvCp14Y7j6aRjoka5RL
V+AB9N/uaBRNPXIYXIbI+ZCzfPtL1ARTK4rY4FFeL59G2jjv3BRM/PsPfD69uCdI7q98My4ohZPN
pm/E2CnYTwcj1f4HgJwh5tXIL5KwUXvNU9PeLY0LC+hs66Ek7Nm2JEezbjynWw8N8nYtJMu0BuGz
V4NjkOhyojxJbkFQCLl//xnPh2MeeUy1ErN9/zQ7OkISNagWFwfK6YfeS19aJb+tib33hzHP55Jx
1m2OyxfJ+9Ol6iIJq92C/oRsKK0jrSvJIUzFfM01xtrZsTvUgbWY45WOXHGDB1r1aQkbCni0S3zq
BALgTYfmeScoUe0sads5frjJZ467+sKErN/M20XOD7XY/C1geZwxJy8d5q0PrIpWCx1qFeRuiNdR
jkj6yfeT9KOqijK7cAqYZ+9A8QUT01okEchtnm6AYnHzvh9ad9/jhqwD6gL9Lz9pIBRYiS6IZASJ
w92iautLnZMepM8it6udwHLVuNZoopBcjXaqNwCr3B+Tzpx6WzSm0V74oX/4nVxnJcuFUiVR5clX
h+eML5ZU14d5dB7L1IbE0mYfvRE0xIXVcrbTqH8uzsQsFIh9Dsm337eFHWUYVTXaIDv14Ha6yMfq
0cBWta5gutLBuEE7Wn6MtRquB3o+PxtpPYJjcvPauPDUZyv35LecbLJhHyPQwDbvUA36W41TKZyZ
+tDTkAKXw3yaJ/fCNedsQLjSa2YCMji7OoHV24cXE/3cXYr2GOuAPPAz8xvi7g++gytLFj7PiIgv
7KZnS34dkDydsqien4e1cRNZi1YRjXjz0TGSQ6yag9e2WzfMLzyadXbWMxTXfO4ka2747F7dVGIo
aE+3d1MedXW3m8w61+NWqjmzHyz4gObDlIwjZvRGX8YRDM/cnsSRaW8mpFsk4/h5CGjtXei2XnMP
zwClaEMPhfrYk7LCMdwo7eVB59xJNpaZ9+OTLq122XrCTLrviTCc+JOV+lX60xjrapzx8HIrcvvz
sITuI25VtTgaRZXTUDkOstU/2xxw8R5MipPoFUorF72vQCEv8sJCO38NrkHajYgQYrHN7v/2vZfO
CPEhNRGtVQKbN4iwXbSbMDMsKF+//4GtJ/WbTY7sAl+Yj0CH6sZZibHEjrLCaUJsqRT7tDIUw5V2
ZH7hM/7DAzmGWrPZ7E9s/ifxwrzM7gxMpjpketkY0O2142yGWaL/7y/M3dnWtD4Qi9cj0QzK4NT5
gS6LDu48Lc+GUBhYD5aGa6kXOBtz8vP9ubs01MlT4bfl6XmJ3e1Ue0d8dx5zv+twCcHh6/2BzqfP
YxFwdaau5Xrm6T7gja0UnoSqUzdW0JjTfliia3966fFgeH+k8x0HqxCP3QYJDvXC042dFuzcH/2y
Pwx0aBoRbTzRQgNmgRpny8t16Iqzr94f8p+s9dslSMaDCjB3Uh6RStvb1d6rTnNl9JDEjOl0rDHN
u4+TEBMBr62mOwdzi6PXVeER3yy8hJfWD4TZtXdiadUcSAs+EjJBe5Msq7Lx/d92Ph0r35+UjJRc
m6nBv/1pOY2FGRbI5UHBtC7QQtIVESJM0/F8cExM1fd2YmTFXudV4l/4Ms9Xl08GjdIMeWOyGKfx
mBNJS6uiRuGg6qHE2SsBrAjf9CsYCXkpOXS+wjjLHYYjmudaeDZYZyKldU3qMcJpx632B8zvhsm2
llu7aOd7enp45L+eXKpCpLv4Wk3S8CeTC0LGGGLb0IdB3GXJsjGh+ztDslUwndCuXHiVZ4lcygkm
CK81iCBDwfO8fZewsK24qH17V1nIwEso5puOdqEPxHnFwffK8gPOHhO9XqV1LRJLYKyF9dSFL3l9
ppO1vh7lHvWbP2kB0hlpdZuiP7OLtROlaTrVB/Uc8U2/P7mnWof1aSlRIoEzKfI6pxKVrkk45tDm
71A8Bg1kT6NM9mUmAO4626n6NRh6T6/nBanDn5aRy5dCfYqvxjlNvfmpOVaYGVWHYmimH5Vc/MDS
PZiNiFv6h5Yc5IVc3x8+UE4Tkid4qJByPl1DUZkZtPTT063wO8uWI+yT6rrox3iLCDG87acf70/r
6QO6JCTZG8lysyNQZ17/+39yi3O0aLdtrZKbn3iJzZ7ce/qKtPYAV/FCNuT0+2co4nuSzz7lBzK2
J0Phl1tUCz5puzxUtD7gbujA3KjzGnlTb82XQr/TmUQkgjzXtvhC1hTt6W1nyDoKVAaNFjQn9090
7HpUNeriIbdaVQZNj2MU9mwuBIf3Z9Q6n1IKYmvogZ8LldpT1cOUFKS+5xiCBlz5ZL5qsydtJIEh
/B2syqCYl+00PMjiSS3mzh5/jUOy8ar5SuoHiaJOtI8ydYNm/hz3GVadyaZgo/Yrc22SDZLUhPus
jwk51rRBfN/Dyo3ifR6ZgWOUsNRIMnnjgY9+b80XUpTnTyZXRdMa87BeCLHeLpYW7IiyI6c45OG3
LiyCPo+2Cgu5Hi+G9yfx/OVRnkUjBrV/vZadvjw1R3iWUcs/eEMWqEoEffirhlVgl0xg0uzeH239
3f/dxAhO0dciKF0jOcnX/va5IF9nTd/i/uFFaU1sPB70tNyAwHuQU/JS6PnBxcfw/TFPN07GZPvm
JgR/DxHJ6c2YAoPHunSaAz2VL5EKP/lVm12YxbNIxCVTx/2HKHjVLpN6eftgkZc5YdyGM+5dxvOi
a4wBkzHeJdbQbKirPhIY0Q9lebd+F/2uh4wkhdCru62LE7WAg7rE5s1fPvfJTzqZa49mFYAYU7dn
Upb7aTXisBoUAO+PcrbXcNhYCAsc8g9EGqc5GVo5+rEoUCr78Uc/fbW9lyG/sHOe5QzJTP53jNM1
6ktw1i2nxtaeJzpSCq4d9/R52zBaWwyosxkhnONE0dcZS1N7U9FotgSeGmMat/pEvb7/xGdfDHnS
Nehc9aMu7JiTVz07CO9U70e72sebDnTurOrAboQ6ZN5ofavCrLwb+qaWF3b1s3V8Mq71dolR+Uqz
WJrNoTGQWbvuQh9leeFQPNt3TsZYf8N/DimqSANQlBB3HpnmT/SUGmRLEL53UV19n4XoL0Twf55L
LpBU3hyFBuZkPFXmpSPIGqYdmIcBlxYFSdaogxJr4dZ6+Ns35676l/WocB0uK+uv+c/TabJMkFxa
IGodzcYDkvkAlf+DSa8+plEPbS0urNzzj+PtgCfbeJ4ZVVcZeIL3RX4/O9aTU6Q/Mne58A2ez6Jr
0v/A7oNaGivwk1mMzAoA1VS5W7P07kYrmTamQRQM2e7zENUYDsjswt5yvk7Qa0KQoIJJmoma6duZ
LEN7hmRIREzyrbL20WyZoLWlsFrUt5rrrDfQrPfXb29tDyHfg2YUPeDJU04SOHaqgOSEFRTJSWxp
5o7iX9LDeCFSm/cH+8MDkjHkZklNjd389DYrq0lW7iybg+kCnS4eaF7ftQbsBGgL74/0hzVCoMb6
x7zPceiMeTuVOHY1/HFHYzcBWghgDimcl8x0Lqz9s5MXeSE19DWkoFioTg+oKY/tOkmp1xPyP7tG
N20zTdtf2uFOmJo4VfTSag69Hl7+8vHIv1JrRdOx1gawZXn7eG5UlGWKPdgBj58nKK93M9hmd3C+
/uUwqKzoJVr7B5BanQ3DWq1aQBP2ASVbTtYht5zh3oe7YMY0a3pwzf92PAthjQNZEW3vuizfPlYf
5o0clxI8XW104s7P5ywCWl93za7HRdL89ffDrUpB5DzUrM5iGMAY0L/M3Nnl7ZdI/A6bx+RSMuVs
HZIwlA5hIFdMF/3DybEWuWltwXlhHXpXjvvV676k3l/mJZgn7lnrQmT9MXUnk2ZqyCrzxB2vs3/h
Ih7rTwZEmvdn6vT2+s8Y7IX/1jSN03xhAVnenlHNk3wejnUEK/ZR6HvDulLDSn22IdQUF77gf7Oq
/w1rybWg7KXEB2oLrc/pavCcKrIHT+c7JreF3oE/MtRbGgKkogytI6yVDl4C8ujeH8gKX9V5aUc/
W8+noXTjA/ZzXZDJI8oNT9GVr3Yw9U0/2zhwSosPiakwKWjsIs3lVZ2ak4iD2OuGPKUztSv8G7MY
MLdPrNgRcksDRq+PWSbN6pvoZbp89XEa876W9qiizxNtXODwxdADnTMUxD5sS+zRTAKbr5j2ZZ8e
KkcFpQ0Xo9wMbTmjaXSb0s2g+DZojn92kZnjnioh9/RfSz2UHl6VGOosr0DO3VTsjMoHKEBuYvTF
j0Zg7gcqW0xYAgMvLqcMsF4FFiVYMiFshYARMo1EGbFiBzbIymX72ANOCu+KbvH7jzBjF0BuYhhx
T54Eqe8mMDqsxAAF4RSCd6sZzcCrAtvvpBMdRqkHH3hNBVrp44RfXHldR4h6TfhiVjqKPX1Vslwv
hInIc/pBM4nniCXC1Gz2S5rJSGPNO5cSs0HLmmkTr8TKcbJ6pJbRpinDaMHeXNACSIUcLmlSXSXh
1GPZ0RpJOoBtymeRTTBcvEXfYBf7IY3KHlBs1YgtSn2nex00lIphk89RlT/MFjX4Y2jXg7ldgJiY
P5Ef+eVdzXz6u2puZzBpHc59zeqUm5edh2WIxCkoAM1ALwBo7aIG/qolANASj4DY3NYQocUXhR3Q
Dg/tMSBINTIQilqaUGMraEV0LhIyxL+Vnm1sLsPOzKCOjRBp8sKDSCpg5bmbyjVCZCsh1i3fFDDj
7LpoqC8c8AZtiwNsvsR8NDOv8Z+cARHSrzSyIh+PkKId8++z3+A0Fviziz9cqJp+uTb1WMKKVzg+
8LFQraVvnQ7iVVbkTNn3AkXr5CHawDn3o5uUYXgn56LstnVbLKxViIoh+mUxh9lLQW1v3na+6aXf
3XRKu2O/ePFxRKl0EIkvou+qi4z5lVSwhVU8idI8+wZjWtl3iUwSeTuBSWNOQCCH4W+KwGN+LJtk
mo4lTh/9cayKAjtYp9Xej9Qu6XAMhNWp8NYsFzleJV1b7T1zuc/oKbAx2DN6sTPb0Ju2oYyy4UmH
WTLehxALwxuMqrGzMSv02V+LhoIjr3BcMLUUnVAJWL+SrOmH0TdAzqyI3emLkl2hP5iYPeEXYJey
83ZeWIVQvMq+SR9x9gPzQadV3N9l2Uy2deM2Pey+dd238qZNTGN50RAcYKyK3lzAIbRe9Dk220e/
UItz8H1bu6Ro7ZfWQxAexLOJbQc8nxGueFB2mNZckZGLIBSEi4k5q5pCsHqu7sU1e1CWg9sYwx6L
iZiGasz/RI9ZvVtSofGrXGK16rOLBV2qIJwHuCvkWAjZg/ae65RmcjIxTo+fQ8DtbsrN24qi9koM
qV+YcP3D8aNiIWtucONbncZth042PJMe/FyOmNEXRTgUGN3NEGu/VEVU85u1Fw3+rY8K24+DKBWx
gF/uD5jKBTLhnnrjqbQSe0uJNjtOdhx5t32KQRN8LsUERSOIplu9lMUV5n959qkfumrC/bnyZuKK
ovXG77BW3PBajJbs8fwuBWhWfDbUfoQFGG0xY6jzXQHd2MWYKwlTLw/U2CXJj2Ix/eQ+tYahutI5
LpUPusfAoIK47EGHFKE25csKMLKep5jlel/SK5LdaEPI/F4MQIpwlQYSR/onyqYwvmubYVRfklL3
9W201FF9tKbB7W44fCfQJcLBLH6Xs5y6nzmIWlBXLjSTqYbfvYiGgggHIRpyN5Gsvdnm1gX8J12+
4a8Zv/akJofvACFcY9ggQUwBFdHgjykjBVcgVpMZQq+sh+ER19USk0CLJXXrWswohsIqy3/3c5pF
j2bjCXmkfCZJuFQtxcTnuUwM89iihcBsEj9V6yfkszZ6qRaKfG3QcaZYv+M4nsRv/oQG5NS0wp0O
TamW+RuWWPg7ZRp3oI+oA0PzHjC5ZVw5+NEO3zor6Y2vTWYNpB3NBGhcFzSp43ULGwr0Kxg3cCv8
u6HkWOQkkRVUsKUDnPkxMmwdfS3iLFOALAvKv+3OnZPVbUkWdpQCN7Py4mrt7Fl+iNIcot9GqXX9
6vaNHx0aIdcKksawtfqc1L7hXdteT+serMbEKpsN4pliOqaWJ6IWa+Awj790MS0D+Ff1vqYYpR1e
1UOdzYb93ZiwQnvKh9LxtkA7qoH2b/xs3WsSudLdNzUEkXbTgOrpqS9z6HEg6AgHyg3ZqaitjvOS
IL/ahClAzTv+b+oVyummdpeRaXG+Q7MIrX1qNXL6iR9agUSljEic6U3c2YkD+g/OAO5miVfShut5
WnxKE9sc8LzTnheIDjX/TQPtqgLbxGl9EyURLNXIeCHTC5S0jKRotots2Jv8BgPcMYhy6DrNPk3T
We07bG2xjq+KesquRUZaCY05SbqWOAJ7yCnIoAAsuBmLRGodTOSxmFxzVFBkgm4Jl2if0yYjD8vg
NfNrSYoG/ZiVGRFiPAKbhs9qULMbBs7kzvxb2/eT2Wxk6re4rVltqA2cqiZsIei0MWY7DrpwntTn
KuTdXQMmi41702obUmd4xIMhoXQn7Kes7CreTgtnE274NOnypyfbAY6lH0eo6YPKb33qPjGyAvNr
k0KrmFgAEzrwYOw0yzzQlhXWGChFhfyeppUMscqsIKbkQeXFVTMEXZFKpAxaLhIjU2cZ8FBN3REz
TKfomm2/ngHQVHzh3SYlKa6trl05X6vIMMpfadlnzQenwusVoxUk9UNNlWEq1BPEnYzMGXlJP/+c
qQGIe5ZCjwZ4Uvfz/YKDof+MAbTrvypnosZlL4n9GiVSjZ9gfQ/prmi8VDxLqql4HOSLTlUwtMil
N2NT5+6nGtyj+jR7cbx8qUmn1wkYTZKyUwB7yhI3cuxm+QNWJH2dZsWut8FmDSwfWHrcqWK62VNc
6RcS/fEHL09UfesXBi7HkG8XkvexMWPIKCjd288IlvpRBs0iCQqO2Vyl6VFiTpjegWiZHO9oAhsv
jxZW79i9NVKBjizdRsPwT3WjnyHTmrI8+JM5diwr22+ja7tmNPh6hvb2S+TDGKO3p4YXo/surb7E
U4Ebjp7UnDwmOKD0u174JssaGbx/g1ogau40ZFe9acJmMQlgRkdWL44bG/2nxONsK4K1pQKKwlLX
w76b03Kr/BL+zKZrx1TdLbA9jCP1HKcuAPe2hYOkPwLaDTwVAsPCfoW5mMFjszeLY1Zzohw5AdP8
gxKF4T93AHeSj9WMDe8mjuym3SemBB41eqobSNOEw7cCHlX6IYppft95ws+jYefj4WNTPm2dZZ8O
2vGD0K+9/H6K5ih9UQutJbc2f3R5GEvitM0QF+I+hS1aHCLDb+t7eyIedYLYiHzedQyCv/ldg12d
bnXVuch/59oL77itaezGIHknj1yMDAf7mpKn3KqqZTFwLSCctogIwNPQR62E1bQBsRiW7zQnj8ZT
YWJvMG3wHENN0HLNMDZOinvXBrfTuHmoDAsxqdMoIO89KKLqY427nGuDq2vHgT7IwbLgvQ9Nxyo3
WZ7bVpp9cauHrrV/MytlXG+zzDSK52kBAHWTx84sdtSvTPvRrtFXXC3OMPXXmmCQsztJ3JBNM+1k
fZVNRpg90Oqb5cnODKvEejDmqiC+LgtzwujKS1VyXZSgSq+M0Sj5IW2eISlO8rpy9yaJSnULMDoC
jBX2vgNtzI8Np92SsXG1CKoMH9hDEldGBJTWXfS1A22r3SSjCwtRFCZmd0kpCrr4lB+D4fQxkchx
i7OoDQey6fHICmCdJ2yeEdnwwtnyxZUC31nMHrnVUVuNyWwJgJCFedVUvLB86yozJTJKzZw2pg1H
UOY8OlXlm5/bBvJq/+hZMy1XGztUVndt+amDoWCRa/4suSsQ6pxyKnEhSyvHF3WgCM2SaKtjujnq
rUH80YXUQwrP+1UCDBmtXY4L1HLNLFXimdbzST6GeLZYH2bPSdof3mLX8ZeKlisHLzb+AVWvtalu
Z9I0PnFy1cU6iOTiGQdrGTLo0o6aZ/fr2FUl9+rWp/3xowPpJ3ZZCKPVPkeWiOxnxIByeCyFNqxH
AG318qvUStacAlnCl9E4tWCTmNhwn9syJO6Iq7SYd82ErQE9YwXddrfV2qQwb+wMRV4ZiGFwLXdr
zCh8b9q5k+OtUyS9dztmtS6fbCPynOtBr5apiWk2Df0Hy+LE99Ni9Q4wAegez1p7RXMV1ZNhlpss
hHe+H3ohrevWjaXesd6t5XMpxpLbaetN4b5soooNR+m2WvF6xkQvXyxx4vjcd138XJs5COaNhfvR
6u0y2In8Nsdwxx9FUuEza86+kcCIMuUgFYLJcel10CNrcfBFSSjJH5IlBmt4Jds5dj7hnVem21DL
wXmOcWBqICNm4KRrrngg+/How7bHQHLa3JVtOxQPeFnTBmGaH5Quq+d8JE/yvZ89b7fUI5i1GJ9i
Y9+MhDQfVF0M/pVpz9nvsSCSQzgd2tUHQvzRf8oj3zCuRydyuuvMrZfmjrpUFB3SefKSZ5Tiwofl
7kn3roqUnauN15XS5AI1ibprt5KmLxDp/H+eKwLp0RC7H6fEnV4nAyBvE+gya7IrVZiR9xh7VQWp
fOSYxqMlg85XwgyXYUOF2eUDzoMo1uawk3jgGE9urJR+9ngaLM47+iQOqvUcNH86U9FvKyE8AThS
yCoK8i7xzOvE4bYW4QgULnW7a2bVmg9Js4BM3rQ9rsFs7xFS2TLg6um0MljM3khJndBD93seQUbQ
LNRQ2P1REs7ZG1QTcX+T23EpPvvgg5ef3kzou1NTmeJUZI0ebxTWStu8wN9P05cQlE/yVKD/TV7q
snZpzR1gu0avi7Yy6we0+9Yt2VlKjtesLYv4hpxCE6GB6deEgpuQMK6CxB8Rtgbo0AlwA12ANPpR
5b7lXGMNlYoPHuE5F+cR2QEtfdREQZ1WUTXhvkKs1x1Cjk7jlzeCM70KhenOH4cmaa9pNFO/vLkY
cF6B+tbuII+FkJiqofhJWsVtr/pkSGgqNlJ/N2qXzowyzYzrGldl+WOy1Rz+nMNiLF7xTc7swHbL
zr7ql2FaIH1WqWDJQ31ZtobIffUDr5fa4leCaDZ/Andss692bngzt5m+pU/EHSEBBw6ZL3T0I9BB
a0eVj91Dkb/BzItDDmRn5Lihi25gGcAHUA22Ic37fRnKPrC5icsv6cwde9131C8MXIoN5cLhxkxI
KnCDGgZ9pap0HH46OArNtzGqsfy16Kq6LjGlNkN3g/d353+f7Ug6TzVMWgCyltEZGkeetNENl20H
IoNDVpDTi5DS9ivvZ2HN9M9NPo5s/iZPWpem056bQQIswmCvMQJlFJBcSYz2ZM4hOyhlIpntc0yc
+1r5KPnqsneG79M8xGm2CcehC9OgbyAET4GHCSsC2AqsZdoEg9n3c7bTIm4qrFImRW90ADA6svXB
4/ZaW2B12UYBf3Zlw6UbhAameluVxb7zterhn1YXEsJrgeEsN7vyxGz8RLnFnBT9AMOOLoZO1UFn
txSrNryJC/nfM30YVTAOaWrBKO9R3Z72xtWzY2Z40WNdOHwzMBLMiu9W9tnS2Mvpn9CWodJhKMD1
5v1U92nZbx2Wu40iaY9+ieDvbQ0ij2J3EV7iHYhKlk+xX0U+5oYWntRmU+B2A5jh3pg9tX1/2NPS
2DqsT6sHfLS1r+VUH7aY6RgNpdseIrKpd4XM/R0ntHOTRGF70wor/ssaMeOhx107aMAEGEg53j5m
hCH2bI6mvWsw3RwG/8bzP9jzGOSmDhxY8u8/3dlyYTSibGp+BmqtsxY3240MPIBMahSuSj6CaAvp
CprFhfLRH+aQKjSpSTAJXMpPFYW1oCcQpTZqIkwujsoZxG4uK40hZ5NVu8gIpwvyutPqzjqJ/x3w
ZBLZharB6tt+B0n4Ro/LXnjzp9mY/rIMtw6DBHQVSzrSABn39l3xwAVkGEftV7AQFwiHVNuuD41a
XHdEjf8LWPx/m7mRe739uj3wOisdSdk2ykw6StYmkP+U9H23s9uwn+Ir4lSVRFcJmSfSPbOOhgp/
TjJVS+CH2ZTGaPtykX/L/klBJJUzAwQdjGrs/YB7VNbfymS2M8TsM7D9vCzkjcTZkV2R93eDtQW7
VANUssdohyQIXBIuFRu3s1T7LEY825PdSOY7vKIuaISfXS+c0ioYZ5lK7F+VrdVXGMaxv48WUZb4
tcx1jjyFhthhizJrWk1eGq6G2MaZ+bDpI0s15rFuG3Yu7idNVm8IB/v22jNnXLAnG+DtnVORWfte
0qlJQ39CUEsQLpqhazYLzV7RV/oLR4KSKo26W5GnhYCD6dlhRs9ZCpzU4zIgP1Ny8tyd53YT1qPt
xHo9zIUoIgLACARwETicGcD5a2YL2p6i2L8RoYrGnYk/lHqmL5jm7CCUdpcfoqlS4kYX8BLDY5Lb
xbI3iXDW61oehw/9ZFllfutmRgvXXyyFlK9dxuH70TBa0+63Q9VZxbFBKQnuE/9Fojor6yDmdLON
qIYepUpPr17utqQGIcESIgJRTydzOxrWFO06MefqB33pRkNLfGJYN6gAQ3srKWM4wTSjKsYmIMfU
4q7Hz2HRG5x7zOV7NZAT23mgH50dh51Mfo3e5IXZhkpGYvGDrTCHLV37Jt7Y2fyiOscro2BIYoUB
YmoZZEIa3xq1Fyyj1SfHyNUpdWha5LvHAY4ObaQhH/vx/d3qH7HRf043j+4ypNfUHuFm2iv15+36
Dx2S+rbQ9i5Ktfgpw8y88TGE2RHTJk8LoqlD6tf1RxM87xE74gnQRz+1NyRa1DEz+0vdXetwZz8H
zSI8Tja1s2ZSu+rB0NdtTlxn7RHU3g4OZGyLvIQ4yhn5fZrs35+BP4wImdVdmZ20BZ0V/jHDpLw5
VtXBDy3vt3aNigxWOX9o0sR71i7BJFT8mESp5XbOBW3DyQG8Tj7KYQQwKCehSZyqNOleq4uURrlD
7xabyHkkpAnq+Bvp7Lx//evHZD4Zj24bmBKnnQ6UZjDtUF6/E6J5LkC0xPSpVP4MQ7rATwBLz6G/
oBg5OaP+fTp3BUsAFTuX9VolcFjuYvoQlb+aEnAP5y3ms5QCLvHETs7cdSQ6JV2b5jEUArzMt4u4
T112KNjmBx/HlxHLz6y2yakuZnshlDg5Bf8diNQFkDw00mfigCpzcXIlqNpjNObZxxZliDzEGTHr
UZAKyu7ff2l/fC6eTNIAQnzongRoNUahdCTE7qGbyxBHXavhNHKMZZn+LhL897n+M5D1dgLLLnVz
sB8T2o08+eS42G7aHR4KnehS7juFZ+3SxbikkULXev65Izf7vwc8eXEQB6zIo6/xkNP80dyM5MOs
J+nMFN031GuKbB8v2EF/NkoHZD0aCXfcjp2jpo+mwCgL7kpqLuWTsseaZB2ehML6lnSaRNrUQOm7
xxaoMbcEhWW+7fUcRVfUOokSkcwmwn4p/skQqn/ThRiO0Lqx80Eu5MumcnAakWsnP38s9KMkDzJh
OcUX0YYVdxJH6rzkw1ma5lZb4+AfcYPABwYx6dBjH6VleuMNURN/U8ngzVdFzyv80o5qXA5JL7B8
M8S0VK82tWN8WkM6fL9yA83ajeHVoX/vROnU02hkl+FLU+JIuceNu0/2Qvmt95lEdj8gL+jJp+KN
Xo/1QcRob8jyShung8btaknVhyezbuBlzOPvTGjPemnstJDHtq1a6Qati9f7Z41N3fI9cVE1v/oJ
VvLXyFQa6HJV2mrsYAfSduPNbFLNuQ9F2et4Y5ulT1tyPkSZDIzeU9Mr1S2Z3/IwbfZzJs3WvKBA
iZfPTTTaMT5gEZ2PPzDPs1MCVTeGjZpmaeI/QiApxq2z5Ny2A1HZMsnpr17KEbNsq5L3vhWPWYoe
0TFpEqzCOA6vCvyGx0/k+SaQagOJmniz3m9L6iiqHNUPXMFBF8I8sKX91aYlN/loW2IQrzh/zPUD
1e4Cy17PcPIHDD7THu+3hZLqJ3S5IFWTSsQYi+Y+Jrs3rRXaeIDNTtq6m3Geh4GNsqj0pxBVvfkc
FXVJ7ZFE5vSQ8a0qhEL4oeyieIXq41eb5btY5m5CIiAnRBSdrZbrltre+GHIamPcj27hDoGsfS88
ZKY12qTdrMzpvwzDNHlPXqYK7ypOvKy7rmuTnxv0vh1PHxcOUPsx+yfN/P6m86eQgI+SewUsVwcy
/ElIQEeq5+XN2BxypW7ipUMZUJfe4X9IO7PltrEsXb/KibxHHcxDRFdFNEkQlKjBsjzIvkFYtox5
nvH0/UGZXSmCCKLtyguHlbK0uee11/oHqq/dts+Ue2BM+tYtk49l0TWbXgpfqFP1d6nurhE0lo+H
vz/JFLy/Cc4xP5HLPs1iB3MqJnfQ6w2H+opw1Eojr4/zN4345Eco6CiILAEduZZ1OCFkNDzOk8vj
unh3QOp/FVpCQ3R21qVWNkpjB7OWRJs9dhk2vsYep4GVK2ohngGlOZGgdFSCzpgfMRUZ0+CMtEPN
qDGAbrKtWMsfGk3PNnFG3a5qKh/UgWfYv94/IBZA2nlzaMocip1FIwYg5oRoLD+l7hHTFVldeYQu
TdVEKZNIyvLonb/kJ8UKo0cYyW5T0Ys3FMTwNmwVKdRW5mohMCMNA42M6oksnwmHygPk/zSjqGCp
L1Xf4eZFndKsMIX6JEb17wwcWgYm8F1dhBRwuspr1QrluEhypyzCd5pf7YJcPEr9mnDU4uBNfYHQ
SaZpHumrsSWUfZjEDnYPIYKbul1E0Nl/fREAEQH4rKFVioDIaV8yOTPNwipUuyuDQ6oHt9h12Jh8
ryzyaePPngnm22bk02aGLopxHK5i28V+vC0/V8GnVH0Q6hezuFdq+FVKt9KxpRXxtsVZhBRnbmwl
g6vtE/U6zt5rpI0N/UOc/cQe7tcySK/B2NumZgdF6eVJmFgRNPIRP6ThTtV+DUb7ZwNQbac0FbzU
ORCeQnI0KmZPPZzHLw4xO9XCpu5XlTr+agZBRdi9C5DqgWy70lgD/ajkFkJd8xOjvnGXk/ZZmZyl
o3VinSLyirwUCp6ny0ENQ0PIYnDBkhDjjCZS6vkehiAXtnVtZfl/2NrsVvLTIkObNM0dniJyvBUz
QcBOVhFKsGpaXK60trjw/u7bnLsk5jU+QYSiNm+ArYJyOPXTXRV+JfZiA3crZ9HCm42XzUTBR3Ro
0lc5HcmYx3cj6FrtaGXVxq9MqBpj8wAFR9TC1XvJj8T3v35k8HQj3OLyYEHOjozOIAyNxMTfN0UX
kMFMRF/84PaJ2BwJDU3t8XJzr3Y287PjbXvyaRfBxDSYkBaV0z6Jn+SX6mvxsbrNPirPwdf+4N+n
x/Auv/MP6bVxle+UK/8hvs6/1l+z++gx+3z5syytW6Il8uCMNFz72U6HPww6JU1jJ9CUpsAuUxS+
lVovOrzz1lbt0sxOqmswRSzUg+bGJFHi1m0yignShOK3VG8oyqjGvo/AjrV6lq2cYUs9Q8RhUl1E
epGqxukgR5aBTxju644otRuRMmUVPFMn/eW9gXg4QQ65W/hYZ0IuPjUxFhZGTiNSZ2q97Vtpa/os
G9VJvlyeqvPh4xwD3EZSWqGaMI9uYnAjQ9xbBUWLOASvl8hILUZffN0An69XzuXWzoO4qTWwCGQ2
ZFObBzromxlYM6IwGA3GHfoPm1jodn7w2fO9bVx9r5AruNzg+XzRoDEVttGbgiMy2/eZmARugd6r
IwWgCgaqMsAY5N9pBCzsJLzAUjRnB2eq9Vqk5Xi7qkg23WVh6w/bHEhgsnONLlmpJCxO2N+NzRNe
KeX7slY7zc4l/xO5IP8Ft7nuuamU6GcZoTF2eQDPoysG8E1zs1OsaZRMxdzH2hltXPV7MZN9JxRz
Q9r9Z+3MNpZeARS2EhRGGwPLXDBQ7aMQK9GaZMXiepjYULCFkALQpu+/eRS1Q5TlaZ5FjhwlAFon
/Jki4VunRcKn3+nQ3y1N8/impcFPjFquRBBxJLejweO1Eq6M2eJSIOtJWnlK3M2ZSXkxlF2eIQ1c
SU5bRlvgu1u9fqyktfNoqSGeQJO8HFvoTPkCS9QcwShAWYrcDbbQ8ZJUcUYtNyCJvMdeqKG9XB69
xRYnuayJ2Ii/yGz01M7DKt3gBhFK7UbrXrx62Hq5YE/goMstncchCqLYOG5NcoQ8v6YN8Gaegqr1
KuA9uYMgUBBjFeX5P0VyPE+Zh4QogEU1fXKhya88+daanS3EwW+GGC97vJrirAC5BpKGTCVsBEn+
EJk5aftMXBMwWVr8b7s6G1SkBSh9szV4kMlm+Vk1C2l4HqNSUu4kUlSTddm/vc3e/Rl6vFWUnkbu
NCBhZJERQYwMYxEG+HRkXR+Hw0bDZL1SQYBtFODxSCdoHSKD/1lDs7MDHH3ciDLiCc0YfdDjdg9Y
/+PlJhaHDtcXgkiK34jknvYlMNvc8DAfcyqMaAvP2HQ+fBVhJbpYXBRvWpl1RKV2hiU6Dkw8NQOn
R5rqIdCy5oUSYvil4xy4huQSDCt7bWmetEmkQKHcQBQ1e2WQDSs67qnCGUmEmX5kwwxb2WQLuTeS
DkgDoHKhI78wj9JENaPcpmepE4Yk+WGO3IGyKjfaGG3NqPiGKEazwWz4iqLRleBaV6OARWTn/8Ys
AtJAlgVm8bkYRdjWNeyvRnOaVpAjElVm3j9o4OLSb90A12dlXS4dYpOYI3BuVj8FydmiKfM+CEPo
YB48vF1SeLvB0z422uikYrkW6ZynDgiB3zQ2WzsFAGGNnHHpUPr2Nqh/lrugVoCvulK7KxRc8qgY
gCb7iHD4ykZf2hzTC5U3znQLzTnhkHcQASyhTtUhMHoshCvpJc76evKlzOtfr+lM4tEicApyuESt
06d5c2ATesTJOL28xeizi+4dpfBDF6V2bH6O13QKFgo5p43Njsw69mvdd9kb+lCOWzx6r/oI9+Qy
uW3j3NjXWn01YGdvxxiDU0W3fhK4KF8Ks5S2KQSnrSSM3udUH35wg+KS7lUDkDTxh+kO79yi+tmE
LVW9loJl8DAa+U8DgeOtAoXaqbSB0owqo8GfQ61rpPSgBv1zL3rv5SY4ema+grxZmsTp+URMZOGV
Ot+hQZJ6fiUanVOWlBrdQbvu/OjOq7O1hbp03PBYU9AMgzCM0dzp/MW1FATwf4VdbUjdF5AS3XWq
w+C+fGCfvzRAvhCvAHBDE/csF8Q0mD0aw9YuCJsPMUYQm8qU7uUhP1RpwDHqyfg5xysp9zngjdTQ
1CrgFEIJkkPziKyIUJ0ioqA0rG/C1um1q+hrIW+o2nbBLkGWbE2kerlFFHYm/SyKqfPEBmD9AAj1
pPiWgCnZdL3SPpNpMA+q0FZ3PI0ap5Yj/71nVsGe7GJ6Z6iVsrJ25tr9r/2eZOPhImIOcJaD7SXw
k33Ns1jV2mIj+t2tUFVPlM7Aw1qytOW7ezmuDkCg2q2muM9j1j24EPy6tLkRs/ELKFhtY5AawZMc
ffI2uzW9YUcutlu7iaZD9zQq4VX990edT1HmjiB5xJwkodDu2krb6Pner69aX9sU1XWfextLohjK
Nvz1aj4taxhs4K/Bk1Sfbv83Bxc0wiwB4ZmjsSp8jzJftiPIDytL8HwbnzYy211q4AM09xGOGWr1
4PcWnsfa8KW1/B+X99dCO9N9zn+U0jj4ldPOaFkUtZ6B6p5QWlwtlO8gdvt6sbKNz69QMnYMmsK6
As4zLy6pZRpIjUt0ruiYkSuwzAcXzxUN2cg1OayFHiGnigAXbkKcg3PBphjq6mi6JcZMSCVVlOs9
zFy7NUzs+ek3rT56wh9I9M6DLaXOqPSASnYaL90WxvewXLmMz2PIqQFuY0xuqAPPkYa+rApNCcTK
CTvF3zQiYt6i691SZS43YwFUBdjzyltmaeTkyauLeB/NrNdL9M3ChkqcRV7YKjYVZBJihwaZtC7/
9YWNPIiI1CQHBlots/gmaKSRqxhDlyaXHFdv960yHDLo3ZfX9eLwcSkh3Ike0pl+SdqYmF50VunI
wmBXavMBlPynoCn2SW88D1Lz8XJzi0OHLAs1iyl/OS/SpnoyjlYiFI5aSwfVG64VN91FcDAuN7Ow
jSZjAVhpUznuDJAlyq41xoEWOYyu/oA4Rrgvc7X4pBV6Aj1KsQ6X2zsPRlmEvNzB9oDDPssqoisd
1aKJegE3u7cFHl89hJBBrtAYqA5CJyY3kHwfMhXOjaDX5Urri4NK6oBqMe+ZsyxjoaYVsC2vtuOy
/Cx16X2ZuzZiBs3KqC6ulamigJTkpPI67fU36x6XMctHFb50XPFD7t0JEXT/Dkqx9F0JVhBTy136
u6np+2+a6pS4Dy2kRpxJFGS8MkJgi/CTi2APvbleswJe69gs6kW1VhFcY7IwjD43ylMrJ0dLAyEZ
YVJSreEHltamytOFU54FigzOadcEuep9awCtH0Rtvlf7HnKr0lo/siEj8y2qxcoBuTSUIAjwACbl
cx6jNUM5mOIoFpQhb9HugykChA/2y+Ud8HoBzuIM1HxQWKRMwBU5R7LneFH2fdBrticjKZBqN4Km
2oCjH0gVH9Cr24Ia3ghFRxxiPoZwJET4k362EpktdZbsLfJCr1JT82A7YGRbNxVrp4LWdD9UhbHp
y1w6ir4VrERWytKqoSZK/kKlkMAT7XQijcIKQ/hMmYOYW5k8dnVYdUfBH0dh4wlGFDsqdorSQSvK
zjhalIYMR9NDvzt6bTxIEBKHRr+B6cA72eUcE64Qy/HkbZ4HZAlaGPxQ50IjMg4SrEss6rwsid/T
qKftGew0++TKWSO/U8PRxUsgaUTrDocTV31Q0CC4wsm2vUYrOHNfWgw6yy8KXBzlpqiRKPrCi9IL
bgdJzCSeciJUyNAbdekdJ3LSf8ko+abvLq+PhYnBCYNlQXIMaMQ82tAGGY5jQMSMOyWl/f5xqND0
jcXq++V2FuINzkE0/XSgTyz72e4KVLLdrdtnjpGMD75SXquhspZAWugLy3xytQYUe27Lg0xnLqWx
Zu2KsEN1x8cpEd6lglOdJyOcerlDi40RetIUO4uI4HSVubLvS2baG+g5jeGj2DSENEPgGwgiu1G1
IvsoL7VG8gkKxURHOfMPhhBoxoXUxE6q6J1xH036lwer6grrYCDdslP1djAOftnBKE+qUsNhpFf0
Nn2Ukrqofph9YegfozBBPTnBTGjA5bNEZ9iT8vRdO/rhdYI6ESbknpTq5bGOLSu57gK19fe5GRTi
VTwgyHPoPYB1tzHbRNjixZ5GL78+puTagcShF3OO10Z1wUfYj+zmqP+I0m+ah4yO9xvzhgszWntU
NAFSzR4mkCCkoDKxyCoa5BrKkUxwsOm7tUzj0oQpVE9x+ACWe4ZwEkwGCRnU2DHarnofpXG07ztL
Qu5Bsh4vj9rS25stTHRDKD+BnGb3f5tlzGPh+UQ5eDQedQIp41gIZtfdWHo2Zg8IGWfGZ9ZGWu0S
Qtry2fdCT9wjpi3EK0t1qeMaD8tpmeJnMH8pKbVptZIIuqbxU/Zg4D12hYxglrES7C8dKJOwJRro
+ClTWT3df6LSKBjtwQMT1Dy95jnQ35pFZT1dHtuFu4TTCtoCRKYpkzIbWi9GAwtvcPBWof5VjDXI
mKEK/zr4CNTiU4gU5MryXOoWaVoNsshUF5ynBZpkyrHkDcKdONfGXncQ1yZoAaBBmKOyVCT44XRr
6vObGA6/+iZAHczYp1XqoH6wx8FuX5j+LtZHGyWI68EvPhe9dav7A/KyCJ3FWbltg+Fepm6+gVKB
XIqmo0B9T0kWUrK4VbzvtWzZYiP5O4+0nZ5BPc615CDVk95Strs8K4uD9KYHsz0cT3e5VeOfUPe6
tKky4x0osZUL6zwc5B05CbSLiC7KaAeejhLbpyj6zDAc5smIr11SdYKw6eshgMrk933/o4fvKD1c
7tkrSvA0XKNZGUPa6RgEKjCljd5MjuCOAqnaEO6InV6ZjrLHC3jn2cFttR+3vY1kzrbc+rawM1ce
nOdjetrwbD/leMigyaH5dlLr48FTpPqKCCR4vty/adTm3aPsgtcJhzzc4RlEYRT6gIiexKQ5VlCf
CvEgV+lzVVQoEOrKS5dJt5Um/Ljc6NJUvmn0NWv4ZkwxDA0tOaaI2xtav02RF9qQe9M32P++GK75
y3E9MslQHki+cjCBzjmdwaEb0Ue2oNrFxn3RTR5W3wRt+I3ZApcDGw7e9GR7cdoI0jdRjSN5bVcU
NlFnEqz2a+2La1mIuaMbCVUq+iQgRPn1LpsvRz+FGMkpQN1Bdd8rfeAfEwpWLUUelE0QhzNV6PVC
Gh8iLTlmpnesqO5kIEF2Q+9/kvT6ELeYVyMl8VFBe/vyvJ5fNRPcgMuMHaMCqZ8dZLqcIdUmmKHj
SWg27vK6VdttYJTFsMXTjwf/5ebO74LT5mYnQoofTTIZHoIUzLMbUwlqAWUQuJxC7+l22xpCv828
YFxBky5sGR4b+ERwh02gpVmzHa+VPs/bCSriKzs9CZTbyij9W9eTqutEl4UrFMxMB0JKvNLhhX0D
IAELDpSWQXbMVVPboMmsKGYlA/iyrlXcyR3ECsaDUkKpSNXW2l8e4KX5BBJu8QJXaXd+paN/Wkod
9VmnbJ/6BtEv4y4eny63sTSJ0JEVOIEsHTxmTzeOnw1ySrYInHGm+4gpwiANBem7jz/fphjidGOY
+UqT50koAPtUemHlg1w5i92VSGrDEoKT08YdJk8a7wYUnUNQWbIX3niu7uLgrZBBCcJ60/Q9JejL
fT5fQQYOeyhLa+REJSTwTvtMJciPSsSgnBLDvWMoyxXrtPuQooYQNMrHEQUtqkSauzKd58vntNnZ
GTUmXhLUbm7YsG6y9z7Zt9uiEicsr5Yf5X5IViLC5fYmsulE54O5f9rNTEHOJc1rlHwxsdhwB6lH
o6/yR00QqF4iz7JyrZwv16l//25Pn70A66ErJRQJNdvMEX9s7mr4xtKaEdk0SKcXJo1oAFgJRFBk
nq9XRHRz1OgAu7mK1V/lhVDvkb1cO+cXVwim6wTSPFmUefXOLTIUTQQu/6xT+69CIN6jdLhvMjV6
GUL/0XUHEqTiIO8uL8zFziHQTeUGpvuZ5jlMusHKtS5y3LL+QkH2ZxasGbUsNWGQeCLljEYF/JXT
RdE1xdgVkaDatVdbh1ZteCVRzHYud2RpKbxtZRrfNxGGq3T6lGbz9mU2IMZrGWSXffFHm6L7ebml
xf5w5YHwRMfhTJjC8zKpJLtUIqpTIIzaZU+V4q9My/kZyWoDWEx1iBfIWegrmpXUJQKcRwkXhtF8
XytXaaRvjOjFCH5j4MDBEGO8lqznodlgDQiotg11B4Iyzw9Qvnlv1GseOkuD9raVWVCtkurzjLis
7caPHwzZ+4YU4PfL83J+yJNTeNOR2b3i+bovYLJQOIi1EpSROhy6vSQc/eyHIOqOmKMvna4ZIi6d
eODaOCDIWvM+nS07owtQrEqJpuPiwWyfhSE7mImIYKxydbl3C+ubaFPmAEIhhMfp9P0361vtAMG0
KJHx2P7Oe1DFpdRYIyMunEEnbUydfdNGiyZdHAqRvi9T7Kiy4TN0wcdUF5+QtzykuXWAXrUyaa/n
2ux0hcJHMEBeDWj2HGxiptxRWB5VDtiPK+OY2KqtbnVnfMLC+Lpw2qO+M7bJTbNHlHZrOJJd7KO9
t+ec3PVOcK++XxvoxUGY7HQIgiDazLMnaRcCOcU2yzGGhqf04N4VvWBjDwuRN7qOheraCEpxJT5Y
WEYGqDCkWiicAoqfts+bkQ/dztSQXgE10Vv3CMg5g1QECFm632S9//nLK4kXNeBOA7l6MLyzJau2
YpPJaL/aWd1J+7pWRGdQgJlGijyuHGOL3dJAI060F5OC42m3ah2dRUUBoZ55uXmNJvx41ciS8KgO
VruPU0lbaW/hlCGNzrNvCvTOLX2LdsgroTNbO6zCd8hrfc0V4/NvjB5aD3SHmv1ZOorYWERP0tWd
GgWv5iboPfQDUQ5Lj0isxGsszYUzDcdq3DMAIUBWnqdAeFX4Q953KHNVT7I5mTMHW8v6EAo3hio4
YvOoa+VvjOGbJudPAO68sglCcBayMHabIKqbbW22D5dHcalfrD5q69QhkOObnTRjP7hoy9WG7fep
7XoJpnTZJ85XYVvLzTc9xrlmrFCbK7Ns5Rx9JZbMDhxwmFS+ea9KIjjX0zXpCZQIxoL6qUbu4y5N
8hYlsh4IqB9nRzwj4q96ESd3qVQMdqYOwj5JJbj0AFK2HY+I3RhmmD3VRvHh8pAs7RXSFZQxSHSe
OxR1Yl15kWlNzh9tgCt9+lyO8Ycq6z8Ler8WbS7cJnj2sClJdJLnn5836eCOijdKhjP4opkiTjAI
X2tdHPAEk3OUYC53bbE1yu9TlgRLsHlsy7uoMmJZyJ0CqbVt08dONtbHqqnXmIRLY0glCA4T2jpg
+WdzGxqh7kctYZPbfw1QKw6BnMaIH+DNsfIwn37TfBXxhJ3qaCSKz3gQoyGrRZqp2t5NNBTlIWlT
EBp3ycByDlNlY/nxwYjcFcbP0kBSgJpQBpxxZ06EouBlqZFwdBeQFJuNV7jjo4vaFSbJqCj8MtAA
JcBpcSCLBhJ0XrYu65F1araqnSfRUz/410IyomJYt798oqIJOAGUpiQHDMnpUH9z93WYbmYkcQB2
SfASBR0JX90uxepweRGerw3CJrR6ALRy6JAWPG1G96sUqRFUkIRAM+y8beoNsv0Hq44+oKuxtsGW
WqPaT/4a3TUgoNP333TKzeOoI1rMnLHMjaOH0cVnqYy154QD76MnR/lKEXneHusN3PVUm0Q0wDzb
YgJIsigV3NqJ/O7a7Ny7IRquraZ+KHLp8dcGcmqKhw8RBJEKt9JsIMmTeH2oBu4uDOGhC7Jc2K6P
lGWetOMGEf7n32gODBFCHYQrZ+iJJKeojIIJvD31R6sVe+DEjl5F20JeQ9BOH/ztnqZjJgUfanjT
HoOgcDpnZu5XZeRaEC271Fbz4qm1si+XOzPfwK9NGBNMaPKDBFh22kSv5aWnuam1E7Ngl3bVHrLg
d6MX7cvNzJ+PUzM4TrIMFOiVZ0GKm2sCkmakJAU9i28U8F23InrWu65tQhDmbeikFvjuy40uDR/3
CUBuBVAerNXTvlEMdOvRTzRnrNyx2yqpoX2XBjn+9KvNaCqPYvKTYDTFs5gyNknFkjjUbM1Kdlzk
mzD+cbmF80kiMoDWSwkIpsQ58C/NMbUtVGQ+cOLBb6FAvDMyERkW9pcbOtu0ENCRRQUXRDp0MrM9
HbHCiipFCcvaiZVeugsjIbkZRc3/Sqows0W5WMsqnHWMspaM4s0UkXNnzYGTyNP3qUAg44jtQBLZ
jXujPZjW2IfXUpAIwS/eVga1ETDwU46EXp6VYeiFj0/EiMdyYWDjg2HMofLlcmuVg7SSoT9be1NT
iHeiyAHwHIDG6UiSNdZ9r0gj5BGCB3pom1W+sqfOJgsoE7UkbnviM8K0WRNV7VKw9bTGdsFT17sI
FKr2olrIPt0bWprgY2P5Rmr+4q3FIwNUARPGgQF3YX5rtfxvz83SynED46Mw4uPYao9IRN/1VrWy
7M/GkKYgmfNWIzTmrpx1UAyRnoIX6NuNKqjXndBj6dIM3sdfXPPwArjrJ2ACENSz45wIN0hLgOuO
ZPZB/K5BZ7mAOx8xvDsdW7XJNySRsmhlgZwt/YmOMEEKsQhc0NVJIllEqLkw7DBJDCDqgVq8SE3U
WrYPO0JbiQ4XWpuYMyAwJjzImd6NHuGeFattQ53qLihuOkixKEH/YlT9+v5kyWMLS1LoLG7qxxo3
IjVqbbUyfiKyf6i89FaR2pVjfWHdW+S+yQ8DbCFFMy2bN5FMh11IS722QUAeff4Wi/JByu+V3NM2
MRyv3+gUVy/VGgiOpNvl09aqcEi6rLLAQpbxtWcV3UYKi/exkKws9rMbksc7+wklRQJpiPpTr9/0
yte6UkT7FlGYbEDflJeIT2wRevrXdMAPbRUSOW2ek9hikm1B9RcUPq2dHfWB1iNIr/PqjAdrX0XB
To2fFQmGXmwbSrOLXy7vsoXmJtg/W0yaDpD5pPWpaWAh7oVOY+TlJsrTAw8Hw3YrBcLTaItl8QxL
yF9Z9vNXPVVgABMUMZB4YqfNj0ilEQWVOoKxd9uox4rDSF1/i9fi+GSW4VPd9N7LgGb7+1oUxM9x
U7nhn8yA/3+idlz967/4+nuWD2Xg+fXsy3/dfWvrl+K/pp/59785/Yl/OS/Z3bfkpZr/o5Of4ff+
1e7uW/3t5As7rbF3emheyuH9S9XE9evv916y6V/+X7/5/15ef8uHIX/55x/fM5RCp9/mBVn6x1/f
uvrxzz+m6PrfTOvp1//1venz//OP/45fkm/pxMb+85f970+8fKvqf/4haf9AyYPkEeeQiZI2a7x7
mb6h/cMkt8njFTINd5km0kialbXPt/gZlij/Husbiu1TCa/KmulbqvGPqQZGGg8QM+JXICT/t9/v
/lzqf04F4/DX128p4a8gjDc7gkcYYY+kwlablE1QUzvdgaPhJrmC5u62wVvRcnEd2bfc3Bshb9pd
NXLHb5UQi5dmyG/xuBydMDZVDDHT9J0niVdKouyLUIbKhm3JrVK4wUGVQv9GEqQCORbUhF6/NAI3
cpqy+xGNXnU/Fmq+qzu9toVxLW+sTEfTrEPoCsEpJr7ifT4XhDG6KgoFCijbNDe+IWvpHq3pDy23
dqbVPJly1m7GwYiOgyxUO6t22xsXXd4bd4zETWuEWBDFwSGorZuw8toPIgn4e5ihN7WfIj4Quxjs
4YK8q8fWwNPHN28UrzRvqDqbN8X3JD8Uvp7tJUSnb5MgK7YuBkR+m44rD81XRdbTbnIqU5/kMEOT
Gxb86bxlLBa1JS+3tfJOOxbUQ0u7z5IfqCmFThDUWHaqEZZ4lXAMEkV1tGLItxK+Ux8b1yjv8WS9
mVxMb9HSPki5xQWpiv6jh9VQqI33Ju6bhyYRkL00knKn53rsYtaC4SAS2QwmUqLboiivcPkSdvix
+M+5hhXXlS673n2baPg+Za6GwHMJiS8TX/LWk75gsIhLEjash45jSdPT9K66Cwm5tm1nZch8CuGh
MZTebuW6PVZxivx7GR1EP9V2aqPqx9610EONPe+panV9H1ehtH/9EmPAeJO7sXbn4zV2NLsEH8Cx
Qc85F64iRf+MvjYiM3LtKldsxzuSj+NWqGNh66KkfqNF7V9/BNKawM6rJNh8oggOeGwS84P8nk1U
jbprlWPnuO1xyNuXihjdxDm6r0LQxgdTOIgNWlgbzNRuS92IbQk+/pEDvN5EQagc/KH/lgz4TbJu
s7tiaLy92Q7ie9EtlNu20m+FUKg25rQGAkGwMDzLgqsUQrI9mBhUmEElHZEEH/dGbK4Jdbxq7M26
xrrGXJ3QGBXIeZSQ8zDDcq1CwhRXq4OqeDn+HiTAOkynHL+QNGAHpeH0qpG4GxjW5s5L8F6RfEW/
Fqo6h0ngjltVxcvOBiK862U2C/Wpp2Tw3Tux05SbXq7im8lk5M35vHDsvTL9Zx/d4PEwEfOmktc8
yQDVIy6KQQi3Oc9Xoej1q1YN40/Ic+P70ZnHvEYDHIhOsDFR6D9qvbfNgTis3NRzNDunL48y8lOA
fMSpFDQ7fVF85F4WsSrpysJy6hi3Vfzq66PUqR/D2ktvXEuGmjX9bRBTxC7S/LMf5AZTbjxa2gNR
s3WdIdhy/fq3XvPdP//m6bz1pFbHjg/24Y1UBsWu1ZmfpkIXGJ/acq0rU+l4PqKEVXRJIxsF5O/0
QKpIzQ9yLkXbRsgHu+6j9lgr76s4kK5fv2imTf36tzHLygNloQGlftbI33+MI2fGgPfhpggCc/96
V0xGPujbHFPMDDbY3ayco0sLgR3PvQfrg889f27lTa2YQ6QkW6NVdulkeokzULRrwz7CJEUSd7EX
/kCpwbpKcFYE/fdTFKK1Ysh0BszGjuhAng5y1gCFmNOx60ex0WOlSLDOQ/gRk9TvmhlhQ5fqIAZr
VbyxPBk91UDGfrAI3hl+sSYFOYfbMm3k/yeXePRALBExs9OP0A5B0vQRvtVRHGtHX6qVnVDFOAqB
cZZi0T2aWfWMfUDkDBgWHwNkj1ulw3KOLHsf5I89mkS457lbufDao9hlCEHgqxutgOrnEP/Xz0lV
AY0lqsLQzWcIBnQtMIfP+3iLiy8rXFCM21KSx2sZR4lUxWO2MFprp9aNeuMnj2Um+Su019eROJ0s
1glN8xYjgQ24/3SkDEGKUjSvs+1YHiTVCx57Hz9SVfwUxVHxRQ9TeVsVyN9iyPRx0CGV60A7rjSt
2QhmIt0YVZTuI3PMcBq2xJvarNjziuzbWKlkNhVIDLQ0DSRrrb/HA8uwSQOrV7JW1XtN2+tYFj8Z
rd4gCJH39uuFnsB42QlR9lmOVHQ89VG9k0sYq0GPpcnrMdzrdbXCY5srDDARlK8Js+CcQ2eS5ymR
yER0GjPSbGuG135hjOhzW51451eGiMpBfWsNfnulNfF101aVPejiB6lMlY+SNBwhxMfXRivh6J54
iAPhk3or1sp1FPTGFYow4jaAJ7fygJ69il4/L09acqIEuyTpZ0ftiF+t33M9/hkw1YUYOHonezel
UjT0wXrqah2H+yi7i8v25+XrZvbM/bNtmoT9wn0JI+90yeiJi3KoikByFzSWM1m7B5sRU79tpTTJ
Bz4ym0mMupUj+RVDfrpSqVorIGVBs5GknZcXaxdXxyD1pmZR76m+YYBs7r08oE5lBc0m00vxpkyT
YqcOlh03yrDzVD08BhiaoMtebJWkSq4jLRh3faUcpvfIY3XEWq1cuY0XAom/sAnTm3zKpJyOT51W
Xo0eS7b1Yek/d5TxPB+DCrnRP4bKJBCv+e+jPoGzLFAH7xQUZEuhdZq2CAccxzJtKydavY+D8RkK
bnSL0Ehy30TY41SuWz+KYz9uen8NFbwwq2T4QdJxgZDPmh9FhWR6Og5hCeMkxnsvaMONHsS3VV1o
u1JO/MMYd+bu8ko6jxiAh/GWJObiuKa+MH2oNxmTBqJxODKEmwinRHzWvjRFg8Og3D9g7bsL4Jpv
EyOTNrprbs3Yi3ZqkFy76JFsgI0PqDTE72oxhNzoPZP3BmZb+7sxcZ+UyKs3dSE4jRtsyxDcaOT6
4kbQtJV9iILb2RPtVTcAFQnyE5wexmw74DeAvWnpm5tQJW4cTPWh7MnJmIGwbzD4tQXTd7cI8JOQ
D+TbVoh2gyqE71u4yF61w0Rc3tWqLSoJ9SEE/XeTTfpmxDvBJi9m7orBvfF9eDkkOcZ9kMbv8loJ
t2Qkix2olHQveeXDiFfzRgO5rWSSdUtcfdVCmdxXqvCi5bs2xSVJ0AV1O2bRMbLq9ymZ2vfo6TOM
srkpTa3d4TofCteRFGhXles3G3yDa1uO3Xo7tp8Q7rSLlPp6o8l4q4uV73BxbBQhvEvcoDpKCO8D
QrZbnAjsoLXwv81HZftq7qfiAx5jEkoCDuMHCJxK7r9UubLPqk7apMTcO2TjC7sWmp96R1RihOl9
jD9DZQ22ZQnHLhdu0uKj6VbV4wNPOXw4uzy12fX1tqtifWd60k7sx+RKkdNhY/Iy38XWN0/sgw3h
hr5rqbdf4xZ78NVO2VGzijY4SjyRThXsqmb1hYad4Lt6FdNsGXn9EQjrux4G2iMmobcd9ZQHww2N
raco1Q5G+WdFxF2uwTvSjkphj00xoNrgXRYa8jbAZnkjudgBCqoQoJ2YX7dZ0m/D5qHSu2abS2q+
iUu3cdxUwmuCHLKN7Tsk5jxvuAITXo04BwtW/xnD02ds6dtNlzTuTkixfRtwqVSMb3jBoocfy3Yf
aeluaMdr00+xiOk1ZV9d45RUHGVZuOvjSN56bb+BvetucDqTcZFAHKbrb9w66++9/+HoPJYjR5Ig
+kUwgxZXiFIsNmWTbF5gbLIHMiEykVBfv6/2sGNrYzM9ZBWQGeHh4c9qt/uwtxJ2K/6qzq5SwwJx
07ZBHICX1xAiBN0ddGzERV0bUJO7r4kd2Xgz9jwdxI1rlpdngC4PmnyVOGyozKkJEVsoa2IlVXgZ
9HmXpntoGKXEe1neVRVkikB+sPewHkDD/2jYow/rMBGWKYbmyPOv0zqE0aztiyysi86ZlJWR8y9q
w2exoQ+3TXen78IJRvjSbE8QvK37IuIPmLr1yZ68Pi7mEeC6F3trvlx285/vbV1aAQtO2qbE7Ae1
Mxat+z4WnRdLjabodlFi8+ydF89LiCJY13ZKIagwT90F8FbHuzWr6uRVVQJSxQc4QSsvuuG7gOUZ
R7zJsQ3cI4EPTjyTGTUHi08b4KiTTLoAla75Y6pWR8m2GtC81+5bbOMpKmpCuCxhHz0N6djmLSdf
yDwYe7PHBHPvR0agLixIVSWjbLA8T2I5VfqJrPg7pThPos0Smc48BmGnUU3HEWLCcQiaF01ycVaW
wknbs2D/kLpq8I96FWfZrARU2+F8qla/T81h6QEfO1UGtR4gqZ77RLk97vrlRwQ1vPa4qMs+s2j+
420PsrnhSVvt8q3VORlAfg943vPEhcN+S1vTgz9eD25cLwr+DpQ96VtFvEXmi9OZHgWKYSW7Zfep
KFuLPPXltXS/8ykaY+n/oBVaCVOQ15ETKWm9sIRJ0vinsMljo7LyZG75ZvJevjQcMCBwA/Mc7n9M
a/UPTt399fnV7MEtGOa6ayomO6llviUhxLqMYvO17LbyrgFd6leWyTOKEyvfzk5f5tfaGA/AUDq2
rJ3tsJgKipZbDxmTnZGE7bwkOmD6iVAgBiGKVHVhF/vdo4yai67aV7s/w2T7Ixx2Jbs56HnMjDjs
TDOVhgHOfiCM2G3TmpaXFMRlTCu5qWRy27e8meK6HJwPCZ2HF82j3Ziv5PtUp76fvqfbScF0nx3C
CfI1KFxjXZqUxsLLqm342gaS3qph0Vd38j89pcWhXPbPsvwPcuiYNA2Y5FH5gg9yrh4h7T0KCdx+
NEdSgqLaiCHN/Qmj8RT2g/voD3pMajbrDhAit6ss7fNg7/WF5n6NJ1jg3AvVs7LMa96FUeZL72Oq
t+CB75dzcF/TtUSWDLzmw1w661AvLAEo/2lo+zZ1yio6kAYay7VyYh2GFQYC8323tyC2rZbuYd7h
jRvg5dpng3C8Y12it+xG82JOck5Cs/0UVbcdQuTMsXwoX6lG/4kgVE+r8q5TLk/Kq6xDMI92ZusW
HKvceZzaqYwL0Yukh9oFfZ5etFojoMB9YKc+qxhxsbqgYSf8qspt32fvic2Mo/BMtvBb97yUgQLS
rXk3BhW7UQn4rwmp3LzmZe0hHgdjhTcsb+xM6OK7dEhgNGahj33w6RkdwZdqRiW8Ck1eRWnb8qJ6
Lwcf92B6LNz6jY0q2P640eA8oe8hKmJa2rbqC5fPFI+ahVyr62NPm96fsnDi0bGrc2Tpq65reXC8
4hdX5VnmbjxMbpF4S/FRWrJO296Bw+GWDyzR3At/8a6YXL9oV7xU60am47pcWqn8q/LMXxxT4hmY
D8UqP5ccOjixcJqE8V6G+SvNNpsqecU/RlRv5KRTE7mnZrVODQDlRBLvOTWLATp+9eOhoubtZxeL
91CdUQzvrdYTBz/oCCAy/Gujc9w3Eg1174OjU5jfnRQBzMgKabGcYlEFIH36+n3aRiORIX+fs+LL
6s0HRm9rVs7qRp6Jd9l9de42nyeSN5MW5m1sYfEcprTuhqxRCj67peVBCCvM3L2qQRJCf2eD6KEo
+5LHfLOP7mgw8fTt7+2WHLCskZ1giAtONlIxL7L92xPzfHJ5la5V20N7vT2j7M2cet1/2cZ/7TSH
iQCsAZKYnKrFaMN0la1C+2XNwqzvdyvnXp2mxF33Mo5uP2WrPfFk6DJznOtQ2c4fbrw26+aaMmKc
0yWoeRd8mhhKwXTqhRHrjn8XpS8DnHUpGF8e6D6Cu9cFKvhfOfcvHd0MSGgdMuAIUJnHsciKC9uU
H51jvRBgv8RY1YqCsKmk2J2TnP2zZ9f/Ktc+4RT/KtTv1fTwwTunDepXqrbQSkXkZqItwsTj1I5t
77HCpTWVEppMA9OeAArG3QXHvNnc4Q4xk7mG2MnOpFcE+TNm2S12a8ig7IyOQImoQqLy0R6b167m
+R+tbs46bzlOKoxiTU0SlU0PZ8feTrZ02Ym22EGHQJo6tTgVxfjQtaaMtzC/Uqd91otwMl8N96S3
/JmlttCW2nMhxxvRktpUegXp9nynaloOZuVTd04kpe7v2t1Oy+ATIbpO/2l3/xvVpLIoqk3vlmu2
fOWiYY7bLE22ulPGNeZn2lkeO8Nwr8ZQZusQPNxs27xp5YvU5ikc2sSvzTwV3mCQvBM577giXu3N
iBvwm3eD4xPQys7Ismdg4/6IqKS66hzA9Ut976z2UZiBvg9U/se7vRKtbf3iMO2OTWXs8eAVNn3R
9AglrciU9J+7qAifm7D/DVN+PHfUHRB5Hpd6D1PthamUYXdnDljIiYWUFNrLUIGCDIysb5zt2bKR
KrbKXNKtfxShis61zcLR7nr5BaeLEfXksFsO3lNnejHWLlGVoU5F69mM1oC4OLXxp2lW8wFeuq+F
SZW5t1efTcS44TARqJBJbYr/NP36Ckqcl/fUj79q1c5p6c1bTAvdv1gkFfTTcJCPiL52PFVGkW3W
dFj432pK4M3G/rq47t/VMh6ceoh9S96Nkz7nzhgmahHUdxzzlpr+K8bEh9MO8Bnm568O42wsqQdt
7R5bKeLeNq+NtZzoSh7dEPbA+OoRxR2DwItbVZGYmxMBsd0twvpEE7tVaF8gkXXcvDlz8ESue2bN
3dm2kXP0NFDBO8Yzpu97x2eaYco23fwB/J21/xpwVhyjbp5jt2nOeec/UelUTyN1lTY766JywHx+
2pBqB5bOVHFbaAqOJb/MTrTfzcK6dFFNvxYR2LN6OMZK9Snr0eE52oJD4/QJUvjr4l1ar3Uyp/VF
6qjaeFXdcpcrj6cqD28Ivt2Jbz9p3+/FOeKdBjOfLroxk9DL+Xnz/r2S+cHf7OfStq5dfTS76rEF
ThQPTNf6yfwpe1LUlFWkTRg2iWvtxamzrFSj2HFH/2HY6iaN7vN49srfy5yCAh5iF2NqqsegTwz3
n9l4f01zxQlh5g62C4ddamONc7aN6HwwwhFFfRt+PxHXciWXAOCNCzBKde9tk//mzWhjdoX+VEH4
19Ve2tj2h8snK6jESmGopMmhHRf5r8WYqsysHhWlP/p3fyo7tpl8Ut2Ld3rLTY6fet/+VMPwNLFD
Hmsp03Byx0sTFjDsey7TRoh4r/Y3UGDvWHvuxyGwifCX2CpGr8hc58IKunW/5cEY7651Jg2FVlY3
iTDpiTtLKW7Lh6oKuPxaENP+UMkjXkILp/jQxsIG+ta35sWwcxC8loVaYbwpJjHeodplcdYz/JbO
vfTWAsWRzJzYtMv/uirfUqPf3zY7muNQ1Ee4zM8D3LXNKkQclsNV0N1duHMPrq3sX3bX0KEbhZ92
FH3kxCTmHEXohO3XqIw/1p7XZEG4/2rDyYTDs8M5l/fuexOV34HB58p9/WsLRgpfIFGIjLQeOa2A
0YCxX6ECacNAAY0qlsZfwKOTutr6L6AUzlqIPvFLs4i1w1cTFNWamO0wJN1OoSOUCZCvet7U9FXN
91zd/rz0iZvnxXno10+7tpCB6npMyj66dNK4NrJLd6P8NAwxnkrbr7PZyQ0avkkz+JHn3vWfR4Ai
3E4ZoWc3a05G18mH1yynoLjLS8VQrigP/TYFyc6WbNJ21XPYICgVdvCyMVM++fCVky1oOSVV1YBL
HmKxNVUMu7p8d11ZHsXYFoebFJP5+S1TvN3vQ+0Oybg1RsqpCVoI3YY/P4Y/DMMZM1hasgsS9/n8
1Pj2crKJyUmWruoo/GBTqRAixObR07Yd65FDftPMjfnRnU+lV5rpKqr9Lj9XgasuzpwzKpnx83A9
ljC5E8Oez2p2LwbyMvPi6hPP8r9cUi25ufmgF5fHtHyXq6SKU/4QMyEZYuh2LGS0wb++GTPjeUfV
PQ65XccjqoYmay3GgU2+SzjHU8RWdbgEfby2+qnp50vZk/JLkNkt4yxtvK2nVLLaO3MkTLoZeIwM
qCEghp38pPf+v9aS66X0/bQIaRc2VQbZWrp/3JopMNva8djmbyMSfBJobpql6eu4bO9diwfFL9wu
pYY7TTjgYz23+hB2U3DJN3UIxBKdHXKqGq2+18VJ6qH26SKshc/d9o9jpR7dfL1lwVmHnC8nrgz7
vWoW82gMtZPqhcRN/yeUY8vGk1timHIMuo16OkthHDYjKK+MFD+MlcRZkoCGNPSK53B0w1f2ZtLc
Y6gm5N8NO1vcVX2d5HUlMqW6NJoDLrd1pZ2RdgXv9DzeNKRuWu5LIdAzQrZFPFSWRYY0qPO1rerD
7BrPqjPTkZP90i4uusSt7YzkT1Qg9ukg/3SckmwBtvrn1v/pFJ6FpePX0nXxNNbFW7uGVUIOEIfZ
LVtAAPfO1Ko/DZC3WE3Pm78d99XgGMjfwFHea1Krwjm4Y5b1l5qmSKBGvQ3deDeJlm9H8xU65Xto
MZnEtnZdPhko0/56oAlLo88G2ZRx6VuKInuwE1KvEtinXaqC8EzQ/V80g3MxdegogVhTfCZcojDV
KT6MJpNjmCeOxweSL/pQeUwIWh1S73Eogmqv47xHJsfzQKPHqhDVKXaatvmtdpE5DZ2wN3Tnbbz1
DiwwpXY1HCxhBEm17JfV91SyLxYaL7nth5GeA2PjkQWrKClXoB6lO1D45nsYWzIVDupf6xniZG6O
jAcq0jk3GWAUPPuNJ8d01yspA0YWdNZLG1nFpbL9jumplgnGTKaa8/62BOV/k+++o48cJ8/+jGyQ
npjLp9iZeX1my0gYjkbcJ+KnLeZj6CPcBcu2JMtYkge5IIfaJQYu9x9n6oiUyJeGW8d+gDdNE2FG
8CxsWp7xTS/9U9cxr+XxwLFZx2LXLoWj92xX/Cbg/M5gFo9j6T5XXf7P2JY+lm0XgNplb90gFr60
p0u3sejXFlQ5JrpF64g2lmLFVyKDIisn1K7b9zFCgjdU4Gfrqp8XayyPkTW+OkbVXWj1irt5azM5
eDc1fcqTzdV3c9XVGObtJrFaBwmiMh789b6yA0SkVoiszqts0R0E68nYM2+jgFm2ACC5w4M5Lerc
G8iTixJTLJF5jOh57fZ03PpnIwyG81r9kV1ZXotOZT4BcvYqcg6IpeQk2S6iMd6j5t0fX/WG26nd
3Scy3xFZzHjvvf4slvUdg08HdXXrz/1opHJ1iFVp+TuF/KCnrBNA0WzejfL3KJ24Ijgtbsrpfs+N
vw7WVxKa62yfzCUx2dOLayDGcVUE8tCt/akNSMNS5QlNfKQfn35DBrsj94Bl3n4WHAvzIegaDjzb
RD8Z7SSa31nUNS+yRi0s+nQIUP5qbZ7FFNFURvmxNf2Bixc/Q5jX94xjmqQveafawP41DdO7I8sf
24N57zuGx9Ph+Oeq9VJvXaqrs2k+lfKXIdRLn/uJEeFvqvffjtffk5PE1587+6+9V2NS9Gt5WFjU
DZX7SwXWmjkCRHa9+FFMwrhimDZ841ktT2HcHILcw1lChn68EZ0+NqlnEjTfkoN71Sulnomu2xGG
glTHsKBj0bA1d3W0Zn317T+rO5pgZ/Yp7viCWNDdH6bupkhGxvdErUDumGJm04ex0O2SkIhDwTR2
UdxGLXfxOH+Y93mbc/EWjFFEgypgRjwqw6oTapk7QzYP004qULlwENGUM+CPiF2tXTOmLX1m9fzW
JbQZpwutt2Bjxa2YjTZkU5lUCnFZtiz0ufNvtCzIBNLbjqZpBfG8i2+j5D81dtOT4TJ+6+2BTkK0
KvYb10yMB15F6qQNeZ3nN1ym8Oj7NdvmyoqS6u8m9p+ebyAZrW2LxxCltnKrKHa99Wzvy7Ff9tcA
CmJcztPZzW28zzNPhV3kLITaNS0cfcE05WzXmF923pFpGFk5r1N9h4xJjdRxAQ9WnRpbxzSCjZx4
HebnYtgO5mL1J/yyYUZa4YACa0lGUAuvrGqPTYuaGCx7e6z9qSTwiXYsDNQ9sgU5nuby14hUcWSh
9eLYPFNb4I4AjF0jY7/lh8aK09p17iVb/cc6Wn8YU4sXyCNpUXJXqaHmCnA5mmTj2W8+qu9sJ8vU
TknR5GuGmhueMXs/63Hin2nbi4z8F28iqjwcUBKAm90R5fATLfL3HIbeubKNC87AGC1NMFX654cB
smQPXoi6uMzflKx/lGF8OtuioJHk/cFXd9sa6GPBr8EHievJnbz9UIbYYbjnRo5mWu+hQ/jrPWJE
c9Iyk2KjhBsONXzIlOz05tCbLRM1V9xZO35je/UzDCBf3UiXYBf36y2HatFVkle9++psOe/vJn5p
CxtQOCRc6M8+vUiCs72Zp9e9ng/Au6MLpxq7guV/xVI+t+Ntht7RBoa5bTHxUP+kQVBaXoyHxXB+
VyPw6t28Dh1fUGuP0HOwQeXl/tNuvwIpRp50zdUnYAUWpsgKf3jnRaIeaP8Vt4ZttUfqgoKLr8R2
mFrhzZNzaL1hSuaAkYUEDZ1a0v09rZoqs+NE4qqe5vy+i7p/7EpPSa59uOTBkWjdmxjq3O+6eRwc
ORyc0jh2OxsqVo3oKB3kvqn3rsMKxU0W0dWd2Uiz2J6Pu/V9nkYGiBMYPlvjDxO8Komj1cGcg0xu
009rDG8iJ7iYuN1Xfy0uzoNpn9foJxgHfo/8FWnnhYF/f8gX6znX7ofOOZkHPgPUxsvGc+vxfdWb
Y8Z1Z9rJtji/zPUzCHqHwGzDjZcoT6GQR63HT75+dQyKLUnCYWSYqKvTsbK2b3eb6IfR7ofQfZts
75ed7/4tQvWc8zYkNRulSVOf1qAurpUUKt5uparc+ZD9iQNDqAc2Jf8LHQ6p3rBUmi/Ts+dkrdHl
zEPm90nyfvsYY5ayfC1DzcvBX5POmsJ03yxEmpCWKahVUu2cimJtmpSzJUoZlcqkF2yKR8rMVh+p
MywfIn/0Er7VmqkEqSRua8Smp1xycsOXwZcILdGSlYHUSW218AnzMYrnMjDTpXCezW2yrwv32VBy
X45LZ2aeUO/50Vblp7KMBdzgRP3XzMuhrkAOqly8jKuzpy5yV7LQ61lrkye+N7w5TSCSyBdcAb0x
xKMRLHHz15YRRdHAYWMQPZm0ej3SKm5xNYrxPNYM83E+8Xz6+uBFq8WOM09qW8rHzlZdNjlmnkhf
vKO4ukc7KBBHvaDJLBrwJO9/WjRjYCtoOyz7FrE9DId9Yshi6JjELXmoex69yZgfAt8I0i1AvBSY
nmkbTB7/zv4KKOlSV0gu3IhyhcNtRAyZP7yFM5/UNy81jfoH9K6VeMOyxGoQd2hBlIoS1E5Ac7wX
TEsZy539yb4bBHOqdqr4UZY5mQs93t22lhg3NgWz6rDMrNGcE1LtCeIMvzfVnnFy93FX0wrpOr1F
twJgnjKvzeuYXfYpmRasF233yDR6TELhMX1S7n9kINtZS2xwov0T6MSzXheZyRLVqk43RTur6Wlj
+yKWpSMcn2zgfGkZYhAy6RpBPPSKAY7aDuQnXYpcol1sZbq19SW0ELMCp3ngOEgbMjSB9O6Cz46n
UmENCIBoIQWcahcduIiO0jPeXTV9e6jNiATRzojT+ChoS0QYvmkjfwi7XOOBMollU32GDZKKCpZV
NhKtl7SDZl4U4Xbog+lact1WxtCf6Cvvqs79hZgIfYkKP+Ez3f2hBrCpv1emyR0a1rL9WBOniLRp
HNbVY+BGaysd5zbLvreJWI0XsxXJuI8f/a7f8tq5C2X1H5GR78G2ocXZ/ZvPLtB57BsrMcYuXVZL
pOPuvSy57JOgzOnaqiAZ+/JszkYUM42kRgnOGLfvV9frEts3L7x0VTLNNa9L36pDUat3JOgnR9oP
t3Dm2FzecrdY05zDODElPsJxpU4QeZQhg0bHUC1MCftv36svGAJ41YPgWuPuQXjajjqcXkiZo3Ti
Ft/nJsoQPv58maGRbHR9RKKBxDCHGS+/Wb9Wff60+eNXJTvqyrybY589DtxHGreeaz8xuvNjTP70
Td268v8aNy3L/cPbBK1SH37PHc24V8znlYD8cZ5Sz1LvUuWkllfuB+nqbWaTq5PmY/4w5nZa00YX
1lPbyjCdacRrq6c9nE/UxQTjvedKDJew/0/S+yf7+GqKHetg3f025xFDX+hdWR58tSLjA5vcZZjt
KCbiukw7hcA+rz7lp1iftl7d29KEcqmR6uZ2vRc8MvP4ShSzjpnx4p1vWFbg40x65PTGfULk8i8k
gFTxVqgiDmdJKN8GupcsiibU/8h4w8pQR892jWrmtOJs6bnBZjEd94I3fDHES23Lf2FRmCkTgkyy
31p2iA5KmbA6Gh63HrkXvxtp3b48FqvnI0jWXNH2Hkf7/hRsM08t+VqZvXx5jS0y0+jvrNZScdRQ
n/Zb/advpqc57/tU8V0djNw9LX3YJmr7f2tTpE6fk+iNxho40r2N4jANbPLFMp9hzn56nTxNqvut
RJPSdTgcx/ndhnOaXVg+v7Ci9pA9qs5tJhVrK4jObNO/BcwEkIrEykW5cBzSDqxYFuM6nM/swVSv
vWkeTbFhg+yecsXIybLGL39ASOw7DGqeJxOvcmTW9dYWL/b+bZc/M6OOU8OYsxBuUurhpfbnbKix
eQgagZwOwLCeZR6carReKg2fsm9lXBia15k2z9u4NbRRkQ5uzzGqAtdCUyEObu3jrp6GlQ7ID+69
Tjzig8PVc2NeAQWiBziWOjhGpTlmevJPu8msZKPg6vLqox7IRrTRrSK3RX8LAiBuRJ6Nwae26M+k
tX95wUHk8hti0xoPFgRV1WxX7DFrStdZJFaNnt0a2+9CEpncMDgc5+iqc2LYl5vn1TXEr2YN7pyi
f4FGMKYRokM85c29h1xycv3qQiw77cLgtIeeqW3tDJihgOc4/Gj9PE+JanD28N8buuLOnYtj46Kv
eWp8mytfskfKdWYmzc4F4QV1PBdzcFHDT+VuKeBcpojKe6MqLLMuMLek3Lzzqkm7VIMZYqfjZ26s
MiYcQMQWJ01azTNODiWPDTb+Q5/LJ99dzRhF+mBgw+dDflC9RJrVqHaq/9omiApFyznW1uVv7c/G
hTu4SSXLMRZC2ozyLZVw7jeD98xDGRnaEF9/+GpX4JatZ2uBslH2RL+5NvJnvzpHpsf/yjKvE8Nf
PiYw3vxWbaboJw9+V389CxFSqgXO80AcvZ87EmVMfRAw9XtfamwQb/hLexHRRMzs2xgHE/RM1quu
y/RAO6zzq52jmTlMj2Tontpoo8ZxjKQaVRCX4eZnVWTScepP4QwdbhYKlHGa/hYLdiRsYTyuP8GM
JMTSoftrp92pVH31icCgEDe5vyYvK9vqranNryJqROwZ1r+lAbfhLfZKsF7x32QMO7svGOLcqOMQ
4zqtty0/BGv/sVn1P1Pjigkml7CVDo9iK/9D6/FncBNmfWlW6j/gqbzHpn/oQ0wKe9QhsDD9jE3d
/dFB9+Ra88Gf6yrTI+ODpuV19Nw8m63fexim/ujoO39oj96Mo8IqIsY1NhY8Tadui6Vlg8L+Z7Jz
/tHsib9lKncVwqn7Um2cP1VfpLOn33TdfowN5QNzg9eh2Q08SDikV9bg0GNQbCkvSj8ojl79xwm2
9sAu6mewYikBSxmjMbyZ4cDQh8M7tQOOzRvRVNVdn3SeJfkzkBV6JvEUW22TDHZ7kk717XWP/3rc
m7oex3TysMJpp36fnXZ71BB35vUun6z1thdfp3M0vgOGBGSYd21q+BC/O4wEtnBu9iMnHWijbq/I
f0M1fFgNS1N7rR+LGZU+aPZjM84v67hYKVS7OcVHpOLOUHyP6slch8MmbgeY0bRpeIOkRiDLfQw9
ZxU6R7NSnJBYyVKb1d5oN+/MNriG/DD3ayXstKiDP9oh8EoP28UMvaO1/kBc9+5wGf0dd1cTltGP
qbk7vwrhhNkyB2FsKOr6WYpne5NUf9s38QQOmjpf3IwouYYOtfU8HQJq+GQtb9i/IZdp70eQbLTR
Mohc/1plfpt4bF+L6fvJjr0yQVY7cG9uCQlc/Yl1l8yo1fy4zU+9SXqikwd5zBbGtzWNb2b7t/JX
lUCZ0Jx4GxaGZUK/YS4lejx2NZaB3sI6pfe4uk3wEOKqOyvIycHFNxT3o3PcPL7U2gPHygDdzyJn
OBeR/dewpuaizHB/7PzOfJyd8qm3rDfykcvr1i7dy+rtr1p4LSMw08W1uVxgXhhnK2I3oVzqByvy
FEowDh0iBaJECHUZJYrtmjsPulxeGrM+Ot1u/DHL6alvy+Pu7UPq7A2TLradcq8cf8EjvlY29/fs
RX/C3C9Z+Buw5dHUHKRFpSfHEmXcOYjR02cb/QldF2exF6CRhp5mMgVkojC7Dglc+A8r0TFxZT1Z
BtooPJeCQfuo3nq+WNYO1XWvt1/4lZsn1RcHBtZ35L+5d2UEAbAya+rX/d0YkczMEob3tGHRyn10
2Xzd/wWU5WttvJQEF8xTSb0eouqGlXMxvRpTTxDcd/tiJH2FBaPxvOcbxCnpMTtvGjV/3gp53gM1
YJrbRYJw43N5zwhV7vqwBttnq6371WZhUdf7u1qi8Royyk+Woj5Plf1XBns6yNw++aFx148orE7d
OgkrTF+eyZpcgLEtGZfiWSMKS2PJePCxA3bXce+rhAO0vHObb+CtzFuC9oGYRpczuDZjSrEplQi+
9iPOzzxDIDzvTlMm8mGlJL5YYTVdvGGeE8bOD6wa3DTXyklrD43T4zesOUmX/MEyanzgYzihg5Rp
v7f6vlune5ze+F1cEXdBdOzLrcdw37HK555UM9+TTNY86H08eUvwNOmBqq9xmosp5cGa9gdpSPOu
2mBpBijy1JX5RQzQYPKKufowZg6yF4KCzyHhieilzj/XrZku4iSkPJtV8TpO0bPDlUSmFViQkLGH
1Ptp3AvcApv32DnibrCnM/k66VZvD6E7H/KcbEZ28sZzZKCbTY33LhD/48bv8dwZ/+PqvJYjVbZo
+0VE4M1rGcobefNCSN0tPCQmSeDr70A74p4b9+FUqCTtPqUqyFy55phzFfm+CRbZgb2v9OW2FKn1
YhDkslJelfzkDLVy5Ttty3JVYHA+qZFSbVDljwrSmJFGGCdNuBNi8TWSsfvm3o6NuSfTJKw8aNJU
LYODKa2YIMOJL6FHKzSCTqUCTA6c6M84z0c5lcm9Tsac2yJx93Laebyz//zWePRbe5VGc/fIUK/u
UVr9kh5vWsffpxZ7/HosQcWdqNZOZqwDe9cxH3WOO1SUkX63Pbe7CD3ZqU4Yd7k8/Pd9y7sLT06n
1vKx5dgDs8wDIc9Zne3jua5oDY/Jk9MEyVPQM06GyPR013ies6eCSowVs27rq6g5+hgJ8QjO8pRQ
pDjUBrp/LECaya3GvFw/yC+s29b196H3aBb5dkzbGyHoLORLpSLK3jjpbmOajrCClniEQRe2wisx
ko2vRf78ihXtqzar6Pr7rADeG6IyflC9vu4XW0weqRsbuH1N6ZU8+0rkrNuSxMflh6kdV4fMuZiV
HVDUts4TwxrqJ2kjWPAkFmzNZZNf84yAJ3ylj5YVGY+6KE527NRX3UiKQ0Sq3zphuOSugs8AVnXG
e/tUtqihipne5CJSWU9J9UEb/Jk4O28jRRSEUkO3RG1N1ibL/4F9n/b2r8sdXC0LZ2dKV1UjxlO3
aJq/D7maUDcb4RyyjjljiyNTV3Z7ZpZ9e/59+vtQSvuie4Q2cSHRG8yqtVs6wZERCjTMfs1jTaMh
Q3vRH6Gm9sH8cF0nf5BR0D6QyhMwYRLbl/kxmfpt7mmlwvO/j8LWWK8auYwPTt9TncrR74mtp2t1
n6gct/zdXeg6qjg5FnqhlYhvRUjRtcHZ8dIZ7bdcnnnTHGxGNxjW9qw4NXvJa4mucBpqPwIn990H
eO3lJ78PTdfZp6KQb9C5f3UotudJ0qQxSGB6bYq02vRIf/dCqG7ndvpLFM/FevDB7XAX1aFNU2Bp
WrwySAHGDBPdehyHZlqR9jzPwa2ioXCje2Df7Jtn1MENs1y/5RBU0cvQrRPuLuvEbErrNLryr59Y
tJAdGhee2TynU1JfDa+tr53M1lUgg1PZHkh9hM6ckiQkuKl7/H3o8vpYjYIetV70j2MX4erx020Z
9Q4eLo0hZUyNaczpE5OgFlZ4Wf/7dk5950GMOZr+0BqFeU8nmlHBOFfrASJ6MwfcU/BZ/dpqbC4Y
jBhrjabji197jAfPnf5V5AnwAvPH2IrX0OPxuamI/wuio4+T7KDXTfGaiao9DBhnHrU5PWESJKK6
1BBUvFEcCleFTeBkj5oXeWEirRGJUFA9IpKyJ4DSwISqdZ50b4ZTBT/0aVuFgUnpJVuA4Q2npSxY
YR6aaRO56pY37j+aFfYmsLtupYyKWazLnUa95TzRPClsQz55WSlutRhD6mfjpIEDNavfL38frNzG
jD4VmB4YS74bozct8c0nTvnJizn62Lz16FbXRhWWvRoYH457WanWOjBfJ0nUX7sx45M/jHLrdX15
FHX/R9fRevKO6pCYAcs8T/K5DFy5eFQo5b2+Cc22no62crKzOfa70rPvHTvqPR9da8e/1+1tqeQT
ZOBKS8ywsIP48vuQT1Xy31dVrf7WOrYDtzMysr+b9BtvFlwpa+tjaWXGcejHjuLciu8FHUTU8S8F
P/NXDyqWUto6Ty5Y4s419GGHIzbb/67DpueXxxjX2KrVCzusMH9vtTS+xu3gPOL2jO8Q/P9G4JWr
SvpgGwdJqAHwnbyOFVoPBpfzhLejUi132sT5LR0HiNdaj3a/i4NaVoVZ8SEivYcGRI6j02DHndE+
eE7LAD+yq47EBcCXZu2rWTlATAEFfV2n6XukJ6SfJg0JQO6Qvnup/+EUdRk6ncnxTUzdKS5Fd7KW
rxKGXkZ4Au4xx320avHheUm/A7e3w8CDPewmUkRyHx1R9kqHV7TKx98Hy7PfNOjY0+8zfETcznGy
yVj6/vsFXAxMMdD+dBEz8kDQ5ZX4UtV73c2Oiu7mppq/j3L7n2gqcjHrP6VIJLJ1mr70ybhkIAyP
DE4bVyb/yUnDgr8hAmekOqAxpIRufes2ioJXGH+dGIC+SnMg9sYe73Yu5uswoczoQf3pJFO7CYpx
2DaZ/VOYQbFJBgTFtTNCd0R9QaXrte4aL1hyaUVEhx3RLuzY3+nlWlehD/qlWh7MnF7V6ve5raok
xKJn/fc0KGUVomu6QBlkpAyzSJC0q+I4OIvpyhOPmNIyGJwm2mkWp9uq9SF2ltSOESfGkwkIvfKt
APltMSUPzDM8/f7KIL3inLpQKlwOtftG7/St9s3uu/br59o4ZYgAF9eSyZNlN8be8rRiHXiRu7IA
jbazQ1fnd5WDmYCnaMNAwDGL5NHsmXbDhD53n7bBEtdg5SuvuxPgO51olCuCPTvVnf/7Uo1DmBuj
hScygT+TufFKAJixn5Nu3Bg1NbkRGdq2KmGKReEYr4Xms9KybuYWJVal57ug8x4RJjJcYGiHVUm7
tCPSnMY+0nHqZFvqPfdpok1zhf67BFFLeLKf2mtyPuXdIV1P6ewIQ68YxePU27zWkq2lf+hZK6/3
nhvj6rLnbHzRfme9qe20uRvXje/Lc6LwzBGaOiMQyYMXjK9W0FT7vMBgbZjFC0CIprR7pk3LZNFp
phUrof04cG6tCpt2wO13l9J41TqH/m6Pgj15EkSmS5pjiaSvDEriWpn/mGaPpEtM4QkaXj8VyB2d
YZfXQRtLUj2pTPKsPZgjvJ2ruSRXxTI9/z6YWnUaknTcZSwxiDtRF05D9m4ULbscLBzdW/r+1I/G
qRI01nW0Si2xtwXWpzVL078WZ81uVuktc3I2EMe5zRaZi76pncSg+6uuKCICYaHTTRJJHia/2lk6
c+VdNe4sV20z2ORL7tl8dKxzFnSukkb20ub9XoHFfxSxo9aa7sHhIfN6IyyiYizKFgu4YLBawDDi
UTh7fxbdtRmUQNaZ8udELa20wnCuFZnlK00b3ypaI9+Vbf73xfIdraYJmsZYNTD2GeEMA7iH7gqe
i2R8lNjPgNVhJftZFYSj4MzzBp+0u9I0X4gWVpcmj56A5MPpvXWEeBdpZZw6TtNrV4jpfbT1w4Bd
NIFCmjF1+urSZt6bjGkNcAoYL9S3425OW7nKmpygCGO5ifvCeRqNkR3SONpOpz3mnfdqYxvjBOk9
WW5a0rBBiyiNRtyx6X10Gb1P5hg8967Z30SPD46r8On3AbfKg2J4x4m8Jh++MAbI/v+Kx98K8vd7
IJMewMG/ZjDEA25O3IhpXv7JB39PJF4e9q3qQ4b5rYnGTV+ThSwODN5lNpHonPaGx6w1k9AJdzkA
DCwX11zvv02j5mNdIgt+H6IJnX0KxrU1WOo2Tq0bZjaHoGBqnDsTF8ttUJsnkj2TUzuRbxm7Wbuu
6OuhL5X9flqWLEOr5IX1z8HAcEz0/qzkwDkEHe2axIlxCWB0InJjPrO5Y6QnH8sWzaXbF101bVIA
9M/GMA4u+XcvZZfNh0qm35VTX8yMXVgfBuNm+hridUIDIyMDEA9swLzmGfmrMvVt4cppHfkpO6DX
MI92qSyFloy3jNADbjbF/7GkB+jCx98JeeivvuoiJoNSCZZgR4dep9VqyqnnIITJZ2oFJdgShpRz
/Q1GYu9LDXK2q/X60rdNfXGaJtTtZjr+PjNyeQz0Ir9MzRMtGu+eSTN60DztaQTeNtOA0WLGjJDo
ZMa9LZOY8QeSXObl6e/3goEtQzGNamVNS95WIRrjJIkDBhZUzZcwp2rH1EPIguWhdt36qHgFSeI3
566/aUlDcQeNcZpkb0A9OQYsqz+eAoEA25CdtfEjaR1ghrj2RTQSLiyn6o23Bz28nj7TbMl/LYrq
EA0KMdRFTFbu4g5zawcItveeM1edazp6nxx8THiKgd5KASpE8Fd8SfU8Uyu/T5KLRwJZ2an0o2px
V+hGBaypl7veUP6+Nd3uSegmd2wuzY0jAIS02i/PqbCPI547NEn/3M9u7q1oDyZh2o2YaSpV3uaO
eQCa8Wo1WLuLYfok6VVtY+FOh8QZ7QdXBC8ptlWSB+YAM7N0r29lEABNGA7C40wQ5oWe8XXqU+zq
0lXMd4u8fxCJVSit2DxhaHsHRALZKIYsBGLjuDqkNL+6WV9NdtQcOolVvPULnKyGZbph6VwDGc//
7MJB/R7j9Mq70iOPMwIQC+y98uz4YjRRFc6RUW1ruIwwcQvmmOIwoVUTzHT/efOtHrU+mCx5y1Gk
bt6QPdpKyq9aRFdjysWnYwxs5AyYfRztgsiRYprOVURrIvIdcxdPACxJL/RdTG5JWKtA3n6/Ip1n
uCXB/IwNTR3rhnan52ZkAizrXjeb6ly271Ga29eGFuDecYefOOPZby/g9/uD0p1dwhwYPExVgyYH
zqTX6NJcQyR9QPkwffV/P9IU8Z86kSk42z3zaAPi/SajaMsK8/uVlVrDjiSG107E0+l/D/Mg/t+n
Xe5wiJSk9/z3Kyl0lAiabvW/l/b7St1FJkkSYJvfH8iUYtAwpuykmujU1PPwaVisUzkGK8SePN3F
7pycSFScztJtkfhx80BATQ9zEY0P5dxs6kYmt6gfRLqev+qmbx5ik5+PlsNbqZXr3190EuVwBZvk
uHhmfvQJoVtbyb1BqD/Xy0NKqDzGxf/7vIQADNzipmGG/zJ8D+9C03YPfUB3cxw6AZkLgTUn85Y4
vr+6YT8nKfbbgW00TE11YLDRB5wMZn0bNoWMVG+d2VjjrSzkcmaVDpx81ZhpGtI8OGiu9ZSND04c
P0gzGZ47jfB+JIq+jaAEmzBmQ7uQ0/yO3K7tknHbC8++BG4W7wg18te2uZHI1Wth59q+LEbjeTIH
fG8IyE1pQ8aNhRsq5gVyvllKsYxjWV7NB0Pxzvt2/amqkdwozh37uO8Byt3WWI1x/11HhXqsMukw
+KE46Gbhb9elBlANuZPi49HkSa+pFgMfGFpP54ikbRGdg5FRrcDkJP/xDJBqj+H2NfJATcgPcTYq
pXBVShzzNr6LDqu4MBJtY9L3Sxo5nwTGulJPQ9kAVeojKQytl3RbW/i3xp1Ju2GQduDNb76DHOhY
6INZy2yV+sfSEbTtgpkHTh+/irIwWPPHzdRLGEqvzzdWPDYI/+3IkcINe2bNYMDxrA0RSuueftwa
46u5LmBx2pDqBhQ9wVuuIWhnxbFIUmZTLGaupKrv0ihPSUeXsjTLbivMZl/F+bcnu3uJS1rLglts
NW+Mr54f9K689MFw8Z3GWw8uPSu2MPwQWn1oaD4QJACrJKNVO+HYB0sfoLZ09SIXCcXuwIBM6qhN
VyhxzmbniHo6r2IAweWwvtabST1zcLzHJOst3TM66rp6smt0lNZIMfNogd7vR6qPeDw7jGhZYUH1
T+nMjuVotNLaot/OrQ3eJwvrkqdvbV2+NrNPX0KHTmt0Z9ul+rly4/ixaRB2K9Qb2kkn+tA3GeEX
qA2fzP2S7RyXDOmOjJ9i6V6uTmsVJf2widy+3HOK0bdNbfxrnJ3LyND12PXWuS6rw9xUSNrkXW09
Xdw7xkfNWtxfoq79U3fpl4a9cS1jVe2dxLE5gMc+wPKYrrvW/R6zFLPC0LbbYVIt/rPM3ORpCAHc
cLAp/zBz5yRFCtEPFwkNGWFrSMACypyrcTb9ve//uMP0jw2eloHp/BNfTem/j3TJ8ELRe28n91Lo
Kt3kERgV5ld2I3vGrNVkHIldXqX+EcekZ+AUuEsEE9j58pPozwnCU21HY6bIj9txDVAUHQBWtloj
/zZSFw+Ip/yD03SC/FhTJvmYARp0ombujssVVGnZUWta7yAL6M1qcE4ttz+0bewQt6CmcljVfoJ3
WyKXGA1JmrkxwYwDhSxO5RdfmQ9jrle7KW0+hmrK1pZB6IjdR3IDo1tvIhlWpu9fyU5Ee5Quni4z
CE2h/wl6WhpIw5yvVEGqZj7ssd6X4RznW9ka14QPcquVSbb2CRXBbUGegnS6r7whjhCMHeZlfmvN
eteVi/fxdaicYg9nGAAZCXsbyOrJUU53KLP4mg8NiSqDGDedjUTu5UiB9FM3orBZF4cnw4ystabc
TR2N73YvT8FQ7lRbH4auZPvvSwMGZGhXY4YxNYIhyALoL91XE3kEmvYQH+w+KXeplrHoDuNMWFry
E2GXOoJMVRvZYRj2mXgwJLp1yHXwDg5tWxp0VhgrJjzIHltvYT0n46yhj7qhWbcQNIkpt+44YH7V
OeSnTihsRnQN2s4dS5S6nklF6RjdmT8RLa4fB+wNxYTT6nXyn5lUMV2fSNrAsR50OP+C10kxdyau
8Hr5yl27gfwMdI5nXXCyXbvfxx0G4BoNnDubTTzVejhRdy2KeD4acXIoFGiBYZA7MXqUH2Nb6QQG
JBBKE4Q3U05OfqS+gGZy6F37QVhiHas4QGvqcSGYaHa4SqJV1Pu3otXSbVF2nFyxBUjwq2k0waSs
JtsXplXgPGNBhPICAMS3nIENsIyxYlBdMulzU5RcEExWiblJJvwDU9yf+t65TIS4Xkw5hNlkbGNT
vg6BRT9Q46+1BTERTX2NcmVvDGYkh2ZlVuQ7pTgel5b+UKMNFZ2F01uh5LpFzwkZ4W7NcoHHg3oC
thKvnIRQcuP8mAyiOSPevffTcJqqSAu1Xnz5aDFNxVq37ImbnBa3htsUHbuNQfwUh+ePMs8e8gQf
mpx9jZrgu7ddBBzh1xtPyO9IQV4z5eaEar6bVPdk+enR1uJyMzh2E079EacpROlE55mMkOAUtPI5
L733ekqIEh2eRdckoC4OJFHhIRP14sGfZ3M7a6hRQyl+iqjYZpkWbXNjMFnoNo024TZsMVrQEtqX
FYkDiMXUdNMijnDMqVPv1itvwD3Z6KGfLxxF5hLqYBrG3QGPZXTDvJlThWiajaHnmLgY7GwX1AY+
WJZlDvcauxJOzzjmMFA1W7OJihOTRCcLEkfD0TFUmv9oeCYKPLaPetZ55t5LVt5NqgzrFJBiDCKC
qR9fZjg5EyAcBXMVcMZpgVrLHkmVCQbw6XVrbYUbvzFD3Wcje0k1qtKR3hm3STQeGGFKZ7VfdSNq
aZ1on21BOZkFOIPt3PqXOvSdriIZo0t2otR113qSAH+Tesv299g1LSdahoRh+N8SHgYERlarTkMG
IQDePGWmOkBwIrep0RzyWsXciwaN8YIIH0291U7TvnVm9VxI+ymRGnL2QMBvpVl4RuNbUhozO9l0
khUEs5OhoftTf6nsUlyoRx18jEF30LBTadgWYXUXsfTbUhklBwk7BHfIiJK//hb6LB4aA4Nenw1k
fsQpEkBFI7Ooyu2wnI+tqCdfwfW3vQEf75jjd5Aaj3nfXwenMw6xNX62ZB3LPLD2XmJ8uk8msWh3
bwygHlyyjDiTsvMYDzO4+cZrnActN1djOTvIskRUpGdTMNCvibmmujbdWrTO1kXkLI567JWJ1O9k
s+zFV++22o3NGPelQxZAMq9Q9DgWiNbdQZ1Dvt2JdDU3YMusFNGr6NVpajz7SE50sy6N7g+30t8h
f8/9vt0WGgHHsSJAgczrawHEiVVunUWD5GbocACbNHvLukW1zrdz4BUbA7Z5Y/tS5y4cHVxrFeJE
8GNW2lvZ4f1v7W5aj3a0xD4hBw0OLVq8jsFGmhI7TdedU5ky+9KVA2a54WdgNTgVsEzCGggQ0FHf
VQzPrnUQVtI61r25myv9STksU24U+UsYkLdNMcXj56des/wW742xtnKwMshsa6cB5gXuCJFMwhhE
WhXWeWWfhJ19GRrbJ7E988QRxdbfe5OYi8y+RVnyiiM6C50lnEe3u03S5XuWfkAyF1HIxqymORi9
ptAuA+Ika/9IE9PAGKjWdhG3YTq5KSRUcpwC9tUeY8Saw+8fMfugFy0Kc+qbX+CCxmqo5E2fEg8D
FlmHLgnghdr6GVqkpsMGj8OjKrgz3XIyVlRHPtkFafASOGt2KkFxDBSYfA2FA8qcDa+KOSZVWY+H
oh4+/a5ft6T5xkg6a45XDS8E5jwq7QPoT7miFUvidBF9CPlBpOVinORv9uaIjshgnqqOfKLWFIBp
wJ3Eps2sw7W1Y5RSdBjS+Qn+BeguDd4zX/vpq7kOs9QnfobU6ygD+BCZ/zG5OUeu8tGNmN46xSnm
r7w4tFZxG4Luh+buS8LqiRkxisLm1IpaOzcu0ROF+CAsez848z4YAvI7HGmsS0HloY+Pg5j7sCvr
Y5GWE6bHdEeWtBFiASix7wGK5PBAXuJ+MU0r3xRRQuNjeJEz8aQitlqYBHobMk6c8wzEGosWC0xb
kHE81V+FhYFTYfdXZKCIhATtlxksv5oAEyft6FcHrfGNne3VJj6R+m3yjIcGz8gAW3nq5/yd7D2D
kwdCZjDN7cpsHD5Ko8Yjh3eOLv28MT9nkvvYC4GS/ZzPKPEv3VDdGs3FyuKKF2qYMNJ6lDfP57bl
k9tW4wvJWWrJ6/uCEzAf7XT4jjUcvLoHRplaLOCskIdicJk4b0fdRl9qYtMR1gOTXz78roRM7G5p
2dO+L/toV2seGkahf7rjX52+cma4b5mB/dUK/O+2Fhtid3+zrZ5VIxdWNn72DdUfcBsiHigsYbO7
3Ardths4omqldfD16YkAhRVht/eIvXadLdSh6q116sZPDg5icC6CBI0ciJqTiuhBFKeozDbKUk5Y
UzQXHqkndgzn2g7tThbcgPOE3wH0FE9hhpOkx7g0xAnodu/9GLN/nGTxJIWJlaVzrhK6wKCriAU6
JiaOkG+Cd9yze+L9CiVq0ypjkyMCg9Oh5lDjB5C+Zi2xztd2OBgcYmTOVKXYEVu85E+aj8MOexnq
O0RfS2+Wyk0nn8AAYTItUkvqFASL3qGbDWrjlyD/GH7LgNQRLcLKqsYT1pUNn/5HGpA/M8rsS2Oi
cRSTLuhhSENYeEEU3HolB7ohhaAW8zcn3H4VRTP/fVscXRq9chPzgax9OH0N962Tfqke30meHpOu
/ewbziue1gGlFvkfEn78lSBxTjTJNejP3Nw7T9YfpsS5hYp6T/3iKygMzoo9tKycw7kFcker+C7H
5hjn8tzZzKAbu+FCCgY1stk8zUzJtrUadtwY3mLcKKspi37SedznCWuTb3Kx4DMmXXzleeJNBfYl
Yq7iKmHYDkXqWQ52HNqqW9bmP16SbgdxnrUnvaVVZJoVRT1Q+Zg/ChWcCys6zgNhnY6snzvHey07
YJ95pHRdXnVT9C8ugQgl7aT0D+1xFzTJJPVJq1/FyLGmsV802eM5rGmXmLpiVPXQoXQMO6JDkIzi
vgaAWfUj+odvVkyfn9SG/eFIcvi2sQ8BdVLMp7vRgRj2Uz+/GmVbhTr7JN49q3yY0Ou487eiGcrV
tCwgJMNklAr2ymr1iuw+GAaBs55MOzLY9AJrXeW8aAnOT1poq6A3yfNmxT5LYi2tilxDT6dKmxo6
k+XiCSuwdl5sre9XlLbtuo8FjWdP3McAFrVp5Bez597oCjRhVI86mqv11/WeIfYJHJB8ShgvjO2y
WlRkjxEdHrdriXdusVFVULqJ3e1pp97gif4uvE1MokRYWQ7ReBqIozfEW+oNE3gCI2M7uq+zlM/w
HQSmedWzZ5TnIoluccN+5OnfVvLjxV22kS3N86RMrjkyMCEk76jXal1mV2XKMzkWL5aurWY1umvT
43bCcLT0Z4I/WouJM2vxu7W4i8mtNREofdLn0OQ8w+WyN9IHCw8QvQW18yf923b75xG3w8zZJKNn
rNn1YxKTnZInCdRuRcKG3pbfvtYFe1U5jDlwjG8tRZrJUZw3zsRfGij7L20YsYosXERR1q5kycHR
Q6fhUgp4G2rFfkMFWmmPScUmCKNTby2OAyvDmInyTjEjDuuy11IY4ejd1HEoxC2GGeE52wjc+kbd
eCyq4TI09l4rmXpRBAffo3cu1EfZ6jcTTHIDLnklzuJuyWlDZ+nZDnDGpeSIcFyutsIZsDq6GrWh
QQ6g6ZesfUSHrDsXkdKtQLV6ywz/mmQxbn2LVBhmxOLUmJxmR5lpzuAnntFeU5dIMS+W+6mgeqeG
nPAyi2BtTJ9LxIzl0pt2R0hGisfnOa7+YlShOZoNmM8KgwIHfb8noMsm64tirPjnzM6XUfTPHOrI
YlDZhtzSc9R2GIw1nDwuhz+8ui0JIVz1Gm3aVVlym+nELU1d5FwLDkU1+gUBa8KwePc9jZ6Zt8Od
F+DtuBe69jNXjzkJljtlAxf7KqWf2nPKE1r2kIEQTH5Pk8AdVo0z2Zuusu6eqP4gFoiNMyRPMfhi
TDA5i1C6ZQBgvAr82Dp05KxknffWyvxTwO9NCJqb0jMvjAT8Z0soG3VJsewqRZAQ+UrBtq2JvvHB
lPQRHjjFjk3EHImQk4ioeJLnjjG2a73iRqwHj2rGfTRNJ9m2kpSGxE9f04ip5X3tiJARYwEpAB7d
xOaWBtGwsuJy2uYzF2TBOA8V4eiYCCCpGu0PCqjgn99ribOvgj65NE7JRxKxH6eR2pCmh2IzFWtb
Rdtx5p6jYDjMQYyepPlohrl808s6ZnIf/TVJ9ULSoLHk/Tijaa8apPLW0+4u5MERzHqJpuxYxWUa
rK3gNaUjtSXOpFrVS15PE3wkLdgtBwda2aPzD4p/Xnnsrhvu9hDCaK3Pugg1Ibq1O9PsnAOM5QNq
EoETBr/aBl+2Dh2R1ney1xvM4hDThNuSaIl9b8saT14O0GkRlSk5aOz1+LD2pjHsG1xI69yLMFnr
59k3HytCE1axG+wSmApetscsrtgalnEEq4p0BhIkKJqBfVj6mKZ4cTr1VloU8rKEeccMgik7pxcw
pbS2Gj/4C/RELEzTnjiNVseynp5p/Al6ouaZ6N0PUU3I2+1BGNNwr1vtqIxLw71TdL6zXobR8uq5
XTsZjEddWlvHkOw3MnmN9WNk9y9q5Opvi2a5eq+JWb46CTFpfee14Mg62ZV56l/w+AwrBr+xJm7G
Vyag6+TQTqHjzu+xzUTR2Y3CQTqPnhHD9jH9YiiJAvX14Thr+knz22ulDc4q0NGPs4kjl06XOlVY
MiZK7AlrMwN6knvp6t/RwJma5erILQALasuLIetHUzfrcznEe87m5YoWwM1osi/HalDGtH6JxXnA
niCWV9vT6DzmoArbPoh1LlZvUyPIXck/TjA3a98t42y527bASAEbbroaW4NgLLJMnelFeX5/wI8Q
QamtM9JgNp1JkSeLmIXazeyNI52Li7uAcM2aPrL73L5oWbX4efyR8OryzIA0Skg5cKnF47YNHNTd
kcjz2CP4pMyLfVb04fK/tsuvWeOblxyT/mbOc9hjMBXM7eYDcJgP6D5+MibBQX8MiQDbVok9Ukpy
b5sOQuVI05KWCetp7hRb1be0XDSSu5qOw0mUh5zddvC0d2fWfqqs3tYmkZ5sNhn+O28REZJT6X/0
lZYe2o7IL6J8VqYWkw7qQdhbSXCBhk8QlvmkaYmGpotPQncrLJ+lzjvn69XDbA/JWvf9mQoWP7dI
aEZ4ccOhW8KzY6iwwoH5StHcXyd8Uk6lC6LFurfaplkapQtapB373juZ47iNW/5IXceCkBnafGw6
C77U3PleHz/4PsfFJqXEytjrv2zHuo2x5JA7PBBH3R4Syz9pS9VLMPocDljMV1qv7gHTErdzZ+/x
IslryqWVNXTWh54k71hPDoZt/EwzeI3hDOtR03t2VXGO9Z4mkUuacECnwezXeR3/dTs3IgOPyBSb
+31T9+03OAjNuQwBaz7Ztu8cJVZqP67uRmC9LYHSDHiyDXYdy/bGdX9NGDG1dnjYzb2xH7r8tfNj
/Z0KMMaDEd1b15RXjvHqXDEocVO0+Suirn7J/dE/BkuAkK2eLOf/MHZmu5UjaZJ+lUTes5qk07k0
ugqYs+9H+3ZDSAqJ+744yaefj6qc6cosoGduhIxQSHl0RDrdfzP7rHzPFPHPof4FqUZiDWiuMIRR
O3Swl5S/BSerezFTQztZYXUGGG1v4yZEVShLFm8zWesJS7A3ksJwJiJjSYR1Joa7Pr4UPeJN2FDP
FOPsXRklKnsuinN+p7dtss+TftWi6XCyBTuEa3baDqNJ6ypFXawryzCgeKcZgDJA8TwWaf0l8j4n
VqLCmaVEYhKi39rVvYcI1klTZTyDLK3e6S7JCVwla0+xs+st676MrG1kOd6mGqKtx9ixHAt5TSF1
3HNvAY5tXmoNJ3PKwNRYmzglveJrYNk3dUYX0jBQAhXng07rMEbmA+urj4xcBRIlFNQAyN2PpKue
yt47i/7DKfVLQ9g5GKvsxQbdxnFMcX61ih6du5reRcBkwYo2IJXGpdn2A+OQ/mDCED4m8ils7fgg
g8Jezu20y5Z82RAzEQHvmpIQBeQxwogaica0jJrc0lhHTb0eRpYRfQyclRGGtzKO78GQ29vaxug5
EIhIWwaaTkC2uqrrZ1s14Yq3k31nUh61ava2lscmDq17FcBFmJM1lh6vKTn71tjL2Rzq1uZ0alCH
aEx0rkXtXVTAQNjoR3GMemvaAzRhPgzaBupCAKqsrR+G1mL/2SbxVl29SeT7viheVaqvDUOZFyLM
5kr/QV1K9nY9eBaCSiuWK1CwZJq2ZUOyJMiqm8TriicolW/ByhCAMzkGYYBlyByUE0+G7jGk13wd
ckVxzv6wA7hT7Xy4DlkqQ4M2HdsMzwaA82XrqKV5oA+Lw8UIIswmxNGi8ePCi66RZOMgayNY8vD+
Smznza/im8Qo8s2IGAFHtXowmLxhckiXcA/2gY7Gxh6AY48wwbt4a40dO3OZ4YBAYtcPjj9DBUZi
ChAAoMs0WPLHlWxHi9Q6YAvNTDaDVT/Y6ZdbKevKXK3DZhlNKc9BDIBnpbs3GGdPUkTVpsl/lbon
N003W2lYSjK2eQT5WM1kUaCmpCVzYP8mVu3bEBiPubQZQXL0TRPnpJFHCwCaVg166RAwqmY/BCIS
jYK1cSWbNywrJMRx46+U6n91wHzWZpY+YbQdwP5we5l98jjRAgUlb+mnpDyHMt1VherJsrJjDsZ0
13bpNbZdfV2Xs9UKWwmI5y5hQREN71CEb4XdcbnR83ivwEtlsvFJx9gPpepW6PtvHEQ+g44t7NTY
7UY3x23d0DBdD/AmBLqF08rL0ETgJIZna/Y3NpX36dvFlzWbLRwLem3NDESv9Z7RDmwK9j/fxVTf
91NOMJ3xSpnCn4aHE0EI/ManT1Swc6eFwdPR0bVNgeJIofwNlWmFXkVbabFFd8u3DG/VEpJTyU0z
ZuU7PvlPLKubegRFqvPD6rXhLsxc4ZHU3IfBMl6zXvtlVNYh8mR77odtXgZ3jjPs+NdXjVPHKvdj
GGhmNKzx6Z5L+O9cNVKDG4FwERjaA8gZbzlpw8atCamoni63Ut8Q0TnhQSHojMCFxz1jFAaRuceJ
INr8O1Pz2KfFKuCKb78Xv3r9sYY31yN+bOwatHfYeBbd54S9a8345SUYaHUXb34lpmGVTrrax5gB
vK84uyOX8JaItGG8cywUIq2bjvGuIijIFAkU2MDhwGKPN+j2GfBtj9m1qqcDJAsdmYcejjx58VOb
URNL9gJAzvegYeEVmUqWWNofnEh/sZBeMDxYVzuNeXijkschKFNiKSH9EeOwBQmzKIIl/plrKOid
L78LZwcXO9oYdfJJXyOSctVhpZiceu21skIA5IDtQtFnOB4ux0YARU84A3eAQjTbwl+Rj496oh97
PMwTg/lt6BFJM4GyBNi7MdVFvxC9jsRDichrurZUmvtZWbTxZbA/2qDlb9hqgn25N+B0lAP0obqb
R7qWs4kzxf40fK5t9456iM00uuHebMtrjsOk598tHR+VNABYYBcVd2AcvvHcH7gIJ+whnNGhASoW
gxgwmus9ARFuTn7ICm7Uhr/xPevGqNhkmHV/ND1KGNyouk5ERTaRwgjnEa23tXKl9yHLL400InXe
dXmLq/WQOcPzGGHnK4heLCKkFXTzqgaRjfdjGzrVKghioIM2VArs1MAoE0h/sxDWOXM2jrZE042P
RI7bPP5mOe2Rg9ey5RqIOyW2oUXUNI+AazUpB3tB+rkLp5VUkKt9DkLQ+GcfXP/RAK7NScjwGPff
kpyMhYNH2KQK6dAHK47/3rpteYl2TxTGF9+pHtAFUI1PWsebWGEdBzD06BkD+daiztGACr6hO+5a
ldw4KdvGHsfJoEYsiQGiLY7uVUAs5TQO6c7pdqXhJWgDYtGUCXilpNPXnPQC7BDGKx5SIoRRS8d4
SmNSSBXPsfCtGxunUKRIBbVC/PJLJlzkec/C8LWdmsifCSfTV86Yq1vGWG1dHF08hHZs/krQcbsg
2DG1GRYOE8j9KCAXou8cvMCQS+GEknNBwc9k3PtxeulKHLMlrz03RsxEnXgTVnU7dspc52RKbyZq
/2Bm7MNcTId0kvraGqHOkb5uDf2h9IOO7XqoNuNQvVdBk+0i7IV2xXXOtvpD+PQU6LNXv8mvSLbV
YYqKdw+QMen0fOuG3hex+ZcJ3Gkci89RF+POGWEpGVwHqk9cJIBpZdjjbW32oMMYERSVTI6NzPb+
pdFT99ZU01HVMjhLol1rgq7pqi7T7liW8g4+dHNnzZCf0al5HE49Y3Jlz0dmzAVsOk+F9GD9GJa1
cY3cXOuGnh/rgq41jeBgnrOSkD3ItoW05JaSdLPMtOUU4GGZwMFtynDOyrN52g4ViW/PVdNKNb1c
labmcZ5ujtLMnW1PinmtcbkvhDbvmKzDjLSj18E8AvIFNkHYcdlGePJbvdwC1fcWGI/zi2rIATYH
3jdvqWkmn2cWtmRTh8Ve9Lssk/es+ijwaBzSqvV9jnt54doG9DxwXomPTlXk0aESHMF0DF8LCwZo
F5pvNS9y3esMcTUjMo6Ghs/KnBJ5KfEy+1HZryb2jfxOLmHS+Ec7Sp7iZjjEWcLAKQMJC9iBao3o
IXURDoc4+4Bkthn6fpuM2V2EZd0NtZ2XMovo5FBc3Qq6khculc2tDWOKJLWnxg2QNbDAAzPs3ILv
Yg/fTWqd4xrOdo9tsPbzaOv76a0qQNjp3AcrI3K/jKA8KSsUMKnTvRTFewEefOkyqSadh/jt4H4w
W+PT8U0FMithHNJuIqN0sIb35nroHPCNZfDtJvl9OqGS1bOoLtjqyMF78sLow5dU4QgDd503cFfk
eky/TxfhdGG9ob4BYFnMbxPiOpo4S2OiGQQoOato+GsIEu4oLAA21ceShUI/N4Kljc02SJdaZyht
U+pEAvOkgvFeWREpofDdC/DsTkkGUzNchxQmbR028LSk2Ssf121rG5jxR9c+qITUeGMMZ72ojpAS
cefgT+2QjP/nEjDr37rsqGh0HNcWcxEhJWB/qU1nKtNrP0J5zm7qweM6Hi1veh9xWi+IxR8Lmo4u
emx7R7Sqem1M9jvbhH43cvPfcgy5b0ujeGk1nEqJ6SJKzzYrmm+OFnwZniaEUbSW8b1W6tzl0b2s
Nf0OLK3NmlwXZ6FbAKmoEiHsn2MjzRgbj4l1kwfMa/MCYhD0licZiwIlB2t2iYFxEebDVbO6fFno
RrVD0WqupbP+Zzds1BKKCkzKsRfWmNwqH0dc5Y3O2Scbuf6f3zzxb7Vtjs6e1wHxLUzLFn8tiBZc
2LhxNLxzVmXPxToUshedd2hcxHpQP+D+dYg5U70aywbLQym8TY6Vlg3meKgTECUCQQ8vXLBJtJCT
GKV+S7OKdnWdUJgRQDTSI2sfl5RzxANDU9FgVFt2RVmuKoBJt7KrCEwbw9bLLOsoipQSYOWgq2aB
9+CO2gpPr3tbdUO1cQFk/z/61wxvvjr+VAvoMEDRdWGac5Glbf3l6sGzCKJFYNWlzYtETWEbN4Uf
HuNWC58lsjfzwgBdL0OTL4nMvNRp+KWaAXNQxHFdT6OK0VXOMUkDjLzGTT2yNuXjJQHdQgooIFXV
SbypzA5/KqQn+GI4VQ8hlTM7gvLNbWjzwWzAv1kFiJGEdpsTO4t3UecfTa1egDLPYMDGXA21qsju
ouR0ZvyoPANPX0uPW9baK09vuu00FsZDqxn2ZrYnrgM87AtL8HAVpVncp3Fwz6mdwx9DnpMIdYBS
LH2LyCmDA2yrlDMMMH4NouLFVgunoqTDmL+wU7DMyjjV95j+5wYbQjxl0sC8A0+TtUCORr/Vr8yT
p/3QSzYjRa6WFefkuZq5R32AHDh1ATPqks1f5pofcH+9q8Tm6tGJcPbD8ZBR/rCrDLqbpRg8nMDB
W2GF32bfu5vBhZbVpJjsgpnwnpv0l/8UsqaJlUBc7kG9aJpB7M4wLrXOXqyG0ARfZc4r7X56JisB
IHV0qCDwuy4C+O/eDD4wH5AHxSWUCDjAXD9GKsHGjT0z6EMYOOQNjNPPhyG3jVPm6Xdj6oSvvDgQ
5R2rqlCPflPaK5XCAvopWK+K3j8W7TuVPBcTB9SO0q9oi4zjvQNbZUs+Ylcta+wIU7MxS27OdeCY
+kcHumRpVc5ZUNN6QQXCD282VxRyd6VCecBOJ49GOeHItpv8JuxNPD6d9eEUymFjjxYzzoIeY/Vf
YhyMbdvrw6qHTnY71Z8QU09cnxmlBfl0Ns2gXHsVZgFwgqDeiiq8zXr9OSqiBLYLeKNwNi3U89YZ
fQ+6JaTMs2vje9MHBMxG1A/JVM3QybJhDgl9HGxI9aqzhCTxcKnmLPQ0YoVONEoUGbkszFA3H+0G
5vyI53o1hTAXpZiaPUSz/KbpgUaXJIpXtRPrHHJ7iXOfwKBvKaSVQCXkAapk87P4/cfn8J/BV3Hz
z7u8+cd/8efPohxr9kntX/74j+1XcXnPvpr/mr/q//6rP3/NP1b3/+vht++i/u18v3n467/80xfy
7f/436/e2/c//WGuoWjH2+6rHu++mi5tf/4nvND5X/7/fvK3r5/v8jCWX3///bPo8nb+bkFU5L//
8an9r7//bszlp//xr9//j0/OP+rff2fT077/9uvrt/N7/R2l//aVX+9N+/ffNfNvlseg2CMVYziW
JVyKSNXXz6fcv0kWS8+zBLNDhFj6kXkctSH/a/1vDoohz2IEblIWNl/UFN38KetvQjq6w/czHclJ
17V+/z8v8U+/q//+3f2Wd9kNpaxtw1cTuPrT0i0dm29mO8LxXMejcN3+S/uxw2mhNTACxTUKR0pt
26l2WUhUjyIYjvEtcKw3KsdSwDO4mbEeeGiH2nII8nY3OQyqBoOokV9UT7bQ99IBbsnPlm/7pt3T
/9zeuePIgJ1gsWWTn/Ycxvy+mQ93gdms/a4dr2UIvAST/cnLeqhEgA49CyoofZTxJtbVs21V7Yxc
peU3JsfURGo/woedOO6dGa735P3wfScGLTcxrvkjbHCfL8QT6TFTPgQaE2/k5yqY2ldfeBFinoxZ
WZ7NKr3YUdB8AFrAUGDIKzmr8jCkhNcr/YzGu1GDCtfgCBHmgxuFxLhvTQtNTsVz+8ooo1VPzj8p
6+TEkvbHh6K14tPP3zVIZYEeUe6hIT12FR6OpLc2eo+H0yjY1uFBG85Olu00uyQKOWY0ywKPbdz+
HHE0O6Qc/U5sb3f+xJYwGSURfV3DJ6AwbB4JeqzqEKXfV1DUNR+nSkBmlA7rcD9aFWUZ1B7sclfW
J6Jr7IRg4uzJhz2GXlddWhW6p5TxANJhdEMBuLhgv/vnn4iZRzfQ/4idoMCBRcHoHHu0wzgdpvtE
f2YnuS24TI+5C7NKBdUj9OFFizVglaahvu7QLm7NSrDfgHdm1bWJWRGwO5tjQiPBnSbGmxiGLnWg
uKWcLGaDP3+XqQ9p5cmYBjBc7EAy3tO4aWILz17MvqSohYfrzc+HUKb2+kUBJQKWVvUXjEf9xaN8
bVtjwuUBnDEXN67YC3DFGfbJTOx+X0kPFb3KKXliNPVCkODJ6WBsorzVZ5C6NSC0zIVKHoTOdyqw
zUFWuatdxPPVzzNJuilsgVHA33et6aSFU7/ztZidfMB2HqwLLxE3HAObyUxWpmB/Z/j+to8tIEZh
SAJXd7Bd/8ufc4w1Gi4PE3vH8eeDjPFxFpk4+eQrdj9/hZeLOdIMANCAvHN9aOGp7c3wJNwK+biN
vzryorsxsD4dTVTGCkZEeAGBH16Cp8mx+62kijClT/YQTXW/UhVOsaShDhYPaNmTCQTn6KI2k0EI
/vVDxxl421Et+t9/H+DyO9Z5/MbjF0rlIOrzzweYPg00AobBfkJU0cA/vG28/DOxBDSPodbKk5nW
4DtLiC8ztoFCBKdfS4yNJL9ePYOKts4y9lnYkM6oSrGkrOKxVcJaiwJrfK85oEMcrZbnNG7WrpGI
ZVZRZTGSjNrUlXRXTa+8MxbNU53QSaYViBxgxAhP8T/yznoaUFwwUUPZW+quF4m/tVqpHTUZoUfN
/+U2tlzRo6nRhU5U8CeW3GbY6vUAA0fqShQsSPTUTcp7ZvLJ5edDQVnrxWQDShP2nGUv2YypGDZU
Icp46xCcj7Zm7MXLLGjEGmoNx1sd01oOBAF3lylvZB1Kyi8xUQhiFqKsLpnnMFPwoyNdJ9sknMYV
56t42U9c2kDlpXcdjW3uMo8ZNPbK5EON2OqOmcwQBTBMdRXouLwbX9wg3nkaAO9wtO2FryBF8dIY
B4YAy9qa5piIqtYNnd5sQopnIVE5Jp/buR80bJfJAjpYtc4IG2TAWjjJV/ddN51yC7bCHKGqrTrY
mimHMzkkS8Bq3aLx/E9P1l9BcJ50Sn2sPGl2fopDIs6RVHnFRHVwklW+v8whiLtt8aFVbX4oR79e
NsWT4V5x9rxk3VNsh81iMDH3kud5H0Of3MjKZcC3KgvdxAMd3+lFYS5LcH/EKQ1WkvrYu723VCyc
ZcOtxuDs3KblXOF5UFLeWukUYu0XZ8fkpO3leyaF93WIclVZ5qkQ7THq6mMSZgiMMkhpCvLumq1u
NGLll8mzDLtbpurYpeg0Wzd9q627Lt2bSGy+x5hbonY4Au9AGHgr5VAaPlo3QVwMKyG18xQ1W0eS
CKDkIwy7XZ2P93ZjES4ImEDTfnnj+B4CbAJsKJUkFDiUjCI5FbPXS1rJpu5ItaKanA0MXAf6n1d2
Uxx9XXE728mj19X+EnLFB4ZcBzvI3gypecOuDB0sWc/Y4dkkSm0IlFwnnex17r8ZCjt9p/Kt1ydn
TQ4dAOBhhWw7czftxcAijDpcLXFQfFsjg6tRhAkkXlrAuIwCi2vAmQtMwgHKaNNW264h1IhtD+nG
rTeh03fnzpb4KjIUJxhBBwMPwb4xgxcoYCfNxaYTJ8NHpPT3vpLNzqGOZe1DWoRkvg/pRBzpJ6vR
GihMqPDaODPQw3BXuIWYyIM0TUxaJaoKfhYi0DKLhle8RFVPPYrWQRF0BdOtkaa8A253jZCPxU6H
Od7CLTNSf2GPzBk803PwTOGVnmfTwY3clmE6RoAy2GtxwJFKf419j5ZojIFBl0O4ztI7i1/E0m6Z
FXUJK2Jy7zK4psWITqO2QkIc8dkgHixacqRnrPjpOVVesBcJNIcCag7YLHCi0CS2UUesxmRUyhRu
V7riqR7BNHWYdayiqQlnGRRImNn8A7Y7bBzDMYUysBoKxmxec8aiUB095zsZp/wQcZbZMCB8K6i3
eyCbwGizYm21BrqH7PLb9s2LTjHutpXdyI9O7suCkKbNxW+Jcoobp2k29Yxzg77dzh5d4+wx1YLn
byJiEcfxB9yQTjvNaVo1nYtQcA6Bd7gFi8f+qQiuvpHYTxrPIBINdM0mreA2Ho3uMW3NWytHwPew
nA4C7qlhYnp2lYJbn1cHJiX50tFsfR3phFBJgdoHqaPbgwkIV/1I1G3qk1/tjFsphL9sS3EIbKsm
8wU3vcAvAO+mXpkTfpe4nbJrOn/Q2VgJl0DTz19FVpFdq8jPrmSYWK+nrNqmguIy5vzw6KQdHEkR
hTMm9ApOaiLm6SfrtrBvAQiw2yxuRhF/YBg5FQOdq0FtMkyoWS4NuyHq5LLgBgguyVOmcveYRCa9
ExlmgSQLtz5VOaU4iT7JYdJ5T+RTdyj6Iw6H4inSe/TO28Hy7FXKdDnvpH4vx+K+ruyjNha7elDl
PkZq3cuo4zr0Pw3HwF4RGv1DmiAbgSV8sboOHUIQfTZY5l4iny0vz8PoWMTypq/m5aLiCy3Oauwn
zCjfaFYd7hzLDX5A2oRmRfdcsbVBizLCQxi7QLQZLg3B2u3FcDXKmvpgxb3j6fWhL5V1gtRDuEe2
h0izooPDDK9y5oF1mUgs14riGBmbdzVeUyjj6btS+pcaSobxTdzvLQP9S1emuAzEpZ3ZQS6HlnwM
VOlETRcX0P5OS2P6sMymgm43RduWkNgiUfVLF7Xu3m1T6CDAx3m843jznRm7rWv2QXBPUOzDXPm+
nXUxJupuFWr7pCk/DBX5+MqKXjsSU9FQAvgvUbvvtdntyOeQDO1d8TB4eNu7AVNIVtfi4FJTu+hQ
a6D1hxTc1uSgsTGBfeuzTcUAX2Iju619BdSCtVdr4moLQxznrAivs6aueBySHj434LEXmITKVa/r
h9I2kvMExo0sZEwta/MVC1bhTBB9LyONx3VnLAp8LuvGyMpTpXy623JAnC10dEUmcpvZTYUHv1kx
ksbhpFiaKNd4o6DeXlfYMkn/ql0s8vo4TwYWdjbMLEKzuxvbctr5wi2ZiAErKuISfKWpIOaIdR8t
vNzVVlqsKhqjw41B0/NN7DFSGqYERleJ8bLQH6FH9H5fbLAkkX/C2psYVz3GdSrnJjeBaTU1rC19
wkwc4FArewxu4nyIKRv8JToaUGyAMIuo1r50PCnKHz/bwEwPPHZGfK702iJUyxFpkoCYKFtz7Zj9
lUNMtAbDwoPm4o5XYevFkzvhXRANOebIKu+mOIOmYmoUO3THwDcJMEzdTdYGxVHE7p2jJ3QgTd2t
jV6DRTWYhSndO4Q+AObKnw4Wy2WPx7hNtW4DM7M/BTWQc3jEayd1OCvQO9DNSUUQMMFGV708N92w
B5w0rkgSsrZQKgXi4mBUTnt2iJk2onfJcc+kz5r9ZoDnqajuyiZ8KsrGOcsk+uMDzqRlx94KAd6O
cS8OFMFHZc0WM2PII8M9A9mtFdBLEgV0IhTpkbOkvWiNvNwEMH2Q9/K4p2cXqEA39AAgw2vfeB8R
StTWHlNSBJ1iBSZ4FlvmfUSDYlnpqyjETD7NBiGt/uo8Ki5VyRyT3VqeKxf/K87QIh0ePYUzERL6
XTx7Qu0puZlMf2e3IRwtgPC0yCKNxzRp0je+z0QHp13H/+rzK1sYEU9WCCXxkeLWt0ErKYIPsEoY
zYtFr8cmsnxFRx8Rf0x/n37nvhpDdLAr/c0yNpHW39YVLz2YLQct8g/AHexJttuutV7/xY8H2aC/
yXoISmbah4fGdJcDCFd2iw6d0koyT80Zl4dcdXksYGfUwNpNdzvI8Ktq2n4XmwFolURhX57MjeBi
oiqCNo+RABgu/7VTmTc5ICJ2fljVMvxVCr+oGZ9HY9xhDKLDR7mCwId2zPpcMRZWF36B3AiW4iGF
lgLg15j55/EyGd1h67Ts9ao+xDTyYmQcyd2ELA00uWIJMnwTG9VTk2KSpjqzRtVt+OWjy07ai4sj
s28sFwbwlJCpnb038+iRntJN4xiPNZP1pcb5kDwqYbRIx6ygF5heTc1fmt9mG/Am5Umwrz3QZoNj
Lb0M38dEAiCpWlZfQsS5PR2NnuxBk0mfW+UpcNkETVn+1ZITOvQFw0UG1Au3azF+Ma1fYcqES5Iz
pIHxmOH7Kngl+VoN4ykd6dWOZ+xhacz49NlzrEOW27Q6E5UudkjoV89GxuxiDD+lg7HTsKvnUesp
DjA6AMQZtiL0zmGyiluviw3OjhMQd1mnG21gucocufHQEY9NGByGVpVbkNf6nuac6oawPrOqpFqo
Lq82JFiSrcCQutYLSew4QTioHaN6NF2fd7++i6JoHesT9aNsmTxQsi99/uKP22hs1F2rpscqK80j
ruJnNUVyWRSNhom8K2HTKHWsPVor2+ZzxArcCk5pYTfuLbt/pJ/A3QqNiGyYJa9CGS9WOeIAKXK5
Ad9NtCPglTRdkGzZoO4mlfxyzDThfCI+c8Yhq97DOwXb+IzDZZlz5a1DTcqtQ2FbxlBn15LMHwpu
sgCQyJCDb3ft6a4zvEMRSTgI/nQ351O5LcsdXV8cud5zEhmN7RlU1LR3EBn4/g5zKBkOwGE9Eidk
6ZokI0A9lo/IUrztffE0hfF9YZOKJcNDMVK9sMmdrMb6dfAhU1aT/lDo4XuYG28Z8YSoTcjiSPnC
xoW6YrRwgWuH0Z6gk30qrlab0YBVFByEKGPLU4N6KAO3pn9vx9JcK/EVaOImBs2s9d8SJCNP152V
yhvG/+3WiQqCEvQjgl7gMIDvTwi1wcC5oSQyPvBow5hh+zeNW38GQ0O+QGdNgOYK8jDvwl1U9GT+
G2fLN6bKJUFf5KEPkQ8JcXLtr7xqnb00an+Fn49ugwaFWWA9iQx6IHJOO5RF0BIRSrEs5pQAnVHM
VSoKg9Au6PhQTFikRIcgSAMiRBYkEMQnU07WQiOaJTLrqW+wJRkZzFYrwylGW8RazeUgfpp9jdh6
Oy24WqNztej/5U0PfhFPIduLJLnEQKHkNjHs+9LSuQCJ0CYBiy2hBsp/mSXv14QL8JPxlNv7JViB
HqLaoFvsawiDC7sKj/SW8I4Z3a00WFaToQ7XfgqtgD4x6uOmplhZ2vTtN066LOHJgnuJOcFL0nyJ
R3lCrTEjsTipxrEDI5TxMQosynnPzG1hGgHHNitYB62Dfyb55YOCNGVTLaLehv2iTlP31kzTrgkk
764M9jFwKkz2OJYaWhHXcdKD83N3GmvsSHKcJFZE4ZsqnsZJxgT/qIakomulW1xYYwBD1Wrp3Qkw
BPWlRgibnJJTlHsecx58r1O1smIOy0Mc3qRa++Di5K7FO28s4RdJpqSiGNZysgGSTjUdca12/eyI
C6IjkZovI37WNAvPrU5yAzcDQfVxFZQDi3DWwcApi9cegg6Zhxb3XPHKEnwT8ew4Mo5OOXlN3oKx
7IIsLZRyqtNN2d67SmNTGT17JPQ8BTI5pc8iaa+u8ZT5wVG3PmVgbaScHuq43eEQx53QjofS7Ld1
VgqS+f2mCoJVxbm1gzNikNL2p/BrUlQ3h+oF/gqR2kE9Rx2dCRG8gKEQJFmUNy4l63vgWIjT+K4x
nnwXuhCLaWxeQ88+04ACnqj0+4MLxruxCIF5THkPdQ8HydYAEeKpC83IftWDL2qNGL2tUjhF9PPK
J5Wbe6uKvmmL+ZiAd5tWggud42WSvSUpvwHdfotzMqkQnGwGxFibWbbgebCrCUYk1Mabdp0MsKwr
8+Ql4Zq1hMIinpI5dJROmM/8kjsOfhXi4rtnQAtO9cZdqpRy+ZCKTELcxkfYY9Ir52sGavgNlNCj
25dsUrlzSe/g3K0TfRESazFC4xdJF3ArJjWYPSfsOFHJBjhOzJwUp0oW+p92aejrKUbGF9/TEN1F
NDiuxiz/pgpTwcXWjzVPSfS38uhLSdqb7mc4LHMLCqHKur/aIUEjYDJLV5xykrq7MYqqreJyIhX2
OpRPQQeFrw6S+0b7ijqNMY6nAYEkoO34nMpjjrt5UB19rXhwsupLYPEyADJpOFBrJ9oBAzgrTDsY
BoDMTy4VioDWaRe+WCrc9cOAHdLHZx0x4g9hBzAcZ6Rw0vX2PjMA1bhkipLg0lIFy6OGdK5Br0rZ
4dgSwVMydHTXP8YhJ1++7TG01MkwjStWTnprwHj+vNa6d78JCLt1/gS+EYs8I9Fc1NmJ5/SDjHAo
eYxLhQnNn4RXxvAwOMdJ+G7PPBmAYW/ZJN4Doz+NkgeVnwkgYMar13tqlRXyFcfKu0Rw5z1huibZ
k4tB7fyVQYklNxZ08vKuQSrphkbgNmqfyyI5KKoFSGvv6nB+LgFjcCsL7jTIDKYP93GRwGSupx0K
KuGfaK0ZLs3a9TqLh1dTout39nMex94qjnjKtIZ3obGcESMXmgVSxaUWukAi12M+pzgfkwJfN0m5
wlu5x0m7s5HOsihb5gGyt6P79CsLyfajBb5bqaORT1uq0C7OlDMO8oOvEXR/0lrnjCqCznap66ap
anBEuh4H2lt4Ps+T6peWfR7khsCHEga3wEo/qoH4If4QYgJZenBk9z5Y5SFOCeQ3hHLQlR/HQjHN
CS4WiHyITJh27RQz0sh675W/HGj4zNrNXQHjQa8unWoUBzR8Wq2k9U5weozcfpPXqbfQEuJIxKfu
YLT5WEAxV/HoXIbWxODYJOJmglrQZ34ToLJ7GxekzKYnYvz6puKJughXUwCdIE1Km7iVvC2YdtjD
ivOzurJdw7JoXpq0OUTx8JiM1n0aahwjy01SZdvUI1DJBOpTBNWr7bQg1P83R+ex3DiyBdEvQkSh
CnZLglaUSIkiZTYIuYb3Hl8/B7N4Ey+mpx0Nqm7ezJNgKwk795rsyKfgnsZzBBDTZRewsFzCJSJD
frRNf4oaYIfy7Mf6wR2Tb4YbJiKf5rvE/2a5Ya5AvBNnHpWXQR4qVMJqPSFk3uQngSdurUgS2271
bmqS857hQJjBGdQdl655fmxL8RWzWetd90I1xyphbMBpqH1hMvVT4w2BMt1lFCuuaY7cIFudmd4x
XKa/pPFo+WtxOIwQPu30XaqXlnuaNk0H5YCiqSt6VlmnPuk5xgd+13Ul5VHVsFaCwHooAnEywwdW
yveJm9Aqg67L5LtcX8rnKLNqFoYEKQcYf2FNAWaDlNVYkhTn9JimDB1zbyHtdsVWqthdNfTyOdW7
r2cEy2d/KyvOib5335Tsblae76d6/kYftzexqXuO1pMmMkmnaOSN1lmKbbxS8bpjEvIys3jHnQT0
S2NRpjnTkbRSsEka9xHiYMS0s7AabdvfNz3kPFz+UH9AG+vpKZTcODSxZIypMQ7ZnNRiflHLqBKF
73UGa8eXxY+eucY56dAEOtRX12fCD1KyBHE0gbpO46+okU8zArPTc9zGFmgstvM7Sh/2IQmYFVrU
ZxX9DA7d6nhS96P+rXDXWp19SzPQ5mWMwxJLYGTEj/TxwnmsqWD242Sfkv6NMywfphGG64YeF84x
Y19CPizT8lC31asrx2c2b2KHD9+N7vSivQe+e7cLMC1MsmCXmxeVHlnYQ9iIWLLrpzEWT27lfIih
3vNX29HBSYzcylgUAGVul9YmLG3M7Oa8YdrdDqLjb50+Bql5IieycZZzpu51n/hF/FK06gugYbFt
Yfb4xdJu7rfFquBxifkZ8Ljbslay+ddLDrbQSO3wBaR+jrPMtopLzyJiZabz3tYHfgYf6Lnzr3HA
Yz8DPZDPLUQFzv3MDgj01/qVPeTaoESwyOBdSftr+aiHRv5SNdPsFaSc2obsXTQ/4WPbUs3z4cbx
r1YSwTbwe0ox/yKq5B4RI/LIBK3RWo+ubPn0J/42mMSwqsrgNwdqTRZmY/r2r8GCg5tpdR/NHtTd
7E22j9pjvpVDTUNNlGbbSaccR2Xvswk2kXZ5jpCmKnCaqw3NhDtB+/i6tP+XJPovXQLZjAmQeDRj
4OAnWTRWGYJ3wiO8jXgwlD2+vNrRnlCRHpQjLuVIf8TERbjSc39r9ABTqIN8AQLDe8Ly1f7G6Tls
0mYpdQ5fxWBkmwLJk81ZfJkCQecNeZ+0KoHODFADtFi9Og036dDwn6LYsNlLhK8AOcCSZXwlCTxh
Q3hrDQIxAyrvNrCqj7xaUjzD/LXkvmlJvSY5OOlWEk0CQnR0He1mIJRTt6T05iODSFO6jK8SxkDa
0NJus1IanYuVJ3LLSEEWPp3+LHkRVnvAqUjeYZZ7nW+4r7mvdhdsporyiphQICsydreUEXOxwubB
q5QBG6iceT9UVLoZEyusxrJ+iordEb1AGxIFatUTo4Tvu4cYQLKF+7rA4mXwwCACQ+ovjeXDqCkq
+IzxUINuPeglu2JFHCDV4DGKynySSdrtpZN/BQZf8DFn1xkKyj/clvAyZsxdOWfJbobghuZFoTB2
6BWhPbUJEulVIwtkdrM5FayHFE3Bq+bowL4TxXi8R12/66h63sa07ak5+CJ8sUmAbJQUALHRMYEy
BYpH2jhs2s7qvIzGoFnj/U1luO6H6xzU9ySyUCoEmS9Cco8DgplpBvuMiF3AABtRJ7tKnIIBWo/R
IPhegprdYl27AYPeT870yH/+G0Agy30OuDDlxWiqQ1SK5gGdNHG4dgTMG75kf6n4Rlsmq1x6tUs1
7Lp+Dlg5hsQJo4tcTgXgozhKxmbfLYwfglH3KZ1fWr3l8M3/RUF1dJV27mzewJE+ZxiTrCkw5LYb
uUhk3Kxi06YUa6b4cGahZXGFtyudstZU1z2gFGyC25cwpBi1C8kzDzMRgbl68dvxNcldgooI3Lij
drbjfIx6TIRBEupN0f3m0PohSbA2DGLPXWLtS1t7D9P2wXTTT4EBG4h8/gG/blc1Ls9izDp6I1f9
FB5Yy/A80VnbDd2TE8GXtxQRPNRTArc7RWZqGxSsQfuYJZlFtBr+ZsAIZn91+vwGK+/cL7o92dJT
alHtZ+KbGZG65v4Qx63vOVhwqIjdSi4e8GXACNYnOfuZl3bFZ4el0WQPgd5o3nMJ7tnJHtxQP4VT
dMba9ARgghE8IJAgkohzsUsfSnPYzXGJh1I7kBpnAioJnvahfh8sMXgw9u0VPpLkAR8vB6GLNyVD
YMc2Q1cGZ7Ua77AR3qL+EMl8Ok/syvyheG2L7gTuD+JOQj3iQP3ONidx5M0txm37o8LzroGwPepx
+wEusuUC4v6EZXhp4gXIgd93pxk8u6ZkJSC/62jHK91M6RgO+yfDCOsVfOhkXTftMU20LR1lznPS
7WCLLytnSi1QzVg8tUU7H7DAzEerM4BFuOmTaYIvSJQF8WRmCdjBbyqzm94alWfqM8ew6y8ohhVC
3vDqoBWt5I9mo5axNIi2+LVIQZs40Mp02LL0Sz0VlQSDFIbLasbWs6MJNFtnuPK2rhnF+2g54Uio
My2Lx2Hi5ekFRvoaRo9pEcZZho0+/kdS+JUrW37ElI1LfOl78x0+9VHVeH3P2S5y9zAvYhvp3nJT
DLAd2onwlAtx1pswEsxIM0ga8TYMai9PkJdRLFejNn7Xg/7pos5bWv2K7/YkuHYuSvTSeB1/DCFI
CgJX+6gPHS+zBkgMJZ0Q9U8im8+IzBFC5AhXQR2ngjiC3zXApnDdkDnc5BEhq7EEhEVDbC3tdQoq
aIUt7tnKmf6gBXIbi8vvwiap4ca7LJYXXxr7OqWYrqpRv3MsBLbJScmCLk8fMlJx09xfTU5/tnzO
Lg1svt18+EgRfXb8OnktQItkx9jSsLHqFdkQVri2Gx4K4l1mZhwhc5+ohFrXwgZQm7PvHSf4yQFV
l/mILjih0Pjmh1Umh8R6qWz7i5VKtXGxJQCPwowX5Tw1S8Nclj++Bwcb04PhbBOLmZi8bHZkWP60
2U7ps6jp6HLtx1Dj3MzVNvWtf9REjggkGE0GKpy2KHH9owwCuq1HAEtBAE7VuveU963mtk83kTPG
T8CAUnQCjCZU0Co+HRsx50TFITd1oQ7CBqOB0lX1zAYTp+7Nrfr5oNqWuuKGKptYTw5Qs76lkW+i
cJBbmjtJJkrqHco2WpvTK84ta9cTbXT0BAdvbmkel9VD4VhwE+wZkcX/UkrvvNLANqhL7UjwGJ+d
vROp5X7w72qQFeuJqRPPCjSPKkjXCrMA0RmCSk478r2LIA5Rlku02Fa/Sy5s/X9PG13DoWeLlyCo
Tc9oULXq2akfGfqtovGPvp3f4L89lT7UsmFk1WhPCQJaanqNXlBjVen/MHWlu2kePpjjFuxag0iQ
lbvZ/YjBh6/0IUw2GHi+bTWM7DdxJWrEKAnWaO9urtSDyItnVoIrwrRYT3jyJNK4cU5zzDbdE3ak
r7wSv4TbtW0ltENeVW+9g2TT2YTAl1Soyx9JBM/ZGNGGWDRXEVC7iIP6kUVi67XUipDW62wPtT/a
SNhua7Y0MD5s3JZcM+uQlwL9aKYcCHMKdGdlg7DP90pDMDP7bNjKwPxLW2d4+v8fdtdxoaWioy7e
9IlpLF+YEk6UvIKtZfhrYdOZ0vxt4nrYjhP9lLFrzlurZ7XSzMGvk2pv1hy3TzNK4arZDrb2Xflq
Pqk5vena9MHQqzbSJtBOtymxPSRniLI/mRuTHynbt2GqrgZl6n0dvoVs1Lwsmt4nKCgs1QeqtvKe
8pCgGjW2p6h2mrGgqTINogetX7jMrfVU22eMGcZTOLAaUTlRQDy7D0YRPIb2/JRx1aSV99jMY3Oo
bf8UUngl1PwnpOAB+uXm/p9mBe+4St4Mg3u+MX/NLhV5abLrqbtYKm/pfXqKKg7GMXWvOfoqy8PD
HLZ7snYPrvR9z4pjJCl91/MQNAtZeYweOGLe3bg8WBOv5DgYV/ZX/6DrvVPFjH9wxHHjD7sUnx3p
I4w/eHCYxkPyI5ibsGhWVE3ACJGowKn2pysuHHPRQG65tdQI8xXX3ZOD5mi59ctYkKTVavu1zNmS
IrH7DHmHgnVdgxSzF3UoMVz1NQL0lzlmXCNMaPQIPOdcBl42GsMumYv3cGaQxer/JegVWdc9Fq8p
RnGppwXO2LQcU0WIQKh7IJt46EUUBxY1xqPa/lHsgg4EXA24KB07PddouKfufTqMNlIZ/0QKgYME
NEpGkdLkqvwX7M3m04QTmWo1xbaZk2QgecWGn0OcVeGWi91XQ275h0fVR1Fq+7nHPti1d5LwoAXr
5D1zcrj8CfuaoTtXenEN/GflWOMaSs1X2gzoOgA07FAQp5ZvDp/r5ZuQ9vBVrEq9izHnSkEsjidM
GJCFI7QabmXXEWhveSak3XcGMZNY57TTE8cLbE5xnwtMV74akD/wD4RMv9o9h8WjOmJw5a817yON
FPqwFKMHeL1ZKhmP7ij+Js+yBOm9NtvmftmQoYX9Zw2Sr1L2rdXkVrlyODWlI0zEPOfKfQkXaBP0
wRnkgOAen7xXlrbCVDLjnBwsMEadvBvhfBM9TTKj9TRMjIkgcdrm7g8NiulwmuZx2zp8PoYcnkrN
FZh9ZDn6r7TFMDVFe1omOHr04R/UTI8kb0cwvQlBUaeHgd6AVW+Lsy7VBnRisxkwoa4HHnq5W/MF
yMoDyWflmYl5aVXx0hvxm26kr1M6KtYpJrCZMINCaHwatVMeCH4cWb4cJam5QXYXai3pEClJX/uv
Vjl8JcL9pKikXOtVtmrLfx3aeaG6SySe2I14GrfBFRGqxi4/chuScNy9RAph0mcdN/GaAPUQoKEL
Z4Xvly+Dp1cgvcJ3zXgqWpagSUdn49J1XsVkmLEuzuukG87gRdY6RvZ1Xbt4yf9Xyp13nj2nrjJP
iSt+Ioz6uPzX7gwwgoGI/oZUW2ZXehfC+CntUQ3jHkNuNtTfgQ6SBjV1sO1hPYXNngcYzEF32IVN
86Nc3mRL/8KfxkA5oE2VuIHI9//WVG8anDltoN0sg1u0A5p8pdD9JYYg0JzdxTadc4/9ONc6Yw3e
C8bSSBVjb5xGjWqsUU7PVtrDVRhZb4JbFJsRbDYGhn6tDw0EwDhD6kYrajRR7NO0d6A6xu8x9TIb
YUTTqR2TzyXqt5M2bKSOjZHGSd7rLPZT+q0t61pTUb5O0bZXs/9ns1JYVaMTepnIHF6O6dBVMPXb
8zj8MM3nuXsddOtZld03lpWTM9Q35eZMaSkNxCUgoaTLA/w8+d/gEhTDE7Wz2bCuzIpXKyDLnQww
RnJl7WreyjG9D1pwUrnhdaNm7KfcPgY1BF038sd1XKnHUmYbaSywzzb4JabGkFfCcMqpHx5YNzAv
QrAdRb0D2FoCScqsLSLtU0dzIYNl+jdnxHhVFB/nrj60RvJit2Sm3Xw+ta1hn+tw2vlGQs0kHx7A
XiM7UbosndgZDnkDjZst0SM74JSdx/DH/R1OAWVZrJLKIwsxc51ayycFPORG+/UpmBh0vrDUQmDi
5eXnS297yg1o2QzcY1cnwH/6Z5py7DUxwD+M0h6e0mFdhPHGcp1p108a2dCQhjiu3g5EmaOaBD+H
a59rsitL24s/Ea2vLPfPNOp/AuVeRdpjCM8fXHOI6qkNUOVjHa6bm37ggCl2LEzo9VhcIh3HLTwD
/4XcHllUgo+jyPW9kPDCrKlgVp54rywLtxrMhzX2o/yhAehiRvg7DeIGU/3p8io85DS/nmMVbcdw
jC/6nH2WmAwAg1KshNb1OPFt8lhK62vo1/XI14qMYLaJZ+MYN/yNbHvG81SyQfEN9xJnRHCCHjgO
+XnWOenOCogiRDYAS83JPdekaBNG1rsih++OwU4HWrxrILaUyBXNd1AbJ2voNFrrJIaykdmEsjZt
YzVf0eT+NE4xoq9rXmnlTzVPdo00h4UPmnLR8WNOAN+k4h/NY9yp5K+R9/ciPNVj7eyoj407JASt
TbYDDbQMswmhiDHCbQoRi8v19Gh35wycDO6IMWYfVO8mcyifO9ckaR1Eu3p2vxzh3MwqFfvGSm8R
xTj5aLMwLslHJB2DmN6ZW0Rj8uxGj5feubvapPZTU1zDkZUuQOBzKVieVAAfI/QrPNbpm8UTk01+
fWqn5M61jNGQ5/hGsUifOowS/OiAuWdFM9YZRYfeLKOQWxi7LvF70fXgVFG02bhn+9ppfpLW/ktA
bq/NyPhx8/hbTzGpF238Xtk4TocMbQTZ/l/ffTm9c3I0lx2Hcaj0JNh2vnipRN7sDGVRQC9pESDL
km+V0x/GAhRoqfJPUZXylrB/kUn1XoZTAxq+v1MHwluv4YwElL5RScOC2cX7I+cO/5YxnQMOyo4F
pO/vDWPEhoBxf6UIxK4qSOgD5Xx+pxfrFq/D0zw7sDAV4Lpw2le1uGmu8TUnM96+jFZc9Av6ESf5
DK0m2uScHdQgn+A2vRaaEe8LNE++QQDQ+wtdCWtXOWRp9Ple5sZSspCedFXucr2gBYXYWEKHJz0l
xMSvlKC2u1Bg0mE1hoMARmyW1LtWRJhWArXrffetl4NGe0x1KSa2B2NbPoqaHj5t/jNb+tSaHpZM
DxSoFdPenRBqQC7/VWr85X/jGgFUzBefbP0qaGuuNEH6YBkakZVqRpmU8bMmywNEe3vjdM0tbDOv
DaobddArNCTiquW9hOzLKW9/GLSPdzo7rOX/VDI5C+2ciohuMAIh8It9+jlijmz/mbEJrKrQ6O6N
PwPDGwd5zjq2dal0L/2Iro56RP6doYSbXx5XN1paLrD8TvSiHjUxnesU8tioK4nPOd011vhQlf5H
P0RPdQc4MG85znEXzpNBHYelucda28Saw7vTq60C62Fo4xPezUeRGT13DygH7taMZgwStPf63Lxq
y3idFVa81F2qvOo1WFOQpdVhWI5iZbnn0Cd5M4enWDGB6nml1rckJcUDSAmttfuljsv1iDICytCC
55YttKe3gIVV+adHCCzUqzzVxzQjUDh2Y7kPsRpg1XMIgowfwq6OdoDc3saMwZQDwTehcwcONcvq
LgIcZSdHnVQtjOLxIpqlotasOSGl8WUEExE/TaNEwUl2srH/WtvBug1Jf6sFS1C2Z+qNgwzfuFFW
8PvGvVZ9UsGgUV4zXBK7/KVEjeuHvUAYgQQKU7JbsbhFVGlwbMqY9ZP1o1RmbQrY61SPZNNBZ1DD
wBaA6OIeK4Zb4ypGHu4GXl665OVcvOgcA12bgghqj51MX4pS3eid7WEf6ZZ9tVsAiVbBvUymvKXq
lCRNdMiHHpBOID7MsIJapypeC8cECd9ClxjSd5upE3YnD+AhCtkMMCGDzLE08hbZjz7CLElNwS6+
qlj6485oRZaxUZU7Qf/CoXViuc75TxgKvb5GJU1RarqFzMy65arK4bHV6wep48iSvXgdtQezwdiW
gEYDASleq0XW5ud4xMkoVRD93UK7wk4CtCOuSXhWV9a5eAwTthEyOZSVVXiWMZZrp+cEX1YRJgVK
Ii50ALnwhIoZhc0EZG7a0UPKUxzlYZ4PITmPoK+GCyxHsBOTQRY/zfikhM4RAY2hKGjkAfJUtcoZ
KbgjJfsCNNDe1+1fPxEYGbCw16mxizIwW+GQZdsx/imboVi7uiV/uLOk0XDJk9I9Oh2+Oze9yILp
kjgJCwsXJkNOWV9ubeq2+y2oPd810wCNLuCPyEONu4mNvatEWMbRY6Yeecn8ILIAxb1OT5Utbc8J
MeDWQj1xpm9MU97xYoavDjaxVeqa2jaoK3FwsHiEfLRtX4idTqurB1ClOlqmdexzbKbKZqqM4Jw7
SfAajWCuuvDRcCFaTUb3T59KJITQMg5ll97YIbUXLRgwyJKBW0HiR4qKAKTaunqXI5c2vYl3Dv3D
u7me+fTpg7zCJTvU/nzqrRF+waxzxAt7X4iOO8OE/Zqs8m4YzM8pLe6aFjJxpLty0CBcD37gLRlc
ystmmEcDekNnfaKXCt5tWzz6qUaWDHsfzsaWvjBwZ23FK2J376zcY2K3xaXlYtf5jvZeDRYPzx+N
1lqd/7hrMjaGVf+l+mI9cY0kTEKUTEEhpKe9OiYOHj0nz895Nd4whYb4BGNU1yHYugYNbz3fH0+O
xl1woO2MpoLubcWY77L5ySoz/3GC+BOVXDR7VfsUNpJlsSG8QojapmQfVcPVRGbdp+hm5tb2dTD8
XczAjMHA51bnsl/B4XOJ9G8gOsW+MDt7ATyjG4U9W9nu6gTy4uCSRBTTr60EGOWO9BtYxnoesTfF
RlCsKD/cxub4ujyZGpc43A8+NNU2L/LBd+1PpJPUwwBI8aAVliuU918tjGP8ODz9WNQdizS/WW1V
74pSx7ck6ZDRKReb/eFzRpkjukNRNM/otRHxAgQxL4XWFuD+QkwZTTxe7QDwd+J+zJRLjCJ8cWX3
DmoczXd5YjBFNgP1HHNN10+FSysw/iHUbXgXy1UmA7GfY+pjAvHI9uOPy5S+Kh33p82/J6vDVzeL
q5VGeM7w/A16we3KYF0djf94C6eNHdTXJkKBjOwfLbvoBrIAcYRj5fOZthx+T20MDjz0/rGW8LC6
7pyEtzjuOvMxRo6tdkh+a7gkvFHuDFOHM1pLOGGKyVHekEe5Jy25ly6JlaYsw6NjH2UuKINW72QP
Bs+RxLUVai7iT5Um72aavWTFDFcDvMMKWuB7lrmPDMMX+na2gc4p/2FPwA/D8cLi9e6WfEZaFu+a
WTsrW41ADQVysGLPlIkYqUbcanO4BIsbsvGTbwoSbvAZ3RFLFu/qjcKA99xK9n6Q35IZO7pyRroM
lMi2zWjecYcD/1XM4Xb8nc/Q/KOivhQwzbvivWS2hA62x8270wd+61nPznZdZluqx9c27dDtWO/k
UD+m849rNYflN9JchWdwftML/d22UWWtybzr8QEj2huuq4QTmFoPv2UkcbGp5RItQG+2kbO4Xkzr
VoU3OgRfGkbfnrbLVbiYy3FPrUVre6IrDsACnyOA7LIDdjf/1XOxsRudNgAGmPiXuwsktLJZJG1u
rkTctfBszvNDsSzN6uQ6EblVNl6CYLma4ugZe/dDSoy5SlV7K29dpI+VT+v2hizFIrhwNsnCPBKW
PJCqZZnfXkKbktGEM9u2cBgvtSe+GSIjIrPBJGVTQ7MSbSHxhqZW0s98+RenR69P/GxOo4BQnAWb
YNbmUwrXqYtdOgVoL6mCbG0QV5lpWKUVynnkrml7GQUpYW2/2figkQ9h2bHsHfqo21dT89mV1bfs
TSxeHIFJI9WpYSPl2A1e/S4ZcdDzJ2vT8KFXJ27A4xKX4FRP7aMCnbrWkvCqZjemIwMNkUNn7AZA
unG6RBNI0yeIZSIC/1Ln+4b2jGZKONZjc5dHaXvoWZtT86VkUN/MwyzBFlIEuyPA9GFqahckzRks
Q7CtfPFhifBmL19geyK10xkhHZFqW+cWepGk2d3KHhSfe5LE8m/wWZoqAC9MeAZvckxHiasL88nu
KW8weDImrktrRPM7pOkb0RJ7pdHhxrWmAfBd4yaejr2T38imYhtzqr2u+A63ZbYnh7iPcET5hoJz
VOdXtNvVQBdG3EJZLAf2muja79wVmVPr7KXjDeV+xA6ZID+COZvwsIQOLfNDPql33xhtT+vEvuQQ
X/U0oLaRuE+Y0TpkRr1qHuLOeSswhZPgohQt035GwQ/MPicYmQrfGvgc9AgRZSruPpsGLRyMF4BS
Z6tiHBbqYlb5W5SrVy57DwHnKRvkbK8joy4ZaroNeUBZ7GB6/BTo5hX55e9Sbyw8ywm8r46sXUY4
h+GV3A6QMJG6D7QB0xNiVO9WyLfR7hFVeHm41fKNJG4MMyjeUs70W7D/Qy8Ft6vr2Fh6iV+6wCDQ
tJxlTk64rs0K/JnWpheqWdeBRpIEPiGlkmQEqqE+573zzBGlk8JrSFDylgjW5SD189vcYT3MNG6L
NlZlE02YIZVJvrAOrP+IRxvy3tnNxkroEQGMB1gn+ObqjjeJC9AqpkJ5zR8KcOdva5d0FIzTnWzv
vY5j8t4Q8QtWBGoo92xe86YWa7tqr8s7NGEx3MuJWpOJMjd63jT2KOxxeRExz7WF4PeM5heeDmKd
RIa2r4N/JX4GLO/BBEu23TvFdBmN6Az33+vLTCBk06e6PIOh7w8Mr5iMCmwSE3boxd1yzS0oqdES
bASUVPFBDef5rymmv2iW1UOVUNeD/+Hcawy6munlVr/OheAXYaQN1v2uLsrXESOWp5tCMNEHT6M/
XiX0BJ044wDPx+X2uwbh21N5kj6OzXDve+PRqeedktNXBLNZGYGz5xED4CtlPRm4V21gGKVXY1XB
/MAq4E3Lg7KPPlWvJFWMtDCJSCtAj+dPSbZVElS3LxBwlF8lG27Fn1SGXyzfZGJVM3H8wXklV6sT
ycv/fJF/WtKUXjzmvzHgAzPvDo6yw6uw+y9Iiz0djqxsSr6hQ9iTgbe79aACdweiXnpNYx9CrcTo
0BgsMPk+mTzZiuIZb5nk4j981i1X/TRUF+7K8VZjeI01E1MHZ1KgLaZoQi0KVmhmjSSpjMdZVxdh
IANnk70PQ2Z1WtlX5CJOETCrAQwMcPPFuZ4C5yNTxWaZeC2fOeRXmyHv7OOjrdJnQ77C37/wk7p1
hX7AFpqHdd4/BQXL6nYswC02SiGuox92bgEoRHyJsubl1figW8SiR9PeFh0hxgop2fQpMEQ2wr00
YkmJ9/+/oBSuvNeFunAZ//QHBBZ8uBRk/DSpbu7LcfryfR6eOk/DRMhrS5xakXAwecYsC4dgcBkm
OElqf7pCABiPLIT3RW+8cq0m/Z7N3Ec0y/K6p2Y2MAdl6bMy3Q8nbXmwD+jp7Sk1zH3cyj/dJ3ss
3YFmvZmYOMfoWMtT1rDUS9JrpSExKYa3teybayXtU9JN21oRSiys944tw6p125eiG3HGhMlHLbPs
xEZb8/sHHhDLI9EU2wlSsAWwZqo4lsvSMHbabCHR2edg4vNm+Q6r3aH/hI8COjx23rCpio2Zag9t
cgeKQFzbwPFDVFKi7eN1mjcM6f26ZDbYNMimLhdNx2Bin/zyYxAj5oOwRqetdqSqaR2aY9OrsMnz
IaGnKSt2PD2xf9gnkkvcWXRayAyDw9lKznnLFavpnY2Z9VfZcMuzIvD+PrC9PMaJGkTBOSBxSHXn
nYz8A3tMIisZw0QV3fQ5eOkBbpH75IGkOz+E+i69lV2XHzQVtwVXS27LudFtZeMYHgqpjezEFjaY
H9CIOqzS1DKNaX81IniSCDWxV+Tl3mmKo6PVNz0LD+U0IOCa17RVYlPa8o7tDXtCeql0KlIcUnPH
TOvudVDRaNTQCzxL/JgtOj3Sh1fZeYIRroHUkOKNsWFmJzX7j/ZhYqvksC9edXEzkiSKfwU9BGIA
44GmOcHGNazXsO4xQKnwhvFwM2MfRlVgiRdhPOw13MoI7bzH8He6Epkxc9sNzD2bFE1ywDAzVA4M
izn+RLpx1xHZBSYTbPcRoHFg49obMdPb0BSnMpL/UnzkmLSSXzfPDy7uEQaQvGN4Sf/02rwXQ3T2
M/8L7Z4evlp/wBzt0Xzx2NnYPlgwd69lz4pJuaO7gvLyOfa3Oeopd51iIKjZEznjdGvOMUb0wr1w
MJyXLws1uZhhJFNzSk0c0IC/HMbGRlMJZk37oeLX7irWrsXMLIFesVwdgud+Vns9ZBHgLpCIZTMo
XZp/deNAzbaZF39pEHVbVg16FEyeP1L/kEWEmujaZt1wAOhe4gR/du2xpirR/RTYm73lJmgYEwAn
NgTck32vTGb4x1Qt6JY4DS0HfqjS1zobdplyh3WJ0Vjzk5QVf0GMm2v/2rSh00THPNffcWp9ZUkT
AukuXwm+1TqO01EwjcHDU4l8KF1uTVg/8Rlh3a5q0nnxCMgzJlMJXKG/NsX4YAeCikB+KW0YU26v
+VavOwmqMt7jwwPMzWu4mLiFsxo/NRyNVeYTV3UxHLfFfFVtdOZLAWEZOZ1WTwOYrd2yfgmoLRHd
J31NBzIZe4SVBzGyZVUEXsmoEwGBBbgenXQXW8XDUIFNryO6w/Uu/qXa/YQMYW5whsNVGO5FIfj7
EUFpw3Q/pqSVGj5cIQARAmXcV7Sm4GCVPi0CvbfoMCoSX622SNxO8QlMEzIDoel+EFdjLk1syyZC
SFHv9Fy/DSq9DT4L2GpZ6B3ibGKDpP+4RTkcpBWSKorpF5UVq2n+KHk2ISTRRGJSS4IV3zpR/P3U
A9mmGw2bSGg9kVhj9exgKmYCOeemv3a55tEi/sdh9szdcy/bEB05JIChG59TwO6gt4HCTC5+qK3e
l9iGSiNfcWhy80uok8NOvK7j8gEjxQZoxNtUTwy4/h1bGvZKhemN9S0u5E9nJk4myNwurNBLHSD2
cL5G6749kcH/nCR3RM++aHG1KWJ755eV2BX1gLzYpzvXn9mpT+Mxto0rMRmC9q7+Rfr8P/bObDlu
Jcuyv5KWz4nbgGNwuFlXmXXMAyM4iqT0AqMoCvM8OfBP/RX1Y7Wgm5l2peyq2/3eLzLJJFLBGAA/
++y99kdWVjdGgi9TJM2w69gOMtM0ySrwkocYEW1bNN60L2zeWF2MM3L40rOrXuPpQUAVVr8FLEMo
1wU4P5j+e9IUwfr/AwinHwBCCUb1vwYQ3r39x/9uP9q/rN6INf6EH1y+7nf8oPxNCLB+LFFdaQkq
Ufmb3+mD9m/A/lyOoYJXQfrKBTH4d/qga/9Gga1p8oWOK008bf+kD7qACZfbm7I4rfkcNf6f6IPu
r9xcUzmOB3fQF57JtzMXKPH720NchLAKrb9Z/tzqKW2ozAUrsrPMwmfzYD4YHK+2tcrw2fZYDiY8
f+yd6MYuk267HG+OJAWR3vKPAQGEsHDr4zbkss7RwF6jRe/RVNQ+JHmyK8MqgAdukJBvdknaDrdZ
FTCSDs0RtwbHL7hfG9wNd1YtjpYVXNKhL89Q+RYuD9DUhJy0YVnG3kiMDwae+A4rvCZdQWqhlDXY
7Xg6JYDsbxobPqtHvGxp2CCmQR853afNkwd/3sCHhFuaaZ4ud1SBmL7rkrpDVVHclFCqPGfz8CdU
Yuv/8Oy6vEauWrDOthDmz8+u6WCUpNEXw2RY3WU5vK6idKeNLmvroerXUGawyCwN9b6BX4jdpHB7
Yn2Lk8kk9HxoE5swZXYR5fisZaH/5PF5vMN+ggbz6rtAKoSH4m0L03R+fnwMtmXejBO4D/Xi1rTW
R6SngsZyzr0O6UIg7+yr2DhQXEqPQ80eM00rZz974WPvVzfw1zH1h/g5ZALTxn014gZAfihu6GHB
JN2bmFPq1ykG8N/J5fWOe7Unt/zFq1pMtKl3++MdkA/zzVzPxa7v9LCfRfUZg9dRy4oIQofTFGBI
iO84rEi9QIOcd4asp/PQWIfOTgnN52K4ioSwLA2su5DJ9dH1ImsdUfxeuVN3PztcW80q/u7ACruW
LjJqlNgXQk7s/0az4WhHPYoaDlbAmj7CnwetLp137tgFpx9vEIhUw+8XzZ+grX8Ef0rxr0++p4Qv
bOk6AKud5cX5w0evCCV3npRxPU7STeUGj9QVZEcvtFip5rTSW4o2DYAAB8ukHSSIWFLU01OeyGcb
g+9OVXm1bRNYEdBJljYTqhKsXMujnRQvrAG8TQs2ajexwClnfQUWgmhs+yGBQSntrU2WMG04FTZD
OmxNw7I33tx9C6U178uloar0R27ucSzXs0z3NO6uI5jzd8BhKA2amiNFgOW1c9R0DAI2k0zwMP6y
sqWQKU/hZ/cDH+q6vDShqPdQnj4iHZPXEk58Sefws9PX3t4ou/dQsWivWFoSqeAXGH6A3pc+J5zE
I19NGKWin131Qhya1gp3bZ5brBjlp8jDqu4peOcBcvGqt0JWqIUZ/8kLxQvyL6+U5zO+eHgcyOZY
LpfwP75So+0MmdUVNEqUNC+E6HGyLWnXJlAOXpksoGJHPwwvKiyv5mRJaMpzvpKJf/EFWGTySkRg
24Zy5BESq9N9FQBgqtKrroHW7aoSQ7OlyQaXQVJFWwgLHaQ/SUllizeAKBAZdq5O60YZDUKisHbw
TdiBKdN4zcz6PCbaPkOWJQ/g4lr342TcxzQrnYPUeGKWK/hNe/Jo4l3XddOtDJU1h9jqtkk/6zXx
Pdo0TPonwLM1iJRPsSk4bkv7GAXbtgqBvrrjFokXEObElbnH22OpYp+Tki0llbKKKLJv9s0BP92h
c0gcV2wcqtCyjlZMyDnI6XMpC4u6CWo1HTl8LV2DaSVg1W9SQ7MqqJbIq2TDPPtuu3SHmg3tI24C
hFJN4SJk+DeJOZ1zhIAxI7LSK7LRaeuSv2UPv0BXrK3ldtgEx0ltY8r+4Exk+tC2nb+pDJggrSCl
MvTAiCSoyrs5vfAm1zu3CQ+kJZ2HubMfytL+GkbGE6xHTX7LeJGOJ4mqoONN0zKWthFl8aaDSz6h
5WjAAQKgIv0ct3Z0ditvp1oHZdGIa8YCAtxorGpbiKZFuRCfU86PCET6o25atZFGxgc32OL3okpv
eZgKa9BNmn8G4jPu8Tp/mFWKw6mR+74K6hNhH4rYaOFBHX+1cNeuGlGjMkSb0XYx+rmslybE7xOY
doqF+m2mR7iGxi3rpUOPnvgYgtbmnFkU/ecmjqujjQkpyxKMoXl2Hqueqnhkb9IJHBs7hGPUCEWA
uAvPmMGfyo4SonL0sh0V3QQ648G8Tly/MFWZx1FaJ+C909apMY0kWRRvpO8QaoyDb1mfkVCKzL1f
lwcodDce66J1FaWvyrSuzjAzDeCMJM2LUYVsrSVQsGr6HxRnfDJGb8lk38Efa7CF4IuZDGrZPHYa
RXAQTitvq+HJ6iP61KPgdfaGdycQMaMOiSG8/lq7IcrAMessj+FsNTCyk/9f3AAja3d/TlnuldEB
/9hdrygtDClBIOlvHquqLs7x97y0qiPx4WcHpo2Dr+Ggi+ydtMNLOgVUHzkJ+G8oqsSMZUl2038y
2uaacRj/s3qIX+/VlsmFybMd33F8SzneL2cJgLp0SboThtQafzJbrvWgqIipZJSv+1apIxuZp36u
c5Se0sQTPfIRkepiFDI99pXHfbUOLzXBrJPjmPdZUbVnbNO5ikj3E4/g6rvnfES5Rt8jYwcMQnop
hGEb+8VVLbYVzl4bzpDWxcawuRahEjjCHPfUsQM6VXV4jJtcPGByU2Rid6Vjjtt5JsQxLKe8Ttf0
k6CnQjzWfffRu2Bj/3D4/jta+4931IUO/tNxhqfIsz3HtdAZPYft1M/X6QI0npQAd9dBxBUXihE+
ISQty+JaF9HstEbIGDZ9IvRBEciKHNRtlow7tBCCyaCVdf+VdOYbnTlXqr7AeDosN2QuLn/yQH8m
fktzeaBw5XxQm8pDX/jl3KVtOG6zxL5h3geNxPcrCuPJEtxhsnKmNxHC0I2jWB8YRKrHnBkPv8B/
/xiW6eKXJ4tTqZS81sgIUohfqOMmpH1h9CRMo6Y+YqsdzhXg5lJN7Tm33IVcfB+k6Sf4HsX+/Pvp
oeYCs3GrEGnPR+AvYzqd0WBdOjUduGdJ4bLxcjCELC84rSsz26TwtghC0pWUUa7TtFT7slABdgg4
zMXyy4/f8Y5v97SRYotyzRNbL/M0LHTiSs+MFAMFs+ZgU3qaaIwKs3ESETWfDmUjNifKlfDrbjuF
G6oqOD9U8pZSIooWW9gRCi+8qWO1H0N4HzWMCruPHmfQOv1k+Pv//im1fPNfnlSL0z7Hfc8VpqLO
5ZeTQjNKv4gNSHnd7H3Nu0HTOJLvaAyHoUISFwU8X7GChDtp7FjOdODe82aD6fCl7hPN+1ZCTc0v
ciRSDDi3hkG8NXSKDlz5e19H9xq7v06GZ+ng7ICx+FbDnCPj+IQRQlqx+uRE0Ptkzm5BZ4DiOvkw
+4otIIYZDATZuHWXPgkkChqzjoBSbtNFqfN6981rBIculunYpMV7JS00U8lgVA7JacKFs8Jv1tC/
N66D1rVWnQfLCr7o1tsnerCpyl5AuNBU1OgBmmrTQ2eS+fVy7iv9wN4hiZ6d0LvVeXzCif4KmHkN
pnkrjHJXg8mp0sI5y77Y+QHe7cBDBg+N5j0aenuPPpSRH7HWDtPUyhOaUU6xZucVgJ/B7aNUXLft
Vjw6wt5PVPuG6UizHIg3xGyT57yyB5TcfUMR4NlX7ffWI9KCoa3nMbcwa2poaW6kNo1FojLIRl4e
F7R867QUeZL12Pdm9KpHxQhRoGdpdoQ+Tk5hGsnGhFRJ/ofZDpgJe+VhOyt6gdNg6LcN/ktKqxDv
UUlLqkYjEheH1J0byhNfu9n/RnHEu+O67FNq6Zwwv5918Owlhl5VziA2YXAnoEmxTcBinqklAk0/
OW2bPEi5dh1h3OIIdgs28q55JzluRWno8gh4+YIY3L9HiU0vce15l7yFUa9a191KF/NMK+8ND7tU
FNv3mQK0juatTjZsTpG23l38jGv3Sx9mzsFw9CWy9ZfRBf6Ydd2Vu8gDLwMbHwJwjlLbOXCSO9nA
6cuyAqgV5r0gZAOpB/J8XkDuVOVlde/42VdA4sGu0jyPc04JuBWoN8Jve+4kexqxV5yOMEjMvCCl
k1cXNXUXVgAhBiB46c1knuPcmg9DHt7OvXtEcGwZn8vshv7wR9OvnthKNS99M7+kZIBm18V3Pvnh
U520Ryw6/TbO6Xk0DbJ8qZgh3ub+xejpGYya1t1yKPPVXJ7K/iFPMm8HxQKfkM69tX1TRzq45Nm1
NrYjFptBSTjCPjBmZ/C/dOgPIAFqEmisLm1siZmWTEVZR9dL9ewyCLLKSF66TtOuTVsXXlET+1Fj
UDytnLNNImd2yZWHRrTjDt/AaXT4ZiPLfXyIUAK8uwqe5YMTeDRfS1hsheE/gBS8zoxyGxF/s2uI
e0VbkMghaLnmgAijCmIisy/g8WFThBm5XB9491DrnUk+1GWl61nLpsGy7kSCxIr9l0SNNdTmDnwV
a6FY3o4LXTNzQKJWxC2KIsJtiXiS8ilcew46fUX99QIdoDY7wNFDy3RefTcN1AIFGIG3YleR+pCA
dtzqWLd0fSoBkIMjUpbLVwxYT7o01bn1Rc37nLm0Fqe5Nuqda4SEc2AGz2P7GCGZ9hmdtuNcsYgY
vxYVhoqeBDrmpq/D7GOp5/zKYjC7j/IvERi3vmmo0Zxze52EJLh15m3wPpcwyLiVhO1bnWUhfD99
zsPx1TKm+sZvqvQU9QB+AAGAJnUB3DLgQdsiP8oSbIvdHth1S+1gX1KtlteVPoucOnHa7HBkS1fv
DNx3m7Apr5MATIRP31uPDIiR6J9tossYRqmNzIJL37mXgLQhZ29YjCh99GDmgD4CL26pNLfJaUqk
iSYpDs5V77hx4R1D/hd2tjYIVy7Ml5IrNx/5xZKXt2rNQB9z+vJv8XgECPYmT7U/0VA9hETHed+j
U95zSUo3rZ7fHOWeuVHwZWXEGAHBlsgRMA2TUAAZ4ibemiGB4iycT4PyqE1krCoMyotIZs844pkc
iGEyFqmzb1b4zvov2h/5aVv16M2aBvZQPVsTJI8hbG6emMomeOZPso1uB+5BK9ELvEOliwKiw/u5
G3mO9RKShcigtHHxWBfsUgFIB1WIMFhPYUeDrJH4zCC+cYLg95THyXsI8wjj58SaNzS2vmQBnNCQ
evQhUHQtDXEqC8tNXpkRzQvpd28k6VsbtJqFQwlc9TSqOnzwLWc6YPFlMshjykVQFeYc90TesfHH
AUnwoCmP/pDDksNe0pqv3OyBPxAoNCz9aNXe48CWaGPOFfOTEe5dt9coIKz8Aj9iIog6pvjqMRWD
w9zAfTXxiCqkXvls1kyCxHiF9eLOQQF1hEm7Gd664YSHUTUIPwUHnhjjNmdp2qHCdBskRk7yYDjE
8Ot2vUG3LRFtyj0q890oBIUUvfdk2SaamPD9K+xcOyiWFkqXYrgU0WwsiATMcf15YR3u1Sjubc2+
cAuPdZVzPTxGdNFSqAUstQGoQzEIXdcNbSQxTppNu8exdg6KCeSgA9VoHiBcRQZ0ZdkyCsztaWAZ
eQAlv558OZ07DDGeNKp7GelvMLG5K43BEU+uXqvCmdcJrty+BXddRNWX3MSY6dnt3Qhxet/74nOD
lEIH2DWoKMP0JvS5lE5ivCFWTE7cvwy+Vx/oFJWrySTV+q4H/4MLAA6lYfqQ/ncxE/Xs6bxIOtWs
hZ+q3Rx7eiVSdiFYz9jt5O8y4yacLRGgRGzGaWz2emiabWZTdtg13teAjjXMtFj9OjqBVsFsF4ek
WVCZQfqWx/37ENQd7VLmapibO+WV2dakU3xV5cURSde+IRzXrxsXj4r1UUJA2BpeR+1MhAmbMBTv
uTjkTYDbnivuGYIz6iXe3NMQwMe0muY2Kt2zXEI7HJcYsi3j3mcVVWtnOxjDj1kM62+QPPvms+4z
m0AG1zq7oZzMw0ydwEg4lyjSZy/BmBnpG1pkcJV1GCJavBwAOByeFnN81Mh73DLieccSFFWeC3RB
B1bkU69RSporC1R003Krm9wpYj4DBSkzfwnjStz3uLcG/HZTe/AGcr5yeqwbIN9MY8eZw/mu91Bb
faSDdSQ0XUL5hZTQfI+9/qWns+u2aPF7tXczmVOLbCJm3XYbt4DoBwssWEEFnV1DE06qkk8ioJgR
YK5H1AUD93M07TiZqpB6+hakwXosSFjkkQMYkRAerdk7AkbgD0N2C75knexRwLD2xbQp88xCmQuf
beShlQS4u4L2/j1h53Za+CguWzdfzi8zLOcK7A4fNP+2lhEzdukLrF84eaMZnSvzb9Voz+e+5pNj
AVMvWyrQEppdo3GsThBKD1gG3Y2orWFt+OqZ4pEDuYzghstNetYkDeblT6b0A0KTEYWNxLq34LKG
c+voeFMYlVjvzKDxt6XOeU6XYJurxwduJV8tr7FANs6KQ34VH4g5TEh4zRc9yuRcAqA5jm07nWxW
Ixzeq5ukbXlOjNA8uZizphpGlWD19KTs1jj0OWj9Ela2GSpSGGRK+0o6F0qtK0lAzHfVa9Rl7iWt
8emAUUimbEf95BdKcYYnLwzvU30fSvvRao0jglO8IwmTQoNs3TtHpjtCT6QrYSENRg4CufOXjb/z
2Uuno3TsahfHLJMty3kygaSBAJ65+GVvtkewPVxWKkghkMenawmmC9CYfugLOItDWrr3BdtcMn5U
2o5BsWfZwGCja5xvgE+O8C2gnD1aDF5xhDaii2tdsey22JEcVVrpbUTydShoi+ldxD4oickxMCGY
JGJsb0uNysl99MNJrhCnvEtocoLqMt1e8nDazZ37YqqEkh/Tv69Cr7jzZU8Ig4Dlj4fg4vLtwIQf
HWQqdjI+lM6tg0H8Ni14y2g7Ls+0yB86hQ7e42tbW/1zSEvE1JXxeZycnbas74YqP6kC+oEFj37l
dUl446ZtCnVEZF8BZ6Y3aQs1Jw4cb+cCTtFW0164L4fw4XCiJp32iO8jIk/xstlpH5zKE9diDB48
Z8gPIqJT6fdvqGZs0LqVPSshNIJC5ru+r9UBma05e4Mp9vUC5PBFcyy9pU6PkGke1vIcFlw3Jc86
STL2BlN/gZWSXROw/S1EoiMQtWpfZ4Z9nJLyJchMd42L4T2GVuxmH8DJvhRBSwuASg9pE4SngCzD
TQfGIQi5t09WeNvyRruZzNQD+8yOvsgN7/zjF8pIau4EcQ3iA6+U2xmfssqj7rnInmoQc5dCFsYl
Z7rGcGKmcLEouiSggRTZoqVqTcuVG1rFQ9RXL+RTCyzD7Db5sQ1i1dNXtxyLU+sm1p0ZkcqE80Ev
Dfgnobz+LugA6nZBYO1BnDfX3hwcXJ4TWeOEa43kqLVHr2Q7Zpvpoc3AwDq6O3KMq59ENwHrsG4d
xchtEhgBbGd/0lW1K40J6dkpyUtGjG6WQfVYhEMlCw135edszIT3UKTRU+qatBrF3KQaTElrjLpu
r7b2CDsmm412z5XyuzmTo8YYAC+r07cjdqUR7ncruMsT6AQ9Ho/7Ni1vutTrn5qQbmKvBblbV/0Z
stA6BKmA9yaKD0HiNOcmxEFvd3A0itBI93XuWM9lwPQ526U+pQt5Io3Bi1A89azsMbvL2rp91jOw
BDt/WX6IQhiY+PGmdAOIiHmA+TVV+gH6P9Yet4IT587cliVRRO684qaJuhv83jQ/MOesZiTPVU45
w7YNuWjB9vow7ecxkvoGbjWRSxhHtdr+0NhF27EeKEcYIvT7bsaIP85kC/XcXRMnKXGxRsj4XQS5
2pABPaR0VM9ZT+CO3ivqwEl/D7PczFZwqFKHTmnHrdCL5RbEM86tntIU+k2BPTzwOSOUVUYArsOp
Utu0Y/gfC+vSoghufrROcotuSBmcypk3TGV6N005nhj2igvjbBU7XFYVqaOqK/TT1EYfjWeqG+ii
Epw8SVSsVLSZFmo89rK+SNdQd4VjtpQouO0u4YTSqcm8JH5mckf0e5wjdX/5kWbO+mGJw3WcEkfj
pSbBdEyCjOUcqunUJfmtDfnvNuDihVgV7JiDHNBHCEODs9Cpy6ndzWwebIypVJASZfk+EphfU8ND
xWcQfY9E5B0GgO1WpriEhxRlhLLr125BhM5ssNgOuUOnNL76Hw4yWhXsT3B8buyprnewiThnZMp8
VcwH8CzxyxJPelCS2LO0BTIaobidEcmD48TBvmry8JFWGpJcC6kOl9dbV1jMgNhOeUHyqx2hBaVd
VDwjQvebIPFfG1ZVxyqq+yNNu2pPsQkZdMdpDiZA4Yrc/EvW4OHtRi/eGBNu+KLK0js1tIv3Ru/G
kLaNtvIvMW7nJ3tgFnF7Z1vXiX+sAtHetEJU3IpOTiOMJ3Nhb6aT+dmcHLq+Ghg6VL0fhgp0oh2O
93gmntlgWduRp5eLufxqQJQirUcZd4Wuly+WH6xLMfVQHfACDEaVzSec2AnfRdbcCxXV5QMXeaBA
JbvsqfgknaQ7mib/hQzZxpmi6YDVqpugHMrzbH6qCJWH7jgxzFkvUGgeUn4AOGk2ouDinXTlkTQJ
jC+t1FpKsDU48OgfKapjrhvcCKQ4Z6oPdMP+IUYZ29KwEi3340bpfaEjOBFRfTK7njQV7/gOIiaL
mwkSOqlhFO/hxaHW6iatYfHh80AyNfx8ZUk2rE2O17DR6Fwx0e9gKhjvQKtvOyQAkD/xfsQPshvN
stqRoIKKsvQOEkm7xROJ89ip33GBtlGqjmLmLmjKBsrs8iGkaWlc8ZpEuGZ5WHre4cDwsHnJV8iU
ePvNwjzOJ3NuHlqPP3NpG+4sWX7tJ/UprFh6jhHwQb7DTWRlBgLsIn7W48Ekw0XjiH3HxDibgX8T
QUGXpoOAZIOi7cv3QTJF9UUcnYFKjOkY78tFt/Gx0zq5cYMbkZO+axF2yOEpu313L8qRy/fE02a4
hc9HpgvpW7rxvGFmX67IrMOV27p22F/DDpvZj3Wj9lnThg0V4EFFw4ouccUVetoFuT4VgpLkvGqr
g9OiyiJRA7+lkuYM6OcsbOwEwdDwTwOqmNF8nJ1vhAcLoQjhse8Q9L8XZeQc3QIiYCCi5saRvDpV
8Vr1pnXbquh+oOl4NxFwMsoGZJQ2wDn2aCU1DvFV7l4Mq5IXUEGfUeICbu0YOvDlmtTD91F4Gce0
XbGIrNdeDa1/effNklCW3dx2Mqy3dvGpEDEG4zK4Up/SMPGRBkB0Oo8H28qnDWHUlDI/9qfjiOOe
N3pjFNc4L5rdbAPdqaW6C22hN9pm4Rq7Sj9wtkx3hRVMN3lIBToeBoIGLDkKoY+5OV+SGT5Q0tNE
ZNbUhpYebpPGucfCCksNh46/dHn3Gped60/z3iEVuybpHzXqITF5ALENZ9DDRpzWqcUygOzBIMB3
+H186UZH7GVkf0NioBCg605Twxw8x4CBUzyZrH19hCDEBdu4IDyVfFbpLIgj4wsZGT6aTvEcRwFU
vbrh8KQDCOkVvDDgVMFmbotiR33W69xRp9OPjeLtBRklUExIUT5960uMWDRGrFKHfi0GeLJzAReP
APIWr4J6d7p+hm946aBQHKvBIEvo4SLooFaH3oNnBp+wKNVXlcCt1yaO/imB400P6wye2IXAp+v1
lCWILm5S3Hc11rLEx61DjfLeCLwdXSsCL0r0qY0r2l8GrBH9ZL066bxXfp0e4Qb756rUdHSo+hPH
DS+cEIWRYuim+my3U3kZ+H/alIxUapb70vTv8ooz1jg2dDlMDg02RprS58gvoWnmG7RFQlWQCboy
8c44BF5bFnGX5ojkdk6C9NZSc79rBL4hQEWv1pj28D4A+jiJ+z4jX6zKEe5PLzhEsLJbTZgRaHY0
CMgNnA/xOnCY8QVDpvji9OMJECRMuch+jAPCj1PMdTjmJ5UjyQ10ybVr2+1W0dWODsz8D/6QYp8C
642gvNvU8sId8jHlOsF7pveP1mhPV9es35w2odyotygUj6xzjgWaMBD9jibjqFuJDihilJ+DQeq9
24mrDD3+hzkmchR1ybaY6ZfkKrB2g2Z+DVJBVZa8VAW1jWbndVCNmw+naaPPjYnBwgacdcAZRPGB
PTHnJl+FWR4T/BJk9jp1TbFJ0EaKTFV/To3smZnUXwWpcpjJiHfnVEr6Cpw3jXCK3O7S9tEcwBsB
Y8uJq6N0t682APbOsY0XSImgmVJiJS5FNZDxw33B/4aLznp6HKsQijuYNLuBbJxooyCNsByI4+HU
oJ5eAEGyu84OeTn40MG8dq+D70GT5J9mMX/LSnBgHsgLgknsWEN/N7cj4SxAjFYKqIJLCbV13ChN
CkLJ2eDzrofT0E+a11TZG0t9m5SP0YOT0KardHIJHVEdRqt+queOE6Lj8d5xRwKdACRyELnZnJA2
i/N2A1fwccKKeLEtRHUq69xHxzXGXYQrcVPTOTCm3uMcxa9daIe70KdhIOZ535x5yooN8wgZB066
gX9Mpyg9+Cn3wEa3h8Y29UlHLdU+wbCPSn8+zzYEJM4LhHb7fT1V4XksyzVXOD5rgqXtsi7b1jEh
oArz5F3d+ROzpn7pXXGbDdNz2Oqt5XP0jbpncmfXbnaRB6XeyjGljYcygcaBPTIjx638A2blFIsg
YPRhfIO2oNY13Whbb8SW2RUPFUrWZhhVxkpREQrRChk+Lb50scWWrWVoc2zkGKmDLdnDd4S/tVW4
t8DHdoOUZwCVX+EW4mfhwSQc7lS2wAfsnEdZ+eRQ1WNuB48NDZ0pkpWtE8oEeltf6r54yTN5Sxhd
LwWzet0Toj0ImD1rQdxoVVOYNjlx8yjs/gpXeHaXU2576cuFsOBVUFtiSRjYSGn/4uqItQrjFOyc
7xmhtF0eUTXYBP2x19ENM1xwDZvOWFlI+OMYAsjo5vcqB8JYdAiMbRRehxi5JzItbOHtl3JEKKy8
s5nKty52X4voWJP82Eca5wWB7ulSe+Y1baDXJAL2Yju9g5NGf8jLT87AQFUXw70aw5C+iOFaEOMU
nDl2ZB+xEQE+n6tp04llPBkI+ZUcrzjyjZhyGi0f8yZ49VoKudpIsVcf43fwQY8ScWhVk+LfdTGo
DzkT4qCXRvQ2eV+YEqsM2Ui3SbZ2Te7LKMjRriVltuHc68N647pYBoW8R79dNz5prKXTgdOk5ITB
Z2v2q3UF92zNjpYzCEPvJFBi+AEDH/XG8J9aUDeyJ1UdniNcb3/jN+XIFOOumL8/YxK8c9oIBpbH
CrO09qOrjwMfXdVeQQhe2oc9QCu8TtNdUegT6DhK8U76JjOIGgpG6nmY3kRqvcSl8+xk0aby+5su
F0dz/u5E7T41kid7Tp/q0BzXfzMdFFLicIzWNPVkGs24qrxHZZenMUueEhaFInNhJczF717D//GT
K7T9URf/XlZTE4dR98sf/33/US799u3/XL7qn//q56/5983j/3r6y/ey+cvlcff067/86Qv59n//
7zdv3dtPf+CKFnfTff/RTA8fLavMf/TYL//y//Yv//Lx47s8TdXHv/31vex5u/Hdwrgs/uiIFwIL
+3/tpH/s4/ntX/797w56y/zNUZbjKdu3ha0w3f3DQe/+plzpuAquAPZ6gcnknw56R/7mm9w/lW/x
RcIRuG9boDfRv/3VcX/Dxgl+zHeFa2PIt//6j5/77yaj31+R8IMmxGwKy+KPpiPhWIvz6ve/WDIC
uHkwHZkmD0M61mLw/8WZZcdE5K2Y+BYJJ3QjEvI+u4gNokW2yvoe+OjXrmtId/mBdeITC+bBYTya
4abhe7vGzlMIjvpaB0JzPsDlYGk0HuWN9CM/0K2YkwjN0XNou4OIggfb9L+Rs37Gl0vnSfw4DV5w
0OV7NMPTAzTUI8eI13aYy2NT9fvxh4Fec4FsK1nuM0bcjZkxEveQnVdiOY45PvsHK+8PrtPPFxg8
O8v1CVtl1DKgQe2hX+n1QPPOGsYWOzst9E6wg8R6zCxaGHdgr9zDbOED9mtQVV7cnVuaQfosvtTA
GnaDkVLqNAX9uqw7pguOXeB1c9xF7XCq2ehBamMWqGS7Mmr0gSgKm9VZCGJjaLz9bg7zrwL20RgG
GpeA5qY4Ow86EB8VW+9tBIdiOzlPvQechX77lVeZpPo1STovSz6QLd7zdKQa1flM0ZbldfSvtBL7
RuefBs+LYQD6xrYaWNw64byWNJ7DU8jDU2WkX/u6sg7Mn6/aM6o9OdGjH7IFUC1jSZ7w2KBH4SzL
dnWPrpXUn6PlpERSgtaOKTyNaYcbGohTV8UnfO3WphTBVacgekxnLEgHzUeN1rqDVcIsJ29c+RaL
wT5Pc/wY1gKsa6ouprS7DX3D8BDaZAOLpNh5Bvi0qKm8LT78T33DhdRhZCBADhN6XgozmKce+GCt
BZagsXTnW6buQ0/kK1wuypPy/O0UfXUaTtSp5TzUbsaMFMHmTcROAYuMR2uXWyZp7xCqc1RxL1ji
ioGFpSTLR17w2Lp2XffUtLHY0pi2c8Nw2oavNSapVW+3R04//s5vCFvXRfnot/qLn7czN6lBbh2R
nowMKj0dEih1udneGUOJkm5Rj0pW1qApbz9o7uC1DCnjy9W50gWdDcF0tc3oUDsBG7LRjnYpK0nW
lH60t4Gsb4fxpeol+3tYE9vOgrHHbAZKv0X0t6tF7TevLTofde2UH3jgSkOUFzLNLKKzNP9P9s5k
OW4my9IvVEhzjA4sKwIxMiI4iIPIDYwURcyzwzE8fX3IrLKqbrNe9L42aZa/JJMYgcHvPed8B91/
TIm7G9G+7fRbOqO3p5KTS+KATXJ/SyayxXHtO1UHL+SBp0c3ln/KhVzokAyH2aFaGc0wbLESkkKr
KEZeLdY27VV39AY9UqrM/PZoYfdAnhavli6jS4ruZhCj7ptqvONgDcKyA5dazeroKvhrfHTN1vst
CuQxDlTgNla0lotVFUlS+cfxNC3o58TT8ccgOPV6SnCY1dXVkhxwy3wvpe0gjlPaHCUxu+lmfqSw
BVIk9q/IZQRMuieDKwcsEVSrKcC240bQ91oP0d/3DnW6vEfCzg5G077rxbtziPIcHbwdhD/+TqWq
VhCyfWlc/Bn0PXJIdhJ/162xZ2RK03CqB640tUryd0yn9RWnCfEN/CMLjm5YbfTYsUj3Bvz85sEm
qoA6GUCzsr+bxloZ+El9h14FiMVIPSgxPEOoqB0ZPn0eijEzcEtoe0cRGdmR6Mv2Vme4o06YAF8y
p76VrsFZ11xubgRfzFH1qRcseZJy57JFT11MH2L6bAZjh6Mw3kprjKgzGfj64D2qGfIPYPGuw1bq
NwowQIpI5ZjDW5k1Xwl/BL98j/h2nxi65banYdJzy/tFpKhxpvpgaoa/pUx7u5YRJlS9U2MY0VrB
1zZ3T+7aw1eROccjDiyZKVUM1mubg2csxjNuVC/MYj/CET8BiZ0I7QwWqyV6GXfsPhqwmTwbRr42
U1nkRwf7Gz9gxvOvDUtS3hTRJGeuMEw31c6qazcE5AW4cqrfnCF6jHM5Yivqr2Y7ndMy3ueSH6YL
4D+mvvmQskTZJ6RGNz0s2TBYXIwt8qHrzOSQBH+bjN83mWgnHFc/ceXpXRF0Z7+k2N2IGRHY+b6x
8Ulmlu0EsWmESX0aB2V6rz3jQXaYvyPkIVjwAyuGNOXDT9M9zToR2li6SQylDy6vxwgDkMt/CLgY
dnMPZp8CQWDT3rKz+c8EqRmhjTYs7JStpcqi85p8r0R+mCs8mPgJYOgLbHURDPRdEkVc3GkBhEmq
EBUZpQHF3wW3z4odpV7088D6ddiBekXGkNDssxYQvNf+mQGnzLG+lkFlPEUVlAVDsoRhHUTu3FaM
7eyPK7Z0LtzfgF9j1defHfwdB8iiviXNLcwuFU4NW9usV799TrQ8FnHXRLx/+8J40ub4vd7vFi8X
YsKUvttRcshzVtIphjiaR59Lvy/2dDJcJa6j0JkDGFaagG9s1KfUIYA696akZchGkqHzWgCVBZ40
kuBYqiLsbf9Eph/43VWXPc2RTIPYX8C7KCDam97kbq5nIO6k0q2sYQ/ipfq3DSpD0oycyzcLrBRS
PH3FHSjcFjXjhjAHomT9wXpBDn0GOm0stPYUFb5qKO2VQ8FaQvl4jtdO0tCgIn8M65wahcgEWOr7
0K7SOIwWk3oza3xlqrXOZGeZM63ur9vK8bjiQaLU/ck69ejCXdL8fyBgFVZp3gOugv7hyGWL1a5E
1fXwPPKS2ibxQNF3mX1lGd0L9WJgsrGjW+3T64g9Z2PabRzGU/VIEQoh7tX6aip1aIxqeJ4dBXly
wZMmZwyPkut1mM5gcqIrXmTaQ6kPysfYg0aKemqMGu8aDwzPdE8lZWyHMV1+wbp513xcbQ9Jbnao
TfTqC38zHsTR4suLIFdPozAPyOfnNlc05MjPkWcPgXK2JQZYAuPMurbbLb546TXTEpYpAE0Yo4wM
t4keoQh72UjtR2E+LO4Vc+r6Yqdo02X6ZI139Uv/IZgTl1H1zu4pGBl7rI+ZrCMeUYgTGuLHsCT+
hpS4t6e2Hbniyc1KdsRB+mkay4oUZashLdja4qvwwRrTjIMQCYJjn8hPLIUwNwHhru//WwrC52z5
8wWv6HTEiXYUIHVP9lhyNxOMlvYeoaS/Q/7uwjKeTPoMjC1lAtPVM+pLuxLV8dNEDYuZaRWiR7Cj
kIh50/u4q3kMjPTtxI3eTKuZ8YF7kUdsoyl4cUbnflHToaf1Cv2R0gbUWQyHNNRCJDhRU5c+dYV4
1tr4GiJnPCkgU1tiPhEyFfKxo3sMl3bAA8/jw29/skH6T+BzfCJ1sQWIPOD3JMUjZzyyTDaaFd1W
LN7ya5CjDvjJKa1rjuL2+J2ky0Mhze9ZLvihJv9tiIrqIKphnzcj3LWmP1kUG0Zx8eY0CxAj+ABO
dbBRite7lK69s9DzwYs8g+9T/THdnmG5PEM8fG99v6BJh34827plKZTeHmQy8SdsyDmBgjhYzItH
xmDmbsDBUHVAQmpAAd4ZhOaucuIXd8QZhmkbNcoDo8ka4dgUKf5RXpVO9EHSgpew1dMGiLw5i6Wg
l7ZlCZFgBDMUM/zo8N/04rA5WUtynHLg3OaeRBz3tGPwjc7ZroE3d+AwWhIAIMwQR/4naTqwrGSO
7wLckzsUB2ff0FmwaRibL5D8FgLGo8f2USMEdHPosn9DdKr7p7Zxn/qmGO7KgU/I0z4gcUg5V4J3
d0oU/qNxUy6xudbN75yZEtCxphjHHR+TtSO2YLdEXwsv2VLsqIOYj3lGDzAHRS2r375n/MXRfcAB
2fAoqj8xTrbnrq/ue1HMdw5aQZtUX7L1hgNV9etGpzwuU/vpDwALTcdVh2mYnxXoBTCs22Rc4EIM
w3JuSdJWpX9eyjh+aNvW2nEqeTQD8bHkmrbnZua9xOYsarJbQ5copWWk5RLqvWLIoqA25zNswI2f
mf0Jbh3OsiGOj7zRUul8r+Pi0NWoX6E/V+OjI8FqT8vARGNGxlFAdjYahdRm299tZRQ3z+QMFFkP
7KrkXUaxQDimaxUPqxycWeZ7yWVOp24tdr425LbE5dSaUOn9gR+2OIIckpdY9PTCIfDMI//2ET+Z
X7Twjcf8oavFsQ5A6iY1wdTInJYQteel4zKKtfAYfLFrmQWwTrqf0pGX08DQTEC1RJInXRRIlq+w
LHIk4WNbRB/4Gaxdr7GguvqLzYq3N1jTeWOlGf+SJcxtixMBttJBR1z2DkyUYbQPpl6SEEO82/d6
Ddb8YF+2/ewOksMF7bTmHINPCEou5fI+cjM4cXyrjHWpbBGn5/7QdeN54CR3nn/HWUnxQEpms5Cs
TMV4lsujVfDY65xQoJRi3gUUjqee+itioOBF931Z35eeLE8RsU6XzO924FMn5x3t2a8SVKy8jnIq
+UpNDp9+P3InQQFv8hEbq8t1QbXVe+vE7YVSMxYGawNq22GviHiKq+benkRymuDo2VhAfJG8peVq
R3LkvunQ4+tJnQUMFZthskjMg+tPVMwV2dnzR0BDhv9nMoTBm6TAgF5xJTTFtxFruuTdNsP3qE5z
x4XeFf7RdzCdjOIllpwQNG9U3fXUjPaw7MYR+kTOh9P4yAy+clv4fZJUa81jsjVgM4ou/0MBTLav
s9Ps/jUNVviWuqfeJ6ftiFUIWoULJNc2aIDkBMQOssjuhs65r1vXofMFw22JHYVgydZMJGeqwfsx
/BV+X3jtrvBoUUAr76pa7D13YlEXP9CjOkzCu3pVkIQDtT+OBj7SNeDu5+zYjLhj8UQWdtHfBbX8
yMunPvhLCJAowHjyevy7ImXSwA+AalIv31lf1KxcIey6nUpwZ7k+Q78+DeIl0PZ379s/cLkP1sro
7ET+4+SzfchsXs908Wx7jkY8Dajw7caL34g9Vo9lHxAWEsa0j2b4HCMRPj7uZeNhy9+Y/tp7JYsr
VrEJeR03fzzZlEov2b0vJ9x98dM4Hai8UVerdc6VNr5nx3yn1/55cGmTN9fq1ZF9z4bGlTPLyH1T
KlK45WdgsablVsqUyZ3dfBSu81CbxMh9xFrXeqDMJKQ3ZG/13d08+PyDDMFyKvhhkgbdpWKPvGAK
NGEud87Q/OK+/FFI5mDQNFRaX+1BQ8H2lh5E/JRlp/D+jGmVbascZwXfMFUAN8mYUcUQ7o1uPZvy
ssboo/bjEv0gyP7py+yjHYkW195z5fYRE6h1yj365UwcUXrs5k2XcVpCiwWQFpm75dY3/Ky5x9sA
Heg+mYsjAF+Wyh5Fx7MBv8Yak0vubPXqGI+q9CXwEeQknVRrCPZVJ0Gym0b97cVLES4O0qrXf9g9
JOkCOP9UwiEkXLTvenRm9oQr2/vSDp53YR9Ws3LkV80XDdO6c/yHWFXXgEQ38EbgQZaSEN4iykEq
bpoCMsg+d/4Uld/sS3u4OMJ70LWor3PFM4FoZbd3NrkunPvW+sYpB/7Zyvd5Uu883IGXmQ3/Uvcs
WuJg5/FIwGxHMU8yPPc7US7QlpmKbNzwY+wc5pn9C0tvXqdddhpHWv0sYlSL3z4vBe6LPNfVvmxw
Znnyg9fu36KbYvZMTr8d4UE0AHOp96VV0OtoggP8vylPCbykqYVuCtbswrFLAJZ1aUy1i73U/WnC
cD8JoBtYfzJRvA5Ox5A1LJ9uNG50aZsX9lEHAy6j3Ugyga62zoSbzti3m3PuGsWuibM76bbqjEpu
bCrKFmqpPhKnmw8yhZdMizV93HbOCGxFX0sSPQzzwVma4Ve3NgXbExCyysUxpJDSj3m6ljgBata0
n2KwhYJpYY5O4vhn4vWfrgXNefqU9IN/mBzUDp/xwMHDkPDODxPghmgprJQs0T21U/SAvy3aSchD
m9atf2ze1ofsCyD3cmbtR8NrSBFCFObmDLyqrYNLvHZ0GME9GIlLUAyga50c363kmSvNg1c9Z61a
zhQLWrKqrnl25ykglUmO1ccV9u9lomIXRhStZ10lQQmPP8qQH0vlPSXCZ8E3/KrYt4bsdbASv5UR
tZJNDv+zLfdC0uZYK/8piFoKDcDTrbuhTTfZmJD96WCWQl/zipfPKHoQnZrilgkD3GzBx5q53Rr6
6OnQnIOwou2HB123gdhO518RPxdGT2KKlCe+NfEr8X22lpzQEXWojAM1zLDZrbhXC1SH4Tym41ti
N2GtmmLPClxv35n6660v6/Gf15XZ5y32BcrChe1tY7heWzkn2Mi87II7li1xRnKRtRbo2YyL0odG
ECTTfZwzbDsKsWhM8BKUi6h3ZlY1zHSUvQJFoJdOGuVmsYaKWKJl7fS6IEQi23UjZJESoPVmAKfR
gDFrBJ438idqU0sSKVH/tIAKN4P0zmoV7LAKdqdJv2GYNWkY59WDaeueB+fInJl1B0qdOOqQ+fIj
FM3Ee4P+vCfkRMAwYUaf65JeruAqW5b3VkrGK9bOtQYV3Pm/Wf8gGbRPAykQeqVRU1vAjj5avMdC
bWPp5QkDO5Pjetjx7zmr0EluO/uEXi/PZFW1UG1IZKkNwYDTOwdYZfXp/c7bRybcawVW+FniGh5r
jjujtnldyh8cXiTKYv/3YKJS95hZCwMjAy4BJD1/33Vy1zQTlKvB58Qp9oQbz/gYY+qq70n5XOI6
5dsjkHdX9u4tYinaKLM+Ytb6yaniEi0PNM9fkTaO8baQIYhcKsoZUylR6X6Xi/8BouKzwSGkdduF
wtDvLa0IKyt6P40EeBOzVUyHkHsq7y8cggGTiXY5QWIVS9MX2Sycz4YbY3vNqiM5s/HE4OCOREYX
igQX0igLoMDdwvt441D4tLcFm23s+MW2qIEt4Lc9a9OnFnClyzrVNsYmuTWK4qmfCMTH2n/Ka9mF
48BRBRMDz5qJfxtUGb7O5pcZW2ezSX6bSl7s1pkg6Z/t6q7FhrCpRv+OGOX8W3gE4Yvsu+18+UvI
NWdUjXC52R7lceCFfLesvzI6DVI1frFAG5BfAdTQU561F+0kEEUNjLd2leUHOcrXVMNHqmLefWQg
KBL4yKYOwyB97XFLQiDHNu4JnzDKjCs+55bmfeDRB5yxURLGUFDHjSKgm9eWxtXDaCWvwGS4vGWf
P7l5/EJBwNf0IxK576g6PIr0BaZdealkx7Vh4pCeSx9KJA9EE7zwYxd4yd4VwMjjQN0Fw/DWKTs9
GwyDkOGyPZ2axtucTnfxpNwdwHXKUA20art3xmuDVbm2XR1G7lge5bS4u1xb7F8MVujgQ6ffJTlO
J00/68o4jg49SD2GCK6O/l5HBi1h7QekhpDVV3lpenMPm/CIPdI9kGggP3ozmT7DvO0pK1rT9EUc
GdcCIICNZ32brSXCuT1SVc0aa9Ogox11Yb92mF1nt732C1Glsv4L6CRiMOO6GoOIltDOpBZ07O2d
CnR6ktktgr6HfjV656qDXD2l+a5I2og1feGcehhC2+pTism5b8aUFdDnVEfj3vPNLzcjaThq2igz
wAR9aw/b1S+27TqYgplHlAZ/JwXJI7gdQkGrhmTOP+xuaNd063PEKL61MvbCAqoshBN2zHCMvb1n
GUeWJ+2VqPkvCLBXLTk4AKeYqJHoXp2aflMSkWQZaxxTGQuW1k8XfACcU/KpoYySZ+7k5a8RaF5b
V+7JzVgxeiPPoDRqJKoNvCd9L5vqueN2pPYcBxmqQ3O2H+r03hHVvG+wmm9TZdFScuy0jsK5BC/k
NpKvi3dwldhJGKwtKoRddoaOKIzSZbujaNDB/Ma49RKk9JH2wvlO1zvYznBWD9A7Ah92ylASMC5A
4A5ReWhp6bbK2duW0/Jmy6bdtj+53TwlbnurSlrPcg40W7o/v8bmO1sXfwap+AROGA1XT1J77Pur
m8g42lgXqy6emgnCmdfvK1Wj/wzRu1k7JmoQ0qed+hvhjeZmtpvnIcDdmQK7WFt2LpA/1xSSfu09
dwdx5Oq9M4BY4thF/t/BZKvAoDxXT9jX/mDz5bCOyTqYToFH9AU0vEoirCMdMJxyl9rYENQO8jgx
T6f8TAfnN5f0PNd8sHhebPemBPbDVNefkR8oGg/9m0mkJDBC7vfboJYvMphhI7IbDB6alMrxp1gI
sM/eA+Dih95beKAGPH5taKZYPs3bKBmXUWf6nJLDQhMkyt3OeIjWH1L5w8Gm7RuXR+DyNGqWVxmd
Jw2+1iy1ywob1XtqxEwEX73rpg2XjDSDiliusaq8DvxDD6JcOffjaSaqcnX8/p2eqeKcMGL04xzs
DY8k/or2YrJP6z1mrDB2RmK4ddwfdQD4ZeyxzUo+JcG+7K7rfHq98hguk4rqLTV83tnWNb2jfQ/b
YM0kepAut47rdGHfEkmR3q8krj8h7C178ivPmUx2wlucmzsLapSclPGTtRwR8bw/CMfjwo+Gu5qi
RI6rEMMz2zgsuyDlQJS4giYpPz9383Q/F/ajg2N2KziLn9pgeBg9/b7420R5kGISaON1M3ECsrkx
eveoFySVYqUpkO7Z1iOAo9p38tCikboQ8c2Zlt1cG8susU2UPpfKtE4wenZlfauEY17qjNq5OJbD
eV6x6X7PaYv9wbGp8VKRu+Hy9p5qk8SvMpW5i2NE7yBT58xWLyKJzhymxF4YVb7tJ98Io246lloa
2Bgg2nZTkm/1PNxhfJh5GHE/zbwa7jgM0uI4VFYIdn2bUb9+zRv0zyiJCC1n1sswgZ2t827DATYO
yb7zTJmmMPWt/BJbmO1UPvFnEV3bUa0Zs3xXMlczxUCuESOxfB3X8S0YeOpPlrGv/fJXKgjFd+BG
mJ/NeGd6Ps03rviaQMJiDUYjRbaXRy6Ko10YvPKM6BoZVnymgY6Iqnl05tLcr+YCuSQNUWLIa/3Q
vhaz/JWk6nkxJIVHbvKVvrWlQmW1fc2ydiK/L5i5i/zLsRCHZJOWmyCx3t2e9maeU7guN0i+fXPG
FuF9m8YP+B3s2l06c5N/W27whl5AraaxfAy9H++k7QE8bw7JANk7gmaXmNiocu0+EgQ62GC5Q0tl
FOuO0y5N4/bDyzgOEug0kTPH77n8qdv8L3irF5OX+uJosMvRZ8P5YsmRGr2W9Cykqz3HzQ6eR/9E
eTiXgZmRYqvy19JrPt2lLM92X/7FTA7rgGCNNRCCTAx74efhpxF2/RJZmvV1xhY2bd9YyzDl2vFr
J6rX3JXP1C7yCMmhs8EwO8nOht8eA2LN2DxtsKrEJ5EZvNAhfqkCYjudznxnvL4i0/4aqP/Ic+8v
IGq6pSBSG0nvH+lkZfVDOHRwjNBZ1/0zn1s1kaN1cfkztYRBDktjnBzaTlyB2Lrk4CHx5dJgFio/
Z0Wp6TMHfvfs5s4A20xmOxPW2Aw/kJrZfOckE7pIS8tIZfQMbdmBNEu6bV25cQDLb0SrcrZW0Ylj
s3/kQ//QNreokZmoswGyqIMIP/bgZ0q8Crb1PSLpn7OygWc+E8trv2o2tpsOJ3OoY2Fiancxcw5/
y9r6aCPOltW6cw0gzFZsxmzqMdi/fA1V9Mii6ApxuDzMTc+uDuG/iViqWcOwofM0M4v0KAUhnCGI
9jFDEkQZfjO5zG94C1NYyvRPLAuBDkshG2mmTULM5PLP/+HcVVx6SkC3k0s+rI5KVrtDR+eCSv5a
CfrN0sFfcylp2Kl0+LDc+GRCVLykgRVaqfk3sMyCzCldwO7Ab3Q0kp8xmsQMFaqsGNmjo5Op3bgg
1yy5dYo+Ug7Ll7askMyjT04zlIbr6C6u3U8x2BvZRr+SGkRY1U2cTOIbJcgR0VI8/PlrpiyeH/Pw
3sJfWzT7JYypgyyHbeGPvyrLyR57vnCmnwdqypansalvUZlWALpaY48b+cnRNe8cq7U2xczT2Jbx
l++5NMeOECEGzkvhguMypPJYh9OAiDlU8uZqHeO45Q/lrADq3EsfLNjRZKBS7FhOTV2Oj+WBGtQ7
y8jfcBVl56nthx2BYMR5yTAWEImhTkiyJ+qCJRSdnYbM3UftFo8gill2evb3OHhsTIkn7dWY7dGo
WbBP17XlEG2fBx3hhy6Vmoc8n5oeGIe8+c3kVUTmPI+PHkHDFFhra8J87gL3LQf3s+8d8auwBQo8
ZywoGyw+XE2hUTVTYmVowBpeCUa1I3GQxsfPosqy+658M6bHmn2xjkRHH9P8HQn2SAXcCgB27m5o
yz/ZbNyAcZAmJ2KnzYSu9np50FW6hrrAGS1orsPMescc3G2SpPfc5MVHl0NL9GtAL4V4bO2KvikI
62Vn6FOt2cVwjXJHi9E5Ao8EntYZW8d6akvSOK4D/4dEe7VbGicCxtMdPcIXb/+C2MsG1S+m3IhI
5t3cNrt4bh8YT3/aOiEglWIxZ8/NiorCDJ4PyZvfK2s/VstdOQ0+brJI7SzMWjI7qIpnGt/fq26p
8Bww2W2TYfoqbYbGURYfeODsY7TUL2q6lebcPebtGvZw6JtQcOkGNQsGy/lz8VVxyaLZJsAKf70J
GzAS59TKekRwFsZbmgRok5/bIzT1DyQVchr4gnkALFeLd6qwiDrJBsmUMAf8D6AAWeMQI1DidZj9
v1OnnLMJE3g3hjLDTF0aeLJKc0CJLsnjdFly7evl3Sld1gER8Cg9Gs2xhkQVav3srBvktLoYGEe2
UTcjTymeIDlcco+/Pe5rHnQdalnEmkGyn6b3hOR6+rG2Yi2z+5HFlMosCns7/WgttSikzDLyPsye
Srs/rmVejULhMqJsbZEVM5or7nR6c7Ki4QziY0puCyBX6rEPNN9vMR+HiLwIbsR++2+1W+KfB1CM
8xlbDqVj3xVipz2Mv5B38Tl5bwne6KKmDISfC6KB2LfSfgYAdVnihe255mKfVgE1796NFrvFvw0y
ow0LBBt+YVwcExFIzTzLZY7ZmONfNrJLN0T8PrDCcUdEJc9Iv3qR/Sr94sGCWLEJQJogmpRnWcQY
dZgQB1R1EixgBTBQsRCeHi1RqHNevQsi+v9rBFb/QmrDuvt/+4D/fehVl/4fTmCTP/CfRmD5D9MD
bYTdF6q663n8yr9Q2sE/XPg4IvBcS8JdIwf730bg4B/ClLhzkb9MeiIkyLb/MgJ7/7ClLxxhswa0
hBT/X0ZgJqv/m+hrwc/m74D0HLiBY0ssz/+TE8t9ohJ/oTY3ilcboajKfYOAtxgs2XnnTnfTlO18
981iNa6ieT7FiBK4ZYjq4M/wPG/tbG0PsuXYq4iczGQFbPAVB2cNQRd+RWwsgwrUDzhlkW9NoAob
e3FPThzdx8J7UkOK4udSB+QWz8TOQABZ4DITdPtRTSAPsRzEMRLparEK7PRRO+UjC3B8LxaJgDwd
LhDxmSMR96wRJWzS+QekuIW5DDUQzI/pPoDf9TbSZ69LZ8tmKpsc7lDlHqb8xYgoLMXwu7fq4Y3u
FA7sOvjxLdqbod3QeQmS31Hb0qvMm8/CCBtAcHLTCDUPVxEeHqyHbOOaTSVVcpzE+kYNzonJgaFj
I7VrTD99Wr2aFTWoJTjxJvA8TuMJfg0mMalY1jTLUyHmK7WpN6gUr2XVAhuP898mkynG6N8O4RTW
DPMWYxArepdMZMGueGsakDCQOlm4/5piGoTkjPM5p3mnjCLAGjqg5gpmViN9JkwikkrA6jYSgeWP
HARK6cqKSbCPjAhBHioWrCyvD0nXXRqd1CdLpUSUMbmZQ1rB7aHWGkxziPAittofY/II0cGZmbFx
WVIcqGCyaH9+1AIzKTnCC8E/MyzVd4UetAVq8GMvBHrMibxhn+du2BED3rATti6SXPKuUhlNtHH1
hyYobzvnZRZSf4iJYsCzA9qRgQ6qEBt8vHPTuV2HDK2tBbCzeLHLasA2Ayc1qs2jye6Kb4idqK/Q
czXy2EH3hO2FHxw7Klo7SuetxdB7Z6bA3QIapThB+brHmpcxVoI9xJM9BNPNTLLnKQqeSsCEMlHU
g7CUobZk64Khxnp0jC2Y7Hq10q2FF3LGEa5j+ehbVbC3l+hc23Z87Ik1bKTBE12oANWt6EJ2lwk7
RAwivpf/jSwIRmYMWp3tjrMzTLjUVdpsybzHWwVpEM1xFWl5f+1tp3sQ9jTuRysHPZ0XmmqM4KMs
XBTuQZkvwZK9JRIQ4AD2bkcEH50cz3UPhNCeWuJZFBhHplNA+UEUk0x1Q6Bs7B6W5viuPVa4XJ4b
y1riEH9SPhbBe5IaWMgy3Bl5bTwFzurH9nDR0IFT77lxqK5qs1BDmQlb6tQmX8f7EocBNihWjP7M
KD/gm2vXLTe9KZgYSHVma7WH7J9Bb2IOVY/DgMPLzDNm/6IPu9T+Y1kc4YHBHW0vy49rXoDRZQvO
2aNYdyof6tEo8SWSXKoJ5m1IbexqETE9qjG6oxXaQTcDuCc8pABjacJ+BLRv5etpFIQsfs8NtUFP
EwL4myfyl4yvL/TKND90In30unVkUnHFMRn/YsvGg+/qFufOcWJyQVxwu4PhT0wulY9NWduHnO4z
9rO5vSN5jJ0W49UsG1Q3oCp0DZAbrKL8N1VPn0lQFrvMLr+LlMhcpaitmjKO/kNgWKEdnLPA6Hcg
mNEjve6c+MCQJy3u565lDefjc06oasX0em2zt85uDnnHvNxYybft0QiIOrdZMP1uSwh/rqubrYyz
Z/ipDQdRj2bXlnrD1PduZumAzlMEu9VE/3CQE1tNMzatNC9RLYmR2ycuOufZJ3J+cbY4yxOPGNqx
uaUWCM8sMigWm/f8kDSg9OZ9Nu0DW3OVGRzKzQ4beqB0c+C18Fbklk0NHRmqIOrCyp4+aW+F1GNJ
ufHr+K1NlrNJ2njb0yZKBt3e5GacXhgqIxeVlUqTCk7tVnNMXIYu3fe6asO6Bc+aNGOF4jJY5yki
FeqjhQke0v5aZaCa7MFtcfDJyu/gZdnZplDJmUYVul1IY/MEMkHrN5z/HUkYElIQhGUKf1QLo6qB
WOSCB613QwdEo2iRtTplXvFQ26Ff6PRKdWbntT4mApZSswn10rfPPt3OB0FicJuynbXcon9NvTfM
uujaLKqYe6oTM+khLQK1V3N8aUEa41ml1Gqk/Wew3adatz+ixWeYrtvZvBCIKuQsy4BY9mR81W6w
OsN4lGbqYDbkFzrAVnyDwwPx7/XKKs7Cds+kX+dt1c33xP1j9nTZvdd2GxhZhAWXWywj99eoLms7
6lllmKJmyyK/Q35SqczlGuL0HFSKf4DFVdMA4pIFmfvWtg/WahjrqTffBxuWdR92PBEGn9mkBD2l
XLVdwmpd9enI/lEOR+vBMN+RpsfQZo1OIvIx7Zad2ebgxOws2sbzeFgDeHmLG5dgKYrFwpvb7aEG
av07BTAS5rrD9ZfSS0cqgdEjo48iS1bePBMGDw6OImrbQszYVIO4S5r3cZhOMJ+OZm0EB5RjVmg+
NPPBhiazEO1TWQOivX4RxIYIJHIVJCm6eg2Qd8YWv3fNZOWSHlQZ98g29NRwsZqwrKB69o9Ix4HB
ypNF70PcZgCb65BY0gu5FmNvJ/nBk8mX7dLYGZEnQcMYqDzXiNwO+6E5zqfz7LgXshovnLLI9L3N
EWvzkW8g4RzRCAo48DFwMnM/bcIuFI4OnxKFn4TvZfJlf5woMRxbeepSnypStYvS9lMn1qXHWPoA
uPCioGXMXRbswFDwx3J4H1rJXY4z3K6rG7xpVvHKvMPFMcJCqXg1ognls9+QHoh4Jjno3aS5M1aL
9xO7nW2pQGfqLMx5DiInIrUpiH54eR/ylhyzSmFm2bM8AC4CCpoRL5+YayqY+91kFjv4rP52xEl2
MmgT46UEJDX2siPKzat48+n8Pepx9I9UXy6bnHXlkgJUjCHZpyPbPIwM+wzT626M5nfOMFiFoPhs
mix9WzgD9f/E7EVVdjRM/uFpv/r0qh9L618xoc+9Zc8vou+73SjYLOf6gbTWsh2siS9HjL+XsfT/
g7wzWY6cObPsq5T1ur0Mg2Na9CYCMTNIBskkk9zAmGQm5tHhmHb9bP1ifaAqk0mqMpXVurb6pV/B
AML9G+49d2fniKuDtmFpMc4zElzUeNKELrjwgmEDXc6kDqNUcchYszN+l6MkOASnubtSHYiFsLJL
V0BCdBcA+l3S7HNkodQbBUqIBL6uEHI4FC4kmqm0YMLgvSsz5TKCRR/oSnEFJkViIkM012J8nIDb
ZFZpB09RlG/lilll9AeUy/hBw01seHwmRSPoYYJnYwE3SSrUJn1zYsG8qu7zbUFK5dlUsWJACXBW
UcE3rEOoI/EM+YFpcft6XlgMh6rxjAMm79cgHr+JUL7DWbpmJZoIZANUNC7eAzYY9iUT3bRpXX+5
tyT50aJXD8IoD1Wp9sz4eDgPKlIPsUB9PrVlflAhuI/ipHT3O258yEENWiWD+WnmfpY9sWKeip6t
ZCQNlhxalgFHpDUoyjvoZAKGRqOrR8e0JHs4ps/2gicQIG8PXXpxire6YqmaBcwFDRiCoSTPJ4in
vRfAjJAL+L2yz69M6e0U3YT/F4m6alcQZsKaEgwNnQHq/agsEX1L5uAGEFsud2wJHgpCTo4Icxci
CoXqx5BkSafbnpqMfLIKijfaLNxxzJNx4bJqtTFWJQxRfY9tpUwNtvrL+IASZJO6uOkz/lEJnvJY
qKIhFvwyGwidVS5WLxHzbOnWZzk6yA2bs0btcRoDfRQWfoVu1QkYPV9aMvk7RYEMedHPtuOQ/KyN
k1uubmhVD+whuz/Yz9UmhZN+AvEN83ey/jjQDcBJ1KwzuvzOjTn6cm2saHGm9cCHygoigZ1jGho8
BAADc7YIqLyn6wehcIql2fJCTBLshBHWezozsVy/hSBJz2YaeZdc1sQoVfuxtb964byUKOnDqOTz
eoKlQtb/yltuw9GEWzqBQCmjP2ud3bX9n4LdOmeNTAl3tYqwTiwn9IKjtlmZCUnQnONnZF406yoN
tpBgzp5I/9VqEZ1WkXv2sLZs2magYzOfmaBWu1Iqtj9wbHPxBw/wxwTvP6M/cD1Oc7uxUfNdiC/D
2lLeMashJwFKF19nfSEZ/lB2eF17W34KOuQd3lzW5bHcK0T62CyfbI96Frrf1lTjJwDmP/gKDnmK
mQdfASuzFAKQrqnAq7oZabUIMrGpB2HFIcdVpc34hr1ACwHWTpaPYhBHU6Ihm7V51lCq8jFrT2QZ
kBrf8CvrIiCVJHUwfe024jrkOguJRBy2Pbk4wQAQt7LbJ0XpE8YIbJN1E4A+4lij4n3AlU/Y67td
Moat7GZZAQ/9JvGc3xOQNZx2gNIdc/T21ujNIC9YdbuNi+cdDu5pKBtm0I3xpM1gvDi0tTFsdCAo
DZv0Ch9onH13BnI7b7SG3eQlkDBmgTUoeSgyzVHaSa4ihF0l4o8h7m84jfQx8uVdXrv3ceDph4IA
wghpIoQPlvj+C6chwi1yuLfz4lB+ggje5TELYmik4TiMP6Ipq0ggAdiNEJnmrUOQCp843WSDkV86
15FQAKbvOenqgzvA9OrR1JdNv7eGeHhUVPgP7fBixjjozEy8jLxQOwI31Uba05f2/HshzUfVyY1z
z358OjPn57HGtXlneQx652h8soXxA8v0l92hJErav2ix6DyHozCWdIfw+7ljW7zBvPKFDIeqoPiB
sofzhtktZUy+aS0qByfxk9D1JlyFAfpg8qbXC94/jdlfkounB11D40yN6OBL+1PQZtjWeHSS5phJ
1LYRSe8dYd7INGA5efODdmBzmzMOE+UUZxva1MaqtNzWcZRdLFCti6SzKiOYaZLeVTjqPFkoH2JZ
NTgAkHeZHtuDzrb0gbrt2Y0Cwk8V+vjaFrvOzN9N222I5kD2kKUvgmztY9zbzxYWldgsoxCmZbnr
i/ysOCWOYlJsyBvzCrnVm0pxH18zr+HjVEzKjSa4SyfsFGPnoX45LxEJKEL2tzZdzGtPkm4D9GQT
p4HioMuvbYr6F/kgGzKnPRnf8BLI18ous5VYbDnE0U0A29umV+ykg12sWh+Km/oOIQD4jPuKGt7P
SzLSCwC4ad4gbG6uRtNdbCLDM/LNtsAtyEhBLJp56GTmGjZrTOLLRnoZpLMp2VVUXPukmimK7Tvp
+nd2Zr2yARFwSKNDp6nFhxZNTp8FwJk0Zk14Xy5IqhVLtTgmYq+F+Le0hq1o2fKjcdkKiyI+awJQ
k1YSbN2llNzcdxuLDo+IGbBKU4TNDQWfMXbIKut40xBLdWTVy7o9Ok3+Xjjw7oPoGrukBIj+Kg3G
vqsTISK2+ICt4r6Yh6uTtqdiYC8wrqe+REJR9ICfhyz6SQAxuqAoWpko88lGWQIZVVwKN/jUhb4u
alZbtuFnXfCRBW07404YFd1beaoj4XGW+b+BmK4uGGQcNHpb6OiIZiWcusZknQ6VqHECcLCYKogZ
ByZlwuP2qjTetgrOkDv80Ms9/eJR+eW6SYUkbAzezU2ns+K4CnFBEkrRtQ8jBfB2NqiEPXOydk48
hV0iun0bZKjYEv60iMtcEFQLgsB86mFrI7evfuXA34kNAAGT5+ZzxeqS16n2so9g7IHaGLe68iEj
4Y/iNvHfhxi1A0JNUG7duKNJhG8+BUCPuuIyJvk+CtglL4H76Tin0dYfvk6OxBT9cGlDqNTSc1ab
J68sw3RpNjIox1ArfrEjVzwLaDxEdk13aH+zBmvpTdIFN6VF5mVnzDsjI1LTJnjQQI8+SJ+uePrl
k2fB7YHcp3eYj/Iu0WihryvwdQ2cvAmydWQjxGk78OKc/IH3NQhL/1C72t0mAouyEtlPoIx/ZhjO
Gy2K7zJK37TR6rPjO3+E9M6C8duUmT/zIF/hmzCQlYDpiksES3/je7SeuDakJuyrWFbW3QVbMVzQ
ob0fkpblsKzGvY8R70D0lofjpLwYGnTtnOdPXjzBd1zis50zLwyaZngwqI7RCe9jUXS4Hu02lBP1
SeaSE9Lj7tceUSw+nRymKKSWZk7eUkKud4cHeScl2+qCQA7f+MymKA55ZRhMwK7BdiUN68UTZNuP
NQcA+B/ULBX1lm9d+hxjg5gRaeZOcoJ4cXGG4FbUEyFDwfiVP1pFVf3Eb7N1kyebcVTYdAbByUn5
rDEXUt+TTTRHr3LkZLB8eUKJQuwsqZRs+VomF+Rl7ypFOHyj3mIzu7kBCT6jj/LQcdwTAE/QLCoq
LwNwb6Z8MHKGojpHTvChF/47i/4yWvVqDVF0FtsKjhuAovXn6Sbfnlc9D2L5JbVdEt/Bd1ImZ528
tu6dYUfGYW5FtCGOjLNLoRkI/kxF6pLOZv1sULDUhRh55Vtg7j3vns+S2RrEVk9iB3Cou/MYtYqM
Y87zCnQ5GWQ5pMnLsSdnIxKj2pQdyuoAMLbw3/k43YGHH1omHLOIQp149x2qm5Odu99IAtFHIIwR
eGvFmllSrRA3bxwvfczns03/zpRZidSWtzmvm6+l5kBKrd7ZpiMXpzl/5/HSbIPWfjJjlyTkRv9p
S6rJ0UJGmXrOAdLA2ZiWFr8UODeiPiWaJod/Y0aEtiNeksW+xl5+QbltUuLBwopxi/pDcWhHzEIt
qps05xDwEmO8FV1nnfmVw2Wt5U+f8cJ9MHt3fYqcj4mO3sGJyk1Gg8rBKV/qNlS9C9e8rm5gOt6n
Ds0LM3rx2uptIEZotJmojiAD8Nw/DqJPOami+yzKfsQlY9QiwjbEh2AG/jPWbph4Pu68+T2eEPyX
efQjd1+HHs9kijtlVzjpXdmnN6XtdjdYxDkEQXWtsIAYjHO3vc9pTJHHr3W0fnXN7yixma5gJQ9L
Q6yTEzbFyY9Ms2+0RrwkUfeuySYgGdwI41IxnLYlotwB4ZNZmremN77BcG1LaZloutPHmsWzWO7m
wXhKumg/RfWbkjjGBiB228WNQ/jOR9CC8anBitZWoEgY2oIYx2vPxTteoL+JF0lwUFg6hc3TOTNj
fin4lIWevb3KWsLPEvVRTg79g4dlrw7obErzPJIycpnH6Mx1yskw4mPLU0x7OSrtuXsbjMo8d+Tq
GKaV3kTl3pwcDF+1Pl/HwqXhTvcMKJatv5RFaLke2szkmtviySLehtlEYmxRV5+mvN5l2rn5z1ON
4JDp2qcvsLub84eTzZeSQ8fJk4MDoCqogpjv/3lsm0272I+FOR4bEh9KKlFby0PO6KbOwZfUbnuv
khAJzu/1/FkAcZGG0I0szUna9rfMXU6O2V2wqSP6Dx7q3PrliuVlNLoyHMweana/d5QT71Tqkn1z
DxVt76CfAYlQP/eVwtGWgTqO4/siOY6kwmz7mIGHUf4p/DnHoe/eoWFFtxG3xV3q86eO/dFvSuPB
W/z3aAj8XTzCnce8oI4Z94fFNAWtihUuTNYOcNiFyzcvEN+GUQ+adA4eXKnHMMlYrKPEnZ90zXwq
prhpGfxuoD+v2ka1ahsHavUpW3wGmfNjxvpvXHH6uQHZLjK8J7+ST7hf411h9Y9YguiqV1CbLlV1
SLzlPigTj8G6924Zk7524LM6BzdAZWOV8FmIDCp7H0kJaJ0DB0sckj1rX0qfx2TML5032G8EbDLY
HfC0KL4MpQ0Uyclz1EISDDoH/W+8W2pL3mmpHyelQdJYxPKolqCKMsgO8TsT/4T4zIgZIrsGnU+/
Etn+qU0QFlqhOYzGN78jmqaxf/vVsA98Asd1i2Fu0QmE4UKHWLtO7JrMu2Xq3z3VXPMRRE0RTx8L
pPzFQx8qRPNgZfgrGhPgbMzWrpPdlvnafPSTnPDAenpQikFNibyyMXGOlpkTrSPTlwmL4CN4GRaa
3OhHhtqGYeAWYKD71Ar4cXASHMPiF5pfsDWvC1g3IMKpJLo46ZxdguGF3aj0GYCTKuMjopC7bvZN
rvp1vWofR8OJ2Tr9kIX4nFl5mLr8LSLvhDvgCHdnRdEkB3i9eLdtaqqm+ClOdtvGu1wDj1h8vJwY
mxg1874ObLt+PZMx510AK5X72gYcXZAjXJGC3jTpWhvJgHsSPZWgpBy53kIuo0fgcQXfWW2/Z/rO
0/HOwZl4A1WHQXTifxuz+LULoE4kFF292X0qNBGxdR9zcfeNjSAIM1HeM5dE51jpGtbHbB0h0m6T
og4Y3+XtnSyHgZZK/ojASTKayfyjLFO4JgmAddu1vuxWDLu0mK2DiGsy8LxJPZiGx3ovzUJSkv1d
YGoqNqVGzOjNbuiaPsTntTKrGpcN7TK2w8l28s+A+h2O/8E0g2k3MZTXQ/o5OC4qD25vWoPszWK0
vgES1NMLorUDLbyxYuNrrr1Dk8FAV51dHyi3YSSkFW++U+6drL6WfIsnmdrH3iHovgv4S7irRCii
dZyAkt/PjWOCZf0IQTjU2tu3RCveR75/Sv3oBenQm4Nl1+wI0uys7IH92UbruHzqHeO+7DhNugmd
js5JXMWUCo/E/6zc0blzJfhvmTyUPNMdZp+MVTJApV5S3EfA7wNxkk58X8LEhDGhyLxm9JvGjEC0
4byPJm9wp9FBRnmPjr/45LfjhZbmShlN+4a+4FvWrcW7Wj0g4ulJ39mBLuvOlUbAi5MxSNQQumhm
G+8jHnHypzYrgoiYnSrFgO23QEVMSBcgJdNndBpq6+DACkeNWhrdBTePp06Aw06IgAhvggWdFU+s
K94CbIRhstryPPgJLNEYe7eEEAJ3weTRVAxrMVlgF2WbRIdMmcQtDXywy0mmTX1jz6F/NEGSWGpS
tzJJfge3LnlAZv9SpfQXRp598FsY8PCnz+QWI1kiPPkwOTfhoPJ3eEdtE1G7Yc1cXIPxNvg+AW8T
w9CY7YFM0oDuoS7YsCv3RhliQmvf+07+c05wGdO8T+FsL3uKag+Nm/WTXWKw603jzi7SJ+1kGtMp
CvYWtwuBoMaJEeN8N9hxQdO6qrySyH4MgvboT+K9CzgnOrZWW6sy4Her5GYwwX5MR4q9HJ4PQrWc
3jb5k47LRx+hJBl9+8O1Sg3MAfNQGlefg8Yns0wdW6MFpQQTEXUauSQnvt54ab8W3K1HXJV3qWgc
tKb9Jk0a+2fAm6Fk8Zp0NKIpescwbTy1i1NZcP6GQvqs5D1tgISgOxAG++gKPXyWxO92fdI+owq1
2scfVOowMm4QQ+GT35ei/a7A8oSZbAnelFlDaGXNSC9Z8dNuBYIdfArjqOjO4u6ClbfzUiYDBqvp
om6Si08VE0gV7Yh7mLcR1Abaoomqa0YzPfWhzGg8vdaFMfCe555xKpDPHnTePHcRyaQd6RVbQwc4
H+k9E2Zmm1YRuZtY84udmeaWz1diFced9dXF+qVKqGSpdOqQZ0GyYEUABYGCz8qlylaD2MGcZ4bb
FZJtCCLXvGSeZzhwAHy37sJmYgdekCyxdIwd8fwAFy/wqmVYdNGnMOTY2FH/jft/QxQ2VtORwqoh
13qXl10NHIyxuxsZzI38rmdTWcA7btwDUkD4AQdWmJwqWW8gKQHw1+rl4GbqQDNoHbkKcdvtjM7N
Qynjy+zcdA+NretyrpwKNbPoYXFQyC1QXJMFwT8a/yJeqX5Y97Bfm2iEBaTnsjmKsfqaJjHS7s7B
Npb4n5SOQSPh8DDmSpxzI8jR3yOzsYtVGSGZPCYZzXVVNV+EFBEnKRH1uaugaCD0xxrl3kSygOAc
JEq/7h7XiItIUgEDQRhZ4Q4KGl4To0SIpPk25liVG/QIe1LAii0pD1Uo8t+9a45nc5Hrfu9XtPBO
TvVyq1nxbMbeMa9TPt8Ckm43wyWZigslMAKC1H1KA/v3EOWYV2LzbPXnaslwYBeiD5dVh9CT+rFO
58sHv/K+EfRM+yoCuCL41rQ4+w36XaBrEl//qe+Uj4iYkbE9oBPGpgd/OJlc/rT4Acw41FbMbTOm
6HBKKG80P8lMMP8vQTRZHvMGTWJUsy7I4wZeGEMmhUo7BAv4K6jJpzcLoBxrUVKM091Sia+lqi38
AVReCboxSMjQDC1xzyNoL0QSS960IOG7JyPjPOdORWXLmVyZcqfa6DMlR6vux+vIogyrAMvZvJx/
QUx8G7x+2GGoPCZNo3d1RlDYZBkY86YJunZh60PQA19ik0fucn3rUMkzv6vPC1rcwwS6aTMDI+F3
4FlgIDmmpnLPe7QfZlft2A6BU7YV1l6bCi4CozLZdnYrr/V2FrJ5dhYGwHlMzB4jPYvkgFPusQ5n
i2mnhWAM7/6MS7acRdOhAViyY+bQ1DTkNyNLg6c16c+AzU3YFbi/2HiVpyCmrgLME85B2m+bsal2
rcVMG4+zUs91S2aKuEsWIDI6W3Cvbqq4eZh9/IBa6D/MrFoCK0EcgNZed03WPpuj77KTWF6C8Uee
NEyKUHy0rEUGIEBbBCJ+mOUzDyenhUiSn5brdBev4MY3c8pkhjS9QzIAHX5/IVtuNw+vJh58kL8U
1v7EK56ZqXNCH3H2DhC4KcfihZcUExkzfP9Jud0TBLNLlnuQs7lbdxJ1DZNAj3Nq3ybi2GVdcA1q
BpQu2iqAZLeRlO59D7YqpFNgwlJnj0Ek5r25en9Sj62gzRZS1DLetYIQIPaqRWgEcbVrgDSimwiZ
Fndhh8vEyJ6yDJmrIc2r5Yq9x74cDkkW43HiMSP0O2B6uw3pCHWfa46bZL6YHEDYaAiMXq5xB2tr
1gSDOYnTsO0onlrLcUO/XaBZVvMhqXBY5eVdMo3OPRpDWVXjdiyM51EH4x171BO6yn6j3azdYv1i
jZUt18UScr3qhq3HwTcL6uqoH3eqN8657DETUD6gqFjXlNmw880I0Qn9lVcK3or1JyRNJmrCyZFk
JumvoPReo1FhF4mAujuivhhx8dw08Z9Zk2RelwNIHnO1NWpUJDxYP7LGD1RaX0J0n7LlSzYqkO1x
3rHVsetPEMmnSSb2zooblIHOb2VD+5xqS21FVNwUiIkDCXHME+jAYbJcvelPLRmiUvISjtQLNql1
O++7DOb55EKjWUBQMKeB1T/VDxH0CqzTPPysPhZz+TQPwyEPiGAfs1+TVMQBpulLo9CFUq9uOTeG
EITTuXWS1zRX0SXP7okfoux1syEszGhvZa68t1irbGJsHZcR7fRGqcHZIXL4cMopZIMLdq0Opu1o
M1iOoDL2bk7Cmsm0qwGW4cqOm9dtflgt/XtVOs+600cv9sgM91PWsTZRIDnBL1utu3Nc7l3IbPdD
5KLxpIU4JITlKMsOcGHyDHwzsS55iweucbHRGLcu5WmygmZGRPbgIXHVpQUGypZvoEj2R8iBLXu5
JsCX1xKsu2VqH++zVJ5Y5sJjWgFUmttvWJFU0QqnalZMVbYCq6YVXbWghTUoIUNnxVrV/ecwmveB
w4w/gXtlrQCswWW0B5qVzEjoWBWULNc9Oys0axhT9EMaZ/zsNjvhg9bKYGxpl5AIssDYSK8ArgIS
l4bI1axoLrO3wQUWZwcNMNIv6CtgQwwCz4xKRueG4s1z9zI+tG7/zOi2erNM5sioLLGKqZPKNXww
dm0+7ta0cN94A9Q2yZdvvIePJLt8t17O7sFYGUDepeHcJQwRET3uOsxwqGQM6oPxmjX4JkRCl2ix
qDPlkmOQKN/G1IUsubApB7S9gt/YcOdrCOqGmmAAD2E/wMkgfVCmd8pn2eJrhuNFdYxiMHpguRiN
SsIMZqrz1SHl5lBqrSZccEme0pHB5xRw31dJgHKUPmPbMREKlWynXbE2CzrLKFXZJbndpHawLfTe
8wlDJY7wZiExW1ZanAc2bub3cDQBySUrUa6374e/IOZgCbLU8j7zlT7Xrhw6lrz00qDpXAolUSXg
BGDWNcDrGJCOl6R7Kpg7Oyvdrl85d0zMjrEJ+U4AZKJMgVS0uFlwII/WXzl5HsA8r7Guczvxbq8s
vQWo3uxco2J5xDmfHBYyBZDS0lcjZ8ALFCdnldiaGK35B3albjdQo3Hh4iTdD6tUIvU+m5XuhyD5
DIwF1OlK/stZnIaqYU/bgwUkBRLgx0oK1PjIV3AgAMFiJQk6IAXlyhYkt3fY99zp2cod9FYCIeLa
jVqZhOuadTVXkJJC8ANl97ReZ/VKMmzWbSQAis1oQjmk/Lth2mfkwwia1UN6iYJE3Feo9o72gKDP
KX71+VqSulO/nYIo2yaUcVtLwldsHEiLK55zYn0cdtQ5QWUcRTfciC3/s/6DIsumYz7o39PKb4T/
bp0Ta3wFSTcwyoUQC/DisJDxtWkAQKJeRDcJEtL34TbW9m+ktAtRQhOCGe8zMykRmFdXJ7aPiOhk
0RPfiCrIT4J75uNbUs1xSEU22npWj/j6oVMe7JVYaa7sSs6bEByVsTUi844MKzy3K+ky/zfmJfRL
BQYzrfk7fBYZ4FAEcEHWQisxE7U0xhrjlYQP8ujXkFg4kSd7buhUHUvuB4tfS9rEIG3hcY6mfIlW
QucSx/ZWSevCdL1GEWrZzBbg/lA2U1+q+yYmhgelR8SNf86n7CJ99znugHgv7v1MVCkzVQKrXE/D
2/HdI9oP/riSaKlawgBohX+gcPZQURbfqXkorC4/9ZPc43NGXrtM08GvjqMf6E0eaHBktiHAwZjH
qRqMg531L27UcFAQJdygVSRASOMEq9hNUJdzQLRwmg11mU1tHb3WOWcO2dY2BSiALHyBCbuoKbCK
fTf0z+R1kP+J/n9vO8CvfZwBddtlBzUMb2iwjlAf1kgajoi5Y25rEorNsvYrr9z21FrxawH4/Bbx
1zkDcRlMkYGOGqzy/ODTigwrbMTAJWCW6qwi8jkq9pMDUot9b93XuRff8freKgcDKFgZN3QwkZPR
Zx0bzQaZ3cJXFDCLpBfHu+S67ZVyFikEvBBI3zn5SsBkkoBmo3ehDkeLDHuk1i0bma/Mw0xYfvR9
YR2cuGKTL26aJxgi+1y2NC/kyxHH7PrHtKCzJY+cALahJuK3XINJI5Qj5Sm10ZB13qmMhuZel0Ay
2PQmh9gG/cun3xMW29OOFU9cYqCP3GE3x82J/ONzgiO8n7KfnQVFxvF9rrKWKECb0e5mygy4IUX/
2qc0JSgjZu4SQFRsTYixwCLnWDdT1lgQhlcSEcWbRjPlBfpqz6xQ10Ka0bv7pld5wNKdpgAM1aAw
wtqWdWRfUW46ZYwYgtm9jOAkkeW+02d8G0VDjreHUtawfkQVS+i0nLCC1oC94RxSq6Ey4BKhIpBN
jyp8cbcqqOfjGCMfnMAan2kg78aGTRS7OwEsJfcYgAbPFaD5bdOe6OtMPtL4jeAZQZjembPP0JSR
UKXqvTVbuFvy8TLaziO2013hMdydrRcb/czGVJN57/VUhp6BPnpyuwrRY494aZX4jD5oQpTHBHLy
W4IQTVPAyYRF+Rhn40efd5ylNgoudL4bwaotsoV8zJrWOk2WwxQgsjmoKvUMvfOtc77yJGF8QdIV
iXWfuR+vc4v20OQK6ywE5NSYGGPF89Wc4l+mkRO/lpDZZRHS6Te8PkKfXDWRmjg3LSMmkLh1zqxm
AR4N6snAg2GhCs9NjoLStd71gFo2QhLvQkvhLPkgsY9VGk4D1HsIbvuFUHUfYzzHDRFHbUjA6ESe
nXXplh/axlAioqRjFH0/9n65x+lxD0wEwXrl/85GDVXVoo1eFmQwiRUUYS+6izuy+mIB3+O3/RYz
fl5prK45BoZMcxcL2iFEmLmQc5hO0cNs282R1ZDTqVeqJevIGYgl00dcz/Vsd1AY4bcBHHQLevUU
sjKSTG0uL5Ze/Ub2xKpshE5Xp8MXQywHggquGbNY/QLdJ/tvfL/BZ7EU7m2sSgK5F3jg6err0/mv
RZDtwr7l3ZluRiKtE8NvbDFctlwpF96w5oHh6St5Dj8ty3pI/fY9xWT7nLtBv5n5jZF7yVLUfItH
LFhRSpsEAclqErlN06Dbjxn6cVIVmVKqcbrSOCS0rTACr15kkDNelu1hSmuQU1zcEZZKkkW9sI6z
Y45IfBoh0yy5V+0c5pRhvwTJkf6s2uMGXwMKK17Ipr8XJQWZacxo0cCQb8rITslYnTT9jRdvmXcy
gB0U5laPbMnC5dutRibIC9J3XCPTQa0jjmDpy308w/iiP+Gtgl+3qeS46rjRAU8epC9a4ZpR0i+3
kO5OkBkKPIslWUss28Z0jP5UiYqAQybn2KHpFVuHZnTKQ2QLDMLa5TvqbJOmksRJERgHsy8eZJET
n5oa3XUZz3EyL9ykeH3maFcSsiKj9ffhdyA5xqo5LqzEMenGF3vCtwSaBNIHmV5t+stKtH1QOmUa
4GC1hz+stxKcD4Kk6j6OatYTOTopshLqya4vdsYSd4hG9kztYShp7pMgI14+6IITYMo9e01+TdNQ
7Jwm++ML9IiDdnLI3G10WWkFZP089J331lpes2vdNt3reO3sFC9OlmWvUYw3yp3SZ+4U/hPU+70G
OlBA1N1NVcI00/W2feNsLaXbi/1gMmDarsYfjPnlsVtnSpL0gxbYCOSFb4eX1PFBn1ZwADZAQ2az
eIwFvoDIQlBmZlju00eytB36meBDAWsNgsTdcBSwLdGvpts9YmlV5xjqN3SK5kummEqyyHuORHtc
3DzbGSNkjmAJit0ENgq9Hbc62GQFsMn5Nri9x5FJwdxyvUgDikUiJjIFzLi8et/SafZdT15ewQrm
QDleg0K8co0tdaDPkURkWMzt6rVAyGsYd8EaTE8T13Jo1HvGkh1k4uQMqXjcIRNFbBzkjNU1GUHt
mtzmF3iJWuaqSY2KvZ8n81g4IpyqKjhX4tsQyFbjgV20B5jwiawLiBAt5XyOvRnU0qO2g+JIXkiL
ueyjZOn6YiynrvBupU3edkQecCZGEk15xFZQk1aCSg4vDNt+pI5wyUBpqwxqRjTVM2Q+9oFVMBlY
FQ2W+XretQYRAHPcthcopXsWq9xXivhnjcXsGESA8PPyyEikvyvYzh6tOfqKM3eLXoqlqj19xy0u
9mqBBzfaqMXdaVW3r9BLw4urPfji+9pbHJZiw3DtnAIvccHWxhywcvmtcbXM6UoB/iPu0semQXVr
MKXa9gCfNw6YmrzU9WObllfZ+6gC3CpDxeAdrPq5zIw5nF1xcZGKYeKihpqQNUxdkNzRo1Ghxi0s
oUZ6W23UBNjy7/6LWfff84P+Lh3nr8FE/0Pii/6pbXlXpt1nX6t/+X//t/v89Vv9y48q/a7V3wca
/dXH7Ky+Y6A3nmcGHoNCAoj+3cfsmBiZbdMhigOZiQU48a8+Zsv9V8PzfYl01ZKYll0szrTIa6CR
Zf0rizZMxzYxSV4gA+u/E2hkYoj+2zgjwPYw9l3XMwyaft9zV5fz1+dTWsXq//wv83+75OzQhmJU
9MEcbSvZXlGUYJcPnJstEeViF/b3CQKZaSjfcm4X9oG+eop7eAAFMQX7xAI32Izx8W+c4P9J0pJp
/icfTCLr4k/EYEhp+vcfrGSA7dRRwCLeLpKtmzrDkRFk9GgWCxJk80mwdDWkfWkwD9yxHn4SbSwv
//xD8C3/hy9H8p0EtHXkThn/8BnamgLJrVmTsZGjuEXzjssahSmI/y6l/kjMk4moIFQWMK3//v+1
g8XdkbYtCYZfn9vfPBfN0lii4uH/ukUTOut43NkOpIQZJzYcqcuAvpkZnb55QZv+F3/2+uL9w98d
GI6UnmPyZ7ue/IeMq44BsoLs1IQJC9Zsbt+xrxBJhaQB0bjYmz49TdSODHf4iJuG2/guSAemeDg2
PVVv/vlXYf6D0553NDBci/G1768/iH98DN5i2/k4D0R4Gyb0igRwV5PNp6BV5jWtCLnye6wTNmaR
AUtTb6AcCJSzHVFB/xdv5X98IQIJQcB2DNP0QX/wK//bp8KqCaac49AEqJWQOxrepim79n75/+yd
127kSpRlf2jYoAkGg8BgHpTeSJkpV+aFKEtvg/7re1HVPeV67v2BQQGCKpWWSYY5Z++1IwCHEv0U
bVlvbTrdiy2D/F+Ow3K2/ZI8thwGoZBMKP5Z6i/gQOnRcvOUjRVMTMZ2apzPg9Qm7REz3A552T38
82H3/n45egue53IVWsQl/HEGBqGtqsKMOla0AoT/UJIz7lZfOttEYTmdg5DC9T+/4gJ7+PMTSk/x
or6vPMe0l8P/y0kf9YOX5GPfrS1nmvYziHbgI0jaEqe4YAdloeCkj710UkjH9rl0avTwpb3LDVq6
AWQCasf95Z/fk/0/HHWlyBowwcMJ3tQf1wK5Q/g+GGTWyJa9HUtBfRqQbJ1IHxEI9tC7YDPZ0Shi
kKrTm1Sjc6DY/UqDI2YxXKL5ZMS8VkjHEU8ggFOZYZ5GXAQIiSMkVgke4qxShHs/JpmLXXPwCmsj
Ow2gjLv/88dx/rq0JVs8FKouwmQup7e//3KIG9tlyVu3S1EdMsBA7GUayfTodLSuCxA468YaP+X2
6LyjmfzRrz4YRR7vOpWRcNHKfQYT1STf9jVzJ6iQVv4Jjci4bT0FlKHzLrW07Xtj1v4RUYwHwsVt
Drbpvvp+Gu1tlrHUBdlvNwblpH5A7xSVs7p3AvK+8cJv/vnDir8mN8k5xMghTZ/JTfrLwfjlw3as
tQWMhW5dz/ipaUIDxUZ2sqX7CvPIdouP4/LbXLcbN0/n0+fGjRt8HfNrXo/R01jgXNZASo5TwYin
MvXs2E5+SotjE763x9ra+XP0iAcXYiqE4bCOMrI97GdjMruHpo+rbZajYELHGKzlIHYRCpittcRV
WjEN+EjrBE/EgCofPMUGHzZQVS/NV+yjkhermb7OsWZdXJbvOzN+QDgu/uV0UH9ecNKEYsIOGJyD
S7/vj2vcrYp4zlO69lQ++201eqyHl0/jBXa6oQ9A/jHYsZXyx/Bfrivnr+GFl3bApiydF2v5+ft3
Q0E3ZOpFDWGhwKIlG31zZ/PimCI/4f+9J+mBODdFsTsl2GWFMapYAW5O1pGWChZVyF7CzciWroJx
3VNcItvNm08YfCyI0CPm7IhxxLbzZl3map/LOtrCJv7WqolqqzW8kHc2kO+EZ8cwUKjhNSN7qU7F
Ic4QLnQyPVWK2SRRdL8LNSwZq8i///kE/Xtmw6UpLeVyRQKYYZ3z+0GQzHuxVBMcT7DS90n3ZME3
vsOrTZa8pkCKTcK/g+FMspfqAJPGHYKCPKu2TILp+l/ezN/fCPYUrhQ6tb4AkfPHyUDLZ0hqQl3o
n1ns3+PskeCa+pptC/0uX1Z4cwQCXlHRJE3YgLpRpQc3Cj/2Nr3wmBI8sFxCBNyYPrrXq3+Zev8a
h6WwyW4VPitVzld3efe/XMuTJ2LCeEGegtc6yAyV52xxkqYRQTy9T0nln4+G+nug5EC4llzWQI5g
6fH76wUZvgbIuB0VIOeCyJIQltm7hdRRbiSMUcqt7BmaQpweEwXzGvQdwDSHSgtbWOTMFEVRW6b7
XgFvNiFaL0azybHqe0pEeL7vEcJV93UBbLjsmnsSNZ0d67r3sGeDrQ4TsYEs4yy5H8ZxWvr9Lu0S
pqDwfugYqauoe3CFhXfFN29DPB6CQKSvOGPOjVhSHlqKcwMRIbgnic61GtwTM6V8ppf5JR8r/HMa
pWMSS8FEFp/pQsUfCr1lFgT6gQ/7MDpLYYjZAkhN+FB7KIIpPCZ7PZvVB1j4bIDD6WqNwxn6cvEk
zGYztlG5g9HfoJMr3E1gv1CgpsfjAaxn2q8BXpv9k4S5AlIh6M6mh5m9ESHOaAcRVOA3N6auTRtG
1Wn2SNUMFUq0f/5abZuv7bdFFGsagSacL9VihfHniEdd1ZgxkgxrmrHGVlYDgvHRJjnL8Eg6omG6
NVV49PxK7zLLBWkUAM3oQHLo2bBJsbfa+9T21CoB+boYB/1tkJbFtXVF9AWwTlLggYNH0l+Hsfd3
//Lm/x6uhWCYEFKwAF34V7+fk0L5yootGBBTNMOVzhGr5ckj4hrzbHWhd2eYqjlQRftqWBDXXDIM
XnT+mcACk2JsCm2JrummQ6Z1HKmbhVVlHTDow96HgLGZpjo9NJQ790n0tZiUQRN4oFk7IgCx5qzZ
kB9gI57t9L+Mgvb/cKkB1fV802GpyZTwx8fKxrbGGj8MaygQF6tWzVlJ5KxmsRtt7yuwGzC2mXMA
tNy8hNF8pgPwrcwD89KgLvIwwHM2pziChJxXxoCMKqZ8Wvv1fdz7H/3OzmDKOZ9rO/qvAOff8pt/
jQO2UGP9dT4xekvFZtxjFMfW8ftXkiPThXTJbAR7Fcl63BY7rRLzqmwoeAmZXa/jSEVQKjHvR3jD
K5daExhsEW+IzJZ6eKAfvVia9cNsuVD8BQqCMWnofycPqjUJpBno35aVjUmtHgS2puCpIIGRvbrx
OSnNmD52Ga7QnV+KkqlxGDEit9MV589p8JMJHwyGTQmzroqnb6FEkmRoOiK42uv0O/wdB4FZ8K53
anxZtUUSUIDpwv88NxQpnd7+Sqhrsg2WltDk19/VQCRPH4Us94L2W2KXewyfyZpcRkhOAbXmHPJy
T6AmQO2bM+tLRC99UxY0einQOpyVxOdtkZ2qvdsX71Se0ZWVKt2bwfSc+5qsBNgj4HxXSQcRpUsm
tFhVcesMBFSTMLFQmC5o9MVqouPvoUGnD3iTuy6xzsghuw909JzNfbwNuuSsSTlYU2a3NvlE/1K6
5qGUtKWyD8iLiocufK7ren5AzZS2rXHpl6hLYQvcrw1DT5uC9DDGGiozGRibWRMQBwb/A1nOqO/p
IKxQ8SKDyLkqFukzEr69AUFATRtJl/xIXS+mf0WGqXCmre3U8LgsMkDLxv0akWm+App9XHr5a+RH
wFbrPl4NC5XGKKcNF2KLyQ1AZ2KCs5rnaY8rHFK+Ux1BiuCJTVg30yV3AX/vZYfNQ3QMowKzCqL4
TUxUHZVP5FaDleer7JkZRGwDRdbZbKT4a/2KBkKJ8clZehnlI8/zoOYKLYrmrMOw7O2R/H7NgZDc
KROLdybSI0hHhITFcM/2n/TJ0PiexyTT4ty7s3HmpxSuVjwCLB3LRuJdwg2FzxwpLLwlMx5TNAzO
trLrsxPm7SaZpnaPrCfApwahJMcfpbGLI0XG6FScx5DVm0zlLiNF1Yai7/Wkiw3No++McgNT5zuU
S9xE/Qn4ZLnOZvWoorq/K/uB8DA5f8qbJNjLLH0t3PhGjxPEODVfTBrzoY/mW0PxeWXR68EZlx9L
Hww067E7kfTRrgv6j8PkL7EjVbIp43ZjzmW5p33mEIFxKhPQssPkTht/IZcAQgNMQnNZ6nJHarei
BF3Bm8OumtMCRa4Mu6IcATg7DE8asASUuJL2dbEpa5fHlii6MollP0vsJ2j9ySqloyqWJymmOkIP
WNKgr4Z5j7+US94ydhqxPBS51ntolh9OaJMNbr73lnAkiALdJUe1607regJRAgXpc6aLldnL75WJ
6K1D3olwjzFXgNXpxpR4DmYIkjJZwYzIUPDrHzMXRXdXF5uE2J5Zs2G0cjwA2i7RC3oKTlThH9To
3yvQ7eveOyad872M03dGbTBN+puqDCvSZHLM3XHc0OtjdrJvhYf5XreoBHW3z0eakI5lI01s4Ob4
ffWuw5BIwhIdI0mqSpPuM/YAXHkAz3xZHWKEL4XkMqkdtKhFxPHzO+swE3mFPMhH9YCQrl1EvK3m
W5LtOmBJAVcCFqImTKhvgqOtmemFnrANYyIZXf9lQHSAMM3FVR8WNmkqVri3++55W0a4zLqg6+7K
MXe2qmvPyLdejcL+6uX6uZ2oO4lYbeoSJbwkpI98M/DvgBBKEj4xGY4KGhJZJ9DPwF9ABXZxT8RV
d1AC+1dft6sWxAfFAQoKhV4UU4uvp56pHARYhZtrFUUNmlwsX6I+NXATkeP2r0ZH1lhmsBTNfA6B
02GisPPkCIkdF1QHjIro08XBhp/dem2FvBvMhSNdBEiU6yhew0K/AFP+0JrRJjfS7WS7J7ZHyN0q
iD4lhs6uhwwxu8U7t6SJa1f+LUHPmYykjAdEMtS8vZUjFvg0U0Stq1OWhB+06lmXlADz7DRHWj5+
jE0CJlKIW3jS/bvJTB8Y9EhO0/NTPpP1p0mfl1pnwHC/YECbAFVBk68kujG7va/TGdFGa3Kp5s9z
ktEBTfmoWTCfSll9dx1MoXH4LpzxADgTUpYplgX9VrhkPWruNhpb3ETIMM0ZgXe0a0hiYjmdwXFK
21vWz7C+g+Sb3QVfK6nbbd/cnMmfCGGINLVN3u+o1hFpZuSwED064t6Eqnj2CrjPTc4V7M1X2Xqv
Gi8Lky3t1aaBklwDH7zzG6xYOGo5pln7gnSLqI/xIxZWIu6KjwiCAkbKhiwAUBB3tS6bXZij6Gs8
wgnNGUt6Y53cmpQpAJO019ryAY7cR22mDol742M3SJhcLkH26UDspZbjzmm4rqFql/nNaZ3PVVDe
k8RKMwo1iDWRkYf+KI2LAdlNth/H/HtH53XrWMiGTGRRTuWEd6aCfl17zZ6gqAepzNepxiEuUFlx
dNP2aRzJj4zzAqpU/l5TK+D890CE6/hMTt/SuM0EaZNqK2xymUPrG9EdOd3+7tmbBxSD9rWaKOZ1
OBimQWM7waAI5jC7JC1PjDAiXVHiE2Z6TNtxP3LigFhhLkNkCVAzN2b6qAXuvMLhdRz/W8a+HnwK
eyw8tP1C1DAUQ47bgGFELb4aR99dmXingXMzdgq+1KIyLozFZ8wud5ZF1zLOgbMHbgCN2321/eD9
5LkXIsJBiqIztDHPJlR7CfI2PxBJzbL62PMRvCWqi8RjUMvYb8sB8pTVStS35Yy333I34TIfNcOi
e/7ihsCngIFdMP2fcf15Gj2+nVsZKvzkQ64Rd7Spi/J9Kg6gj57E3L7Sz4cZN+o1TOsvTecgOnW7
d8HR74xD6orPY1znqz6Ht6NTaye74Ty6igTOVBAggTawEt85ST76vonhKrHp7ofDdhKErGXIkEGv
ddDw9X7CO4PUdbwJyM4BF18oBm+Fi9NfMyV+QXuwMtKcKKGeecfXL16h2bPmdnM/gKncD758sJ1E
nd5+tEq9aGHlu7f/6agi90eEVG4gp0MOTEwQJ9aMRM8L10OYHqn/zEcGZ3eBq9bhtqYHcDfJzDq3
s36mO2Ocie1Wd+FEKbhdloJlvwlty90RG3E3uMXe7mBJjPC+Vp5IFmikfDY5TqtONeMq8fdykuOl
hlzvDuc61Cxzwveshr5blo4hP9X53ok6Yxtru4ej7wEqC0lcR4WOurwmkSBgCX4ftN4HrMBcp+xj
QQTSTC8bh3x5dJrsJXGM9yx+ogJPYcpWMTYYqUpoA6i6vE0yBM02t4dFbA/YK/7kq9Q7NYZTMxZ7
39qwUSennPMj6DR3n6RZskRytaDmVtVoEIKZSGgVdiyOs8q8rZHQ/YdvcFavY6j6e6ibT9qd5BM6
wGQTWhni20Z9dHMV7rx2LxLLuTpRITAwIIKqAQx7eRVt8UduOxrRaLbyc0J3+Z6EN3IMGzbftRzk
tlftQ2KRmlUSnhYnKjs52CLC3qzO6dAdBDJGWtQxQ30YFnBgccRBckGoyEWMD5NKIvKNqJTyYEQs
o1KDOCY6S/IKc+kiIk7upodAEnrDvDM68lON8Bb64zc9Dt658+fxGZFFuEq8aVvUXbYDvgsxTgMO
IicqXJlmGW3JAEWnypQMpie5sY1oV02e6RuwnjNNveeq9UeEMO3w3OgBZ9QwfEJJejIHSLWlUJ9F
g8RDx+YO4ad6t8iHAAIzThIrt4fjFEAz2BfRjHwXosVmThq0/ERZxXlQnqx6BsfjZYTyxRCw7O3k
k23YTaXYjFDv9g67qJVmSILCTuZSWAToo5uPFqL8NZXkF7tko5P2w4fQck6+jGv8vMmHxEKNpyX6
SUQQ4J8GOMMTmMAoaSsMwlg5IhfOrdTzQclCYZlJmPqG6kSU64dAZyeVMBW1KbOfOZNB0YSIc03C
kQAL6AqiK6mrUIhoJ7KEHQ5RZ9HQxHgHDg9drQVi0jzkowEKGG3cS1hND3YwD/vZMLODv5zMbUnZ
NMy1uvVUKFe6pnng5Cnmy5qdsFMFn7QMsAwu4aZ+JbvDApxeJ7brrUzrwSi7fk+FdWT9WbWbbPTb
M3a2+DDU7PjBrR9rzFI0XJlBrNpA52iG/oqEYgeKTn8Tg7QOGuzCbiIX49mI4M5QPOq+ujXqLWuA
TkSsx4MX9YyMjFOPCSvirYxGi8J96J4G4Bh3npxNuklxdJWVE2+SLpCPXuvQNESxwVQ1FCdpVvgj
UdIqq2l2xAwDMiqSHOsv28CmbAl5qWLruS6LXeXlBXVsjQkSpMVjkZO7xbr/WNVE/bFw8z9CBIjm
fP6U+eGtsUn81TLr9jHS8A8anwU8wf5dWV50mbcgMhqP9ZLVPrP33BCZRxA8yZwuXfKVKSUhpL4u
uAhZDvU+YvWeyOGur87UtsQ18uDX5uiemzK5zeXkbbJ2UTHH8YsUEA0HdDKGxM1lA9wmzd29r2vX
QYs+Z8D8EKZKXmvb+drZT+nW0F8pWjRnMcZHU/fygFu2XCV1BgqORRpcCyU2sXSHG1yme0U896bu
Z2yzaWvfzwYTLfHq3plWmLNSDuwc223cKxl9T93ETikOCjaycXKixeERgtwYNJn4NkWRki+QPnL8
ohuEUuhY9txtSdwU92T8fk0I9Xmc8G+ucs+PX8ouiV+srPtUST+kHLLEUSG5adspeMr78QtL5uqx
QJ+xHTyr9DfKJPDEzT14lCK9T6Y4u+9zTYhknxL2kPXuUTgNXj8wFJs6B1SJgWjb4SBiG5XmX9wC
bjDWxF3hBNi7wDRuw4ghQJfMxTZBOJcZssHGx+6NVyVOLkOgWZKT++65hn+dZHQGD8dKoSmcFyNK
yKKO3LXRDPHd0CN9lTFLb1XkV40ZZ6k6wIjluXAcYGG2R0tcMpK+WdDIfAOIOXkYnBKbj2cfc5uk
ujlOkwMKxGPto6XtQLhgh1q2x+6Y7XlaSc3Vc3aK2XQzpBBMh3h4bAXbHe0Q7zqF+RcUKY/ov/sL
BEI42ec0Eu2RTe7nEtQ3PHntP1XSGw4uh5xBZhDqUzDZ+bWYRblNc6LfAMszUnUk2kzK2ftxVW8L
VMlYCZgCofVZjI/K3+jKHvcS2FQJ4/mF3FZYx33AXmKqLhlg/GNXI2eanU9lCOCnnDK6ZL1ytxiO
8RSZrK+a3tobIxJmku2aK6stc8W2B21V2DSLzReRBMuUcxra4wpJHZdhDw0VpBG9StG3jKQh02np
3iIiwO7w+jfr3E7bfdSXNUo0QM6uqNwDMJAZq589bLqohpTDDLOTnvWZfXnDN43BBAQ0aaIdrSSB
ILOBppTnGv9Q1j1r7KFEb/Tu+4ka4tb35xewJO3Js9r2VOBzPODxHc+tBwEzd7hSqV7v65JTBGxN
eAkjCoQx6/St00JJ6ksn+9CiyGxI4byzDMYlewl6nYiYvJJKF56GJHn240M4T+ajV3ctgjvCgCYX
mBKmm2Hje8q/+nb7GDQZ09fYxxt/SWesyoHxeqzFrmcFSPjSdR4/jq39Yqdjv46s6nPidek9ObaE
BDgQtOb6TGtwm4xF8lDj0dm6SBP5DEg4UX73Bznl9cUL8a84nZy35IONW2swAKVSuqgdFNJvv5Vi
urUSsVEYzDn53QCOJ0cxPSjyXWbXn7dDQ50+8cL41HvB2lmugdYd9H3xrlb41eKY2F7lFoeZNEXc
BwmWRdZtwP3zY+D4xbWYKNS7FZjRipOcmTw+QDuvcFgO23J8RzX8jBZwuMwa0aQZk8esGhSHEp74
0RgYzeEgsFybZ3UuczwnDvSZvbSmjesgKKx6gno8KwSDhxnpZE95gN8AqHlJwFgVDuk5ppbhGD6Z
sW6Rkn1oH0NZyK9pNu1sVidzUkSHXoFwNBtl3xOhTiJJ+1yy7B6TLoLVMhETNilNulabQqMApZgG
hnV1YnmbIBuc5yWVM/LWBSuvY1lx/AsXy8Eo/QtQ5+ouqary4E4J5RBbjJTSsc6T1OfvxcDYVHl1
82gip++nKHoW/XPI1X+V2k9ukybFawCP/oKpdCVn56siwm9DewjLkiZQQs0RW036FeB6lCQ7Ma5f
p5Fk5BDiBXkwu7ISj4I57xluwL7rcF36MVsUM7Wsi2v6q6wixMuaNd7CAXBKXkdnT2GuB7ntXPuY
BmiP106JxNhWg23QCmYLs/j/7mwMwatgZnXlwyp9LPoXcnyjc9K1LxiYyhejRmefWvNwkFa+BnmP
z9OOUDLl9Y1Ozlc21Wjk8T+jbQJPKoJ3hSPPeSoIzKTfuVVvLb7eDE9FaoFrZo3YxqwqynjsdkTP
wDrX58JsnefSdKki6CI4ZhlhIJnlRace+9cpZ7PIyRNtvVSLdw27QBJMX72sI3OMMLxLUYv5IsJ+
Sxafe9JE0ahs7AlfFO1WdiRRiaHPTj0g6dMY1Rcz9gsi3MT4MGvV7g3dPoLL30UZSFUrQ30eFxCH
E2dhfizN2okE7H2w4Kwo1YCFNBvSH5MJNmkcvfpYaNYZO1rOjpgsnqkzLtOIeY3gEOfGyvZV2Pps
p9SACMXQWyRN1y5kY8vTh1w2UXZHGc04NPD9WSn06GGNdds+TdH4qZ1yY2eqFvtavZj4yXdZj7Um
3iEfxBHPtcLbZnwayLgihNodrkY/tLsEl86pzPTV7kD5VLjWLzThj+xSw8tsD1+irMtOrB4nyHBh
cSM8ourrK4r89zImXLVvBDX8wtwNrh8cisj80A+sETJBQq5HMgfbUN/dVyUt7sjI20tdUKkSZS+3
HYsGKr05apwQ+rotmk1BGfhIT3pe1Xke7Qxcp5jCsxsnOHSKGa2+iep82fRGUBnXoDPiTYkSlO+I
Rq9lU5GYu6N96lUYHah3gVdXjvU4jSQixJRH4JBd8VgMbcE8leDTCxvrYiDwP81N9Emzu8NkrvRd
NPS4CrsBpRDKBNrvZnNtlfxU4hneKz/rdi6Lxg1xb6/DMlEYM4VlVqDBQ+Q+Bd59h2MOgzF97EjO
928/lvrPNqnc+lgocQtr0z+M9ZBAwXYOI7U/QiaEqo5vP3qd1Ud41tZdaQLepkVx1d3UfzdZi9A6
ib8gpYeA7RXDkySCYwuO3D9FdeGfkJHWLNm8/img1013I42/uByGpo6H78UYXhs/LT+YDf3VAuf2
dRjgUQdpQgz7OAwPY2E6aw/o0SspwJ/nKeY16eUo2LuQ+UghoxPy4s4p/opJm5jHzfpYBgkVsLZt
b8EMyr6iFPMR0vLp7R3DodixaROf7EFFKzEO3WOfgoFhskpOYxyK8xRP4G8R7D+LImpxUAj9taF5
9/Zwxwle2FNE75WD34ZFd3/J0Q3sMyvEDcbFc3n7w9tdwih67ZajpGcKwa3TfqXKre9aTGTPE0Wr
jRKVYMPNC5M76W8Fl/vj29t6e4NulOzejtKkwxPFdmLEcqvFzSTa29tHzGNdH98+doRJYTMPpf0S
wpChLK7FN4IP397xctz85QBOonPWbp2NDyiipkOW5PlemnV7fTv4qTeVH5bvdYmLJBOH+no4Ej+z
/KCMdWaAwXTMln88j8sPbxq/5hWL6ahZ9gFvd3z7w8+HvP2mahFsyhFr69t/357gx3O93fvnE/74
M7PFPKnTz2d6++2X13i7mwPoFzQ8VtkfT/V249vbfPvtx93LefFKNt7Tzyf7eZc/P07iKVLpPH34
H9/V8oF/PII6JrwqpHk0if77UFQ4TzgCy1F6e/m3p0h1nx0to1qS8369/Zc3+Mu7zuyPTuETPfTH
Uf7l3s5oWptqMeD/eNz//WZ+uc/PT7poljDmsORYvraft//xbrDtweDUrt78/Di/HOyfj9OyZZFC
D/3nTW+//fl9tihc1v8rERiMCiNkiTz1uELQcz7UtOEY/Dc5mYnPYnjMe69ca/rj+7ShKtIaeCfe
/hvNxopc3WE/6O+l9lggUzAHnFS4Z5ed911umfUl0+BQwogia9kDmX1TWPx/S4Mt0FP9v5PYXpou
7D5Nv1kYlkf8iGIj4Bk7AhJBpXANY0xYBOM/sthQ2f8Hk6Yp6NuR2EoyKJrdomwWp4LhmP9hKtu2
ecgiJZcC8cR/uRgMx8XGYLmut4hZfoS4/Z///Zvw4ofVJPxWXn/od34VYtgIsn4TYjCM8fTkwlm0
CoXreX8JW1kbUmytxGZuhLNFLNY+iOhJZJXGqPbfP6rObGk+Pb7dQht/hEW23BTWP256u30geubS
LDdXwe3nY99u9rKqe0CO8HZz2eoJaMCvN73d6e2Pcpw7MuKvP5/y7Tff97sHZ/jz5tae+gdHkrNo
IaU7zbTtXlgi5NRb81fhVQQpp8P7wNLpvjAA13f4NUdPDM+mID0MGpZ1Irqp2zgO+zEq6+BZkBTu
O1M9FWRjb0Ef3eNSj55Dv3wBDxAfpkTft532H6gj7Hvyd45UWZGkmizu0Z1sYytsLhKn2eDH+gHU
9qoY4uxI7ZrqTiIPfcbmzIuJLSYIIt/p0rbYA9mf7Syalxbt3kjcbj+kAMR12x+GNjxLNHPAsMmc
H3CSsauYLZI5GzKb22ZjZgPRkW7yXYQUBrKy6c+NgiiilWZeS7L5hOUN/2wNSdfpEKSjYrkTWYe+
U1QvgB4p3fSkchKuVQCb7sMDZAckpDksjJE3tp1d7+QYElVbol6VRTs9LMKL5y0L2CjajJRMyamF
I5K25BE1gHPAyoH7Hinju/bJJ1IZzAMRqOEmwAx3Cn35vo3MqxvTsczIod90zniAo5BRdnR7cHet
fIi/k00rT4my5GlScjjM0l13ldMfG3RAzNP0NWofhKJopFi7ySmZM8pE9kti52eglTZvJzkYQWkf
quAjRWzzOJUQqLCUbUVDBY8i2EJpNpJr5zovWUYDjScmkZqZl3hl2pM51CXDqi7kuq3dxhwf+8Zl
gQPEsK8gklVL7nDosxWM5+kZLc/8XEOV6fDfbCLCgO5Mvt0WJdjWd2lmo5tIQRNo546OklFZ487n
oKGGCYtXHK+kCSQ9Nla3Kjc5zrQnjV3mFFrwJe10Rycju2ZdDjuyEoA1WPpOMvR3rSdJN/U994R9
snnQ5mQ+eZCIKGrdTaBDWRrU07MJRAyLSYyD3jWfoVfJhxbK6g6w47g2BnY6RUGGKGVgeaM0Dtwx
uXUVERJY/8rtNHQte3mcnHIBZFttPa1kaPa7mPBpijN2zeZO3fl5n1JFca3LAPs297OPydRExwDU
810SghZ3vNrbILURtC6Ya5lmq/2YVg6KCgdNJslgbfea6+6pdajPRgUkhobvA98MfNgYKJdPtxF1
zCJ1aD6n89AjBXVhAO+IRnyuc2emyug7h5lvALCexx6zHV68ipjnIKSZWLMxAVWTOx/aFsC4nzhw
qlqELPZC7vZ5I26S6XdDG0H51j6RS+ZU0nZEBTMOfXWKKZLegZh6iPKwvrK7YBdgFliwjTC7dI18
JDHLf8BFeLCdwdq1DjC4ZC7adSVd5zBkMFG00DuqGWoTeMZLbcBijUMTL76vvje5tVxbyEN7pvbp
PpIDuwMzC1aOHI9eCfG3n05wLu6nvNJPpEhqk2K9OQOJ4wL9OoAkehkphDZigbzXgALJSIMeDeba
Hj5PA5taxLjTPbmUN89144d4bpDafqmiOftG9sMIYXKqnowujXdkS1IF1Rnwjiz4TkiXfWeQ5H2v
O05fv+2OQDNgPpKiTblUrgztXduUjniWRLsICU6rqkVZBTPSlZBaPfJoKa6H91OwCFUwH4E4ca9T
EN6qiMEoivsS+D9Y4RGRjxBy2ouUrrJXwi3nCsIOEbwUwsOwDoORlpQLdMAe20M8oXEi5c/czpl+
bsylZ5j3w9EMQzhwKt319dQdRpSNWxvg2pXkLzg7hHp08ymQ07yzKggcs0BLXymyVSy5D23zNmJp
OHiZJgJg0M+RIjRSTKAGvAjibrizheWT/2XCiaq9p75dniKHeS4qBBNzrywkvqO1nk1z8aFH5zox
kn1eTgcci0eTXO5dFKgXGqf1zgCV7NWxPsiRXpyDDFNPqNfs1kBWYFkB2DgHnZ8RJB3FybY7vf02
Nd2XUOb5FmT4loli2LS2es8lKmHqHJI0Lx4GMBCnOfehEUwuJ15C5g8LQeodF2A74uiZZ6Xr5FgH
vTh2SrIrinaBp2MAioaLnAf5nJu60Pd6eK+JY7563Wg/mYazE279nUOdXtj/FmSGWuleWLsyict7
uxVfspQGExtRkiRGLfdeCbKo9Qmp071B7XICxtlG0t1UwaWJ46MBxSOVdvNMjg3jHJdtOtrsXw0r
/iCM8iWFFx5jvT5wAt+QVGH+pze4U4659rqI892RBUVYle1xrRFdHDnzuiLRnV33phT6nsz1inZR
8dS2KEqaYfgapOY3nUqqyzAVltEy71J4ZmZ6a1qkHoA0TxNXbdgzXOje2UjnvSi13oYNDK6WJt9U
8YNj9tjCOorRmucDOvO8gA8SdPWG8oB1dPL2YFtQiSRqtLlCgxazwLjLpkSBR0AIOlOcIOsJngJK
G9MyDpp+oll7x8jHoCCHfocyXL2rDVYOYq6+OIVD3Q74+db0oye7hR0RF+SJIjuow4ImgZ8gAXI2
MWzPrQcCmZBEyBalS3tWzv2lt9qjXVon0KMnP6XoWA3qnbzgKXsxlPEiCiazNKRTAySPnDVA9Qiy
431u9+PGNLFykOlNlUSvU9N+h9sQw3RW5BtVAkmrXOrpM+SmO3DFtCp848ljSLOG3NqJ/D/ZO4/l
2I2uy75Lz9GRSPhBT8pbVtGbCYLmCgnv7dP3AhXx/7rU11JH9LQHYkiXvGIVCsjMc87eayO/L+zm
lGUm7M6nKO6L51LUzTJ3qxu40slOJ/tpAahr0xp6vSeLbjEUPOa1O73wbBD3DaLYGYK13RQjxH+1
h4LWLruEQWRmF8coiE+dpAU16dN9UHSs9FFLPk0JqYlHgSBLb2uBCViYX06lniuipjguabhi82ad
yWorwE/Az3DEMvBBkKYgXJoB0/oSrl2xai1+f2Uz3ASOA77MuMvztofXCqQtAALsYDohn4hErti9
2hUoCZXSTZLQcawqfY8m/I5mA+rSVwdH6bCBQ2PPeCXbDBJwbhi/Tl33VFndo8krJuoJ4VTQHfuk
e6kumomnPdLg1bfxIuxoMULY2ZCQqqPzCKIlUp+HpJzehLI+pK3o+DZgWfu+PuWOTHaObX1aAHdY
rapVn0NvC0v3I+x9dNVm8zh5Y8ZvlAdG5hA4o9uyK7d1+Msr21NfFbeTZme7uJWsb9K8s+3C5Gr4
x8yGm4RNTlsq2j6RPhyGTmK+c4g96MejDUOVlu7ICL3PGarlb9rkPZkoGhfdJuekR7/emTNo0Ztq
5jpx419EgJHG29nvXZbvejuCcCJmzElQfnRNDZEt/modI1zBH8VPzeZBEiHUsWEkoq6k62k2dOqZ
kXzK9rVP61dynEin4iBa58Y9mbAPos1/tRHc1FGYhyZGW1m28a2q9Zuo6rpl5SJ5cbqTrllXXItP
/pxjogwTHnq3ww6BjDFhFux1/rXijiNagYusVWIf6u05gvBKmBFnwYAh6lTIuxZuFv6n7D5iSriS
unnUUfKRH9Yu3AoPX9vDmwoPZtsdxhJosrsC5D1rKAtrHVZxsFFN8ZmaBtKh6c4HUb4Q5UCIXdyu
Ux/CgiK5k+bkixAdfeGux1ZEwxsG+D2Lt8vQlWQFlY2PzjjR/q8epoHfV+hMPpUOrUjEq0HHmpG/
2/hDl46dNRwhSEREUM3uzrAF0c0iyUHkgpFEC221595KP8sYtZmqNZs7cQAZxJQP7JEJtx1SRnyo
QvrasG3IWK2n15GW7yLKNJdZsawOThveaaPm3SdqRkc45JA5GhS8bGJrcXNnDbf3isQJ1X1ne4fG
a9x1EXPLIC9CF9eBMirG7DL47R3sQ5eZkORgj+XpVApQmPR4p0w+omPbtqHLilQC9WVQvSgllc1E
Nt9YU9k1IQr98NVPm9vBp3GNtI3Bc5bcVLJpHxSQPRMkZu8jxWtUe6sq96aCK0KjiqGJQ6TtoPNk
9z3C6u5GSSIjKtyrwJIw37QeR7XhVDv9qxPTQzWM2V+lPGdZxdTVva2tJQcp2LN9e8wYJawnlpFJ
Az9WBw4EeGcGa8d3MIrn7pMS8JJGCBQyW9rm+CtKDdyYefxQ4YhA/54qLjMJNZUouw3eFixHcC5H
gm8DnYeB4It8Qa7vDDDg7koFXGL5lk2hvdSLgIMpdw4pT4gKhxH2RxnvWv8PTZPGEgo3tpBUm/0Q
6TYHlO07ZY/QnYi2cUrfi5SlNnDTG6DbjE9X4azexokHfikgZ7VtFtVIhmRgXV2CxqqADwvLMrpp
yQyaCuKAKYVJOxDeQSZXsHT3pEt/WimBjKbGXVWQCJYyz0G4RxxFyC2ZWYhmpo5LH1Y0obEQT8i5
Utt7sZhrL0wbSM5UInExPrIRhAeid2Wkf6A2uBoYdxAmPEhoNRhjbgrEE+xkpN+qXIEOMW9ZY7KV
z7kGAswr0zuimJJpGxvD6qrgPtmTtnKSGaMP4MUBsEIAFsHouU3yDs0FQZrUhoSVdG1U6LYqKdeV
B7ERr9cTvqJ2PbQOGihi3VqAzbvquVADdOSyfhJQitd+tC5cLd4ZdczgMzq6DdD1PgK1HnneRp8V
rbi3GWmCgx8zNuGEwlWKYznULXCdirBrpok5tcsiEOwJDfRc1PIcyAO5HGHXLPLSfpSzraAZ4Yai
Ks04JSLMYU2BzuU5fYN6HjxD6iOV8EFN9vq1yd9ikbwYqvrVp369YgVSCCw8GM7BVTcwGoR86EdJ
6B/46V/S0p9oVEKLj6SLXB2ml67dTKhclpMes6pM6XUs/HJpVv1tZENIhf5yqlLwGIHBdLqNujNz
6Dd7yN8VQatrIiYrLDvFZe/bbBKxqFNgo8WH8jEsGQHiVC3QPi2PMHCFqzrEh5KMBI/54g8yJ5nB
WBb2veCizW/IjeaTkiVKFvhTNaEbHgL7iLgFcUflnZrGCAggwq+WjH62mvWBK0vm9laHJbXCx7C2
E7SNYJmfSo1Jb6teApwyF9Odph0xUUysCPchajMgQkp3F7ozrR3He7UbrEV1wXaFCPXFrqqzFrwO
QYN/fT7ZlzxM7ngdTa6Y0wTM+liyKbu/apfJAw0Iop0gkkMG7Tr5R5lCT4UpzNTvthsCgkobZuz8
cwf+4xH1I84hNPDLEnBSYxUro8ViNxkYd9rhWM3iCFntfUkwTmkH+SJpbqYkvE6y2RVJ+QuY2BOj
6O1gwJljIBcwsNn7LQk+WVvuhqJ9MCr7rUCft5SjNaz8sf/Iq3haDb13QTVNsBh9AGgDDtCcyl2Y
OG6W1ZPu8weqxkLij4yajBDYbzLewcUOl+F001WU2X3QnpMYL41ssY+MXsai1KFD06rkRkUTRsZp
zhqzOVAU5B7KkROPHnIGjUmObBBU99X4Cawi3PZAI1Vah4c2Zq5YFNi5uvGZawZ+kkmkZuFUdFu8
UWJMaep8AFx9Sg1ONtIgkd1Ktm1BbASBDKSf5enVMbKT77uftUYnFIPm2MC8VuZTlQ7ThmxhdO/I
CLkhOfuv/QZJ9ZCz1YUCPnLcr90s4fzQ5+jEQ6SXcc6otryOyVifumh8Zwm5ECKEQ6G9xhBMQKKr
s0WpuoCdvcRIvKZhbJIJ073ZeYoAhqeTexlDe/xlUN7iUBrAhXj7hogMWJCsmCXlchXgXfR1E9Rk
cC0CiTmhZr0kwTeunXdV3yV+4eyDpDryVjiXjPWnJWfnN08UKDBAZU1FzoB300j52jvqS49ShJk1
FHSPXEOMCF/A7ckSHz0Ow9H4IbB2WHF55g9olGr9NhamtkY0zsc0dNu00wRPHdpeC5yd7khADy0k
P8TEmJ3rR1VMl2Fs59AlTsSSBzEHzaJQ32MedVKEKek+MJkXVzmpF4Spc+KOSRu0Onz+Jxy0HzA7
96Zrn3MtP2m6cwoSle9m0qKfu+esAnySddACpoizyhQ8ZEUYriaWHKspn3DNxmQ7jrxlYZK/XQAv
y6fsCzLthuaovhBsWsjxyK8ChyX0r2Zwr15FJy0dY/Sho3hAgTuhc+6+ZFE8GZO8h2iLF6O3HyQq
+lQiNmkS7dO0vZOJI4lr5p0HMT6XyVuHDRv/43OujYtU+Q9YtNs1iTlkLhXd2gqrB5fPBzUPxxcU
lBdPRjckyR20kUF6VH4wJRM1w1w7KR+gVJra8IpSZGVWJBlP1BEC27Ephmecp0idAFWs9WDYVsxq
I0IXFk58nyczu6+L73L2Ereur/RmXmzh/UIzneic3hWwhm58CYYSUCGp1fT5oLyjB6WmokKwNo32
2vbyhFb1PeLA27EMNT3IWS+iQqPB5rPcezOgnyQPNSZPUgHoRRazpHNkLWrHTLYe6zdCXsIlaX2S
nqNF3dc4jUD4QnEfxuEfpRzuzfleGXvSMTvW0zF0b4PU2yEldfWTKPFyy5K2lFvnc/qtZhHGF1+G
UCNvwxyeinGH/KTc2PF8pbv6s3WaJ9f2N9Ok4N+HN3HabDym/hDikpCy8UvLknPMzrSo0G1Zk7/T
O3etIewj4WmCUAInP78lj7FZOiMWB+Y0Lmt/fXRDdt5JtddwrPatbt8FvaQYptVBnsiXaIIBvqDK
9g8xM5kViUHAz62vESjwQnrqNVMszWFRiBV5cY/5e9MN74bMXiS7Wkrztag8olxnGj70v1FWV8pr
kpdK8xLZmBFc/EV+4d21o/lLpK6zxhoQuc6uCaimukheXaHte91eG8p4xU1CBOBUEkHbaP666Hn2
mJyQgJJdiQSDkhA5zzKYm2/xhzcAgetcjUChsf5VCI4WHPPYrsogXd0lTbrKkpbHD/8qkfb5wmvH
rdbDm0QgdGPFwAyxdq3HpNMXkWa/APQeFzqYiAVZjzAaBhcVMSFRs/dMBPCSo65877lQ9BYYU7a5
Yy1yvWQVTOTazrOPCFB/z+k/5jIXNVkFAulmKnh5FkW+44q3lMC3E+58TBs5zL1IhdfK6L2jFro3
Hccw18ZSHLafA4vqChXh68ziRWK+z0+Nb/ZLzJXH6cPRAM0r0W4am6wNN0jeAkV2qJTeCaDgNXYl
yRpkNdGdmjaek3+wzwqt/1CZfulUtSw97a7uxWOSmUs38G6KGDAqlJIPO5L3SGlAW5fNImn7NyAC
dw59bOqEbmlU6aFH/ke5aJ8IgFBQS0MawxwAtFVlNzR2CuKR82giNoG8zPsyd19igqq3mQ4DtGgc
anrDe9WEThqNcPmwZcj7MA+62Z8st6wXk+6R80IbLJN0jEWBd1cbJcbkERO25nuIXdXF/Ax7Kpyx
wXw5qKZczQ4/u2ZW3RDzuXSF/yyBD3rabDJvubllk30g6jtXjL4ELo25aL1nUIKhK7sGek86GsED
qSfOdqU+zS/iAaaD8Ww3pcmQ28kI2YXsE/Dbq+QEzoOYR8l8wpizUYCH9pvJCDZN5RPXSrRzFbZU
ptI5lrH/KkG+Yzo5hAaOy7i/D0nVXLquXa39Qe6z2uMxpfLpUS8qI66XBl0ln7CcpT9c0zB4K1Xf
r3v2esj1d1FdEWbN9COsXmTIhH3iMTH8JxS46R6i0SeFzCN+vB6vM1eu9GanWgm4tO4bJGAaYGnX
eNE6+sxBrN9RaDwH2WDuYYc+IB6BtSXoCiSe9h4XJoztO2Zh+K285hfiNvDvxOnRoOERfCKuQtsT
0AY5qCGmNikpAcn9oqCb0qNrzGdAm6b8RP7TrJ4h8WVnhhkgr3z8THoL47W7tgtEeIU17GMtcbYm
kJg894EXm9TWTo7tqjeMlVDshSCW6rUqf+UDmwujPtA+Zelcip56xpqbwsKNGBSxriKg1LhtyByt
XYJHNJA0hLaOSBcgqttUGWugI2eCQEgSdohGrCQxhiGt+qmPHwdmfAtBt4UpWl4tw7pCKdqETF8S
s91GJcYjl869gZ/krrLnjNU8xd1N3B33fI3VjXAev8R5gstlE6m23XQjp87evhta/q6HWnqpZzpT
PXI+ZqdPnRIL44ftwqyzZGsMZkj20qI1albayZ3eA/ut8exXZhDlsp9AJMPHpCx2m6Un2mIBd53W
oWaceQiKjcNAbT/pYYCxXAf078RfmOCodqTgLSbk5TXFqdSmmJhxl8xcJBzrwH7Xg8k4TfALWumX
G9qvAJ7Nbim0wF+zzSDZsx9Up0/MPlv6wiXmuKl05kSK0FmWTvOHD2pw0zSKoyzJGuhnG4FHgJ5z
t8xKdz2ghB+L/SjrjyLyjuirvLVT4J+fCD9ZhFxMjv5gbJXOc5rQdcuG7DXhqL0zaaLic+dI/qQx
EVmNgzNs6l6fjlBez21lPrWTF9+3ZEtGQ7uoPS1FaW5yp0x45d2WgrcIxaNRjPkp02abZgb4LCFr
ByUZtcZsLq1Td9jYIx6J3CsFN+H40k+Djp2LvBi/tXs0VlfJqT1eQvuacSfM8mCN/godPgrPYrzJ
wUY/WJokQWXElI0BgECikblojizczz/bSlyslol1RyT8wioqND+kx6Rx++KEc66uQN8QIUG1qop+
JJxxUzogo+XQXausPqr4ucls48n1DyFO7W3ieDtZwqnCxeEtTIMplh/3r8TnIF8ksoG3Od3FtFeZ
cu+kYX0Qv612MdzfXhv6pXQJtpKN+Ijt4sZNylmjpfvbcDZER4b+mlckKwflYQydkp7qo8q6+wTr
yDbOotueLMC7Mc2CFZ1QgBzWE/kD/cENihfHAwWRpW9J2vR7qSJvxVzLYHkyVlq9wd3vk+JQ6qQw
0bHdWEwPZiUgKQhqCFeUzi1NcvMzIuhoTf8JNNKuBNdK1e+jOAsoX1t4uEGjGHjzafNvpDE0NAw3
A1ZaN8K4q2oDDvZ33GCSLEWevvJQg5JPI7KQJvgTjDuMIwlN47HqxMbJgvB26NwPKmST6JM+XE6m
XR80Ncy2U48kGk98YrvyKWGidsdwkV5TbbegoCmWPadkB/K0lWGZK9vgsRi6MgO9jW/L1pmxd8Go
drqDp8hvmAwb7SQO6TB/SIaZXgzbn85ayO4u4GH6CYldPVB9lIfhbTa2rJ+RuLZmI+7KqXs2UA+W
MzOrrc1gVQzMKKrRp2OCqD8O1Lse+dlBMXXQUPEtQeRMKzceUJgF8q0SNl5Ew9yjlfD0iqvWpBRj
fqcvjTHGSsTalveY7kZRwOg2IX/kaKh7wVHPI07Kt2LsSYmDEZS07jREQ5Hk5gpbRkS167ND5mN4
lnRYhzEksIcim9ZryAzV2fVj4m+qIktvRIvFA9cFAgOVnzVLFJ/Cwtprm/smx+xoql84hN4C+5F6
mYvnwQsfXbBHvk9biv0aqj6M6tKKbvTIeIxiDFTO9ER5swb22ew5fjy4Abtc3IbvtV6QaYGG2sgH
8jA8bVkii+Esf9ZoYS7dMH3XEPgy3WKJaYdLLt38rI8PtSY+CI1Vi4hG3AbZ7N0YmY+eDD/CKAfK
iLMzjkEDhAxJ1ggfHixjFKAByJ81grs4O/tV+QT89BIa4QO1Kz9ezAklHY77oRfLoi1OyDlWY2o+
ph1Cd83suddMfZNDmWG23SNm5z50jfCmzdF3khk56umOoJMHXH2XquC1AXJZubnZsfrQFikdnSdq
xMjfnrE5zcjKbqE5JLAqnJ2mQIVjp9GDNZLhJ+FOLwwRoHkmYDTTjeqhGNpmGUQZdvsY8x7N5g+t
nQ/6KelVqf6Hr1IWydLWSe1hAle0o7cxhDtrRgCnD/nMwShnU/V8Whv9bh3xaSPV8ZhnwD/49q8k
MZVXMUtG0vxghM7j0Gi/tPnZV4wb4AZi5h0c5JLs0wgxSU1w+id4Ipeuu8MT1bSwbrDVxCsXpwFz
4lSuC61gI5yCI1rup8bVn8q+ugRAP9oMktKQz7ExJsIkTdSYYth7iam5sChNuyB2t24eD5vQmBE+
YXabWYb3mQNDwwYUgdZQg3FAYhsvnM5iMpIUAycIjsFc1FWcJaek8PadF3AD2NiOuzkhbr4bB+zr
NEii+kLzCbiBQZ0Z+Bdrtkr2BDmujYbubBI77iLGw4ehJg6YBOcXp6leprx8odtKhTKfk/PcO05a
e/SjzL8YQVmzvpAgS7bmswKy8Inx73ZCoFT2g3fMNB+HXTq+0YrH8lr6h1GSSoFwjEEx0c+oGujA
YZEij9dWpnHCoWuewkbuYk3nsIFIgLM4Vzgk+6m2u5DzjV3ce+R9M+d03hg6+xsfA+Er3IOzNm/I
ccYszc1HRbNZyRuTfUYVMePOti3Pse6jVc/zcqONB9Px7ft5JGXMcr2h1JiB0KcfOPZjjDbO/aS9
J3bkvhcVwyY96QUUlvTcNE70yAIcKCEuOI+eNSPiZh6Uu3awU952QfYauai94kE991IX5z4awLkb
VfhcWfWdp2sc+7JwfKvpVWOz3paUpEcMPjepiO176GIEwyTjsxYPxn60gvfG4LGzm8y7Vz3f4yiR
XtKBOOXQgxqoDRHOe6IwtaLNjt78hZFldvz+z3SmekTl5KytrFLnpDDZvNMoI+5ySvpF35a4GLoh
WRWdiTNSKdb2MVVXgtUQilUILyliQIV+/2E/DIoWn1RnG4Y7jbTY/fOnPc0hqgc40Oq/f66df9gg
V0+X7Xj+/vPvLwnZkHTv1Uaf4p4nyhnvv7+kwF2gxd2bdjbdl2jYGYXE4c6e/9NSmWQWyAfz/d3J
NIdtBkVx4av6j8Li9OZUMXlVnfhlpwhK6h6FQ0AIspuFNG0Y9FlNOOJxgk2XTEH2NXT1UwS56H0C
IYdarwhfTCYBy4B74zGMGEk5uoWXLbTDtaXM9JoSvbPRpOOdx0B529Rky6krtO0Febz0E0VzlBm1
mK3FN1qbRUfZ9tHx+9++v/RF6O+6MsG6xzf/+8//08/acUJLlPBCHNuxxzrUOsfQjt2nsM8uWk54
uquq5knvl8H8p7reFVgkrPvvn+k77qWRkov903Ce3E7EcOXoX3x/N5oTf6s662nv8l1NzY14HEY3
398twQaaOcPGNGvqe7Qef/6lXm/N8wA6CJXI6D6VkRnvgZwizZh/fczwhS21Jsr3+9WYRkDn0Bz/
fMmZo11xgJrXOHLMJ2Q1869FPTRdCaTFE8X/ryOB5YiOJ/zzFVOQASXRQqZy83cdw8xIorfyP19x
jtoR6pbrnhsDi+D/F2OP+6//9T8c2JX/Zy32JsyS9+wrfP+rGnv+K3+KsQ2o8a6Nls4VNqcV2wPT
+acWW/f+p4XeGqqh8AxL8FP/JcV2UGJ7FAe2aSLFNsCK/pcS2/L+p6tbjuHaDHTgyuj2/wtPXghp
oxR3PVt3dJfexCzT/gumk9GwPhAHTtO+isx9ablX02KuwgQN1Jg1PjdI1FaVSQ9QlI+RhhrIJw5y
UwaoRsMWX7tvUp+1GKH2f7mI/0kiPgNC/0J+5JU5EICFYRk6mD7nJ8i5HRJYoYOmiDiKDhbdn1tD
9ZdUu5o1Pt1v9emA1do3mqfW8vI33abCBvqxRwN/hYRCchHh6305sGwH4S5HUuh0wj9j+qLhM9CG
6auSLLm2dlc4fwuAbxWMS1yVOeGU139+Nz+5g/O7cXQDOimfHWh09wc+1x60tkP/G67dQjvotdme
Ot9dp5b2KKxieiYQTiwIEL5OtR6j1SjRRaGm0u7TkGmPjx2yyDv/yE6KEMYzPqcUy4xG1+2im0GO
va668xu/esKYVBKDXuRXTv6pMGh3qPpTiwrO3gypmR+uXCgFu3mdW0ReIfe2m4NKbgOByHRSRLrT
jNMLstPI8E3+tGv8ZgP4q+z/Jz/3+yp41BKmBzZQUAT8frcRwmYSHMuRpSIAY0fG9akPW48WYmUd
KUjIghepx0iwBPvg1CB5bO3WccPwZuQQt/nnj+RnYsGfL8ZwePgwI4Dz/QGHp3EetnEOVacwx+H6
fUNZkESuHs2TCIbH0czS4dxaSxgX5p7oaITPGlKKf34Zxt/vc+z5tuRAj+nD5KL8fk18i0PpkINF
xDYQbv2ooMc0EfFbI2zZiA5UvybGvVEiYxgKYx7P7yjMHwpnvCa4CO9GxOR36BatTWd8oSIIt6Pp
+aSjdIhHEnQeCRAS6GAcgWhN+xaPq901b8rW3nGwg3lM2mhVwAmhJsudrYiqT2BX1NRTdOdEWQaP
WUyPpi+vViTu//nNy/m2//0hZ1lEWmsyb0QvLn4sP0YBopP7kTdft4AkGN4cHDPbiy5N7xkh28wo
gWNVbr8hlRONkRNYux511YBd/dB6lUJvDhfah9d049pwzqQs8AWk+GADgJxN6VXbf37J7nyP/v6S
WZl1gRnGhYEqf35eRMJGAyFQas2CLkhx8rK11gHnsUVh7/O8+2Uzpxvp1T8Bhx23IyGaTnIEdh0D
kXLZwx1hLhIvEpd+cJ/lOLkXe5BHEmTjk3CZZsVS0x+gRr/IMSEGbPTkgc6dBMWC6NHROoQbpOSE
UNCYHCEiHG/SCbtFZhpbQ+djNPrc3PoymK7DoYvc9BqhfiPeMdlpkOeWg9Nzhu18EtrbaKsZv3Bo
WeRTtNbRGWg8x1NQXxKW/EUjBcnxNShE0tubLXUa9UZXbGs9t1eoIft1VKO+BKRy28y/ZzIN2k9c
jKM+RVuw+WSTz49WF2jaqoWBBrzW/EPrqqPHIsuI6gX5CpK20N8mfoYFLk/WMddpm/SmdbKpNXrl
DkfH7sNtNkYzA97zeFJnn54JvexfVifjR4QJCwLwefhoOvMC6Czix4JQEi0UYCwO1l4HeYU4K/KA
GvzYc6N3iN1qZaEoPxVoXxjVHL5fluOHOOem5oLFKtwCxsq3E6NBu6vCu0am9WMF4jmqhzd0SFRr
siS3iYCX25zjIMll0Bw6MslFBW4zKKbyD7r7CXIZJfXiWLXW2z/fu8a8lvy8dy2h29zAuk06wI9d
qBQ5nSoabevEt9lw9MlBg56W2VV2HyKWi8jsrBuvdGAFeFW3TqKiJDoDPFreYBYC4YiyroE1RF6p
U4zOKmo68TEv9ziE6OfRQb13kma4TvhLIJYpmkoiqTffu5UbylsrFasU0M+D16XxhRLKpc2kTTtr
jLNtX5fDQg80se3S5uGf37k5f3Y/3zkHJo/DDv9A0Of7fznn5AxQQzCPLKIJevrBZxWkUFFbDhPl
qvHCq9JrzDso/dbikKHPvx2b6pKRcM7TXZ+MSKUnCF/+up4s68jrxaRNHbUMUAks0nmUnxJdaxBr
sK4wreDpd/2l7k6zEDHPSF9JvUsdjA9uKu8bt/kYW0JcXcAqC2At9Q7XfJzr2toi72tjO6RkQQ5S
eIiQh0ReJCnkeAgSFrdtDkqKCG3jX+7+n6Tt+e53LAukLmuxOYcY/X6F0K7RbQ2rYM1x1DsI14GX
jY1nEzYmas10so5ZjjwSbfRLUCnCOxToAj82ppPmJdu4rtSlwlp2gWZyBUfIyfcxl9madlSxEZzh
aNJCDqrROf/zR/sfX7gjHHsOjDAkH+/vL1zotT+QvKMAZJOoHgwofeLAuzZ2A7ovN+jiav2X9BDL
EzXmqYZph1zYURa0sAlNYoy79LGW7l1SkVgYTxctVfYWbjxQ0Sq/T86DxHf2z6/Z/A+biMfRXurc
ER5StR+3ozY4SGdKQdpkfZBkH6tl99K4Nalr0Zis3SDvT0mGOGlqu+m+0IEB1vtgbByGjwC9/AE8
cDW9RGboM8dzfgHUEbtSjdq5nCaWTu9X5/bBBRNLcDH9XT7oFl3t+8zNQXIW6apPjAYVYVHsKriP
N2WG2qYPIygkua9wMDE4d0EQpEFdbXty2FTKpiMrJsO23RwGtjy3KqPTP18U+bfVidO+NGzdxrdq
O7r4ESdTQt/GTkVApgEWAyhcbDCeb8sVe/HO6l3/mDZPce5bRwXMduO67QuBHB6BE/i1EnXuk/7S
c2xcuVU2bUyA7stSinRvF+raRNr6u0gpAZosA72+QAL9xSDV+pcspr9/shYlHY8pMUw0aeVPwLiH
CLsefaLQ5WAg/TPyYlX4QXMKwvYOXQ3xLRCyIQPzOA0RPjhfybOHArWv4ttubM6Fl+p7G4f7stFy
Z8dGpW2VwK8QSit6QNr4FQg/2E6DloKGr5sDzjEGq13mbmvLDu9b4WwDS8/Q8WJoiSqwT1Iz0dpo
o8JJBQm7l9YrrJYvLEFwLZIuRS2Yde4qQ1e/k3n5xEjqj9J0rEen/5dFxpw/wt+WYVvY3PMmZ11K
Yn12GP91GQ6FTEY3azkFlZjOoDsDtoyLtV2N8Z1eIV1jNkmGaCHB/kZEsH9/6YX5Pniht2XaN+4r
1QVnc6AVXZixuUmdTG7AxaIxrb1nRh/xcQLnsQefgDAa8FAfT8SFpLNYdYpmuMvEAdgkOLpzK5jE
HDzxc2jVTkX1MY4GyFy1vx2FTratyOVCjQdD5Th68pzXBLj6iciLM80q7Rxq6RW/HED2HFUtV/KB
fdy7ujrKdqWF4b8sdLM1+8fFw5RtzyljJus0YUC/XzzJkNGsDWxhsW4PVznpOR9cv2+bkBSULnuy
53plGlc5JyWXkjGYWrFj9PmifN593HnjWwRspCX2F2LhsBFAspZ6k7r/Urr/vdi1+WQ9yV7rSD7l
n8WuniWj6HCAkT473119Q8U59WZ14umHGNQ8CFfbqbaJXzIcphtg7M9T4xfbQGXDrjEvmY2Yx20S
9Voqb4cpC5dd5BMe1jXWAi2KejUl9pimAz/DWX+TqbhcDWZtnchaZvyDrocvj3FbpqfeMZJlODTW
poIMvKmmuYwY3Pg+gOqUsUBgzgjtSxaH9r8VmH9b5G2KfY9DpQnlRPC5/f55JQJocajFzsojCbQe
vc+0QXXk9KhEwhbmeND61HrMBxd85Ng2ItRJKNWOrmbf/F90VPT/8Ho8mzpLsspK3TJ/ZB/03YAj
mMV05YkBL0qoILZITIHLqEF4qHuWvjNNEPrf3RA4scV+mgOVjchudj5650XQGuJfyqnv9fD3FYEc
HfKEWPI9usLfm8JfDma9SkYddSnZqjE60NwKmks0YOUljojk9TlkJMqtbv395BWReYq9ztrZEpIJ
6NACLU6T7QOCgbdqdgTEI5pWtDaEtJbFsSQIiHyCnamp6V8+XONvB0qb2YNLI0cARaBamDezv7xu
QrpLAKDQa5uIsFhixGCVlUF5+l6oRC3hgjsigr3Z5lc48eytAwj5G1S5GLzYAvJ+sFkAtfiQ1/oB
Gah11KISQaFmHNA49Odc5fuSbJ4o4Mpbo8JIV5jp+nvPmhw4OhrnhxVeHAW2vNG3eD6ufkvWHYgi
RTPBufuX7XluOv5Yf4BD6PP2xliJW/rH/azhWOQgYIvVOC4aI5rurEh1lEjEHeECNVE5x9NblBgv
rLjTXZDEeBgoBmx2HZz4KrzBpbN2GqWYEctgiRw9xk3ijReitjI2se/qTk+6he0l+c4CKPQYtaRC
dVl1sAubYX07yVU9ZMVzQQm+b2z2tXickqfvLhILMTIk7wIW9iPLhnHfOY5CtsZ5ea6tFjS1poUZ
9+WeDNj0YSj4//n/m7Mz25XbyLbtFxEI9uRrJsnsc/edXghvS2Lfd0F+/R1MXxyUtg3rnDIKgrTL
pWIyyYhYa805pk7hRU7SVR0bFUNWznLVqQrf5YqBA4oa7UDjmohxJyrz0S1KLErWjPGRMvAMfe7b
Mkn7MHDOCOZQ2L4hl+RZrZr8NSt1dLVu3x9qOI8HJ8ai4KQYOCxOoz3K2bpmRg7S0mGW3VbYbQqx
K8um2s3T8tZgcaYfMk9n4FH3S2UfQMXhtbCSndZkFx1J9FWhIg/k4GSHBs9wtjr+8qkP5tp2t20f
nfDOyL3aULHXCMu2jHvFRZjlBUsq6SLwefcNAAeGnyFGP35+q+ZQVRZgOhGXGYM4h5lypzjGtRk5
IDCD7zHqaUxm6zetVV/b9f3SGwtN7Hrj2g4Sw1+/bZyRuaSxtET4okeOU512pIo5fuXoW/b40fZK
cVXaDEVtiQe1bJfPbjTYuEzTwLMR5t0dk1dYlcQTo/aGXbpGfu7NRAd8DS/jeYkYm+ZUjCL7Vs54
c12YkV5d5+1ek8XsLdZQHIduZubJkK7swvJE4jZCwzEzmQ9SeQJR7zYDxN7PoV1e6UDf3boV1hQ3
QeIShTIoADhjpPct50xPN5L6TSZrwEP3OfE4vNHrBYmZoOpTGqnOp2kongdzEXfJsLxgYeo3eqKp
p3g1ZaCINo/20OPCaOWr02PN0JqxPdL8P2rzYFw1FF+HSCGtPZ2KH9ZUycc+7bNTsrbg8vDRoE1y
JBXYbzsco8ik73MXq785hToQ3NE5WQNmDlVqL1NPNyHRYYuXhvYW25r47EL9TUSJvatInT7ffteP
/c/JsEEf/vsycQv2+rKga7qjq+usw6B992WXMSXDPlQjKvdXmrz3RnjS62g4zCNE1q0FnS7iBdaU
WDnd/ssZe6nIJufDNdv9LIBlqubjXweHzmzE3ixM9zjXrTeKvH+MrPlPMcwFQ62p29c164hAs/N8
e3ajF8OA8dCOZOnIzHL83J4xjwqZ7MvZzpBsFeR3IQU8E9cJrxIjV+ytI4ggFYX+2HRIewbiEj6X
Yn5V5sh8pq1f751QPg2WJHaln8VHyXgzNGftFcnDhpys6QTUFOZiryqveEVcrzdCcgRD7Yyef/Zr
VM+/ucVfQ4CFICORqYhOE0fofz9FV0JJDUVI3YtaQnS0oroWbTAMLj0X3EDnOhtToIeKzkugvFcd
5YJbq+mOTQn9reIeHcCxAVi03+Yr/Qr1YUbDhTHjEPQwGSpxxvh1U7SI+XQKmes4yY0aUhVf2KjE
P/vbm11bJZSAev4WydAzcKTck6QO0dqu8S1hMI8IR13wSeBJi+h0zrkjznLEHJ/dmlX//pj+07nD
4ExGDpSr/UPb3QAEYreTTRSDMSMExOGv69Hngif5hC4Ex1fTlo9FOVWH0OzBpBtq7rdahcN1qN9y
a3oS8WyehEydO62L9gQjJfslA9Rs9g5NUymeFaNnZvg/g8X7v16iX+Yn/7ADG0zD+M45V3Nk+tLq
KJFJ2GqWG5gjc+/W+F+Uaq9TsyVxz7LtYOpBK3zsHQNxnGL9NGohr11abIm9RenBeQ/gwfpxk9+k
z6r/8NXzQBrcTsIJ1jL+16++H0OaiypN3tt2r+fvZWdMJ5QVy3auzOn9cXZiZ1M7lv5QZKHGcurq
xyll3EPjWwFHTs6ncDL1muA9PNa5Vl0djnv/xQ10NY2Jz3qI0e0vTS6jEnbch5rGUEOvDn0jMEoV
OEtGkdBBT7IIoAJfeRU79hNhfyczgYvtMqvnJ59RL01UPEwVkfzO25G4gt+UeF/Ta9cXiLGvZth8
uYLL/LJ4IurBjyUNzdMEyN3bqx0n8g8tQzMJF98vmvqvFV2RaHuQ3ysE46EKI/mnfyrYwsAszVu4
x3R38zz+Btb1gg92OeLYkPcfhDjNZ5oJPRAmN3t2s/CbpjY1DkMj+Pc7/TUkjk+ir5MMa61+yHxw
vnySsiABKWnJ/hrX2TBZlT6G0fHAD99jUoDxuzHi7Dq199BYcxzGO78Trn0FLM12l4iD4shXFRD1
RhvUdN+bgEGjBrJcTvYI6mLdgTjRlfNDXDvj9jcXv17cr3uYrhPbTEqcufYqtC9tipRGZmvR8sRX
D2d0Coc9hjE8TKa7NRxSvcqwW71oPdF1+N+RMhc7bVGQGwlQg0PP6pWnwtlCW31E0xThwuxR4Rrx
oVy0sxviLHWAWH38N1fNDAkJMb/8rd4kF3EQfT1y1Qtw0wWyH/fc6rYRcF0vqtvlkKIAB9Q+Xbsu
2pFGTSxEbjxOTtFwppdsfj3ecLSQL40F02W0fGSFBBIMBF9y0ku6vP/NA3+LQPxyp1nPOC+AlbOZ
SXzpaWSJU0sEOwbhRK5zDqulebSAoN1moY3DodiwYPRI8o9rq3mp7FkbtnXOraYTg7nQBXG6/g9R
hDtB22IaSXKeZdtB9a0smF1q3Jm+SqYljeHxFS2yc16HkWeNF/qsz6RcdtqUBQmiOX8OuzVphheP
bsP7ZDdY41UadVGU3odh+gjPqdsXiemco6UF2TVAULBq5aUn9Sm0sKbiTKfpEv5p632HkB3LeJiT
pqOn3X6ZKWe1AXeGlTjFmTQX4zddl78P1y0aa6oLs1YYBvPsL5tvVPdpYw6N5WUOE2ECwXaol5Jd
tBAnJwqjPTJ4snxIOCMtD4TmtSbeLdwBR5fF97+5GNPQhW2oSJLtrwstoSxDShqS5TUFTI6xrQCa
F6nKd0Suz6KP9jVZBy762Of+NK+OsSJz/TGPswM47N9Fsd8GW18fM6R1wtQsRv3idu/+o1rv+nmJ
KCUtz1Cbn51s9OM4gchLge0Tp2Gdp9SlRaMARtYnWHBVnqywN/edrJknkoc5ntMOVRmdnBLX9pgA
oyDHkgjuO3slT4iMq94G6VfZDIRbzqzKKHYDTxYxPx2WHiU9J6GBzHjt+5oEa/ym6/x3LQPfPQdB
BgmcVk3mN7/uviacWD62QdLiqmnRsBxdby3PFNHdaUwqj86LfsjVdNoldvkIWgfEtZU+/N9XIFZ7
i5aIxWGAd/rXy6C5PkbOisxr1YnOhfEqTGlsrTBPnxT5FLeLvnPTRqULAsAiZSbny5L+RQ3aBnOO
flTdEO6SSxwX6717TifGiFDzXSpqxMKFNf1phsSb/+aqtb+v9nD8aeSwUa0ynS+nKulwOCaEwWIr
paOElmDxE1KnvNla6r1WgOgbM7BoakpZR3NAXONFeVfdprgQrPUDQCSvd5rZZ7AA8VYz2/DcWRTd
+Ov0rWsrxQGH3DEhkLnrtfnt3y/+dq768mQD5mSYpJm2xcn7y0h3rqpyaCe2qlsP5KafURZMHLdA
JkYqDH0moi4U+Ux1zpCR8Ykbu+4VMtPmVjSFVv4Ulq44Y5yIPcsAsc9Tpj2jEPIdJqPvtoiOYgW4
GoqJbGl9wEAQpNdYbaOrYVyMETbDmMVuMK7turiLOGq62rgtTDs6tQ6A6LSfr6qah7/ZPex/2Kd5
ndk9NI6eBlKeX5+3Mi+d2ulIE7099kwlR9b6BCNyFkpCWPFBkXqAs7qK3WoX6bn6GUFy4umMxE6Y
9QutHMghcJ3Vza1O7tuJDBsHIwq3Oj4WSo6AVQ0/Ym0iqG9OCXBqFOLCbgWJidnw1vIiQiNB0rH0
n0x5tX2hyqe81KeLoY3AW+IR1w/HOm+a5o/Ksk9VOCCqqeaKlk79kWpTd0cagPCkYqUBCQHNtcuV
uzpcokvF07Np8/A9VxvCBuqImGZRQP2a7NYbKjx5TlMbVzHLz2I07gQrxCnsCbgN5rjh9G1kYDZL
rcRKTxIFE1Rx1sreeY1xg8SqfjaRTh+XqA39mzQsavttqU3j8d+f0X+oDXQHdAD/cAWoFr9s8pHT
1TOAL9urySkmWorOchnlBKJR/xWrL4vDGE2OOKHPN8wf6mxa9xwUN21W2xtXJLnEBlalwezGBdy0
oX2XxJ39b8rCv/XINUYXJk0XJrMoM1El/fpEjYneJEjqhB9ak4aFeMSw5GZYJHBzZQr5qFZcfp/Q
EhB5Xb04ivZ+04Q1CCe2iYNd6N9v3e2k+Z+vN9ezLqds7A4iTVd8OUZXQsxaLXrhJ+RIbSb+DT8B
MLS4d1qEOVXS3fESWOFbJ+cgytqG6wgQxxOHc1ZOFTz/KD8TpJb7Np21g7aO3QYjiQ+Fqx7ljCil
qUWFDjvxXL38ZKhqwD0y5SNParizQOtuOU3I3xyw7a+F7PqxGC8ahGObApr+l1WrCCO61305s/d3
R0lzpduI3a1tKmMmE9BzvWyu8XbLTvE4PI6HKLPlfeZqQUQETjgo7h8zicNYrVnQBtpNgplWs5xy
S79X3JLdryGqrqiyF7WClqmhR8QCVlYvkalPfm0KXBoWeMq90pomeY6l8jg6xF25FeFkZOQeFIh2
d5UyBLcXsbOxIs5LHDFAMvWr4LZvUE7yeqd0XUZlaM9Ko/68Lah500WYEkdioycyB8LFOqZz49tE
Gd01NNbv7Ng8amFWHLVRxbFEDBoW9HIIHCnzk0nDKarN6dQtxodaJkSLJpiikIRw2JTf1Typ+HDl
R4J8y4/CkPHZbLPg2SGXVVjFTunhQYZ9WwWaCs0sgu36m/dZW5fVXx9K+LdomjULvYVJof7rS9Ji
L9K6HJJ9PMNOIYDdoIhjw/xrh6Ybtm/qFIMIekZ1Ts5d2sB2jvuXouYnmDspsMvooZ4BkpgY4yrC
d8/FHCGNmpydq7dyr+igspr6g/mBiugsosxdH9M8Jzk9TslOrhv78L9QY2pfBYn62rFERGJQ+THp
sNezwn8cFEteKIMJhevxr2HrzImIAs9hpv4ai6wuinZt+uKxBst80Gn9uTOQ1d7N3LPL0tuvAWKb
RcHwaBXrQN4l7APxcXLmY+5x4jP+l+nlN0vEuiT957exXjIqylu9SulifdkEI00pIvYCCpIy1AI3
ycnda+R91Q4U36b7IhtoJDTmFGjTHTHeWKz1EJLwbTij0EgyI5VW11Km2HrCmdBOErfTSnvLSmnh
y5DenC33aR2m+5x0g0uqdRbiLrv6XVvz66Jw+yDo0JFnqSZy0C/3Hp/OUpFR4GIeReyUOa4a9Gny
h76I11unRuBlmEa9vYNQpLE3Fkgh4uaF5wEVgIXRtlFeY1tB4uwixvv3u/w3ARkXx1Vxq02bf6yv
QnlLmXqi60zu8trPANm461dSdB1l2X7Wq4euaQlPJ2R7jmFWOqry7K6t78Loa8/FcnoYuuF7VsbP
jhwSKLmMAFUZAnJZ27c1uH2MuCSyLLZxljGn9MWot2MEa4shkH3pnVWiSR+vWWvfTh2aY4RNzW4x
u4e0OclJ5HxWNNZTx0Ef8yqIkIH1rNGa5IF8bmVHTopxoSXncsimFiMh7jc1yHrM//uTqNO/0hHu
01tlef/15amyvMta3KCeOhtWYIWoa4ZpTg4N6eGx1wHVOAD0rc6N7ZR//VJW1pNoK4eBS8nptE+P
PFirM4s/Resvt99NUfqpL2F6XLKGOONpfBoF6cVGSMoj8iWxhiklVnU1mMmezGHo74eufrMxLR1v
P7oJvJXR+jbqyuChmhesp3LcDKiQ7m8H2tjI5c7AB8lRSWMGvsGwOGGWX+cjpKLdvtxWMZcN3eJ2
d/ujaoXhVoyhteuhdTiRJR4Z1WX+oPXjCdhjdkwb7OCdjp606HweqnyLr448TENGWxbV9Jq4JEi2
y5phzvliTwqdPJEewkCshhmVDVenjKznhTVFbRx199fYXm/tENloPZ8UAoJPDmrc/3+hTuicIqP4
prgAnyfJCNpdyJNUEhMaxWDvNA7sm7++i0mrKpQ083SsDSQX7ahfwlSYx4ZUWiXJjKsC9crrugIB
TIb/2SwU/X6UxD/SAe6fgX8FLtFJz6hJ57019ckLw5NpX8u2f4wJ3uDJBuQJ2PVi5vN7hHDtuTdB
3UNYUfeTCtaUWjniDG5/x7c4fwNCAFj99phkBHH7uoIEIO6mjmRdDAmGjZZPRGBCM1U80tb9VJDq
+4WzRaxYPPeUZ1TvakuZ22PkJSfmzTR7fHCF+eQ25iuyarJz5+RVA7jlaXUxw5iMI4CCtG9GzvFT
FxP1Y6iXrAvFo3RCisGxGxBrQPUQ8ROoNflIAqFt9KfRZevu26a6NGmUnJEHk0jXG/qbjYeisLpH
G1ucp2eTGUSA9cmPizhsNKGXGy4UN4SoWxJdmoBTDQbhiZVLqGEZ2LYUALuU+GGuoIrJGR8IlZxD
14hVoLXKLpAycxFRWyMqW+G1llrcCfySBBTXXp4D/t/ahJGf8qR86wkMG+Ez3sqL3gIRcVtyVuWd
j2xKPd1+aQh3u70c+Ji1nSrU2E9dgE1tVFxi+6XvDQEgFRFou2Inb+KKxpgeTMrQQ5mNoR9h5N9K
3Tolc5MEtj69OmX9Mbn5Sbhz/5ATSH0rzUhO21JSoWFo1Ja8obzaqnTbsSAOL0z8JfTLFCjJwOJt
xDSMDHWSZ4G1h/XYh4/uvNZhH20n5l7B7ch3+1udm44lcpm79/qYHDKYn1jGSwU8Ej3l0ardXdrL
LFBVhh8KJCSJZR9VqrpH8xNtbXuqj7pc7Pu4VZjw0mnwI7syGEPa1PThhM03Bo+HUgEb8/I+ru4U
V4WN0FUPsVVZ+1lpUjZSIwsAcdkkniSg75LIBp7WxYERM58rgZPNjPQDqPoaYar6QlYDv5sIq/Im
G4JaHkPLMo3KvhgYtHcQrUBmzzFikY6Zr4NFf7rRxbCg+IwE/5RlLC/FAoKFBZZ+hHW5Fd41U7/b
AbQUNQOV0LX9JEp+FhaRZgO8o0OiQRI8RGW5XAue82sF1eJY0OH0XYT2BJjTyVZNzyUndW9Y7Ujd
PuBjX5cDBqfvFgsveoWCBAmrNI9uGI2YCbrxOZ8g45Aw2JPIdLe0uXGHT/GbPXX1sVtYq0sdiXtS
wroq3Ppjni5zlULaY2B6aUYCy5rqqkDjS3LnCmcYZczcPsiJgOJbTd6uqoIydUZC7HDj3oqEIZqi
Y1eY4YMUpuC7xRTeSSIIm34yycTdwQ1cvocO+j2ZSOOR1M7dnNSJ35lFRz+3NrBLoCWTodPsawbW
8MXGZzRDNA6W8HT7Je/ybGP0WbszHOzTY53NftGDnM5dCKXAB9lT0dTSbY8t+VxpDRl5glOYm30D
IyV+oDb/gUeatFDXHZFhOOhFelonehxubquHzAl7BycF0+omkxMsd7tl2E36ot+jvK6hLvP+1fZI
pu3aOPxrjLqw358aHOXe0llPk0BWAqpmf1tcusLSN7aNU6m1GgawkuD4nK7fvnJUWB2KEu2xAk82
NoW1IRZMyRIfEB9HZJP4RZnnB6kX3duQHWL4IyCJkk+HhpuH5/UeN1p4b+roPIj3ncm5snrAWA3a
SkWxj8004/92t9Yqc1HcUQmqBeCrTTSiVKvwh1JDnMC8USViDCSRYoe/irbRKHc3RWfbtxbMtkFl
aJ/6Aynfvh5hHM/Jwbi/6R2WXHFIn9W2k1VlG5QuWLXW2wLtIriVP+gu20BT9OfbLcp142eWtOo2
wmB+WRY7mHWLbIJVm5OQXsmACbBAbWl+4jzLhcMvCc6PejSbT72hbGvVu71n+rR6QdwhOlCv7NMq
Ds9Tk2Xe7e/pnDBIdAUBqPbZDh1lmEaU9zqz7qKSdqYNdhQAodgbLkgFS4U30CQR2Q9tjMQ6XCBG
wKfE/Hck8/ko7ZFKFb4j6nSyUub6qPXQLMNoZkXOg6QdoNuVK4FzQ21F1XksrQMQNVATB6xPfXOp
22cK1W2NCsFkVllbd7Gl+k38fYHT5IzPsfwz/lxnnvyNvAxtoDSeh3WKhsaq4WGo9sN60MsP1ii6
IxsHyVWNS30opeB80IIEE0u/MeS30SkMGITRdzbH+E7MhG24ufVsaWNFOyKpMXurcBFnNqI0wUxt
Rp9dk35kgI8ySqGpjIK6cXbQOo1rpM1UGeoxBpLa+ekCn7zJdKK70Wvdz7K7tlJM/kgs4o5Dcb+F
sFsfJpcsXzLRodXYJZBNVyhHQPzTYF8XLEPs8wfZo04DUP9udPm1ScJs185tuQ3HeWfCPsa5nWLP
d5BFGyPH6BYwMYkPCxInXAS5udxxpr7P184ekahvcH/0nWRarYQ5Qx7OB+DM4Y2/SjU+mzGH/Box
FteTWlhZivI801fIaoFRIoOdhGZj2vUyFa9SK16UTn3t85FYTIvMcLiDtbVFSKoAc5olQn62Qb71
CL/bVF/BBVZBvpBKg6dzTuJ7FmQSWnt8NWgSJGAxVYW0ZKA7aE3rPi6EX3ej+oxD4OJ09k/TGs+T
qA/87KdocMe1Bfn0UOy09gGL70vRaQCYkuQ+MuWDq4FBtExGr3UPN92dvzcLHFTTncZAa2mC23Fz
VNziSq4A39B81klUT8ZGPGe9XsBjVepNVPVAcCZYhlHuglrqiWe3EChwHA1g/YHgs4nv7NKntAqf
q9R+uT0o+ERQ/hEZsU36NTmwqR1YHSHjPuLUI4f4sTiiRZTeK061T8sqaCuyF82frjk9u9J+aKNP
cwhPdEoD9tK7MIEK0vQeWjB/AVXuGBqtfWXTGBo4JtSjNMbokDFqWLRO3vG1G6QxBKSi29sJ8xyp
mtwWXftOfx9lIJgsr2jdzyxZPpH8XWCYPU5Ce7G1FNdti1JIbXzAfgekauplSkR16uS8T/MKSj/i
cHNDXfluQhiHrDJHQM4c60HpB2XXqJjuRtACW7Wtut2ogQnattAuQOX5kCLc7eDqfgohCW+Ka90Z
1c/SRuBdflqZeUwGhUlt/E0CpPfpXVxcDUjrUPucHLEMEFTU/JhrqHjzA9MhUzHOrTvfp9OISOBn
j2bNZUYMn6wsT4uGG4l440dLZ6N3+mknOwOlNVveMEA8CaGxFhosVzMRW9DXlyFMlf2sOW84vUy/
Re8duzl5hWaPGXutpHJ5wjS2bIel+u7is3Jod+nja/TShXhUrqSlKAVSXWSQITEIfY4jbYz9YiC1
IGWB4FzO67kx3HdiXtzXSJ0D4B3ypcDNcYoaaIKiKKYPLUSPOkUzcxm2dKUZ+3s97p7TNaw9GyEj
J4pNCGHeFceSGIYtrtczQp3MGxqzPdbLPAQUsw+yw0NduD0TH/vVtEuuw9gSULYbMMMCEdyOkEuz
qAWvBKTznRQSaFUsbUoGN7bfjNLyJ5cVkvHAFDRb8oPmgY8Lcl5VvSl9o6HWeWoPpo4+ZBqQt3s3
YCqDwxLMWlw+c/DsD6ENoCdsWg9T7DaeuInsEOUOrugBNjdRFp0JHDGyU94f5yiqcATVbcAZjHIg
HXvZLg9927PBzKgfFW5eabmvSVhd3djRfegP3+fJvEOXhZ0HyVNPwLNp78Mq8SIIlTQzghJV20q/
pVGJDZ0DUf+dXlBggpqemFvY44R5flgPfoGjP6v1h5iKb3H6orpW/piQvbqlFzoKrOQ2oS+J8X20
mP82w/4TLL9nJuUfYdgHUViku4Lot4dEnXddbokXV0wdCQGWr7p/ZBDoPGfelgWQJPSBFKIbk4PA
xmS8ehxrcVL0aNkB4f9BooI/LKTEms9l1oSXIQZwVVItMdiHKDQ2m7R94oGxPIcH2aalS2CKpK95
KPtq5DmW6TFyytKHYXjOLRriKXGyD3247MWw8LBFFIuxJeygd15Uep5qzXJTAZm28NGCZjr0Y+Kc
zYqnw+RMi4p5GbfuoE87i0hzO4epucxahoy2eCDK87OvyQWqqiiBaVMpD3rVEiZQxafBN9MzWN+1
CMRPeTPrPKajw7mgfE4H4Pn2hf7eYsTbvGeNBhelo5CIsyrgEfB6nkGFNa6OkIcuhCOkDOVCd5up
RwfCge1ID0p5kKZwtNRqIqNAJd8dfxyMd2dp/UofUpSzwKUSqNwFLBtYCyJgWI2ZEQriyFPr08BO
JXzBpVuJ2i+unT9ACUBUO7RzkANp37sYf9AeatkJocyKIje+qfRbfe7s6nVwSEjm5+X6ye04uiSI
KTPIyV2UzK9kIbdkp0U/OktD10tKlxf10RAwkL1EJss1G9BjG/uakr2Jn+P0U3UeEtb2SH7mJGWL
Od0OpookljM6DHbV5e+9CPwez3PG6ho7RAO/FsOfldJtGaaEvJ5mnB+poDd61+A9yDgDIh8FVXzq
zWSjRS6RH90IOlEXlR/3Vrmxw5b0WSIxkChnrzZJc8hZWRMuuRB8oyNac+l0MGvtP6aSSAGLnkDa
4DshCUVclvCSutZJXw1QVXc3tbSE9HI/WlV+LlP9wZQxRtI6Ckb0OKqyWy/LkfpbPNP2etNrhup0
xaWX0Fp74CiwK2mAnsTMqR9+P7pDvUPuQylT6kLZjlJ+t9rsUzgjhUUv91LjCEk+Hz6JbqPBADSp
ePTummLEoadrtGDM0A67kbmhhuW8uhK6sfs+zAAf+5hlb3zpEcalr2n5PS1g9RtEgdta4hdyGu5T
JX6FZEeMNd7K41JP49s4pZeyLndDH8prsyJosxovP++86Dl9sednR5yiF3j5A+VmzcHZEdpbE/f3
hnLutPy0RoRZTvSt7ehr9m78kpA1QXm/yazJ9qqkOFkZ+qyYmDUqH2ajMYj8rmODWL0rIikOMySg
orcD+vqbieg/aAeRpyOfEzOgt2PGCaXwp8mr+SqlZxF/TVNPPyVsQ1wHwq1m3hBKtI0eyNHGLzVh
xgRJSKpJoGkRGbN4gUssAa4Gn1B3RPuCL6SiZBvs74r1Z81b+dOp9GeqQipj7W2sSbEuToZB0bll
45yYYs1HRlxVyviqoHfBFYw/7CSwCj8sEcocpX5vFQdXIZgaHB05c+qTyH9GCkd/jDscXehGrCYM
iGEBq+tkZz7YclWSM/M+hfcQpD2DnUuDkaaB2j1ClpiHF716hqWcNK9M+nMlmKUPYM2OPJV9IxL7
PC42ChVYOQKT6v7URySPgJbD9odtMfNi51HvZuedeIZNaZLSvGFYJs2dk4FDO0z2aYjeo9NC/xSR
PNpZwg28qXsNYSE4Hm+g3b7RmDCcbVKd6op51tPEkgueiNvtqsodEXOeLXrfdVn8hQ71SxqY0Idg
KKLsmZCWJRjYIf0ImmzhlM57bcpLmZAoqtpQrKocrmyOwXEodpkNYY43mKwFjaVGZXHsHtJWVXcz
FO0xcw0PNJn2StDm91JkVM8mirMlKoiT7NAyKNWPvF/vX14k1EjZoY9z98BZh1kpsKg7SaWygxXt
Et3IrHPekLexlY5739GKsqyz5IUaN26pAHllN9A+Uf6nQV/30EVaI4gnMzkDpdRJNDJNWLGxcbfI
DiMfGLtpGJ7aEO5YgvLoAhvW3ZH+SYHOgrOFoFk9hgYYHMNI8q2snRPAn4Zs+PqiD+pBaByT8+hk
YazocSWWQ+jPAzaTavQXm5T1/F1aOSI5mtL0fXRfHYdgSdDvVOomJPfKbp9rvO1h/sa0dsMV+2sa
Qk610xaerR9I5wsJqVHmMhiqwdfGNWXFBHDZ7jOj3ldpGDRxfuKwkrO8dOkDKAAi/xo0Uj2WehwR
95Xc5ym6WnmGw9g8Csw2C2tCt7NBLfOIs++1gH0aau9lp/G+9Cbzb+OFdR006GbE3oesidF3c24F
PT4IPr5J7kMghpyCvaZ8l7mjHhFPpzAbB6qBMrAacxumjc93T2BUdmnd7lDqCwQMjPgNrQfp+I1e
VjQJ2L+i/aCNKMNg0MbgbLvyOI3mhXSw/aQ9VWG4iwdjN4cKDEHK2DT2Bnbt9T4zj/Ahm3vmyPNH
ewq7zXlYvxO39mADbLGA0wsGlSxD30aOX6ASTbaag827fCmmjak9qhqhmzQEhZv7o676Jct8HxYU
/OVOgw8X6lQJMOzqgeczJQVdQTqfalu55lg4576ilJwGryRIpkOXKssHera+ltRnudGrmCqw9+a2
2TW1cWSn8iPSnQF/0LC+8J+kIJD9qdJQu8YDgOPFmwaomNFTAUCh6DhWMgJl1DQwfh/J8rQjCB6A
x6d6Q84SQd1kB/KaTVURaHFy5tBA8xBHtEqvYR9236yUPZriCLYJb2m3c0rhmdMrZ3d2ImNXp9m5
GO7kkEfHLCnbBxClFK2l/daHJ2S0WpDh64lbGrUDsSHsJ+ReOhFd0j9odbjlyMqTKFg5pn0UpkBZ
3VSlSpu3NNyyLQn2R2Fmp47oHqWcN2mNFM0uMAtTtPOJcjQUeeoC3K7pcQsaDxEPoX1wu2lfjr1n
mYqngeku3O9dGSxMgpYxwkZNC5dAAoeyTtpA4jmIxUSP6TYIW56ROPqAIJrB8yEPY4tWA54yBr+y
QHXYcQolz2RgqA6kKpuF71q634SGP/TQwT+68tF0E5/KfVva0ius5xXskxLPw2K9rWFQC4uMg+KT
RSmx7nkOiOCNjDggVck3E7JChGKeS70FYUIwrD8X7SXmIi/rVg+wmsAPVftTmfiJwouDgTozfAyO
it/Yikv4W9Ffm2pA3FrnrJ38KR8WlSnD6HRXVP7mrqGTtplRm/N/R8qPZbmMBeyNGD8yneFpqtal
15mDdoja9sB4vb0UGQK7ackjqjC2D2nrF2uOoh9Mp+5nIo4zNZ9PIc5GWL2yQAlUNf1+Lvluh9F+
SirSSBW5q5udnsBtaoHaOuV11MUZYuPRoXc2dMm5okUp8Rgz8aHjPGbPYbuKsKTbeUWjUUnZpFeZ
mH3uuqZ7sYCyP2hde5KNMV+HGZqzWqnPo/sMHSPctOKpfTMHaIJZf2oX42qTsBMq3yc3DnS92OFz
3THNhVMYbkT8p55Q7YF6WSpAoZjdS+FudeTKALARs1hXNA5nuv2sN09tavnlQGAk5zJ6VExw7ubm
/7F1HruNM+GaviICzGErKmfJ2RvC7raZirGYr34e6p+DPhjMRrBkyUEii/W98W+YRIhb7kqI0Q9l
n9rf0JqwdWdJHYI9U8xq4AgIuhtYDLPBLlNWlHOgsCzBwotF+0WIITMr29FOLr122LTTRMtruMW2
Fl9kELxWLSkmBsPMyhskdbNEwJHHJfaVWb67TiJ3ZpcR+ZKhetalxV7aHW9xW3xnraIi2g2Li91p
+SVzquKSmFm4ck2NOsn5sbIwsS2gAvStId+R1mTuZdDE5xKOLIQ+PQw0Sqls6UhzHaeSzb1ZX2UB
O1uTXcWlTbyhDwmxfXvlXVZtu8Uez1bgr1u57i4opbbyIl6nSGo/q6T+jCAMLh3kwqteXMXg2C/8
0uwgS3EtXM42u5PxxXMm1Y9LeaiKwDxxDCNKns65O9Hd0hf5tS0QftEquQxNXby4o8dWKH0JgRoO
U0uiLoNzuOqyJl5TBkCNN83YFlbh96FwX8JoG0f2Loz0jw7I/kS6YwGsg389oI53U+gH14pqagak
chdZka81CmQWrkcGTORhb4TGtQ+5K35peBsPpe4Mh8dXyMy1TasqV/uqxQQF1Vz7zUoXi7arhqWw
yfjViZ5qnZWgQxXk1DKBLy+tmpQnE/ibiPbhkDslWbGdTunSiVJF/h4cpSqtkDRHpMVXnuRswWOL
QW++wbW7oRurW5gJPYhmKvIj1RT5EQiWgdw21mPR1yut0eYQcjsluVs2N5XQygat5RsGqHbXKtsS
3uzeKrWyDFISQQmRpiE8yoi+ab2YFKzkK0IxD7HZGRs7ByMPM0IgiOOTG9M+EtDOfrEhBQuehbl3
SDPfoc2KwB42XjlI1cQnUbqYRuWqKmkjUIfymqxJ5/WjCEV/pdPo2Z6F0vAf1889c+ppSK2dEbbT
pazy4jilHjIxbTjh9qSaIH4rtexmt1SD2BHGG2kwjlZuBGsvVZsah0QsxhYBUEn1FqJyctTo7DDj
BKwqMdI9l5qCFDkIITN207dJVFeEoGP30TfND/VDKS1TobesynA8iTaam9XpqEXHCt5lm682l+Ml
MM0p1JyD3Y9fMfAQu8aiWZN9kO5tvfqLziig252mLjceAPzGFOorWdetThVQbgTNHj0EmYfRWsaC
INJm/O2TwF51ozgUiu2yO6WFqiDxd6/EQbZ/fPXvhiTnmqUjadc2O5mYKr4LUGJn1UtAlbWlJfkZ
O0NskJTkeDfOg8RnJgiWrTN862qKszc1s7XZ5Rpnasv4MJnUldm18hZSLNMpzdaqPZrMaggjELpL
pDH3SA0b0IAlmryybR8p9qtwtwyI8lkL1FewIkL/u4HG+MDTyGbWN0IlHXIKzORK2UhzLh3ef1iC
61h/h5HLwtc63TYcg3shiJdyLBdCRajl/vGVrdG5JiYvWDwEI5VtUNM9lGJJbrfwcxSAoje8rRw1
96VXB+nvCEpco+TYWGQ84emhWpScLnuuyfPb8bMQuz4hd/K1pLMiq7ylIlaomZYSyMjmYk/vIAVq
FXUiQltLkbS3YqB+gtM72nFpDN9LuADTHepP1sNxfdKqsKcNOtpNXlPenPQdAsM3AuPZ0XJyuuvK
PoFNTkSE4vPWm6PddQEuFLtYdSZtdKHaNutUGBWNVQG509KbsC+65cb28gNSlG6P/enH6UNicJMI
9ygR4HdyElYuCbYQ9DQguGn6qtXSPIy5c0bLl90yvPD8zwzXNiT8GwgyLpry1QNSOMyKfizlC7e3
EVjcM+Flz1nd0q6DgJAM3RocVNrfZuLCJ4mMaaOYdrGznjorPgyZa1BwhvAjnC6YSGeI76XXtM9w
q+l0UYBE+VnFRwr8aO+6sZxeqyJc95nnB7F2y9SoPYdRo5PSAs8W5V79GmvlHR3vTTeJZx4aOW0F
VlO/MpDhDCVDiJA9uDdya4AZUpS9XtPP874zDrM9n+E1CWLxwdK6aYMOFNIjD4tSFaaKceuyk1h3
gnwhsDhVlOeicoqzAPVYdZ5a+3jTUZQ/HuS3WzuvMy6NtLZlLf6MXXQWkH16bYAXzS9+3EgVhYTM
O7ZCJrKR5tj9yevsNW84aUGH/CpY4SKYK6E/S4cIaHLfM5b+wMgWZou0YGWy0eocrEyTK1atkTur
slWCBfJYxA5d9TaG7ssgiE+0+oouX2k1SN6pJ9CRNfmkaQg6wY0ogrijAZX9f4yMcUl8JL3z9HAm
Ivwh738pQ67jZfCksxssdLGp2yrcdPalh1XjpYz1jR7thyT8Uap6axDLos/lTGFS+JN4GPvKTQv3
r48Y/XEgTArgn52TgyKCqUbzZGiwl4B3kaZiqjGNfmmW9NsqLfCR5UDxeaeynfq19EjfV9M/qMIu
Wa2pLwYbjlKSIBIU9S1mP17TR6DV6qZUSMyxy6hbOPRkhMPwx6TebqGqoNAVenpXIDIiutFM6Csq
cuprwswPchotaDq2aHT0OREWRVrciKWyfKYnauDBeYWHGqF0kuOQI7ZL+jWZqUGpvKqFhOHKOslW
sSBQ3YOIN0tAkgQzxZKePKDbTHs1kqz0kynaE+m87jsoI5GdMzI8yjzWn7nkQMrSHFhDYR9tC3FL
lxQsNjJ/hyfT4Mah+1B3rcspmubuSJZr4qJStP+Xsms/BqZwQxi/dBybN0+dVkNHjU89YK52VtWY
KetaCc3Xuqoho2FNFD7GCe6dEafQ1ZXGRxBq7wEVCIP9x4QfsI331pNblJcraZgLfSzxilyd9Bk1
/zISJ9V4UwE3QgKGHIjwRDqg5hDiCml7uhXtLciLOoh/moLPhZ6411inAbRRk/Cc3qgmpd63n5UI
zWebfcfDRBYN56dNb3hysWPyF1wtsK8sBBdPuOIlzLt90rv4beaM8hTmZ28mTrHxKuU4Tp69xsEz
gThO5KFInSmCrJ1dhqh9gXQ4fCOxz2OpmqxdVTM8FxZ6rLos812vJMozhNkVyNrpfuZOYSAeH8SR
F9KjAb1pAuoELmOXwXmhXrPqntPcm5XfI7ETSmasw4TPXucbc4/mqx00SzX+4/BmRKmFY+Q+Wh7h
MI9JcKKefDA+ZQiIH+OKDcgAxAeCF6IlDaxlBed84yqw0IkEV+5RKcBm5vJeOhdmupGVirDmnLrx
StkVllzpc5C7tWw5DluBZQpghBPJFm8aQ2Vjr6r67FFpWxRf0jW2nWv7+YRaHYWOMHeGoME+7lTn
WieDd8o2jslFh96C9KvmmHLD4R4PUXZC9IUApPCaZWob0VcYuLvOdr0Xsivb3ZRqbIMah06DSPnU
XCpjTfQSkZWigEbFEJl074GhEu+ZdaqfguiEKUTnNUjf3E3f3ZVq44b7wLOWucWBbl9gDrrxtRbO
s5kExrLOCD+sLPU3ZdFNDEFRRr+srfADgd+uCn+JF0PM0PoVjbaN9s0Bq4x/J5jqIl70GQwdWG9H
1YnKRTOrg3UR0DCue1SzQp01O2QBqBPDxtk02aD4k13JuxI8i1zmNx3Q96Q09BdRG7OOD9hjR06o
YJ216lOjxi+dkQsgMhJxuqmT3yZ17EptwDYMlOxdQ1QIdMe4ya61NVz6RG0DGcUD/YTuT4T4+Fo2
VXDRUyisx+NxRPhHD3e9rsST0lenbiZCSUomkFHtPxo0M3RXtQgJ5ruc/HtUo+2z1tkG0XNj9d/T
RhsVSStZ8LXSO45pOF6zoCOU0oWSCDziHZXUuKXRcJvjLrvYQ9dOeOvN6knHaSlH/ITikH7SjuDA
9bn2UkgOWtniV+bkRc31DWjeRC8613YXWCMjB4G4LdYpMXSofWy5sAz8ftgUVNJwCQelme55pCoa
iNgbX93xxUkCfyJNf07UrzWmQA4fUiJCTjMbHYVpqks+Ej9Xj5Zz0iCKyy73tR6OJnlDfOCrbraq
vJ69PsMBdR9Wwc6wQFCIPMujgBe6G7pYYwTpGqAJh5bZnqxtbznUw9qIkO9VNOOsHOvv7Ow2W3iz
BqSxHPFNA8BAkoWAQkoUg8Vdi/DXoKa3odIGBL51+1WIEFWDju4xAgMkIXTynZ7C4p/RHn2NVuti
hmVayAkh1lWsLifrEuUh1bmcHfSzz6E8zjdCrWU1hvs86JYOTzrUbDFqGmybd1bJRDvD7S+k8mqB
e7lstyRhRCFvaA3b0NZPRALxlwcLXIbA1r8FZ0lSvTfFV+spkFSNT6ikJimlYmqR9gWB0nqk4Xni
KhPQp6ZDO5QGwljdXcT2f5dA2sEpZ/IWMigXw4QAtdkYzO2oXTnikmXLIj/zjVwmlhbEHBPpUhrY
afpnFCw5/H1KyRADwGLUbgoxqE3zAbILZU0PZLnjRPBTbF7GEM8g/MKs4uVg3cn2W7Tmm2WT07ej
mYUKrGzrhehKwifHfg7TbtGrICLVE+/kouJnaWVNNlnpTwQuhS5HPaumGuCcMT/Rm/MRtvgZSvw7
q8JdzsTpmO47jm2t3Wt4NG0ECH1FWrZ6pzJ9zmPr+CfThI4b/tiCrZyd/gaNTbAenR8cZQi0l473
N+JfVwYgl/l8gqjrv2zz0wj/CKp7CRocXtoGmlWhiWtnoPCktIRtwq/DbM3PkTax6waS1PqKYn5h
l19VvrdcsdZQHLEZXSgqGZJsqGv3O1Erf8BKlJZ/aymwpmS0y+RLRfsp6VOyoXeH6KWjk0eZbKqF
LRxM9LAi9WHvscAsvJDRgOyEHGfvO7DfXbf0G36LWRtEG60mQ65twRFPcbti/tTabzpAYVjZshMF
O3F9pYL7sMnZJIHpF2RCM313CSSnofgOv4E/klTFxVhDmFkcPEbORiNaeu59tHvQTAi8AoVuhYcy
NyFUMtRXayrHom3uYuizcu+cq4180TX0JC2JOmsnDtyPoHyFpTUQw99x/aLMrjqGIf1Hn7zdBO3y
jMugf57ilh7EfocOfnjRJ91YZaAMG43kwLdg0D4DDsNr3Jr1s2tYK+r5volZDa9KFXT7eoBcbO32
VJvmtptrD1mMzw2l0nc1TU3oWnlQqyG9J1Wm3jxviai5wtdLbCJMP8LNiNkMvMBxNj3xqXfEhPEd
weJOp1OX3um8WlXmFN3LSVfPihptNHJE7o+bjh2YTbfvIkwl1ZQyLg+6rRCBog3es1ZPXKq4KP+w
AWaPaQffoiezi3OPXag6tFsN4GdrDbp7jVy95KNr+m8Z8ozOJryq39Y0kO6t3PidGnobnLaOIcss
3AK9WZ5UfExLHe6kJrvqpYoHorbG4G9jJ5e+5UCFpRebsFft07+bUg2QGUdrstGr/x5+PPLvCeac
6kOwx+D/+wbXdtQuAOMgwoZ56uebaRDbsC+n/eOhRLYxR878jSGPwXX19P3xtBY7Epj+n6CvC4jM
UD0ZjtXTghS478NY5VtqQqfT4xsVjbKnIs6/q4i6d5znGdI38qZQ8r7TBqVuKL6t15oVKe9lGz/L
0vgTD2F60CywLs8NAJ20HmlTbScfCjXRy8JJHd+Cv5lzUcuPaZFknGa6GrNoN5L6vKj75U/4oOjO
ecsv3fBDke9P2NG1zAXU3IqLMk7TVcvlr+nI5oO61g1iB9Kzcz3+0Ln693V9N1vzu6ChnprvvloP
rsLbO4Kz69UtM4J7byKtBU+T+0QBpCBFrbxQ4fvXtRVtk9vAlyml21+SVjt84QrlMiDOU+IRoUqo
5gZJYP+ue3Qc5sVeFqgrkq6EeKGqCVW5s6EsEh6n1e+ql1ZfCT2FkRqxQxykcUoVHEp6ql3zMBjh
mj0LKLXZkoL6M8i2uxM+b/gS7982lMl0RBExHaMQRH0hhy7cEpil93daloD9XXQAuW4tQnog932q
g5wZXlzuO9wiG7Kjt5pi+HVbpvDD1UbkNfMVz0xoXMLCE22HnrywOaBlP1mKcbadVZ0RVW4uhWWc
zLZTthoN6pumlFTazDdYpkA0dNzSPZLdBxz0uFGCGHTGnY5gpVipAkuy5taptQ0amjD0GTbC09W4
iynNs0VKdif6f5Clx4stAQpChupx8gRr9eNnCcEv6hythPjheUU0IfvME2VT00cJiGA6a6RhLqtG
PBBRDNuQnpxKZldUxRxsBRWWYaoczKLWbo5mImVjvHWa7lrgk1jKrNFWcDtUuJdoFjT371Dz3uld
oPlmlOzGpvvNbYjxunFIU4xvFASJNa5NmlwHQp5dZb7YT/lvON97PBQ2d6+hGkgYdx1H9bOdlD8F
VPJR9hmSx6wathhjKLBr8nwr4sh4rkVBGHST4FyZ79opGtvageJ93I05Li+jpx3K0sI4VNJbEYGo
Prn1OqpdrvF9TZIwwXS6BfjvxlP2MWoVoUX0K+81tzlYUtaXhBITjO39WclRKY7Mm42ToTyMSXjO
RuctzCYFY8pCdIDXYyvRmQ3OGn2mwryqOiej0xuoRTqm7DyJV6Pem/eI6myfEEwuwF6BWMLtu3eZ
0PoWte30ZReIjPO854IU/iSuvcTzCOBUCOPkmKRRspXCDVXbTbdzO/0s53uP72LJQxjRtRx5Xp+j
cybEZfm/Xvf48vFiDuyrWfX57vHQv5vHz1IcQ9kjZF7/f1/aaV62CmVZ+v9+8eOJtT5eylBEm6IJ
N65jfhYpylwCciJn1SsSZAYyijhbynh48yDu++oyS7wukzTPNWvX/nGvcNpZ36IrWzgI7ZBY5Y1G
Lvtq5sfYmaxbEWhia5XAAoRSGne7daHmqzHZto11zwke/+w8EmQrVrJFbUTsZCl7u3VaPydL/kyC
ZImo8hpkXJz+dBv8ZZKUe02AKFlTI3Gbp8a69D6lSYVc257sIYoWU2jYUPooNFjo0eBW4k9tsqm3
VH3j6NO5nc3SWgPwVmpSWXtpW+N7AbXQdXOpzaAGIGdPkruJ8ClsUJGmhm+owR87SWdVQFMdZRVn
dNTTcl9j1du3lGmyxFfh0gLqWbvtYNPFbbyjpVTWUeQc0ej+wbAbbLCIuLjnmhc9wFiLNT70PXaG
Bh3eiLD0nas1zSGO6nKr19UpSOv6Es8NGupUT4uipiJgrIH4h8G6DGZRngq93gbIwjZhiSosDiVi
dR3VTlm8NyzRa8fDC+2Umwnm9MM10DEaaRLtiAsOyro74jQwj6bMUx9ZFaoSc+BiE8tzWGcee4nk
mhSczW2HPL8sQhIArbBms2Nlp4CyJkqYY0SLsyKhb5JlJBt2cA7aVi5gCtKfaGC9SekLdJnrZMPm
t3b/GAP6EMsG/IbW3iOk8gR0hyYdNPCxdxATotF8UFB1FN+jrVSAkkq/CnpZbHPh7LqOISMXFaLU
8KlCGUHRrver58YzQt98nQ/s55GJLXL8H1FGRJhDSkxC+uK2siptL2t+oB50x6hVxdnClVA1fFgE
aLI9NuJNrE1yJ8kL60SjLVsjqXBZIk7AGDgeZc6VMVECIuXnu/YQAAPMXzVOw4b/332suuqyf9Kz
ZFpG6mStVLN76T3kSOy05FpOaHWULvmqGn3yWaXrhYlJf5nouUcSJYWkolRO5Yhdsu5786K35spz
JPAh7rxhtPMbjaLGWZMQR+Wt86LhYgBPkXOmHFQimBZs2nSaRMkmcVnnn3PZRsiCsFolUdqftHT6
Hhq12xQddOFg1zgD2UQv6IahElgOa6FY6VVV6q8SMn9n0u05jtUxLb3mpOMgbF1SzKsgbY8ZwMUO
ZRpW2fxZNy3emAHKSwpsB32bMtQW7WXyjI0pM5X8HfW9mq+XjhGdMZkvSOL9DMq5DlZBd9B3ZnHI
mYmpggChiC/CjJ7UzhPbPg7hZvNkO9jVghbq+kJrjeLw/9QQA/y5DNamhWfF7p/McKXbYXEvA51w
0xbrGirFrQiq9FIPUHAGixXd1cE1NLHhRwp57Y2L6aWSckLC7YzHxOaKv4AS2cadVM7eFG87aSA2
DprXmN3oYvRQHdhc4hYh0zTRgvOVoD64AzNELaxtZnUgSn2VrZAvK4yrfVPLw0dFpq5fKZzHSZmn
qzQgB6PWAGftAdPTgB2lBkV3GufXDjKVitZFAfuupe0PHHoGUzSFsbLKQ/JXuklpMDKYf7M+EXvY
k3WUUkZBIc6haBFyuUKjSlDIeKmHFII3TENu0OKCC0h0RGqFiAQsNW6P+Wjfg8pwFykbxHlOfRSH
+1aHL2fICZolF1BbTyiP20rTN0NHVB5KK2+Vayl6I6aSEHBG1egc8ebIhaqymJuneI1ng1K1PNwh
8DkJh6h0QS4OGmWah2I6iVnV27eOwnqSaKgKc54y4kSGgGUd5+Ou+Rq6UT3J0biz483fBBqaRZHJ
6vy4m2vvTuF2cxIlgVuNsRIk6meD19yieLROqY1IazKeu6K3XvvaBnmJC2VDqfoelg00DmfmMqaP
Sscp6Usv/EBAhLfaHd+NxAN71TRnqXd84mrUr3XnxS0naxHV4lS5LSe0PpCLWJsYS8AyGkRyZc/B
rCZew8SsHrOQIJKGRIuZwwWij6Xtu1HKdSSjutIqpO8N7mveM2BDtJqrHqggiyK/AU4jIsbdWcyC
S70ZgBHJOcbQg/Mysp/T0MkAHfrvMcxfrLYkmC3/6pIaOh1wlrZbzxdxLZFtUymkpiHHThT8NTLC
r82ZjRbuEx1PculMu9Zqx2WErBv9ewCiQkiTk5+H2G0PQ+fdQk+uW+WrYgk85qWl+xOpE4ucoL8x
p9+3s4eLLQ37mhvOyk0wWCUmKEjXA7wMjaYvWRgGTRJipp41XEgFaKlDVKtPUdIO6/6ljzWx6evo
SbOn7zjSEMPSM79Et0T57rjlfN42sRx26NjuWv2XrH5BpAwwBSGqeJ9NZvR+jngZIp3kCPyPRaUt
5Ni6NJNBXRCiMYHxUWotQSwuWu2+YZJ391xRhr1UphfFC5HhYjpusdRPltfhZSVRqsrwYKr09uY1
JQf9lO505dPMRmPZgnWoxYede84hSsZnvQY0GE3woriiC6Uo219Tz6erQcmcIDVQS+t+n2ZNuTZr
OAJyPOgbbVM2Fs7EueMZJ53S9JuSsKAqwaGgGJb48cChmLNyr2U1/BI7Fezi+d7j8QkzcIZcou6q
o+MlAmk2C7NoACPpbP/vppy/snG3dXhKQIqTgt5RnFrIgeabJAr/783jscddmxybna4JiOgh28tE
dfyx10Y/8+QzpZ/tatDFl1cK90Z3rE9AtLg0CooKQ447EnnapduV3SHVKB9g8ANW77UtUeOIPW1C
kjmz1cQ+p5EqDnqGeBRihS+zgBRMC/ITqfzsCokJliABucO3ChQR9TC6FlFbp6I18UDpvMk5y+/e
DsN7PpDEkXVtcagdkDLZU3kSSUWeikaTp8dXbjVfWxsORddo3jEeJG+s+1uiBfFaJ+A5yAaKZU87
+KvGWWNyPhmQvz8Zfz+bgOC7w3fTDIfJdcZDltCENhKpnVMeMohOIredH8dwPP33DNXr672aMFHM
VxhU9unF1haThhALRFZc/j1ceNVVWK7c/z+PE39iAeuRcPF49Tg4goBPC3lMq7+Zs2gzqd9wPc40
J+jY42Ebw/ImIH5yLQLN9jWFDi4mPnX/uPGUCJdGoKogsHymAAWP28fDqcyxBFQpmOIUROd/N9mU
UnRscE3KPC9XFx1ZIOoC4VK6q6f+6fHEwMr46GROr2WtHae2ZtWd33hXtOEhq5Tl46HHTWJVZNWk
KMQwt5gL13bltuRCG4GcJwMK4IH09VIpN0VOHYSFFATlKVXnSakcW5vrcU6857vdp4E/GrR3j+BU
7803Lt3hZHiQleH4HASKfGX3KdeaEnzradcfEMIUfh5q45trOgM0kGeTmMPdyYYuwBnrnAMCR157
7EJjPiJD7o3T6CJI/e9ZmOXQVsHxlO3V1amlIkF3QkxPyJNWYsQy+hEXUEX0Kg1sc6t543cKAYX5
GIhNMoXaCw5UNuZsqk0mhJB91SVN2N95aLo/JDoSf7Az/EYdAZCRHa4fj0/gPBvPI20pxT/2oRXN
KoWweXaKNxW31dGN6/990zQkJcSRhZ4joYPx8V1tVP/nKbSriWVm6JDxDEuMyrz48WPqIr+YDRaH
BnVk25gOkEfqXo3AwpLtFP0yZX95zPJhgyMZqXiQR5vRycZbP98E4H8o6dN1Z1sTKvbGunk9vhHH
ljfbgs9XNW/Xq/ndc2d30dS1i6IZipWoPLBy4LallY6ST9Ps/oTyLa7a4CvJhkvXi0tLgvRtorzo
pgsZrLI3adfFYSwClZR9DRmpq5Y3gBDwYgvFRjJgNCCWyzk/bhhi6o2r4Fhy25EPeL75990CVbM6
JT028v95wX9ftVG3jAIWsX/fIMCtO3ti6RCUdWcZiO5TI+6W4vTHdr4H2lFfGyGB7bn3eBaF6J7f
IIsCcunezBTZkujaJysYChAbzBW2RlqX1xIIqsgyXSY4GJcoE6td5LXrh4DocQP0JfGFDgPN4Y66
g9f2e2dN3G9zIaLzxa2K5GTF7J6cpGtRWJCRMHnWkf86Ww2a3mxswf7VrWeZPyiE0nXkaXW62Nom
Eu6qJiw4QTtEomO17ByYn8lzObz7xIJUz/t1X0/ZoulRNok4gcL2utdJ1WcNIwFozjLq0+aoC05d
xKTOqUuug/LDYKluUGkI30v7b9EYnzV4w1ohu5i0RJ3sJy+3Dx6SEyvhGGhG5lEq3bw8dfe9xApZ
IV5yhwZDMOkIp5DgcxEKd2+mnGWlmt8SNmaoMNmwQ6ju0a7fGoVIicIeOEPqYSbDWizYJhe6VK9I
h5xbB82GwyHrQTNc5ucFyQLxHlfvhxER28JAv3Gpo8TMBq5aNj+w/OnWjC9p2mHbYERfVa5TLCM+
XN9VJe1IgHLH0HsLe1vdRuwn7HkkAT/5oqkxJMHCCJd0YegcNNZKNwLt3kXQFW2V/o1l2D27UEaJ
HdWY+THMqWOjH028YYccS5QeueO2GL8rJ9kFqlfvk+6pMoziYOtYwBrNYfssUr9N5NpVM8RS0t10
krKponSB1rxE3WtJ9uQwE6/4wPst81uvWa9zwBiTcZf1vlsUv0MkofInDRKlat5URt3Y9WYltmr5
TTfQzFYSzJcYubkn5sunhc89kPgHuJETG9EPpjhoIQqDlsZVLkAz+4CIZe9w3e+Hau9Iy92MLatm
2EfNJq9BybrszuJQbcKCq7uitdZLYcpdG1bfhNAUC1GSyxWw+4VPUtis6emfxrAnBnts8HaPsC1N
nlLyVfd6H6MAY4VEWIcJbRxxNMgpXAcJCwXptWLROd6axAmeNSBGzVjQC7iJTW9SKFoIWEM33o4C
GVZjBIfRtrstbXw126jhHe1GChduqOtS6/EfpuMW3KtckF6GMLoaiyXbQWbv5YAOykk2dA5Yp0I1
Ca7AApKAaIzoHdfU6SDWUaVzoVeUdBRHS1YquZ8rhw2cjz7IOssIf0xLSs4K51x9NQ3KmXLs7GuL
YCxcsvyZOF3M89jDRqHNWzRE+q2DPt9P7MxV0utW5XxFSxzQuDynxblp2xWKxMrnb6m2Ri+OjHjC
7zpVWVP7tB5iUr0kexNQotQgEyuSXJEsPc/RpQY3inAtIhuql6kdcVLpk8nbimJ2bIA+nVNm5+pV
jul3LfrCbyX6kBy5KufaJh0EjZ8CzxmT0Daitetk23a4AhwjOdVj0XBSZjPLgdpQcKMppUWpY+r1
m7xlX2OgH1QSckMAstAPNsL1lboZzxJGPHEmhQWBZhbGr+3UBwhlI4naERT8Srp27td6U2zayGV+
H7Wn0oZZZrwIgB+Tub8YEX5KavZgGsQCqcrJstPh6HWMAnGP+xjl5VWhixCFr5YtWo2VB6kP2UEw
zmg3bkMh/5iV91E0E6mOL5mGON7CAbKwyYgwveeoxP2Xpp57SvLmrchJh3GiODuFTvjVx/q7KdNi
o2OcOE0srhoz0t3pZ6+SRLGW1+T5NkJ4B9CSbJeo4lhZkpgvNdxwZVxI9sAftId94jZ6YYSNT+Z8
U7DXJp3c9TULLM3QiXSZAC3qcrQwRWFoIi9nrWdRs6PHMFtZ6Z5sGIj9PMSe0fMTqfXZ0uRDIZIa
ZheT5AG1oZLTCx2Ck3tjaY7OX6tSfxKyJ+H2Yt/y0jfFqoqr25PtEUWU2E1vg4viqNHJQQLBv3vh
FgtmuWcnyWTvEqvvIL7eygoYTBZKgbp1usLG/tHICAIUUo/xSNzDqOI9KafwGo00pbW25C9vJXhE
IJVdlH0PzrGJtOoc2hJ/MZlCXv/RaRUSUzqUQsIpvTpPqCxFjl0XCfaHN0cfG2TV4awoQ0xVhBKn
Y4Bc1jP0dTRl2paWtE9rGu19OW5zrRiYFmc6H0jXtGgCS+YkoaJ6Tt0UmTyKUIksrFcPU4dopp31
JTRk+BU5LnyeeBVUBcyBAPCzSqbMVv0/7J3XcuRKlmV/pey+oxpwONRYV5l1BEIrqiQz+QKjSmit
8fWzANZM971mo97nhZZMighGAO5+ztl77Th3S5OZn8/ca1XJmtjQvrgQrD5QujT6unGwBWdB1WNZ
pvU8My/ChCO7VzGoJCriiKPfORY6B2FV2Q00U68ew2/JHX8t8FBp2XkoPXEYDQQhmR9ErtJLcTK7
jyDVi0up1toa6WnsSjYzF/uSWNmBdQmIyzo2hEHuCVAOkMeXG9L7pGur2YtnVkifx/FX29d0ZAJ8
rx0gHhxSBbp9MG9WG6NESMJP9EzdVnL0ZoOICybxY7pRqU5pUkXDjCcISBJrdgXscoSPwe9GiAb9
b5XjOMEVHCjw9GK7XoVj+Dv1I3tb+MMrlUF9mHvevTYnu5gt46lEuc+xRu3aBsdT1znd2gfq5NZa
eN8Y6qvE4Id4rHhKsIef+z7boVP5CNXhDV7GTskR+oJJFG6Fnx2F9SEZrX4XdF1B0U23gohT+Br5
oU7oiWqozzdZoBm7eiKCUREZGQUZur5i4G9y0KwydlTeFCXQ90poGi+Faj0WRoSXJVcAZwC6PkjV
nHbdPNtuUDZtU9/2bppuYW+uycpqRm3c1830DPr/TkMa3Pmy2Qx9zDrfNDODktTsAlUHHWjG/TR1
3aYgdbKL3DAAYY6B6b5s6kez7/vDngobYENPukaigQqzeL/ZEXZAo+IN0gZV7T7KBPm/Txeb4ulp
3dW+PFlJDbNP28C9s66GYn/a6SRXRQNMsSx7ZR2r9rNXogEIC4UsMDTNPU2Why4jZiIPfsVj310H
3NC056Y1rhLtxOnO3qJHc02i2WjyVE8qZiDYKiOuxfFOS6Nqa/Up3m1skvbw4mRR6aaxxvgJdIjF
+GdViemt9/1x5dUvU4QszoxjKBc5r1tnvI44lLYEsFZr2Qu8/rEA6NPrmyloHybGdAzYzHY91vNA
ttf1leGUvyNMRivNLL6KnGVAbZAXV2+6zuQcuXu9FWR50NbjMoxkc1byqFvpZoFILgysg15ta00n
qdEMrkwX35EkTpuGk6Aet8HZi+yDGEjsqlIbK5fCQXD5IH0ruXN89asQgHirioZtUTzDQ/+CtaGs
ZR4NW7sWO0EcIusHHfFWKKhK83DvGSzLehoyzIg67AzGc9jX/DEcwFAX59vJ/wrNpr0MusIhVOUZ
GjHvKZLWXYJWV6SdckqYqEA9IlJ8YvFOPmXv7fJC4xgVZG+yE2+cQsJNhEGd0VjWn7qc2Uwb/jL6
qbtVVBgkLPhbqcj65LThmShFDXEcJ6rO78lzz6/9CMo/rozuiRYnk2J/3FrGCNAbIsazmhjojuv2
t4ja2E3lJavK7qIoqO2pFwg+VfD0TeEF0/rkoqKKsCiQW41UxNWS1EaNYnxEbA/0x2D42Lx2eknb
RxvM/SQKaDRRBkOsOfgOKEakoKOr+kQJKyXyTyXHd5hVvCI+JTkuW9erMfE4pfZQOYHYMJDf96Xv
EZkHc0GPlItnsb0DQWOONUdXhe9E4U4M5DkkWgYNYKCa2KRqygSW+JVll4/sBXAUAXQzMM8fNU8S
1B4R0h3nzPW55XNqKTSqlKIqE1UbyFwG1qbONcyetacxO+z2FIwMD1L6sWQDIEPgUFv3o1irpvNS
iK7Z5sqUQPjSD0GLsQLhD0Dc4N0Lyfg1m3JO9+wxqzVj89ALh4Dssds5KUkbKFPbS+mkaMaBhlkk
RByXD4w1X02RGLs+4kqd6RMs3+pjnCMNDyYWqxhMXK7YJeZUsPBMyWNcB/T34yEV68qAvYfZA9/s
jP8jh5VcXKuwd4aOV6+1HvzOVx8XMNp3oF5sMLmVfrYleNjYmb2G/m6k6y2D+NMkCG9nOf0h95n4
JrOqOe+ldiT75GFMdJj1M+1fgHR3u7LXtxJVeayb644kNVCjZnhJM6w/Y6dBjkDp3Tp95JrRoNys
hB0yLvTk2S8/BpLgHn0o8Lh1gNcBV4TLpHN2xzZgrrJUN91Qdex7P6ER0s0PqVHn7hoLWZ/o65uA
l510wU7OlGMzY0gzGEF6qxJgrkBHbuxgKW3FLLgjFegVWt+NpEbj2FObz6KzhXBpNWru6phXbqaX
fzWV07H51o+ln2TcC3X9uHyXEUzDFn2Rd8ow/VaOQjkZx4CPh4JzlxLdFuzbaCvXhVJo6uKoMY9A
tqlUl+VFX6IFHVEj4JvBiU6ZKxCWIN9lAc3qOTzMbklRdUI4Ll7h3bPG9sx6/E2W6CiYLOVUxXEI
uYCBT1kw0zWL8trUvnmh+TznbOIkmwNrl6xCWjVrqcCIKA0vX5eiKNeg1VCftAjC5xOoiTvV4K9b
s3JSHkO2vlRA6vu6lCelCG9+b0zHmsqzLUgxVfQoulCtknmGVSKS5CIQBmslm3JQ1H1fWOJgah5e
k7A2Tgkb2lmXxllWCuMouNOrPPSetbyYzhNqpR0B0C8VyQ/H0DBp/8WSrJ6iGb4Zlb1DnjP2Qjpx
7Lrn5V9egPujMov0fmisjS+s7olvXy4iD1Q7rjlOccuHloUiy6NVOePURW0/xBk4e4fuw2rqKGZJ
Eo+4gIOaqaRVuJ6CQLZR6pXGmeVew2zEoMZUHzGDYDfTgtQtUorPlE78aWq0o6WiOp1wnR6mygH6
hG3KZjXFsvNQOrr6LKfxMOCKbOa8i1DhqflMCEasCKuFyA6pcNyqDSqQVKB7bhDuIsAORoi/c0Cp
ErUQHeMZsGWN2naQWOtLx08xsrKrhEMa33wVKbUffXzzPIX+HbW55G2GsaMhhR2bg4qGiBR1bCRS
Rq7v2wrbO8duuwt/4ci+KbqCbI178DJ/NrSRjyCa2e4YjQBGkTOWQ2U81qP95MCdvtacE3FxGqcC
8xBD5sJtW1olmGMHCsQR9ZOCuUOmUGJUoPp3qPhdrgTkG6li00vlxw09Ct+LkAT7wthqHkqZVIms
73c8CAOHQsjeVCr7hBPF2dUvPPV98BOWEIR666kPwElI53eR4wvmSO6dFCIAwlFjQprUiDxLDd7j
GPjddiLGgY5MnrqA1Oy9jVnkmRMPbdKBOLxVVugZ+tZo3ClqNu3Con9qa/U4xhnPW0e5OfRk/UTM
bi8UA9U+VMtDU7cvBRPXL1Bqa89ZxRO58l7gE2LZx/YFEdW4EerAORic//13IHHX0Hu1s5HYMj6o
+kiqJKmz5G3ANkrU8MqZlcP16D+wk0Bv9SadDdNJDt/PX/GTZ1U+lIxGOFsi0HL8cG/Af3WDBpMs
GgHexbrhXBZEyX4gR5fcQu0OvXWyha1QbbJ+ZBmpFBR1VbM3s8m774E1pXiQjcnR3lg3GApM+rib
bOOrbXTlB019IEDz6wWVOaFpzDUsxKMT5tZ93Bn7IPEPgnTfFWayEnk3fnYnkBs9TBAaMbO/Mte/
m3fwQ+ODxiKV7qYrAvO5pxgcX4uv0pG4y7mM75aX28q7er/c7niFGTrOrRyDnbxgPrTxBGNnpBEW
/f4ULx3q0cK2f0zOoze2gav1dk2CGlAkPUJ1uKLjRb5mrVi7773NQ8CSr3Fl31FdB6TwIDuvhbQ2
MeH229jASVMw2KK2Nsu9wpf3yI4Bl8CyWrcFquZ4MnZOgi9ypSnRJ5Zn8kUc2hGU4hNy2spO6CW0
9bRLURU/pUCOD+McZA4iF1yXqrod5iY0+emdOnNFM60yTssO8B3BtyzS2LD0Y28XW1IvxJX8CBJ4
KnxsgyWMtV4aBDuU3l6vGsVVwrpzJ2zRN6fWvnh0aKu8DipNHoAL3uCb7jTm2hNgB7rJld7dx3l+
9HvtxaRheq+0iEJyrX8b+oD0GjoLjfXyDUmW89lqCjPn0jfkVmLIdfAAI08QdHa2wI2tu6pBxB4p
KZpKhcGkYyo/IKwXbm/KPZvMe4y4+mUa6WNj3SDJGSEVGNZ59a4EAk5yEX7kTEqaGYQ/4WZlpM7R
GfdztQp0I+ckV4b5OY6m8cNWlFU7igh58rsPBu2WtWj82sG3zl49oK5uZ06YV59ji3BDqfsoMuFB
wbmFdoXGsbR5oOiHyG0GX+0wqtsQ98g+Dxg2k4Pm6m093C9rJ74gpgxRBFpQVzDyTIxjAS7cZfOW
LMKocbPQ2MSdM74OIUCoIDO239eaaHFdp1K+EolkYTrUod2kDT6UhhnoZIwYxBSn3w+ZeG3DPtrA
vABvm7ZHPHUcMnycXOqky2Ogo/8oiOda6QqdpSgMP3mh9RdVapRnJQRniDoFPZ+DIox2r6oZZvpY
grUnCTvAnJgJT9xnmY9nQFT5fbfPVEKOFcYSG1JBUBq0cqVPDT0G3chwGKjK3uuolPNeQdoy79KF
AdSqrrkvBql2bq+DB7G6ao2IYbiadnmqu10yiOZGxkG0LsPQBl3NSSnFL7O8WstSSENUfU+kiFxn
Xhk8LcWCYBrtkUyLL2lF6aaYuRT0VTr0rZP48HVgrb27sIt527nqhBOg5h2Ca2MLyGMd/tnlZYtx
lW0sfS/HobjZKtV36+ubLKq1vbWsVBVJ1yUT620p8ObYM1O2Kyw4yIZPfoDt7NUqI2eqfR8bkmwI
mvu1PKomDGcntYQmPB25Z0S/7UWUYpN43LWFplUHMs3Jdx7tD7+RT3prtw9mx20QegEzXsTOnMaH
+oY3dYZmVFfRjQdRZOZODkb8PtaIHMMsxp/aF9rGb5PibswQHIVqa1zbzvulwNR8H+ASo2VQ+53G
xbDqqyHdArwHLjPfPAMlE8YAvKRR6a+DvE8e4mKOy0OllRl1dV93TAC11HywtRGo5twZJunKLezM
P7foe6/QyN8V1WkPBYAymtyd+t4WkE3IhSEKchrOsXQMOmgcvfWOTbvnsOgKa7bmBPZwt7w0jChR
YBE5Vc2TeGKH2n2MkfXkxxyFIl8q+1REOXYGDlwOpcBJMfJLUEJPHer6loG/BgLGkyVOZLY1XDAz
uC1cx7UR6eUh1UCeVhEc+2TOqZlw9+K7gJaZWPyKOEXhIsmsPPgCUkaXJbhj5+W+1Kw3QJHWY2Ow
KIgsmOeVINjNWmNhgRZzLPPAxCBRSlR4hcM4G3bv6GQSyArSMaIRTM665rSy7TI8NyluPaGlz8ZY
D2/LCsDwqjgNOH43bcmdMcqic9UOAXQjWP7raLDdBCMOHj8zuRZp0HGkZu1K+gr5uE6uKiAl1mSB
Yo/g6qFDW2EiUsCgnuA+zrL0HDbhBGNjRMnq93fFbOLLcKe5ml3wKxwFalNfZhs7xo8U5NVwiX43
LKZm/MuqxvbqhJm1zmIj3YPbxyDNtrpysA4/SKO8OAgC9CHXrhL91zrD17PlKWp7+tarsew3gUVZ
u7ziVSBzrP1435dge7QY5nbKVE6lU29e6G1i2FPRHNr0ZzZFVRWHvBo/6dr461zrqt00fEIHRsvY
kTZggPipbMXZeBa6K6bzJUapDCu/X7NbeMR5o+78SZaauhuGsMPTSdapCqMLoQEXVP8wkdn5oGI6
2+adGO6+X62sGwJErdwRetlilQESgFCok1wHMeDYk8XiC0t8T+t/4EwA7aSQ2R6Ggn+KbclRaN57
VRZat+bovln2Y/xT/BKcleq+Rc7KrUdtaSDLbt4ClSZtMB/HVaPB5ForCEcLE4vl0K6GkUuzSYzH
sDTQXY0Gz11DRz2veQC/K/UaNl53qUo05Q4sgCWSYJKU1lNRALYCKrIC88PkhWJBivxGh8xxKwdT
qcJ3bHStD8BLz5Qu1Tv7hRXc8qbfy0a5B/MaMf3q4JOEiF9wDdFWBXBbKKl8jIjQxXRUEYwTpO16
KTi7ILrZQVuf/bpEpocg67AUqXmtI171w8d+vC3Xembj2u37Au5PNNzoklqnpUQFSo0UzCSYlvi6
G3ea5tIkrkiwAMzfWwob4uwUW8LamYbKjdJgTnDw0tzyPnCbwXrSuY0eZBcaF8wAD5WqtYdO1870
aot1i+DuOEGAQ7+o1KfW8J9LP9sUxojFO2vl2RbGr9wauCLmI5ROWBHGbO0EraE61aTP1jjOfEk3
EsQIlY8awDvthmNW23cGMJW1TEZ1jZ2Pd6tTzqAXwwtsPxoJiP/RyxmYXQQe0rDS5BUxfIdKNFYO
hLfIsTXOQVKW7neHgCGYBQbtGjXaczimQBG7pL5mzHcvlWc2x+EXF2POluYot2CSmCn06Vl0aNdR
cIDYNVvEZqXfYCO98ysM+zauBD8RbmfDWEDh5Z16FKqoyZP5nY0UimX+Yi8K7pq8tzfYZiRCrH4z
gu0wqkS5S4TkbbFNZx0ORv2yLO1T0zwPBLYSOandBoR+61TDVVpM5Fkbhv5QtHCmTI9jz0QL56j6
yoedqy9TqAbvhs3IN2sB9aCueUIbUDbIb0xY2De1LH9QWA1nmXblziPcAaofbaIxAuKiqV1/ELVc
jTUu7DGF2Pl9wFXy8JfCPfqSlfa0CuPavNADBR06Fr9KNemvU9WS1FcHyOf1HxbxoJdmTIM7jIrW
RiT0xtrJ8u/KU3peto/ehpTzvfjH5uTt9Hk0Zzd1cln+Vbe4TDscmXsv6OSdUuUvrSrCnzUaUmvo
b7FEvungXKxygPk8aYXHtd0xHww6f/Dre6r9Ld+xNTgwzlrb8IS/cE9vKN+3cHZOQ6AEJ6ofAh5Q
uXTaYZiq8IFaIHom4JfwUvXZSs19CPZNt81mWgm6qz5JUOsx1oZzb4zIGwZ/QL/WPNW2BqmlLx8x
pDBHwGsKzcLvn2nBYHGu+kPkAZxZrhPhY2NvBtcs44wwhQQQeOfJVRz7H0spJcPqPcx+LY+Edkl7
zCRLYt8+BtEkHJa4Ibqgs97RXNJc0vCYGCgMHDIfMpjM0uFC22y4LA0EJrtAOLjYVmnBcVjryt+l
xijOF010HcNiKXsoPGwNAp81wHpk/XvskC5tkljpttowdQ/fC3NgroWOs3i5uBT4pAmK/b7EwY++
V/cPWsPpAVFT+oR1WnLA7alGR2cSa44k/iVrfzBbW/m9R22baK9BA/rcGIpPc74NY0RMO5IJdHZa
Eg1hYKyGgnBVTlhAuDq27KA8DAauvLQ0XhLfU55Hm4NFwLuJ9iB2bhZHUfhxwv+YomdBDM/n1LCE
qE2cPdhjTFk6BfF+WRzV3vZeRj17NvMhuS8CU7kHOHZf5339MyoZs2MB87caVoufoT0gJFPUEJxU
T92IiGzew9ElXyJAWONSoM0fcgAnI5qNw1IGqoL8oiTT+4sSjKCcnPLZxguybDNTBO9ayrZSCDQk
huA77sOW6ksJMC6NvGbjJCH6sTHJt0bNUIgCcrOEXiRNZRzzoX4U/uJ/UDU8XhjuuqI8/eeHIiWx
QGXQdUIJekOVIuhTBPGZ5DJtF5sZi/MIcBaIqGt7DC6XjbEaibvjNF7tUwIz1ymzvC/iuwCWjRW4
8XoC8B/ATrQZq5/VXIYMloNqFzm8Zfhg+qNQ5/qqRlWbOyETfXpclE8yX1tThCqCzjThxPOBTm+a
YxeECiRKMt4yzhCbSc0YWxWYE0K1iHeZpAeR5xz+vbmtGvVGTnuqvUvI9N11Dr/NREW3EmbR3NHe
ym9q1fL0Bj98zSbIZEqHDpEmM+uN3jxEVXUhNHe6AesGzJvgGw9RSR2ZZson9h3PdXQkx61j0Ffh
yLCUPubU7H05gWNRx3pvQjOhIYJVJPfNYV/3WD6KpGtO7WQH7mznxFQ7QJ7OyEtAF/deESa57kza
pFxr8Y82OTpLfBFWTqA9kQVFqJCYbSDP+p0yHYq8L753eCVDCtuYNU5RoX0tF1NtQoCLOu4/Q+2q
+6yLPhJKVFenCceCoL/EXgDXiJeWndWNdDX4OQKbCvTxJ+vZPjCqaO3HqvGo+9NTAobgSPuuekRD
6h2Xiy81wVqVRfIcC0NAV0erpymOsasiZFYohVuhfppxsocJgaFxuMytwu+JBJ5ZOI+5HxzqSmqu
13ESDuOpuRKDfm/reXzQ/M5ij7f9i7TB3wC6dQywaR05v2RFRwPgDb1epVGdXqSHpAfyzSXsc/+w
vA2VguDbGLQzEzTm0rbO6aAiDpZSeU10q7dT+9RbLxFtRcgBjRbCE3woa4cDIlibjYHbi8rRIk54
r+ILIZgyfagn5lRhrt77ZmZ+qmZ1bXVQKQ0NOJdz55pKTdxxDLUOec4hlwxrMnNi5algSL/KBsQV
sFMvcWHflXpHizGkBbb0UmEcBtmdrIdgM2bdJxCrGaPZEMMU4IhCRtUjtyaaLU26+z6nagf+FyMz
U8UPL/GiLX8kaSTz77DVda97m9rr9B/UIJ9xShcZCfwEboPCXA0VOrtO65+Xeu67s1C+5iS6PVSS
rKDZxq6k4rQ0XXUOwHPz0+qN2euT/aax2aJC153L2JMfsFxky6loWR0VSVxvL9BuLf8XWyUdl8S8
n0rrZZg7+TLxy4MdY5cEAbylGHhmGG3zIurWlTYceIwKSvjyqQhtomdSVZ2ZiL9ieIQvLUUpbsrx
iHTvhAE3uzOJjrnT2OyXx5tskLxhJEvXy9T+zlSNEGkSgQaAzdVV3pLCY0Zj+BBmxZ0pAkyFqcO7
Vc+qXLV2VTNsNv7Y5TvUFwSNp+lPpPK4mUb2+eWONkrjUupkhykTOdWt+el56T3m65ZNnyZwYZ4K
q9NfSAJ9wAIM67a3OmYk4MCiuEHHHmXlwRij97jJSfuGJ3NtPDRO7B4HfKegbVW6H8QLur7R/Fbp
yD3YuA0Jh9c1EmroRC1v4fJYRkdkgUd1cQ4stTsv/5ImrrrvjqeJnhu7TH0juhp9lqD9W2baE2wV
70KKLXRMj5HD8h0GErw4gZth+1T+IflviK5wiobNtFM69OhAy8Orz427IwEAxdS8oJlJ/Dahw1ri
pCbiF8o6JrsPifBPC93SnOlBDSmyer885ZQB0L43j6oMp+337enPHPwK/mqRdvF6Wd5RNBVnffTL
03dyNhJMeQ7zr8oK7F8qHuJtgVBeECkDWije9pGIjl06PKb18Cw5Ui5lTJaM07VTUJZXW78tqUHV
QT8HXT5RxvDvVDAvjV8SsMwXREHvvY7m9PuYUjgFvE0n7O8ylfvFbLKfsUDKbobUjUoEm3A5vmLq
dTgSWN22SR51hXCKcsZ4LXdcRjmML542/VjddwwETqMcP0JM23fYmKy7NJnCQy01uMfx8FaoyQXU
CnMFjTgNLlWNDicfDJzk17wdqHudlehM8WOy1bvv3V7a4qzDkukodq91Jqt7kytlLWyiNJamuUzQ
jvdslGFqn1oOOXRuYHsQ3mre/vdhp0vi/Z8iZTVNxXYqbFrQQliG9ZcgT5GY+jj61Ub0vmv7eMmz
AMfAHGG2tK9pT1nIdD9lRUAJkYec0Locoj2ckhzrzLGWxi9WWdjxeqNsgJQ8/x+eoM0T+OsThAfI
sE06uiHFXzJvFezHRBwHvHujM67VsvcOAWAHqiAFeVVLr3TQjSfcX+URdHh8C2mX+/ARlaeygQ/j
jcUrtKjXsW6JjpX+BYms/R1n+28fw3/zv4D8JKOfZ/U//53PP/ICuAmAwb98+s/dV359S7/qf59/
6n9+159/5p/u4388/e13Xv3t8rh9+ut3/ukH+fX/enj3rXn70yebrAHied9+VePDV90mzfIgPNH5
O/9vv/i3r+W3PI3F1z/++MhbSiJ+mx/m2R//+tLh8x9/8F7823/97f/60vyH/uOP/8g+86p6+8v3
f73VzT/+0P5u2SqWMYc3DcamoxFm3n99f0UKoTok2FiOcEh7J1E6y6sm+McfUvwdU5OlqXzJ0hmo
8/B13v7rS1JHwcwv0vh/mrl//I/n9ae35z/frr9lbUrEXNbUPBv5l+xnoZrC0oTULdOBsSDkX+Jr
BYD+RlYxY2XlvITzZR6VigmcBFGlZWN57kbU9KABJxUXfQ0f4WCA31C68N6bgQT0yvdRLTaKYR6l
YedXwjrOUWVriD8xws7xAON8x/rcSkpZnNS+3Tqkf9PjtinGQLTrKYc+xWCvHCqJqM6YLmE0oDli
G9o6+DPX0dB9pGr1qnfVuzNdo9J47hTMHpw9dxYyFnKEe3NWUFczjEuV8V5EV683oPZnMchXY1Dv
FRVfvha+kkwBSoTI4hJgVV99lNzo6C5UK7pXzQCNUCDvO2btcyLRSbPhWJUSjAe018JkkZr66Asi
6KoEAYCQU7pGAUmpSxTzEgMAT4WlrCulV4k2A5MjRN7seNl7GsSo/xU4xZ49EGiWvceKreyk0qV7
8p4ekuyThkR01lEs9MwMSafEO0jf9UTbduclP5JCVa8+A58tfWVyqYwWfegnmNNsPUnfrQbkD0E0
x/a0nhv3zYnOz0lT9T0eNFLc/TbbJDjVGq8+8poQCNVX/ia09GeCAKsaBVjBy0V1Av+O0QyQqfzB
mfI77Qdd+t9eTLNjPuyXURvxDbN7OjR+t161G6KRUF3kQKDShhA5hoFaxur3DqTMfTS1GiEFjB2o
uo9TZ2ff+cv/f73RHNaJ//WKw62eZ+GfVpzlJ77XHCH/jhLAsmzTMFXVsA12in+tOXxFIMhy4IUb
UlM14sj/teYY8u+2zsSU4sG2UdTZ/2XNcf6uqkLVWIykbegGP/X/sObw/rKy/Wknkzbp7ZplqIa0
WUrsv+xklsbZ2mTNXLOh3ZShOcUVgUu2ykX7SA2fou/RabKMVMXWFov8MUGtQyXDuIwmOYjStvps
IiTbekz+bcTigecY1JpHUWq2EkztrwiQ03CfEACLgo+ZGpr0fK0i44CrliG1G6dXS3uTytUz6e4k
GpFbzVaajGhIvYlatJnNWxHAUMM9rY3iLf2p0fgaEfrFdHV7+VFyAphld50OymF8DqZZwsfwtjvU
PALkcIXs3q4t3Sh9HdBYt9RsNIyL8iVro4fX1H9ifyXo6CKcxzCjG3DSAVpbwA1CDcKcfZ/VV0iW
mJJot+0UNJiaqFbmPImsCCq4N/K9NUNiLdfilvOU1ywhB2/kSYAmhXORWeMqt34W/FLR3jrzwQEG
o7th8ZZrDCQjtBSo40MXgOZxBqJmlEIOpnz6SC2CKTL67KMO06ZMDrVKyXKKYgY4FVyvWQwC6xEK
r5DHTvtNbHCTodsthq+uAtOs6A8tKX0yuARVtUHTjLXz3NKNpB0TM1XoSE/MkBigtdr5HvMNibqS
N80AJtiYRG3yN0ZlvEv1l6wC2CV+CchiBK94/nbsoTcQBhISx4DBi7SzWL6E6QeHJoqFI9hQN8Qj
C6Blnyo90LlDOM3mE6LLBIdnB2H9gHeFaIp6ZjiA3vGdYJOBqEzMkC0OiWaVXIS4T4GYFDaU8dqt
VKCCUj2E+OSQsyJGh5tog8HZj/pjz3TXTOxD5flrOHUXOUIXbaejnpZMHy+2+ThaHuLkCfl6d3Fa
snFiWAs0Ij0MCq25bjXMCCXapPickWhGWGN00BxkHyiUsPToP6g27rqgvZ/0mwOyNCjI3A14qdrb
UJ3tqLubSOkJIAr1KKGn8lbQlDAkGSLT7KhTVrlNX6XKPwGZWcTu2WdLPkceEAI3JGKb8DH4hvYr
SVKYsY50jMgCG1cJt0gPHNjunActQhgOLn9E64wBkI7PDzvmoolZ84eBgT88yAGeYl9hyIPtkaFT
yzI6C0g7I2ZUurOuSv+gsD0XqBXxbmnBRNrt4KqpSiAVyVz+mwWRrHVrEmW6C4KD0n6OSgCbBVmV
7YCwB8B0/jw30EvM/uiMAbN619mIyDCSi5f7NWeE5aQEgRNEId6q6bcufqBq2o3jXY+zwcPGUZba
Lu0MzvTpzpBrE1AKWi7mWdAAp6pEY4vtfR9iLKuLct/0/VPffOpgev1s2HfhCxNVF7g1YLOYHlMF
7D9dpbChOvUYMAtXhhtRfxxYzmr51BLswvgvBHBPPDSC9/41QptSfATTu0WDGrTOCh9fFjrviX7P
2OKhIzgbuh8yLCiOvN5m/gO98KoCkl0OkjHKCBLEOsb+I3CpVZtV+MGSTUCrCk5rxCXaQbq4jRrB
YuTXZll1THJYMenvjpXIUrmWqiMBc5sMlKZeGACg32tLXwcdEC06kIPsNobmHH0gMBJUOtmlqriP
VM5w+i01QRrDSp6Qn0sjOTLEWvkk6HSTDmTH2qr4pWRcAQNAeYWcU/hICFGIrIaw3nvV9B6lLZaz
nxMJ4ueq5ug3NMFbh9E9IvQ46og0wO8rNo3FcS9Dwul2TYzzlPnRyjKRjtc6qOnekyAUEFTpDvqD
tKiPk2ZdyGlNmQabT/1QoMD0mE0ZOeqoKj5kBdgG2dlz5uGnnBA9i9Ecdo6BcjU/Kmje6TuLn2oZ
fnQhxGG6Nlsf2NZRGOGzsARR6oySnMA8IcZOjoMiTrXp/UBlVO0yCyOXOaNUMkMQ9kLoGvGX8Zxt
XjvdBlyLm4loi0esRvRgK66s9XFDD3OtDVG5BRP3pVFZQgwx+nVhxMMBy1a4AYH0GLN1lYRqqilq
EgZ/5s98TFaOSAkrb4JfVgk4RVdx4xl5+NuPVGfP0o4avY2ZjGVGeSenvRIwHvcdkLeJN7QH5B0h
KXBtm6+7MkWsVxgcWxkpbBXUYiuJp1mpNkR0OGmO+R8prAWy1qhSzQ3K8HddrluHAY6jGpDlk1w9
EGz3VW8wijJQIzsd78ociSU4Ao4EuRAhVxsEFv0aqGLIVY1XbZ8AliM4NJext3eG6nPcWNUcZoAp
bprpRQmJI4eGoVsQqeuA9teHCJv7fpTvgfQBehvs4BVn6B1kR07J1tAe20L9GjR2vZLk0MIb8c2H
W0Ay1gb24E5WWyOhxwww5zeLGzkaWmUfoLKxvgX9Q0L3+6GtEuDQLPYhBnCRNO0N70230+sLiPpx
F2JIZfUmiD0fPUYFU7upBudHPNDhTqzxNer6dzHC+Ckmmze2M9dFp/13rs5ruW1l3bpPhCrkcEsw
UwwiJVLSDUoROQMNNJ7+DHjX/59wsbVtL3stiwS7vzDnmHy/+QsoOFIpeDIwU4mZy9rl9zZg+KGm
7Jpr9xo1b2Qj8wnwWg4xEhFHlTO5cyK5lZwk1mDy4TCjR513y1xHPSEmAnsFstZXBvtANEmJ1D0W
ao5m7KNI7Q9JnLXrwdXvIXLMI9uGAFEUIfCy+64hGe3n0FkUAVA6tCLZ9zjOQ0biYEDuVllmKFu0
x2ChNp/Zi3qv5bsM6+V2WNUSiV0QRmjUUHTO2jhz447Z7O04BWYYIRVKrJnV23S0fXVOgeSN+adV
28J33fLHqnt1hSGMQ4tnFOeI31ge4u+opN/BSzUPPlddagxnlX2/DFMLVScMn5jFACNQvAk8Uzsv
s29mRKJ10qjuRq1NYPF+o6t4J4KEBNmuJUYNOrq1t7Dvs4JH4WBWiNWCNtz1I/cxvw2zRhMzYUzC
u+2keMmf3IYut4HvsJ4E3FEX5TJaJdw+2HLWSWfUK747asC63PPdkWrk/LDLu5kDqShmkhP3JLon
OI0deP7hyUtKATmv3qkg+vJYvkDU/Wx696SjBFca45J1LTmMSbnW9EWib80WBgbqNErBCtffwGVE
z0gtdLBonxog5TtXD+myXJD1o58xjaO0RKlZ44XukRbhmwMXyNLxkzygQTvY/bnFDWWgESQpnFxQ
JullfTazfRZ9RNq3XR4M7ddAbBltGoqGjO8gam9uflMIpqCjODetzjd5zsMdnAUPv5+S/tnJCcfx
KRc5n5NoBew/qCDo2Beh7TsZgtiMdnBzKxwXwr0FA2xh9EQqPJ4OXqeEfs96mGWHtdUNCA5FsJUq
QkNAah27qi7/RJ+8sHIe3hQ/BdMCpVvPQENS3PxKezTxu8zSNah5FQNPMx1m4YrD+ytKhDD1lRLa
GZpHSe3akbet2B/4/1aBfaq1dk/qJ+FKVfrC5prJLoDOfG/U9qoX761orihJRmwHbbC1s3xNnYNy
ciIVQllCqsEhTnQe44s+upD3trbNcdkO0ZOD5asE8TddS6K9B0dfmYp6MNWDrZUvptYlGL+8C8O0
VWQyu9ZOs3Syrd+9Kl+qmuEnNNwslibF26uAzYQg6xQkdqw9tUhRJz7Y1D7lhnROqVpvQHn8kXIC
HU6DCQiN80EUe7puCKpbk+UfMm0fnRzFy7RsgmPE5CGfzoGOtdCaVqGz06OvaHR4XqdFQ6oTfcVI
rBA2Ol2ARlOfVTauPTlRgcCfaH/PbPB+XI28V9nY0cEcXU8u0UOlLcLflIYLn17U//bqDJimSWrI
ZOcWsx0GHSzwPbzQhzD8FM16DC5qRbQqZWd2FFnuu2Z5dFz2r49202gkMI3P0IJ7Usr7/hU16KLA
9SiSe2ArmGlhj0yEUnHVBXDmEh3bZEwsgg45PT7XGMxLgYu7SU/EUsY5GmjH3WJRpq8i1Fh1wnOU
8/ISGhOYDuK0ZLr3TKG5l5eJCVULqHoZ2BgdsTARxCjJmUeOkhBdCcCVMhU9L8pASpdY2wmSS13j
FFoXrbxUJredclHDq2teEBLRaqmwMlAxaE8wDPUx99W4WasGtigDW1WCMcdcChXTFtmrzfBjx0+B
Y/t58+ySJcmeY5EEHykSR6zTi8oZ1nHdUvUi0iLvwjBZqiskwqvVVaTyZlcnYY57g+GZHjnbApMR
KvGdiplfwZNcmbrfuce+7B8wUTfGeDCUgxMlxFKSC9m9cXuhRJ78xL6kBR1ad4rgNMWz493eZyr6
Gf3IhzHBFZaKZsm6zSczfhvnb7JgVURKkLtDOB/34xLgx8ILP+yQgmDARRF89phm6TbJRzGagL8f
lgPNea1Bt3eECsd0X7VOHELMU+uWvANvFgG7psndQFZgKc+6NpADrCwMPToXJE1jxPZTY98U5rpX
j2FNQzhQ506bngCKgLx3IV5052Wk8jGiYeWxrzPs7RzsrChz0+ChgDN3fbeXVfHSAnAnNnmRmXSj
xei3zjx0rG6dYgLq0TYE3Y+1ddLp4EeQjzPJjGXVeHD4qxraPeCUMKOOUw3YXeF0K83eomHcjJWy
HMdDrvassa+SzF2hfE8tduqOuiZuAwIQgfN69XZsiKVkBBHE20qrNknirBs7I/gui84h9mb0apfR
5LaFSxwhEc/fIU1t7LAilJO4q1A/A9P7KmOOdmAXK1LRn+oiP4zEWORrLTmH+g1REk7WfuO0T2Co
l9YsFlVfq1HulCbEom096bvGbjaeOe0drFeTHfgeY86MHh5qFS1keeNYWCt1eytwAap4BvM2X9Oi
3FXsQabdPFdczAAdnoj7WIbpHYERlKGD1PCZhzBGr5bzYrXA/3TwtjEOZCnTNy8JD1nUnFl2OQRL
woLfQGfE/8OtW+rPjvqkodFRZYDTBr197JgfuctLb56bSDk6nI1aaK4LxcFDK+VRxCV2YtIPSVqq
vWTlkG0HggZtDA9rRzXJTCgMkUjkxg+AsIXT8xa3d53NvMVSLiK7EEvbavSKRVmQqe1Mzy4tZJ6X
K8V9T9iKew2RCj+j/dJOb01i7BNSfj311Q7+spiQXNPktPc4N1q/SkhKrePCL3u06jGDV/lXCwtk
L0MLugRkpN9VYq5cZqVV1xAKTvqU7VDIEpwBWmaRN8STSnIpM64crVlGEONba3xI8lOhEg6wVbMY
p1XTMJEQb67MzxMmjoFHj8BvsOE+GlXdCleqIPzSs5eGeY3zrcocesYMZhPhZBi4qTkEAdHEEWZk
jt41Uz6nOtKW4j3xFD+iVLbiitr3d/QeMgNrpBq+MP86JkdFdS6NATsHpudxZ48YMGjZTH2P252X
Klo3xhPjlGVNuobcpMhBROau4vxLLYJV1kRPCusxLfJOAelbqRM+R/NNNrar2LiqNfsAlKYTQU0O
VydsOmvOtEDh54bOPJraERah/jWU2LHerwbKjDDPtszM6vIVrtc+gT/TqGvNavBD8CpA1CF6wTds
PsU67JdgxlaPTyXRDjEaD6+FDfNscwCaSM5/ESi9YX3WYBykJeqRqJqVPcuEbqwKDi0i5aKKnjHc
GPPyreVwNc5EBRzKgiRcFD/WxZjKW6UcumQP/3E5h+BU6jVGyzYSjDwvLaL+xdRr34Br3bGya72/
PtqiSoBAJL9ECfAyCojkTskgn5X04ImwJ8X1K/dokzwC76t3vqLu5HgvuY4MXEK/I3Y373denm8Y
r5HopSlvaIAf0BypkBCQYD5GGbMNjXItJxR3ebsujOWsVZsjXTETeDfXRmSK5g0lAXEJie8FT+bF
bs/lNDeaRI+EjEexx+pi38hbRr4dVuVi6Q72BhY8nEDibdDklNEATvSk0dw5PYpeFqQCOIwhErJ0
LaK89D02Wov+SvOZTHQphwfa+SqK74JhVRxc8l5fPE9lA9apY5D4Am/lmFT1skHqOuB20A+ofckY
esNCChNO37X9sK6MdufE/ZFPw8KQP6FHyWZqm4oP59TwP85B3cUDUxAyzpvScrCEwZpcYCovEAzP
o24yUKYmZE0l0uc0GPHic/Or3neKrMhqI7+s0LVbSJXUhxYgBRzkdx39oQiEobSnrVx1zSFpaG5b
sc7gwg7iMKK818eXNv7FT4BEl7yykZxR1V5aXrkYBeAwncQO/TK2nDzYbfDqcUWYvmK/Y2JfRmTd
2hyrkgljB3qhluc0bLaSkIk586hiJgFe6Pk6EZMXFy0aD/yJFT0Qa5vCQsco+n2OnK5Lz4lR+nMm
ltZjyOTjVpKkgMj5ahMfYtKS4u86hSLxv7uOyPJcRRtdtGtvWDMGoTcnCoDjKCVbpPwtOfq4lloJ
JdiAPd5Rs7Y7wW/vNcUXMPyIYgvplT0mAGRQ72Kr2bfZJh7SlSU2dkWNg3MqKM4WlIDJORgYH/Lo
WOhY7PvzgASrTU+mx2/2iG1fC+I2xpqxCrYYNlkLU2OoYx4lgNI6FduEb7gdDnhyll7ZEOlULAZ5
qshViSKmkJAk8IrNYQbgpphA1xsAmZtmrqKqv2x8tNG0TSKYakJf90x4E7LgFMgwLt5qtVkEfEp7
MuGarqdcfJ94lhv5naI+tKt2C78gRPRehLgF7Xzr1FvdXjrc1YSVEJadKX5XPxQizfuMEgpmHy/D
WB0H0gsctAIzxYwcH5h4xzE5x/LTicnUK8PFPPT1MOkLl/OGU10EOdV3StdOgsi0drOtZh2HhmA5
yToSY2rmu86bNaaLxB5ICtp6cC8Jj2GXMaDYLsZ6hS1y2d+TQfqx4OnvnnJKjJroefuoZyjQSq5g
96zKmpNz71JJV12wrcx7gfvH6ragJUhQf6msjwqBesbfDXNnRvxPETbsRwSs2KM9nVVBmtWcvkhV
mX2b8X0a5M4xhq3sAtaRfAja/t3wnsNJXRgEldPKUMxsMiTTCdBB3XlK4l2qErKMSSDdTcA6RvJo
ekaKrOtXEoltfkSZ4RsOUDr7Jqx9xXg2hAdSq4eavK0GvS+nP+lSNpV48t3kKVE24Y/R/WbeS0sb
1efXapCbjIzs+jY1X4PXb4hm2DWasTIZq7nC2MJutL3J7zqkfvGhjpCRE6nWlrsUR4gWYwlSyFkL
yILD/4uOhFBAXArMEBwmNe6tG2o0QMBeDUS7gmjrcAKhwitgHQ2iv5PSBhv+C2fPN0zpS+3TaXYG
QM0Q+AqyzcGql7UuNvEYvHalWBNauwLj8lFSi87jXsVc50w/p+lmcW71bsaG57vgGDc62FRAbkIV
w2taHFEozm/+QrPSW+xY+0Srd3AENNJGI+qukOxbcHy+GNZe9JkP5dGWDHBWdg7mSKtYUxBcgDSN
HZALHijEcjJwVEwkhSY/ViJXHlvcDvB3/TJSyRiSKBoUzPNm3SIZsj8YOHIYDElKVCEvrTFsAhUz
TYdgG/eP5tQPYc2de7sU2ogLrzrKCluex/YmP8s5FwuwWgCiCaLmgmD7LQNGJLCmV+0t+D4eju9I
e8fFR512i9Kjq4X+lMf3GVDuQD3PiudKuxTVizl+iRqgDsk/RiyXcwCRxnamIXoeOa7S/WFKwTEE
HwfrAbvPRa4/BwRjEHGwgl26UFpvpaEdFQ/pLC1nSzRg/w3dGFIXrMBiI8LXsjRvGerS8yyUHlU4
TCDUU3pq4BaXCt+Khj0F7fh+MB82/v4m7fFrudcQxgxxRV3pHsqmfRJMMFMlW+L4A4nHKlLlFQfP
XeUvE7AdbcLX5crmfVSnexYxHbO50y0J96Dd1gyDQg9llXyfSvj8wF4kV21F2oE7INQdvybaRTO5
y+GM+UxqhD/oOcEI5SrI5rSkh4GQv7ez92GONoo8XzXEExni+JDaW2ZpB6r0vVtrTKiAwOndQLzl
Cc7cPlSddZHGODCelO7gueFdUPNbnItm8GhoCfqx2aQkMjFt5NVvuLTD1egUzLmVF4vWO1H2MhGr
YvSWdJXLIk9eTTZxZZXQDJpITAe/0xH8FZckfQFksmpnEi/IHCJaiP9BGh8EFDvuCwbWBQKcTaRi
GmTsrXnptrPfTCgxZIZt52j3QUvh+T+jhadTYXxJ86eSgxeFCpldL7YXrBL3PasffUJ2djN+92jm
iGjS5rR6dIj2wSh1MFzUUWJfdYcpdxhTE4OlvzpxtUq7V+/QVdG5j6q1Xl90TN3SPsAPWUQq6+3g
VurnWCOPMzNegwl3iSUiPpUUdAyDxV/qtOcWqmVE9nQixCPgv2619vPQ5GuHPRjBtjupGUtB7mVV
/7TQ5hq3PTT0PlOTHIjpitwY3EpyiEzWyfPxf0aSvqgtCANwoT3o/yLYWRZiOoLVdZNZds2nS2wY
bu54HyaJLxfpG2l6JtP8UHvnItyKb04Cu72G/ZMKUECcyWmKzRtuEi5cTfxwEyvROY3vDmrbhmzO
+pFkz25ykTL3u0tO7HdtL4ZrhYg82nXeun3VzF0qjnqwTZUN2dGtl/o1hj2X+Yf9WWfTd5pDh1Co
7CJz3eqGrxEHtBCgdyPsArJnFl7kG6Uif0D+5pq5t+N6q5XtWvbJI0EJXlI7sbljpOs8D4CpGXDk
9m3K+4My5JuwXg+c792UHItZR1DJa4yAoG6TT0/qC3hy646djElkogPJSig688fTBNlmXnyUxD6M
8EkTNvG1qHYpxQZ7wz1QxVXNDatblFFjxntzK3gwwpINebiPTZa6XPBFM26yul3aY7ttR/LRsMpO
fza+xWyCuUTj3OrRGwLS1YSjs6xZimocAyTzBPZT3EABZCY3lKwcx56h3gW9/Wfo3ADDXk39GXYU
iqplyooboyApoOTl2Q/4M1QEAL+nNTKzq9ODBpJyYzlfurZFncn9ri3b4FeVb1TzuC6cBygJP9Q+
VJIj2/5TJ6aVs4D88kU10bmlpy45FzQCOmeUw4M3kWnpFBraSNhrxMLr1fBRpZ/ITElI7TcaOEBB
aGaYdRvni6BcmmAAV+G7MPF4ovVMc5135Tl2X0tInUiVxYrgADZbsGrBGwz6If5wgvIclxQsKqG8
3anMv0rrvRjg2ucRobtclnlw8ULhx8OXpew9EhAj/Y6W+NiVwabj2Vb034GUlkl7UH0jLwEOo8Q/
Tg+1Q9TbhCUtktgF++RFE3Grm91SiygnlI3Khc4+1U8i+144r2H+hyvDb4JzzjgsNeQ50TTkVWzQ
Upjc2RznAQnAupa2XAZqvyCoo8HjCVXfx9y2Uknpm8xvt2pP7oCpN4heSkvuXdPbeYazVfsnV7zK
JGR0wCyF2m7wHnb+ZxW8BnsXjzrwKWQG66AgI5XbFTN5h5TX48FrDNQd1NqoVVZmpLygxOAE4Ijk
baGdGwCE2T28cppah9CQzN4OGRHXJTZLO4GAEZG8N+6Q5e3DbKaPRre2JKNhuIhO+dY7b1U7OCZU
ZGd2R/hUtp9AS4Fi8QWL1i5vVqG7MklKwarwIprk14kmBhfICiRxd9MvUr2ofk9mZ4aL8w6jZlv9
6iQBuPQGLiujzhzPStxQSt0tly03hr0sWFSILoq6PhoeViX9WXHMdayVB/7ggWRVVjJ8F49+epkb
Blby7x24ah3KkqN7IA1dwdAL4CIUlvKPMgpDN8BMz1gn6M2vfc8oLzCrneX9aFPnAxvbNF2LEmnf
jgbsn/Y1LZhWIT5I+kc2a9pL5ddRDHjV3q2sWDKpie9q5jkOVHyhW3TAxG/NyCLMNXlLbN4oVqrM
nxi8HzRLuRIcgEOkxAiR+SFRAR0zAchom6bfoNI/EVS0G6Kz8YPofj2o2SdusCUvi12eVGLjM13D
u9ITkSmf6r75G4s1DjBMluDDXXMXtdO6soZN6EYHPOAdS+Iwqo6RgGuvL4ntxP3vMPiffUzwqQ1i
M0mEK6W50GASBqW790awmw4njQUpKp6tFi3bWNKo/JJTSmu6mzv23wbhvli+mx3ccwz816nhgskK
Jnn1s8O1Jg1G8sNXYLbsNvG0MiBkt3AlwYgkUeI7XUDjCD/6vL+iF1k1er5RKSUMo1siIvV1htSK
rr1BN90nXFqYzV4cC7RDilpHUT9ZCCzzwFlSfe4qtENsJ6F4PQ/E2fVxdek0qLkOuixV2/VzIHX6
7g4tQ3wbVTd8Hf7d4yqT5baSVNP2DCmn4c5KmKQ2ws9+DXb6oqDcCC61IhbEvyIKG8Utjbz3BvtO
xZ1eD68aEbwTWXp2P6zi8CfqqU54+EtNXcW0jrV5yNkrFor5pOndx5grCFBeZ3lqnBi7cFFzBPRb
xWLLHKxstnOT/B2nn15RdlRMS2LHsaoj9tHxAKei+CXxisqn2xd6u2spyTBsUpYMTXsv5k9eRFHX
9rvJ+XORLxFIuGnktCxRHhVpsbDnVCbEQZnj+JPQ74j8ANy6y7HI+HgSv60JsmHxW6ebgdYkKLuP
DppclGhLu2PVClK4HbYJVrOheHfB3JGQlDJcVbaiUPy+XI/MLHIqARYlAw9HMaBjqjeyfe666Igj
bBnwupsme1+aa+IJBFKLwHYQIMHPcGOwGjOphiVcqNw5NMHjXmxoB7UcoPydLHM6APZhYhwA8zVP
ZGIvOwmjDCZB3J9DPCeagELsHPQ4XFl6uNU89F2tWISM6JmHkICD4g1HnglPN9d7vykBrerFOSBi
pflyeSB7lIHzqohJO7Kg8q0o78qgn7NuvtwZK8TD84x4GtBveY5LKBi7h5RJ85wBYDfL8rluoEbB
bXGaaadYCq97dUswirVlwQDh3TTf44lC1KEVUZfOwCM1xT58YZYMd4fitxEOszkcvdYi68VL1RX7
xgq+dZNPcTlW29gUV5hB73pLqWQA42iZwWAoWjWy2xtduql75TRKqiKi/EQ6bdVYhcbIT4ZQXbWJ
vjQ1XnidLpz5Ra2v8SAx1qiHE4kypNEaOyVkmOPCVaSLTICAulTiKTOE4CcOcAzQlGVp+KoQ4FI7
E+qXanmpvWKDvw7G2kR84U+KgG1shd+VxluQ7AT7LWk+TOUXpOd9RMHoFW/wPOCisumuf6SxMXS6
g+jccX8GErqph4hOf1EgHsjKYJ4fP1ehuXXI5HFIb7V9rwx29Qx6Y+2to6Pr8qMmMNCRDmimOKDR
xpnhzbA+pmKXq2Jd9/x/TqBw+1V5Nx0WErl9xCXgYepOk3oNq6s+fg4FQyFzlXj0HUDFJK/soCH4
MtpnjI2/8IoHgmAbStlu5ENSfP6DMwnrFuXDIcJ4SvlIGKeyGuD/YStiHtb5IHOfJJacmJBqLcdO
PhARDnNYWvZWYVGiUQlicVSU41iSnyEQinCYVVP3DPLqHs3pNY4Jz490myEWpONibi9d73dwoveG
0Tp0dg4Toz82HH69FPQJ48cUcCy0XyWwV5KS0yML6tRoThyolnVTFfAJrUZQDvk3TDyCt8zE9cpH
Mz8hDuVpCAHaE+zbT/UNyMjRGom8hAoZtSrBGb7qglnvOibL32BlF021n6bsE3RRsiCPsgNaN8+7
cXIqa5NKrdTyJ5Hq+UqZLPPBcPdiA/k8kK4SbiZB82oDihg88wdPJkDl6F2QCP9ww3FVTs698Grp
VwCet2oUMb3tIK4mttwEjWQ2SkLcLKQKrxbY/xAnssvZjiqMRxYu2E0d2IxW0cpwBuJ/iXwxOuuj
H4jXs3D6k6CKUH9qm2U2c0tSdsVMFbL3giBip0wungDSgfeFNT3HHLAB5nET07uRtdQGoUaWcRoE
KTjHwCDr2Op+3F4JKBpd7xrESJM8DxFrUvD45cSdpmq0T3pU+W6vtUs3dv64hu2tpQG7Q4hFVLF2
cNR5tlog+Qe4A2g7qx4Rn9+0ZQ5oSRVglQcBBVM45ST27RVptoCT78qTFjH+M388/dThCdKitzCD
Dz4eqHxWs/xCT6udHchV1jJJZneazxU6Gh7+hSghSeCEozFT5sMt5EEW3yCVzWRV6jras2TXBo9u
HNd2VO1U6tnK3hUqTwyTPzb5bOONA+jVWyCG4JCHQ/ZiEh3d64N6z2OaxfwuTS6bJklO9dhVSzNh
X9U536LjCLNHc3hkNvl8LLagH9jeclAKZC3RZdArekNoGuN8IpTdPu6zbep1BniApGChCYpWiRJ8
eSgRIT6x5CrTZkk685wKwHpnNHLS0SRdMNGtHBYNu0qmdAOJz9joDAL5SjA7PfJGZuMjykeg96N2
idSk2Wv1+JUwkNoOwGBAwAjSqk1Mr3jssbdDSIwrEhE02NO6VRgryz63GtqFKipeRpQvMjzFrG4N
Qu068Q3fDUuvyr4ftTPIAI37z2O+Fkxy5QIBUsfjXFgxLPQBkHqkC9kVAw3BVnCIZwwfHfo8T+T6
NlUIG9xkOCgZxrIdX2riL6MPbbDmCPOVCMjt0HEzm6j6ri2zLi/8qtE5uLxbifWpEMzQs+YhZ6u1
1KVrLtPIpSr4cQxWvTa1Icw/2fOnQxciK/ljGJ1zZdy28X60PvICJmzZ7wLrW6DJVix0Od6rlqCw
txej5bC+87DDcPFXzNmx32DJtjcJWTRa5o8zA2BaawbNd1wts4E5GXs+hYG5a74V1mdisnvqTlyw
TfWSVw+XoZFQ292sY53KfRmQhOE8l9G48BR2PW6G0JgiFrVLLGgkiXIkW4AI91JtSfR84tyuWNoR
YLxM1Y9BlUwaHyVDWyOFlFAhXwlebJVYovJNQA7VuBxbm6kBAdTjyIUOkzbnVWvZnsfFQa/+aCEU
ioNYcroPiA7wNtlnEq4WhkPwUMRGf1rMo+ei3VfIcGScAkwZ/OzGxEnSA3dE2xwYYVjB2WZWr6Zy
HXXEbJqbgU7fsT6Edq2cFo4vCW5ybbPaLqdVBD+axG7az50HbJki3vfcapO3ZJ5zO5oz0PKHsaif
d0/oHTjwG7AEhzT+iRJYV+w0BFaA9IPcjKVVnoP6NC+QFBYcyI/r+rPMMR6wvQDDjHdzBT+OjCbB
3gs5Qkw6My+N3j8FTE5BWivOm8cIt4/fKl6a0eL38K6UiJ/Let2LeOkisp2VmI6kinhMDKUt7VS1
yaE0qoUtYmTbTBCrt6Td1YQodMGegHGfIVSlwWz41YNLdZmTUASX3aAfR5U6khWSJGoGS4V1GHAK
dPTo1XTFscaVD7q1OTjBi45YhCwLkt/QyWUveSL2KS16VN3ksDKb76lGRq9f6uinjvdkTM46o3Q4
Su83EMxWQ4I0zIJt0srlhjUGMBKTurZQ2cqtjXiSjI3812ubeQe8y/gQN3TmijXDLP7sjNMFAEk6
Wr5l/xImzeh81U18F7TwZNsnJiYu81XFwsV11kftPiDOMTjEyWvRgQ6lDU31dVz9oQRdFC5t07Y0
EdbM/rK1ZldzBBU5pT5bW7B/iyjYTBYKZVPZjRwlPa62Gv82ahrtDEBmQfCKRJjWvGmhfRiy75Bq
tiffOSjv4wBEcO3KjRq3q/nRmdiyJ7RAaq0u7epzxAnSrI1xHsftPSabYagt0PfJYp3rb036x0W7
0C2xDjktjRgQeMHTkIAsqCntNL/Kd0b6Mtm/rdiG2YeF4LP+KeN0WXo++lObbFYleDUqhCQWoPwt
bmVCRadCrhkXtPFYXdzy6ki13RIYiui9Ft8SbNOy1DV7p0kr2zlurBGqQ26oU9Bs0QmtrYBsYKVN
lGUzq+eUrnxOWfQxZPnFRPtuTwoSZhnPSURWcPOs80CT5GixeVdib1kNzNr1OsQGWMufyMrdewtd
YhmE9VvTs6aMy5KFQK8yqmFrXrpMkJ0cvJd7YrVtvfbdh14kDhBjPV8OMH4zV3mu7SK8mtm3BwOC
BRpHlWJ2OJVsaLhpIf7ySj7sjNsTeRjvIIkCKIti+9YGjbuJentth+27xmL1K6+jckHIA0hXVjOl
VjFz6znwlUjVVpE+hOucdAoSr71zqNVn2b+SorI0+YsYTswm5FmL+TAgn/D477CuYHBLUjJJW7sY
AG2qboviWqRERknkniyY3D8Xb596kWUKwaOCOT3tG/0PMz5/i3IzDX+dg8HyBaOoC9NdSZ5jXl40
0Q7F/D0dkLraGJ/IezEYxCGlGWxBSgPBF+a1RUgSYlMCPIXe+FiMd0+YJ8/7UPDtKDhMWSzOl6OR
DcyRzVUaDU+NyXcT5ZAWkZ+g4x4uJZS6pU4j28Xqe9bopylnf9419MxT4PmWVVdIY0lPTVv0bwRa
2qTcZYqr/TBu3ZjgcZ6E8JMgmi513O4ihZInd+DtJ3YercMSSGk2JoRcNPIBmLTN6uFs9UaycCfe
nLC1t0mqADibe99AfQKCeIoF5x06Ii4/bWBjldq3rKP0ckiZKRV1XOhVNe480Bnov+lX9NpCvwAw
fEhU55IpyRPUKUiZHM58FmDqMGtc14b0s2GOuJXh3a1EedT/MaBSd4BdR4SOga1yYjV+DcwTC6xr
nAFZ08J2WBqzYmvK0ZSWg24ulM4+N3NWb14TkBPHNrpC0jr0cTkMke7PsuN2lNUxm5CfI4/eRnX6
5WGSnwtioDpDtvOcduKdWval8hKhFXbTcxNCKLboylaJ0rFhyj80KUKazC9pqSPj1zlFzJo2bVqz
zk6zX0Y4sx4HWSYfWxYq/IV4NTD5aPcytgaeoYtIyYqqPHdk4B+vm9li2zSIZ+weAV+slPuctecC
2jfXnSHhiibaJohIs2hhzLOt3JLi1S3imuw6r3EwxbYkl4ZJyJBDYA1uGCfPzi+lq+buhEoxVMd2
TUfdAhSNUGBE2Q0jxha9BHUEws+pRppQ5lz9jVa+F12ywxm4D01uvjASFznaxhOARF7IaqWEibft
ixwdPZlIMZONwkEjDSSJdb0ttBi5w0h+dCWCmFQUfm7Wqsk4Ir3JMWU7OH9JM4Vs+38//PeL/75k
liP3iT50rCXnH/77xa5WWKUYAiil5+1pPgbL//dDidymAI6AhdEuE+D2tIg5mDVkO2qh7vv5y+gE
03++/Pu1//7pv3/6f37t3z/tuuF//rGqmKK92+xLg0fQt2fEvxQEbTMsTAh+UZhrOEZ38bQQt0JM
wbeo4HcelFolXu3fD9XcQdvtqU23c2uSF6awOvzLy/zPP9A4XlXcCm4m90o14I2z1F7u//NFJAG4
V4E2WMem00jb2f/7UfX/f/Sfn8ZWBUyQcocUi0OU/r8vhqGlvu6GCr2lmR4sJFcMZq0DG7VpgzQ6
KGR30BWYff++kAiHL3P+8n9+LaiVbKfkgll64nDVAnX69yP6eMZQgMN9m3mGSV8DDasg5YcSoQQk
1L8PgQEiq4i67qnPYOOCGQLGr1fJlgHoJeotk4zmNG4oX2OL3esAtD4x/tfPozGcDtHjv3/Dvz/1
X0Sdx3LjSLtEnwgRKJgCsKWnSIqUNxuEpG7B+yq4p78HPTfi33TM9Ey3JJIok1/myX//K/1m4PSE
LGFJjYABtff/v+i5bk9/tcegKTTT079fhsDmJvS/f18QcMxHNcKBQ36BGnjzS1mtdXLdkliNTyfN
f+Su3n+rlcLPwL3Ech6MshD3YYz+YaTtfW9721mk3YNjqwSwUvVpkQvCJbaQXMvA3w+05Wzcdswv
0UBoVVvBHQB6HMpkdLbDuNTiijQ+y9T6wqDj7jrHpC/YVgitKJinf78Q8KQLrgeyY2igXyN4EP7R
YAHVZaC2xjr0Whvic/cNTU7hjsYsg1eiC2kmqKPoJQqdhiFc1p88BlwIVpzjS3+ACtoa2xiFEWYx
GT+T4thWY4xpDPNx7unWW7CtRTlgK+jG6ig9zmgBRtNaTiSRM+Q4AYC/Ku29S8fINjebdgvs3WN0
rK9p6FTHZHiWsW+8Rvi9y55bhTW78d6yuLHhNQ+PXpBg9E0hKzBf3tLzsRPGuKlsHNZOmXA3s7lb
KcO6RhnpPtM0wXTC77uzuPXSG8JwwYe0phpzmWUkj2WAbNbR93Gm7oLTWNHdqsvsKYND+xBvaXPD
ginwNPo5MlkDxTmmrG750m4XEn4IweiUNVmEIZmfKdpzjxMgXUSP/lkaxFmwpvz7H8HqJFvBZRN0
M24Xu1Jy7+ZorX2AokN56avPfWbbNwnQuKFSu9EJMbu0AVwFtKYH4N3Lab74aE1ajIQuml1ccARN
bUMe/vW80T4OgaWZiz35n/kWAPcmZdsj0av5wwzm4UGShPTwtGVWNx0svGnxnP5WlOqRKBTZrarN
Sz/XNj21lAhURQ0/a2Y0CcAm2nOk1RtLglvt8+w5Ay6HlXPxmobRb2lO7snCKhwWR8Qh9H8wwZfU
nkBbROOrW1BWQm3T9JmQj/Hqsr1FKnuc/MJ/FChEdWJ4zBKoKVGW3e8thCPAFet4tOSDEzTywcN5
y93QLnb/+70mXVRpy8VJpUd91bTaIeSqWz8zvyf3XoGcq8C+Lb90Bc1ZGV/SssH2lq4XX+VsnUNr
SY1W3Fi7kpepE5G5L+qgPY+Jne2EapG1HUUnrgAwhERe7Cu7GxnGo9h4bIQqPucA68+csE370meS
WsAuCZZbKpKaNUV7N/DqC84ZKr4iThFVXQdbnbeoKhy0d50arZVnFdV9o/ySBJTb7uUiqXVtU13C
sMHN62kMMS7xlQixfFNrPZ458CdHO80vavk0ZgB2r3OP+UNoH6+ismHZSB192xm6WRRocSI2SRB1
tJjPlsalV6I7w+ZHHdLmmQJZfrE0TR65RprxL5It5UTzvHeLBVPTELPfocOiHhAofMjymFKXVpDL
Xf6uprD8jes4N9XQAtEsfCLLUN4NXrroDXMzaIcS1Mkb3z3uTkxSPR6XF3chbvtdSISHA6BMtXfz
pNs9Zl74lmNEZzLFuIevYfoK9KMRG6ekgTMdw6dESYVHnepEYCtmzNuk9yMs/FNPJUBLwTw+Kf8+
Ivl6MpXXnbJxAoUGmX470bF1n1cNjVgiepAReW7eahDRUxze21njby1OhBtf0Kxn4Nw5UBwM/gSe
WWQHr7WaAvY+rnX/AE3dMPRbxz+aPWszXvThyIzk0dYETQNTXqpAWYdxGOD0N2mOv2h67rHin3NA
oNtU21sq7eav2q+fB4sQeJiaDbiqIn0OWgI2SCa87dkLZ6ViG3KKOFpm1m+EjROlMYpLzQD1VjJC
9aJnP0gsolkjKPGycPe6wT33b5EKXUTzoqbrwo2tR9l0zkH5A1dgbH+aLCFZQ6+dhlNT8G7r0RtO
Li0Sx9wEwCJwDrktQUJnqmKx6ul+2foxpFPwYpxXI+XcZRgSRJr89/nySPFA8dR3KI84MIcxvijj
3LlRxR9J8AHSe1l/DHNqXgHe92HZP5mgAw1TMfSXjXdt4sm4/PtABRlymEn91sZNaL3geH4c+iA7
sX1126b25HuCl34xTtWHjoXr2gph7EvqUVfjIPJrFsfRVT5FlTCuEYvVTiRDuRZ1w78uv+dztjhY
FtGHIEQupv3cxddje/dq+SV2cwyyYFz/e6Kn3rn4lUWpu8ZED1P93wM3D4wx04K/FiwtQRCjO9cG
B7uoD2IsBAFSj7Nw8sVAbWHLh3PFIIw8kNkD9c2sKxcY6wqggNNAWSBZNHIvcycBDqcS/KVJ+t8/
dYquslhjhkT230ZjyLTU5ReapbI3e+oETjE6Mn1XWscMVEAUt5CjFdjIoiekPo79+6ij6kKhZXHn
o6JlNkgQ0jOUVdCneT+qHvJc7e/t1KJBmDXmpib/t4spSJV+Hp5AWfRmGu6mevobxCLaiM7ehSHl
8tJOik0y5wg/HlWoppHsGrzIB0ZgN5sxJy5Ck3R7COXMAcDKHZyI/UhfY+YHPnR+xBVb6ve03vVe
Gf+aVoPDB6TrS1/4bCgouhM5OFeF6YG8dnqXgz4iVecS1mLrDzqnPobYc/ee0++mYriOlrMJwD5i
3uWgM7k3IlGPjZ4PXRyuB2GJnWVy66tV8Dgn0XMO02HcD1il75Lw03GL4MkVEitSS+dMRctzgk9T
2y2exiIO72QIOGgig1Y6icmqMl/ntt31GXDKTteUXfTuQ1HVh9kvufnh3RqcQ+mWoO/jqQIkxhzB
XnIBo/FWjOrC/VNfzMVM0vgEdQzO/HIIryWvtGcvZpH+PI2+tYFsWMG48K/Q53tGS4m6G3pK7BEy
bJCVdmMeizFjHW5viMGATRQ5dOACEp8fzRELp7jkmJH9gJ+JToCgk3WmS0ZlxSvQC0S4fFtzM5Z+
aeIN7tJ11kZfVgq5tWzwEcgyPAW9ZR0Mf9l25u8+So+miSJpLnUZ2h7eRIT7rBbzRTTDp+9x21Kd
YjFy8K/7Gt+tWderVDnNsTEZDTpYbimFCMh2uo9lIgNGTIOxphnnYvLUbEUirbupcrxlooTYkJ2D
wH8yrGgTjPNfK0F6R2vA7AV0bp3CmN4Z+dskIZVgVqDR0+wcasbtk0n4oGONfLCr4b5zuu4cOeI+
KoP2dch7rBsFP/pUPwT+UrZgeu41Ush59BmjwuMcu8sxmrJbK7xpRb8KE+AAMrF2HVQAdMb4GDut
3jHmWNy0kopoN/iILbAtU0YFjBs39yEKOsYMC/q8RnAJKcON2oc2zY0Pev32lq+e8ti61m3bbPKi
uzMI/ZHEtuaNGbh8u0N65bgGBbhDudHmcFcCQtuoAqzE4M7PYz6UTx5ZxjOntldtxw//jn//Dn2h
UNmd4Vvfvl1jPxloAnErmidd7jUwy/d6CRqYHjX3E9hi3AJ40t1E40it2Pb8lAFWUV1GbIOMqdQ6
pfzEkr3eMW4FY59/m6p5lTHggdALCYK0ajv2D2Ha9Tc/sLeJVUPMzseJ9ycgVMMttDclvJeJmu04
hK9ijt9YBMj9y0Ct+zpsN8OCPJVY0QADKPLNiOGq15zgidj4jmsfuukHtLACaVQ88oLTTzExrXIC
2OigFe9bh4ZKINkaYqn37VWOezLHPxQbYcGaKIu26j3B7Q9hRtYmq2r3YsJ3d43ppNPhQ5VGtDGb
FIMZXQzTWPF6Ww7B2KH9a8Bi2EypQUNah+kxfphd/FwJTlTyIk2/yRGtwPD0T6OXwc7USMupvhEU
tla5KN7jyfoVjmev8pSWuMJC3CpMjPcplvCwxJk/M5vTuIt9VtxNQIEgo+ViPEEBsRkxKzt967hE
UO8Nir5Eef8TTLeyy38Wbpj2yHOVgjfVKIC4Fa6geSdl0EU3kLHGQr4zrdbczH5NNypiIgUADBQp
XvZk9mkBjN456UfAUHU/aGj6jm4u1CpizFEVHgTN5b8DY5stIP80f9eufo0r+tEn1FrHtZ46eg9W
oIdRS80qV+9ma/0VxZCfFWFv+mR5ATl4whXJ2bPoKHIbW58mwAlagAZxwm2cUZyqGojrPQBxG3cK
TPCHWZcfscsQvXcxFA4Rg2sfTZ4cJQsg9I11kiV3sLMfLY6lbfUbeUa4p6DUWZkCzEAQ/bUzKK4T
IAo/JhyFin+ItRNt6wAqz+RHv85gjes+IwbvGECTZYzMPIxfwjNeyoHi96pkXjNxkgEYe7ZbIE7B
4NCmQcY5rqo/TvfuyGHEWt58Q8ez8GSwgxui/ZxCjjqik1upK1xh+IpqmxNx35u4MxDBQjjE0vLP
ihFxNcXlFos3WeQ53I2ivy8LkEvNqno2JDd0bTJ/Kbt3LjxEdSb2T89+BLERbh7cMv1q84akb5Sj
8LPAh3J4p0mS4Zb2/kbVaO+jHKUpJX1mcouEByIeRfKTRfJZeTTU9PPrlDFUarrCRllgSCgahinO
0fGybKNkb9xlafxiAEgmCQ1Tv62+XB3jzK+wvY2+e12iRSK0dq4zQjkO24fUcpHq0mafJDRamz4q
Kx3s7HjlxARFmLu2Jkg/6OX7gvfu1cRt/Bz3wRjbtOYhjEl33GTyp6XzhSpQxr5zzVyW674PzCA3
263TNa8pp9EtNIx9VUancBw3bRZuhoSVIbFxEgKcSWxKQUsGwC71djvOVMyZJXKuNxHDs8joi4x4
Yzc0C+P/KR29E0Vo970/Q0UIFdpbH5xRnQn20h2VGdNL3RCSb+Oc/WbgC/pyhvcwpdhSuLfkYfvj
LG5O60uJviDU6H1mNqYeD2lgbDx0WsSMmm+tCJP3sVfPE1sn4Bd58GOzoRjI21csW7LgXkQiH3hN
soLKf8ukd6mW2hMu/WZ60z7EH7/ivaaUCz2+jv7kLQ+J9mqiG+a5IQUAniO/g3CJoT30DqF4hEtD
/UXIjtbhonIQDOryaWhxbBiUnAko1yL+E8XjD6XAmJdpL4Fa1K7LEss5yxweVtF8BR2WM1HnD3Mx
3ZWmuU/LMnlO8IwOXMJ4JZt1Ug752g4Ldhd2JVA9/asCkweUu7V5jBnOmgUeDthioK4ncCfgU05o
X/Y6a9LNmOUvTtkeMKp+mubjoOqnuqTJWdqts6a0YI2vfHlhcCbSdH3XV6w/YegczCbudzqkRG9I
2wcnjT/8LDBXLpsUjVblKW+HYlskXxO1wFvbBs7iTuODmZBYsMIedzOgNc6j7d5L8wOnKnRg9u+2
M5udGnmRGs/Zm4CCTRqigb2Q7vOypzJxiC0Vam/qPuPmGuTHInCIAsrHusY94qfd3yScVnpJExIZ
w6NYoxWmxE1dW0BD7h4GHoEQaDAu8eYnTye5ax0NHSJ8YspCNmy8ZOjiG62ZpDR0AiE5PaREHg7t
8vr13tIQNHIRjYP0zgyIswr5HPvuOVM0BnHV+G0KKPVS9DBTyp9sSf3ZDkU8IwHilWk7b5al7FU5
0WA/1tYfrfIb1jmFsAjbjgbF+8xG2Kvm9GrXZrGOI3dnRPKNb5L6aJ2+51NcgEzCczM58wWwH3qZ
L1ANeQD2c03neEuAldTvyQuYg8LmGtoE92dKa+lApR236HW9nPCA+DQ4WGBPJWISa6jd95OE7GU7
nB0qDx9OVZloI1gSatoDGdrh9czInkIReeuDetwyOuCD3DbekU39mNd2ezIyZldwD2ZQ8DUfJ9+W
wyEb9TlgkbIwxDml9y5CfWJpPuko+J0kAzmQiLjcoEdNlvOE0gboMLbZubPPedbtPirUfd56b5lH
xUFf7tPqOzLqC8/qJ+2cIHrQJktSNgSaCj5mtXnyI+uSp/o8RcOtDK1mG3PeY7LpclwkzMNPTvbY
Y4ji4qAiLaNB/jTQwLpM0gk+gAaq2V0BKHwSg0Me6UVJaaf8Gbr6q5/8lc+EdGeXGKgr5+ql0XBH
70vl+oRg2reJ8SpvoPxKPd5ya3a6zajN9WRwvl4b7BicCXL7foAmMw+UPCBNcAmkPZmfHEFEjiSd
nP557uoXPD4FPQ0c/2PRmKtg9tVdx67OwewT7xnQjsgBeoBsdPLVOK94AZ5xqQdFGtwKO95UAym2
wacJK7O8RwzDGElwWtCAO70FRJ1dFvqcdjl6TCl9lExHyN3RVr2aNcDBjCece8qEi5mq3MWCwTjt
cepsUhMG4HOzNv94Z3duWYFzXW7SzOMBgqOzmcG4njgkvbUjw3h4MNvKq19K7op1GteHjHrc1QB4
xcsThFyb0FnWnWbD+p4JjCkn6pi1ZiRqYg7/sxOxUC+n3sfCoA3b8HImJlaDGbuUYp2OTb6Wfppv
AbHEuO4ybkfAECcHdhjYsMM8BI8iJlEgDW9eD50b88VQdCvVwTCjp7fpMMa1qNYZ2unakvzhrg8O
jR0CbDG40umUFgrlvxXiYfBCzoggSFZ03uHdbd/8heJj9eFr1+lP3WAxoERgwMK0y2x1ELn91Nnj
/KDzjLyT4E9PqsAc74z7sVN67a7SXFI+mWSnMIRNG6op3jCHudaRCJcyVMwkbf4jBpvV1I+2g5+/
sWfwQY4CgTFz5MPYyhMSZbN1Anm1Gn2xu1c3swVkvZ5inAFfvF/soj75JOrFsV9UjyGCA93p3kUv
bt8qGdsdtNMnVYFJCnIbq2eIKj515rkDoBhigtkHkYU3rRCf6cxI3qZxuOhZzHUtjjyELCuptQ5j
+aeOq5BdIAKa6LNYU5C8jxKQlTWKVe4TXg5lS8IsNHiF3Z6Eg0ufc22zV/tz/sjcjhhQQDSKCvVn
XYXcCGz0yLmGdmVHPwWyIGdKSCfMP56b0bpWNnK1SVDZmTNB0xmLI8LU3qe4YUXLyUSiqYcAXKtd
YATBzlio5JoQv+Ewnw7HIbt0ZXHpqIPmNF3U13TkbOV2mLD9pHYPKQpVHrGzx60mXAA0SiQkfyY7
3tlZadIohiyvmajOjv5KqwxY1UNDOg6OMqdGZZNgjKz0VCTjjrtfthmiL3oIMb1W8aqieomFAoxd
NYB2CMKldo+BZJmhzoiC8cdYwKgI6UEsotcct0K2TNfDUj8UbNJRvqkLPHDwxhiwn4owyLZdjwdV
xPlz6XNrw5CKTYlYN6BGb+5PsSCAEnpwGE1Z3lRm/DGL2iA34o3ryK8fZqM6q0F8amS0dRUmlLEH
4vbv3yAFVpsyh0caMVPYeIxSVl0y5IeIJTO0Tbo8PYxb3UTYMcojlnTJCx0OO0tC5qlzRuK2SYNe
N4CghWtHtfW6SeJf0JNY3WDpL+THA36b/kVb9dLAUh5kgOEndYm3WTWeJoqK9M6UOGfN8kb3EvXt
Jn61KU13M3HMteVBBeyFf4yW7Soxeed0REaqdAaw/upeJP0dnshjTxHALZnG34abKecCe+1ZHntm
R3YgDHFn1954mjIiY64ago0NnRZTJJaghI1p+XjAbqnB2iycnYrjnp2rz0SrcWdAB2idUaxV1v8m
c/lGUVSxtQ2A1nLgMaWXXhOHqy3O9YMDqNLJMXukmHmC8MKoiPGDnywebRIQLIu9+mua0WsB8Qm6
f/mZ19nEuUk9+KPMTrItz6HfYLWDOJhkbXFhSvbWmNWwdmOq6XJjFdpIqZxfcOi09rx3JK9GWhhv
HDWnc+lnDDVmbqF+bDBN4ZGr7OmUDzK9cagEs05GdwwFp7Fy3NcgwDlGnwwF8cGYqX2epYo3/GU2
5j7Soe5BUbFUIQd1MGJ49kEyzcm4TxP+YteeqbrxyN2WetMn2Cyp9c7WNv3FGHULGiiNIx+R4q43
aVyBjreRGk6HO/GzSAAJrQY6GJLGKrzBwcs3YY1vaKLRs/lT81zGphGz7PJzmGX7FKqGHa6suCJh
8IvrOb6ZOckUWqxhtsFX6LKEVZXoQDG0PtvcuJuNaDhOCZyhefylDqZYjbrzd5L5w8kU1L2lbnTB
ZwskJ30bgsTeZYlNt4VDfryJoAWR72ioyxlahzN2Ay2Q4RrOsT7Za+IeHcmYTeLgQQ/ieDzXgg8/
/+0xHnAeweLIYN3yrQ/YJkuOVTamj7ZeFgzcOlld8OdTwoZNdONKmBwc2TzLStjMxOK9M7I068m7
z4uIrgsMLQ7jPjAeXFUbMFs6SnMUEvDnzWedfpqNcuF4jptgDnzsBdb3VLnfTsjP0VHBsRvihZjo
ZlvbEZ80qT52pUu+kz6wVpIon0sosTUQC/xDrNwoIlmOfS4Ivnw/xGVo3css+8F//2qEckcf3OfE
3WI9Wv51CCuIIiPJ0KkseeRM3As0h99RNkwWuseQVernXNOZXikGhZjVd1M365fR6cA5V9ORzMwF
yz6Gfl3RH0N51FqV2HtRnleZoBo2BDe4s0LYJXzu12lEBROm+cFDY08iYvVdlYIc5HLVE1rY5nOE
Y13Tr8tocG13acEVuF3MScv/4ZOxzKJH0ZtsrThBvUWy9dsT46pxRXCQVT3DNmkpaE9K/NZtgs81
Dz+LJD7PDRkDAJw/xBUwlsJvNfUHM4gNNgVox6YW2yGT31M+PmHoIRvZ7BrapV1resqZ42884yEw
7jobiTQPEXvLnOJwWdX0ASYC9F0OK6/r+2MRhjT3ck4vw4Q2YxYUnFm0QBZYsZeCmFS05XqK4D64
HWxIJjN0ln4UJqJpPymDJai/mwefw77hDltrnww1leVN5h/oNjuaaZnuAzP9RC+uIUHAsVVu/8er
wWpIQn3m0BV7KODhqoegMRZw2IoSs31DpAg7OT8SSj7+d6qlf708DGB4h/PeG7LXBhPyULRs1CXg
JPw426SPsVYDFRp8ynKlumUVkcHZZTIoK0QWA+la1iQbLd54IxCHQfgw3LDE8YZZJm9JJjNirBkX
DNyHXwlxEe6gtzz20Jxa52qW1lvfYuZsGjr5uBy3K6zWEQryvG07IclLlRUWV0IHE85Kzl2i4gSZ
rRN0aQp4XI56NUHC3kUfCkkLxzGuMSvCJGP4Syw+Fn/yvHppYImVlpGetAVagKQP70LR4RAZTxI3
48pxxg+aDcjBONm7dJr26HTRl5mQrDS4CetuW5mwcFpV9wfLNe/DyTvQ6vEsLCRpRocAFKKL5rpL
yKj8U7fRCBDL/7CL4KvKXNC29dX002cd44LOjKYEoZSvOUPuOxv01gCtg7ESU3mXbZXnn0fDJEVE
uJKB57DrZUt6yM9IxdQpBgbUIBM7TJ0ZBHcB9voeSERQyEdHkV+mw5FTH1fsgCkxQbWe9a614SaM
11lW1BrH4sHISGJlOIWF47y2qvF5U6m6jfNvI/ybZxK3kScIEKBSAgkk/duaHgjHnsRKjCcrortG
TfZvIvsf1WM4jJfaOa+qd0wUcUUH+w7ipjScTyaAX5HZh3zsIJ0DMy48bLER8Zgy5CjaNd9Gou8M
uwqO+HkoAW/r06Q4tpV2/2D0xPiUgUwb/cUEckpHKHNBlHwTYXqdrcQgh2RgZ/c+cJNx05yaY8HK
gbbqYM1lytKSCln3Yw4Zq38NPvrB+Sulxb5EvygnBtDKo/wKOcKvqQhaZzMoXtIVNv7FcE8DVbyu
S0ZDVNYBE4Xp53Q8uHXbo1F5zkrF479166UoFgL7MechoEYc1KUdXfD07Hgj3D3mAyJ35sQCRuLh
F2oG3EI9MmMs7Kc0ZJBUIO17PsK6cKkhzdvPMScvP7im2AjILJIfgVpmso8pMLfAAXPm/pYBrb0q
FGu306ec6+N+nsJn7fvipPRhhHd411n1DhRUfHTV+BO1MmWoFtD1zCUt8OL+CVc9LrEhO+eszFOQ
tvtmENdMB0TwatyZLd7ctcyGOwN0mVJPulUdy0m0cRw3YEyyhgK+SjEQ4WS5oSUdKYUApNdA/tZm
t+RDYdYl+fAStGQHlTG85qg/8NiCqyPNh8yBu9OG/jerMlqwPWOMmdi8OkNjWIpGYxPWG9XxsZlD
KAM1MhJHRwJ0VwCp0xeNwvYm1Q0rQQfXvjR0uGZurw4cO9AFLCfe2EH5Xdb8BXH+2jAvZaCJRStJ
2rU2FMicsDlAT8xAl2d3SU/IM0MLs5MG40Tf/FWIxMMg/g6Ugq5KVlF+BObWHftJN+G4sVo+4+MM
bYKIiZy5lLmJ3DYtknxLVHJgir6Ie6IBxjeiWFXjtPNzMJldz5ECtvqWKd259llhtbwY/Iwruw2I
zEXj3i2qajsUo7uxOGklPcb5MlHg9wbzs5AjsH4QGA6msRJlZ0BPAQBH6Rrd2/t2BqdTccGgC954
HSYWrVnCwSB+A/kBzc3HakHvIxnKuXib532aVX/V4N1ZEV8td5dGvOTAF0J+jRwGf4JRljEzKVPh
sTSCk0gIf+WYs4PIlEczmh7KEd6IwLSz8gCXVmb5xtnD3I4+CSQcHQVWe0WfNbN5n5Giy/S9e1FJ
89RiJwJeAchJTShk2n7ifrXXtgAC3xQLP6I8cd1AVLHdrcHtB1mDJBTlYZRejudwnp9ZaTp6OOkO
SFnRu0TSO1gsF2M6ahpL5rvJYBVwW/fYcwhfO6EPvxYOzoqG6Yd8OHkTWG2ZXM2UMEc/v1fxx2hY
R6fHJWeZ3JLLUvP0OfYlQTXlgAXCvyTO4lK9YNiMYMaE6Ttz+l3ArIfnJvO3y4ejJivDJKvASTGO
l7j6MNkh1w4TJ/b95t1C3anlUuadTq9JrtV61Kwsg1PB6V8nMSj9dPzDd3Gmm+26hIDp8zkD4X5p
VATbqd1mSdAf5tIgCYqmnTsAm+do+PDaYFpheZtKj1wWYm0dehVYW/PWBtc+DoAGJd0rFfZ6FTyV
8fCdQdff1e9zymmlVgB5vVreW3n8zqGzXldWK7baeWcFFXgih9usjJsBOhSzC7Jzc89DePJG94CF
XWMElIRsAibzQ5n+qQVpZ3wW0SIjGM24iwVX7dnGciQCdCTLgp7qAfITpv3FyGxD3y0T0aQ82Aub
Nfse0Vz3XVlxzhpIwFF2SsglWCSm4ZDoxgautefSBCXLkv6+cV1wvgpE8WyV80Yuk0ZFXXReB6Rn
UIKiroqPRv2S5yNocqi9FkcmDlFQRmyGMkxx9mYL4zmdWUlMz0EDFOokmC9OPdkpe6DdfmrGcxDl
j1Hh/hbzqSaTEvAhT1Am120c+MCAIKvLAYU2Rt7hhE22r5HdIS+CcyeUPhEtXS7qABdR8U++77yZ
M484laf9NpU/hgPKL3Cb+0EIEhqRfo6p+DzUffmKAZ5oU8gaM6O2rtoipKURzcRDjmQAMDCD8pjS
DLCp4aN9ORnzJfwH337Escn1x+cc6WgTD30KuwBF3hWo+hyzso324NryZrfNjaEERgLf+VNI2kLH
wN+h8ZCxaEk8d0AX6PDezI37JSOyiURwLQKsXJYYQk0ZooRNFCopgSONTQby389Ze2d+32DJXg0H
w5j+xnb7lsbunovN40hzSG2FZGOdG092j7cKhTT2gbfFLjI48UE/1BsGOj3GVZ48YR0ilwfJQywp
gZpHSSFXeRkae+pKfNin9mYs+pudWc3N0OQcnbg9Fsw4ZdHpfR7196JRybapuAgPFOD5bv0zMiIw
JkZWaexhCtaEHvP+WhHM4vI+gg8ojQ3nF35SkYmj6aD3QKY5cnqkHxHF2eusH9x0kheJ9YAKg203
M00HpmhsqjL9iUfjoazyp9Tp3+YQ2wCa8E8VWNVWcTCrlXvAd/GTtkF2xMq+zcnaWXarNoSJukMg
5dYagXjV8RetQB68mfLsglElQxf6WCFJrgtijlDzp1WhSK90DaDpACs/g6xLZM7GnXaMF0w53zG0
ym009O9TMjIDiF9MwLdrXZDOEE/zhFDgYvKYswIEtEISGJDb5tFD4stzYH/YZ7M6ewszjugt5lra
l8SH1U4oQuUn+7vn/SnH9sVuOaobIZUlaXerDX2naCVfV2P5mfrwFgvx4Y9pxiPJgD9rY3vbuMlj
T1GomR/mJsnOmPLXOtwKItBrqkgPqgOdbwxfvS0+ylZdncx57QQHyT6x77BaQwqtNiMRVO7tX0Sm
n0SL26frLTCibrq1KzyzglmCJzUXSWHeMyboNxaayzbhhTW1U2GsKK8tW64xlq+Tcus7b+Af0Ibu
hByuSYP/W0dw8Wc3vKUu8fEIoBJRPgiZYsyetOkzS0XaHNVLGCCdSg/vcZBn701Fd0VaNxzEdgG5
v5j8d73TLWwc4i0ky6aFKQEZuM+Ts0xwsJMBYoFsR6gQcEh27tWnqZhPNhdnq7GATTrVe+AgfEzT
W+SC4rSq+AQQpuTr0dBm6Zv0aDjSDBFcYtabNAQU4wvBTX6KiOXqZQdF/Bpiku0U7wWTfKU1BW5u
gmhUvGN5bHa9yVdCFcG9jnOU58eR/GfZjb/llN0HRdCsrGK677GAbZI2RcQV3xgai5MVEHRpkd35
eMLqsN1dnBF7D+nbNJP81XtCEwwOYE0hIKeYF6mO8qvhWo/qNuey3vkcyW32O46XM9F/wz3aBWPd
Jr0O7XK4maLn3s72qu/texdOk7QIYfuaPd6M8cm5SXsUTforquzQda95Vn96sYqhbOlbFfItFcOG
osWP2ma5abBqbvJYLcIxDe7aDg6hJX7DgRGQ1bQbMaRoWwUUpAivOMa6ndTuEwD611rDYQITvSkl
l6uyMbZ9oj9lViCoDONZqbzclVpZm1lhSPa2IgWB4fuuv/k/9s4kN3IlzdZbeRtgwoxG0sip950k
V+PqJkQoJLHvey6tprWx+ngf8FBVgwJq/gYZmRHIG9fl7jT7m3O+40n1Xkpj01GqbRAZ3mLBlNYk
/mljkIG26voJAtyAegv5J7YbneOuzr5jtvSbyNXmzkLBlCxSPJlN30ShUHi040sXzbx3DBFWSDjP
qWnPC9AVx/KCBtMgxSZREhpPhK68RS46OEbbYqM002eTbPkV2IQlO8g4tnDQkSFsMdZ9BURJRb7+
sC1oir3LLKF3XwWj+n3psHosoGed8D3nhVOuUTTUcFGa17LwMhStICOCLtrohe6QonDGFYs6efIg
tBrVza6glmDl7CwYKF3sn7KQe1vEBreSY+uVSzHiK1SrfsTmt226Q6zMr2CYmGwpuIMVpltAHBrs
OXOD8TGKhsMQtwzAForXFFkVDvHysyo1H0hOoLWZ2D/B4HzOLlk5hUOy6UD7HMqMK8JOLncFC/l1
2nIJFMr+O3kfMdgLEzMNoeZ6MZCZL+B64/WIQmij0PBvCLNHHaMXw5YJOS4j8ahlIziCR9sQ6IDp
L8SO5YbhW2dpZ8N1eeTWmzYqMI5z7T0ZihkvBgyvtvZwJoxVECeXcsk1Y7eBlT51b8z00Ti2M19N
SURrMlQElFArEGUKCBGgKQs7yslK/4wg4cnrIatHYq1jJc6e6jamOSVMDPe/AdrJJLC1H1v1bRfd
r80HsevJK9/I5G/pMtAntWidoqSIfLSONIbd2uthdhG4ZfVOyqGUYz8rBHnFyqeuRVPpypFmyXJc
XG4sFJqc6KcAtQQ6bLVr0YGtjSA3dpNiealMsRdFI6FM6OvcV+ZeBtAVilmt225cWyq72sG7Hpo7
0ChnB6BeXN0M/5fB4lWZ2TMNbARzgtmyk9rb2I5vnc2Ory6jHzwl7yaxSfASO+IWpLRBqgBA8Pp5
N4Xsg6KoNA/CUDeiyQonO2vivTdlSLoxrikyG/g6J+3CO60+845Te0Kf1Tuo58jVLiYU6XPwpwqQ
UDaTk7NwC2951xy65UBxs7NRd9+BOcG/5k0vYng0aHdW9rdbGn9kqfSuj+JfOzbLfW8KhGNWAh5j
pufm6rjL6s65Z8h5tPEFnhCOYkL2BfW/xfC5cjC0MiK5Y3HGIe0hGU994Nnhh2Ub7yMdxM7pi1fk
ns+NJ1ocYk+ebOrdbHa/5ogXtEpI5bBypCglX7Z0AXOgB0H+4xxdrdsjC5SZz4l/+fg0ovzJJHkC
8BpZXAVqPDKD+UbatM2DL44vMOILBmdxT/6Zl6y/QS8X89Pidgnj6W2WKUKej9YaWIpCyhLlMYKc
ZGXOPgwQdZXeGWEE4sWgPFHn83KKU4fZEl8LGFKgxNaaDIG5S64eB0mHjjGDKa2WAx7b5+wf6i45
9F72UVEVRCOJ1nPyIWeOJINkaPejNmnLBx8Khgq/EoN76G+VE0EePVYfdhlcpXwL1CdP3GngFkxh
AMFnZDPonZDU3FMYbeKy/nKASTQkOw5vGGYJ8Ov6m9ePd6zpN6W7CCp4iXCTuyF/ryrehY52wG7q
MyiHxErXGaoDLhmqU7EfW9TDcqtyb+c9sBvZ2jZIiVQ+Unh81r21df2rzyjTC6xHG1JJrigYFlWC
M7KC6Pyzn4IzjrJnHNyj7n4DxRq099S0GkjwGTx5dOL40Jnhm12CcaBQ7Xhn6Eg/ClTXlPEr1Zn7
UI8vQZOc8gQdZ3XtzP7blDdJ3BGnySqPkm2c8HhCHbWcp0kE9CjTKjRIoc/vp4kW6J+U0f+ft2rb
/1Pc6tNP+e//9pVGf//8n/UPAdHFn9+a3+T/JYB1+St+/izJzqb+l+WwxSFmVdhamu5/zl+1TEHo
s0kLZpqubf6//FUp/wXlznY8JWET8CvRrM3/zXw2/2WawpaCLFfPFp6p9f8qf1W4/y1/VUlpmrwE
IW3KZemo/xZ1PoxO76iKBHgcc2gOtm3RR9cEsB40Cs2+Imko7Z2dzqLhlf04EoswOyPt7V8h37h3
mnaTm53jAZMTNm/DfNUQN9Bj+9gb8cDA83pLx+C7Zql+XIKS0Z68O5OBchJF7JpqPHg1glYdmS+T
UDHMX4VXjffZqFe6WJa3av5uSIuiGCqXExKIFC7Rcf/Pb4cJYQm5ft3xn9+KsEXnngxwehgZbGSn
H6sixcUw1Tezhnsx2PfBQN/zOQqyClo7eWhFNh37ieU5nuRvfj68T9o5jqWXXpOIl1ajYUML1DF/
oCdIcDQzegfLjUYDY7m2t2nZx9sysVzYIUjgk/ikGJsyGKSc7pox3jPWSaW3GFb0XktodZJOIHXI
BWXIeP7nFwOY0w44tWQLEEV4AoeHrJiDUym02Htt5W1RHzKHlH5x9NPswZQm2GAne8riccbrdirD
eJvYc/Kk0HFJJD8uzFLMv6gaMXAOm9mynnyGE0zoYvdSL2kAZa0R//rJLhlwcNcm0sx6ufzAGbCj
ZVYfxj2WNEbrKVygrWUynVVwt9Zo+BWEZKYV6Qi8rAkIAygC+tYy88nDSId+M08zIE0tyZXESE3U
CT4s8KEbW2kbmSTL8zQjVWNQqXX2e7nNqjQ49oX12fbsKazIG46ibT9QcvyxqQ99clS+6KC2Okrr
e5Ek9poN3rjufmtbQ3syk+e6LkHV2gjzJr0keCr4e+gan7La7c6F3TGfBSjHl5Wtk2EzniL0JHGp
hjpDiFWp0AkCyEvWGVTOomC0rExwUaUBFnwKiSkLbYO8XJqsno450gBv5fJhdIbjg4rl2F26X9Rl
936MOFSwRfQb7+EOnGnA4nXy+Du0fLapjrZk/sIscDwSFPOeVu6fUBH+svUQWutBP9ZcQgmPwGi4
1bU1vR934GtSDEdkOq95kAFxnfy/bt+8+xWYelDFVokRhYs0eooHBBQIeWLPfp2q8Glu39NojC9s
Io8ThvAV4jGxoZ5K984ASTym+zyWJqp54xj3TbEJdXaYna84wmEXwMgbUbXhkAFBtfg/GR73D3OK
f3YaTkXmOttaBA9Wgeae5ZJzdBzj1ck8/M/wFQoIfVvXQ4HjB+qlJhaAOcE1JmFlRZjhtxfDLeIb
FuUmC6kE8Zc1wyJkO9ycJgQ9zJkI1nKU/7dqFhpTWJXERrF4SWvnscsKsAdG9mn29kNmli9NkYHF
HUrc+1GEJId2MoCQxFy8KhgRyQUXIx/4S6tOX0YcJSdLDnrtp+kv5JBzlmloh7ZL1l+CXbL3p3GX
2aRv8SlfXB2+dNlRy6Q70zVZOdVN6YXEzHh1ulNhwTAKCXNs3IVLOl+8bYeJAezE7hJl3M0F5K0q
7P1J76WIraP4PPSMxIpyXoTWzMVLa+OEDKlhX1WYk4YLQGJ0f+ac753Z+0p4ZmHcsde3h3cSu7+H
wdrnqjgaEqy82ehPkMIpdK45x6rRPXtLDhuaR8r+YV4jCzRXA/rOQQxoxpHU9FVyjTnvLxGvG0Ea
8bKxJOamPU/8J1czoPE6+uBwHEl5NRANtZIAJGhM72ag7/uC8a9vYOaCLXVWA8tYo0A3xs7B2bBO
8DKQguGSC5o6eb3RflluBFuDFoRgXIWgrUg5cQzzlzPD3mQeETGoJ7Zs7Xf5RCHLwlafGM3t2Bft
Z8DH/DGzD3lt5uQ2JvI1GDN9sATSjzSK3kSwANpQHugB/kreA9gJvWptJHnAniE/zoJqz29nc6ta
8wJYutwjS61xg5zdySUHCpuQNOkQpeZFGBBCVOl/svmTsCyxj7SC3Nmh6Z88w9Y7dtr3c9e+jRbO
CszRLCwydpSB01xHp5aXjlxfRUvpJCiSG+CFYW89FcuMpUuH59Zyf9KBr7rJkqOL0+gqWolBRiLL
I2EOYhQ4gmgmuMaNflun+JyLDoFsChiutTzSEctu53vOPk/nd29OvxF2+nuQ7QQreZv8SDoh29CO
RfCkKbpNKCheHLJBjWjqKq+8qrxN78K7wGZW2Lrjm0XFzVMZ3kd+9lAV1cuSlpTYMUMRDlIGkIhT
GXKhqfcpSDE55Ez6XbGqzO61isxDbbB2pPlnLmCp8xDCHO1ryRpNE3o7O8ekjoj5RkKSsgLHt8u2
vyQf3UIlzJTYsPwXIRL+ULKMjLhfuHabhwUTEo8+Jmi3mo8eZjJCmpS5Dmb4FbG1OEyqIzIXuXf7
+ZbjUGAQCszdBUQZjPou9xPK9sbqj2rIu7Mno0tRcwcjMOGpQDmE64OHMXQe45Lkm2gGoJeS8KeD
hWVI3Et6zrHd9D2U5Jw1ysH3/fCA5HpYWVpUxxnzY+clL60okg2Qj6tf8gzPksbByaDC453oLz2R
sasBi1CUWbtUWhy6xCRtmo6xDrMJ/+jN36PHoB/nIU26aMx93xEyRrAxgBVQxLXA4cAVzVIc/g0y
sd8RZp7VYOdqTKfh62rifbds9Hqc0I1vVAcwgg8hrJvVOBFVWvmkXrXawKNVpBcjYnjDnxSHqpeH
2bR2FRueA0m9QH1F+4q55GNAwLLP6/nRTgrG0WHfHfL+XUaTe/RwiK2DDMZGlLT92bNvwyynLUcn
8FWjQyO4pNEXAzCnBXM/3RISQ3DVA4WefhIf7IbHnBoiBry/AWc/Gmv0m2m+Sbr2galO81TaLkvo
Tlf7dgApW8feGrmmuauL7hIttFJRG/XGbKGUzOlLN/fy5lfeH6U1J/UEYSQEYU3oKJp6JHv8RmR0
uMgi7aOgTdsa1QBPW6KbHzGOc/teA2IPiZzGXabItRY9Y5sZOYltDgDU0pZ1NR9BtiSzpPo7sIoR
WuFJN2I8tWF0sTygB2ZsP0K/HfaeE0IqSiboSOIlw8u9Kuwi2JU9wAK+XZ1NbjiLGFaG+UNAp45S
4ydeDoLFUHjs4z8dnJjLWIc/mbNL3cm5o4Y86MqFBhkvJFsTbHU5wJuEnYSPMeje4fj2p1ANLfoc
EodCwof8EgOX4T4Y1OgsfqJHFUHYooAve+Ee02sP3HsL3jhe66A7Z0q/AhBbF2lDZcd3jZmwg2ci
QOPxJ2zj4aD7iD28DRKpRSeY2608ofnCheoM7k4iVrgPZSl3PQU/VNVhwxam3rHEUZQdFGhEFwYd
4J9wb1uddRbNhAeKsrzPojUnFqTwwZBbPU6g1/JY7tgIPxsNSc09bylRYWxs57loD/E3FFpvHWa4
y0JyHlg1TOEa8pKJ58ckBTS/6XAbBmmydRrM6mbtoNI023sRkP3TctRG9shdT44sgQ/ou9sWvm18
qzV81Twl2ldd3BCfY50RkRwZ6r6sAus6GPdVdBcRvwg5cRCHqCkJKnPYR08DprcIfe/kp1iKH3HB
4oqoqSeEuCvc0QCK2fO9gXGwMuImJ0lKnRCgMPOayi2ukuqlNVqCp6fnLM/9ZeyX3QXsxWqYKt0i
OWVsTsi6/ZT0ESdEqNdTzOC+yn7aqYMKGgt7DfPiEeYukB9zj3vk2+RGhPLIDxgeqyhOjqEtv8qI
CBTTme1tksJ49sis5QQetyhUUBxF93aOuwEvBN7uBoecYn4e5u2wFzO7z2Qg8HJGU9k2ybjC/Msu
CTc+tgaruyj8wXsrid6rGn06Y9Tq0EnlHqSHNiBH/oncYobnlIR7R8YGOTB9cqh3rafGPdTO50ym
zqY3UCSVY33fzdjdBytLnrKwfhlRwBjeeOD8RqYTTqQw5FNzMksWIOwDEFWsnWX5VmFBZRVsMwTq
kbVhPo/3zeLrDuwHWBomXgUmgii6t8ZETEzlFMQyseqLKiTl6Eu/iQLBAwlsBRkdcobYAiHfAUTx
NbIifJwjghu2oyfDyhf+FHIcXhKiBlyyxLy94GQt0JMzxBJmvBWJ/9iIMt+ESKL54J5KZ4bzadQP
YCnfozJnoeN0UCoyVAYp9oBmGQATo2QfylGe/MIhyEbIT2WMX0Xc/w1kmK9HdxkyJjSGEW+KCjyM
VGV91AOZ1ypVXx5tU+qewHVwzOCuKcezFUdPgvt268ldWCEg8RKrP7RVjDC4j34wQu91FAmSRBk9
T4pdXsn7Yjat2BiSdbnSrNQ4jqhqiqgjPKf71ZiY2WqlM/GaA4Ipj5n4MGhj5wiHsBq0rzKZOW2F
e+NUWLXVGAG+XviaPguwuMKPMUIA2qqyvHcyVnfY0oyt1RPR6GnrWKAdy02gOzMXbedhXC3pguF9
sv9XMr6E9hWhNBotd3hVEcFp2RnRs0ezxKpPFeJxOrB2o590+FKwIZ95t+IbztDnQYs/2srGQ4te
99FD60OqIkJVGRUXh88rxLCQJ7Zad0ze1hWK5DgRfChuzNC4orDqk98kJoRoWbX6npldwguzxirz
7EsrUT/YLg2ry2m5TipI7wbQ7cXHP+vwp47QCqAx2WcCtU/ATYUeCVnnMBTbIoZqMS+pdi6oPO0Z
wylS5B+OyC9Mj+ZnLCjldIBJqemh17kF6pcqnbDgJNdgtq6L0q9Esx2DxF7VHm9pZlULrdn/ioFX
r0bFTiSO0CGVHeZQlGPhZuzD79pQjxGqULxDBOUsI+mAL/lJp7Ci3KRci4HXarPMaKW6koNqVg2B
yXP1VJ2xxRJw2Ay7JrNeyfXG4NajMbH4CojC7XDJoK4Rrk0cd+pcQgFIJw0s7hlZXciMQRdQtPui
QL/dJPNTGzcA+a03tzD+itz4NodLIDLUzbnycOxXJzyD+HdpDhxnZHjOKI76haAaSahnQyQIA1WM
a1lq7gbabZgLN6Pg/TScstjg29FQRgOvOKY2IXVRLYk1767jXAVbphkVunr+WDWfdoLOIoPyWzuM
ajijeZiXmjYGm4/pBI5qI74A8YnTBJCkgypyib1m7wdBeBEw0dzmPpK3WaQPTL6/krJhrGTOxDSy
sGsYa3D/gDY28Aj3Q9UeHPUAyQo1uhQYbUCNHQLdjvf5MsAWNtVczT5lnGnnMyAIexKXs4D5dq/c
nwHr86FjCdsTgYYIN2tPRgGArP/D41tB+yVyvi96VvXZVzWXb7KGNzU7IziLg5rMi0mhuHdy8e7O
xq1fFmmRwya9yo3PgUEI3wXUrHFgwvUu1CZsLY1Vf2JnZnXrwo7u57L6lII3qfL6fYn6+WBY0T6w
kYXEXVNAWi02nmOwaa6poYNmRvI9K2pCeNyFa64zpC8uSxhumnDb2aSseuxidYADpjHuzMF5L9zI
3/Vu8+P4fn2KneE2y/46OdF3wUW76dHSE/+Nj8FDvZIxoNmIuHnvcvbvyGW3Y9Szh2hZV5r9siKn
OuZZW3a1H+xxBgrIVm2Wq6gm0GszmzMinWlkhcHpVEWetfa3yikyFpqIE8Ng3U9oHYBP4sdq2Kx4
9UdvyDtjXD7GmqOpszO6/EyyUPepIGcA/zlKQZig3hkPu8EVias9dgnQxEcI8Ww+pwaSu6aODsAA
78OSO6kU1Aiu6YS7phgwbEk/49NSZ5M3egQmNZmGQKY/b4d+SOEMT69tzT82angvWWYd0jbciZDj
1f8TCzpxWUOzdSNAEcLAZVpedE+wbtkuvUU9HnK/4K8XtzzMAAD3+q5FWixbKyfT6tHWgIb6dus6
jLdmeCMbH8CLwxVxbAbuHGIng7ADtT8+xhmxHc5oLzLg7jXq4r9a+ugJUKrkXUi/yK9rjgIfhs0j
TItT2gNwsWIyFRfAwMB2PAsZlCXzcCnjDBlUgu+twO2YY8RZF09thD2URNBFxH/OrEXLJhGWx0m7
LVEwrkJybfeMR3/g6wOWZEVLp0uQBpraaEm4UelLpIyfrskQybr4LrQZ+tuhAdsNJWSN8ffLNoAL
82pEwFxsmsV7l/p/zAzDbNk89/FMDV/yb+KN0TJjE2MR7vBP2EzJ9rHq0ld3GH+bjsUKTBka9Cnp
sB8j5E18BOZzCQs8sDtyygJSIIZ+0RiOdwbIg10SciJOGMuqhuxKeGGDTUHrVimuFlglHF7a2nTZ
IaOVXxsZYbayzZDtjGDLVJHtBD6rA4MT5nyBfRcn+a3OB7HJaW8OLvnyuJWJowt1z4XOAymdJ5nY
jKshxB36ObtljCdNlrrYLeZND43ZQkTZYYqvB2mgpfMxG5JUh4CExosCr2AoteCbAxug5LyEKZeY
0vE2JHL6Vkg3Vw16oKP8i9Md37uTQffOsVlMYCXaGtpxq/70i4ksTSWOt6j+VV4ntqVNnIIj9zJD
VK9L01pHsn9v+T/7jnjOm5E51Cjvp4bavR7FHRRRKBFec3KTw8CpkEZ4ILPiOOqoOMTlpRGt2qra
9p4YwWygfDRbr4M53VuQRjiOi7EiaxV1hIVIeBOGzkuXB7+wOjFTySUxl3W41UUeiuKerKPo2yY1
gTKmhupb2vvqLQjMGjQ4086Qw9nwO2jy8AMPPu0UNsNHRFYJDqyAFEZ089ogxqVqMeW65S6MqaAi
WzHMnn2SHtsZgY4qVvTC7yLAAZl647fJ9ccPXaZ2dTY7AOdDwjmGIn7lJEAR+jxEqo2sjdwKzI0f
oYOMRfnRD+gFmt8BoDIU0e3Ulnc93oC9NRSLgrbaSrhyi0Ul2xWN8yScuN5F40SKBjh5phLQn4p8
o60lX9fqGUMrvhH6mtGGrnn9v9wHCLJCboUyNrZBPH0I9C4xGjJ4Drwh7kjZHzQX8KcjAY8FCWki
m4/9+BaPQcxuQKD4bSiruBrWfZioU72EHYMZIXCCjhGNG/Od7r5EpsDFRopAqi20+5yTTZL+9v2o
iHPpDbA3tKKuIgLY4B4xBCbkvMHs41ik6JY2diFlPY3tDLhAlnCGzMZ4AsK6z9IasqUHJlTbyR7E
71tkROIq3ZsaCvrXqnuOeGJ0rYc9rwjw0oQJpBig4vAEPgVaUiMkPNBj5AZHQzTJ0USNkAQznZRy
Tq5TBJfOYeBhd8+lNC+1JEaN8c5aT9M17sKLNQ6XrIgQLYuagV6UdQfZkqQJm07GJDCizPFICzxi
k0x3PQpWhoZDzH5mPiRLbHJJb+incoM7LESQ1576zsi22ojuRliZQ5r+wWP43CzLuryxOCcF8sV8
0ZDW+Bkx35HJq4ZnnLOL2oXdvUrsPYxV795pqQYCH3DxFJoYkF4s214r5CabJE3CUzMksAuT4K1p
4LXYPrroKPHk2tEwWJGfpXC0ODwjdUHHj5UsXMNy0Zs+mRg71tWTZzG3tjy+miH6tCKl87VKWALK
eKgqGe004QyR5QY3gg0PiPnkB9YbEWJzqybHWEfQldgHmZegIQqZp+alGZ9Q+9UHz/JeKzHtIL/d
4agMVjXDOTSk7rWMskeWCMS64tMDNoXqaK6MR9/mC1RV1nXuKli6CV2XwZskYpQmdcfPxnGya6zo
gSz0rnhlHKQW6pBvGa8gPnhS5/C+Ceq97AjFRCJFyyByqK+AwKL0WHvsQkYikOp6m8aIPzp0Pus6
xvIxxiaPBWkjumvPPmV1TcSWpDFeFY33BwLttBAH3ofZf1fE/UHhd/a1m34VY3q1Fb5Lz+ih+0FV
MJK23he4e3LmSaLunyHZAOzgaXS68BYGKrkxx8j3QcibhUJqLC0irGZnSZZxseKHizce/QcnAfEG
PIK8SHVQPk5837aYNKl006b+viw5wccu3YeJScxi23zNRCVeRaUZ48cpzQy8rKQ0mIsgfYegDG8C
xb2KfrA2Yau7qDG27qIiOSlJYSQDnigHWUpQ/DWTxwl0KktmdmCVKbeJpZ7SUHrIidy/YzVcUYNf
50rXB4T+a5/NBLpzELRlh7I1HSCZuvdGznJYM6rgF5wB5bAieB0eAyNPYCb2q4R6axMyKdr8Exjo
X1MhLAxTpIcB0YNeZjycI855jmyDLKyZ2PvUemma8zBj9pgxP65gYS18FWjZhcZBVCaaaVXYvEwI
alj5kbsQ18C1ixsNw0GR82ME6jInA6KYqjmhBv+pgHNlTM1MRQjUVDFiiwxWAoDWG8LPGMazEAyj
Xy/t3sdUQHDygTvBRtHn6alzq88pnRBd4kQhbL7aoyx+tRJ1sfsu3ZgG7TWa2A2dEYlMbXbD5o6w
zTzVilF7y/plSDRW6JTjwBEeQuaMf/VAkPYA7PSeialifbpLpPOu2MuuKHh3mBOBdZepxlIf/NJF
fdJfsffgrm4QdTvFfPC4iffE4/nAHpJ7Tk4ERPDdTZcFsG3JC9rJZ4esRhWS2DP5+lXUzg8DTtxh
QyogYh1ty2D8TTQThI3hFEbhB0Z2iQeO6fdse+vWpCIQKTy3YL4rzGwNzQq6CP71jHE6vS/+HuXg
E+9f6qq+wzjCkL0Nn1KjZetlPgcllHhHvJf9M87vnxGjIx62zyAAaBV2xqWgbNeKDmImVW/ldMC4
M0KYfD8D0ykAOefJH37aCM4y5tnlQw+9CSGsWlJ9UL1bQQdRCX2ABiy5ampX76yaooiH81aORN4p
wWadKoc8dDGcW9KJ5mJJV7b7K5v0p1y0EIkHf5Wg/kX+yW5UQkAjNo5i3+cT0+xK5p59ilH0jzv8
2Hd9BWDGyhhEemZ7FztA2mK2o5sgQLsezXRg7GbnUV7CijRTNxDP1SjZRHgp37/m6CbOD7XjA+l8
fwlAvci5+8l8IoC9kW9EO7yzlHyAp3qMDHFlpbZBI91TtlQPlU2dQ/gE509pPM/cQIKEAMN4MQ1a
LI/iJE6bTSFwSzSj/TfrK65YdeDgfTAEH2M9Rd4dw7wArAqjePe0lNb893aoc2bZY3ZrEWevdC9p
U2z0fDVFNJXcCl/QA/OfLxFmDNdJs6Ji2lpF8545gDusRN6NWtyVjQY52dSfcQdHqpennmiqvd2Y
77osU+j/rzCubmgQnhOpn/o4RXNASxHF0acB1QhKlNgxh/hw6SYYJGWkHZno13X0BOFlxi948xnF
V31PUjvxOai9OkzFuIKqbCc7PsKUlWsxeZwf3ost0GiZLnyvwkCLG2oWxYkgWNmcTjVf85W6Mb9D
Hq3d197xX6SdfoUBTaHLwGrG+hJaF8p08jHGaIfv4oWtQLJNAr4algLxat43eNU2wWDsjfwl5IlD
gzA/p5L5UDD7X0gm0+XEAs6JR6tKXkyuZr9NkRGrG+YSeoNlJW1LyqchPdkqeYqxu4FbI+cnJsTC
t8Zr19OGB5QV0Q44eb2TyXeEESEQZHdGU7e1DH6Q0RlQncVEyLvkgz3/U8ITXXOUjb7zoGSzMZzX
y/c+DRtMZ+VbH5TymLdUWGrgVpyhP9Aq4u6hEslS/wTG5y3P0pTZJ7FSNEejcK4WIdZlkx5D9Eor
qLdch9uMrV8EDGXlr8Y6IFO13UZU/HukG/cIf861F+jVRGSoXLaVzEKZUbZ9Zi8nYLwGI3YwXOeO
dHi8+DR8ZsMXrL0CCsDfk0wvVnPz0gneX2aeoJNVcn6OU4qA2p1/n4Ma3E5XRb+Qfe9ncndbDxak
uVCdO9TN2vlBA/KaseoGhaq2DHf4KWtoA6XJ/+qGSx4klHVYL8LZfhWUoquwHc5OQ0h6YCRP2jYe
KwYNteZxqyqbqBKT9bNg2lPZxW2q2bkG7o6FmDqCx31kOnUNuoGeMejPbR7cE1dLoC0RBeskfQNq
loEjYpjWWoKGxBO/sxd+EwfKgi0/R9YS7Gnv3Jj9z0BMkZFsU8KoV1bFEWzayffAKk6bxJcN35np
/FhOceun2tlU8YskFw0LIlu/NH4u3P4dyBCDMu+Vsu+5StCyl7n/ucxtGIN+655zIrwWGt+fG1QP
cp6uYcCnX5bGCpfeuz0xNw/es3z5avGMbhIivNPCBVjRk+VZeXeI0w6LHSNrsQqVxa4U+SsbCgYL
3ZIYIjC7ULq3IMQiTjLaJMprtv5UAXmT32H64ZOo6pPquue+g7hhw/yMicSljbn6xfA6DFm5/+dj
kln8ymp5GQVcIYbMO5utz6otOI2ninDlgXg4K8MFX5fNh87ygythQq4YDCl08/MFAwfiid/KTogH
8zzc92H15ovk5vveY9Hx3ZgQIeg62w+J9yrH5lBb6Ouzipkwl8KbisqNO1QnbfcX11acu1X0lXFj
bhHT/2kJ+rVGplxkjDBM4IdS+wEs6SpW9juj4Z+FIl5GNKL4V7zU/RspHiJ4oGsSJj+dntXw8glx
fQjoVX0ev6YjcC68zoXTT4ya+/PyFOHAcZYkEcMmOjXx7jo/vUXaPGAOQXvslA+KZxW6aE/sPV+Z
JDb+JhmneISCFsl5bRE2aYPGb9ujzj8ENBy3JglNB9/WVNK1FJDkfE4ignqLlPGAIsGwxVCRGvk7
XLQzaaoMpyYgghg/+1G+Maue1gSLn7okIk0h0D+ly4sYvoFDsghI6aAwWQdi3o4tX6KpNd9Hh5LH
mbHiT/GDZYllCV1xlnDBGqJ4qAPvVnX+zpDk0hrY+wQJwLrmhKp5ICq5i2CzOIT6qBaczlSflYPr
BCUeB4+Bu3My4F9YzecyD/dKNqSV4925RFEafXGkvP5bhN0pMdhHmGO1KV6mevos3pm5nMwanN6Q
8YEG4c1yLUhi8SIrniAuK4M42RalXsA4xSiak2ng7x1BZYkOmulyrGVTf676mgnJIUMx4gjzDrxb
3QRPxc72mr+e3S7CGshWleSs1QlxhsL9Mys/2Ia9d9/ghoFbOLzPLa6n2KzvWtKz0EU9F3CxC1Vf
Zu7TfMGRhII4SbGOUko7rGtkWRJ27TlcknoxttQ8ZT6h8LFtsqnwNpl+qLHTLhXaVxntSVNC5meB
KhPFwdCCqCW0Ua17hGKz7IR4mwwOOugqW5fRzcJ1TVEIKTzxxJeBb6FcYtx9R31ByhoOLHpqlhl4
8CI5Qy6l/AFQBXo17Q4Oc4VJGo+A//ZWjqMzYxjoG9kOKhB1t7w2KZhuPr2t3aU/eVG/9uwf/oOj
81hu3liD6BOhChjkLXOmRCVSG5T0S0KOgzR4eh94cZN9bUskMPOF7tNofgZP56sXTGR0e3pB66kW
oKRijgWzyn4QGUruMpzVuomqqgh/YhHdWpy8LHG6Y63RWgei3OmDd07c7q4q/5+DL5V6a9ODRMdv
/VZXXA56QI+D3tBumbDRoKIyrXNuOYes9cG+lY0O5S97SFECltxjqMQSa43w2lkU1uewVA8oWRhs
7LPVMeftIEGmVrcDc/A82PUB5cyxDIBa5IWzJC7jmgcAr+vg13cnLJ4BkBXQleM/iXN92VPvBVpG
RYBuqZ+jCpzyC/nsydR2EZDWRmKPZK/9LSLtRkjNdQAMQPgouo3ubrBAJshSXyLLexlkS/nYWdve
KF/HXH/yiLPFWuTCPSO9JLQedaMgA3Fb9GP8FsvsNqTYwYzxmJkmoIVSvbDUB0fBwh6fpXbUwU5Y
lDCDN734eXHxCfNkUILMrPL9ZJWE3/GsKbYpzpBc8Un0ZHVlitl4iRag5kYHNXCO8CWvRqv9VPb8
fRh/PD8sj9Af1xpxe3Wvdph2dpOdGkQKAilRungLR2Wf0R2iRwQT4/kHu5TGKbTMrWtm/XHIAUBC
oV1qvkQHqyfWHp/4KqBmPJZhTKwS7lSmgX/0+fIkWC4vq+TJBK9raF54nSq+TTUYPuIV1e7aJAQL
kGnz5ieb1ombOCwkFFK1bUw605VNoCYDIBp6/q+RHQ423rqg1YFo0me7DHKSeeyZdQrsSDXdK8n4
KJnkrTOaWRk698sJXiOj1eK9NseymSZIISv32WCBxPQgs5K9PV77lkfYN+7ztVCgsgGEIF54YR7S
NulnbfHBwmQpXZSKDGo8xgADu4sJt3g9XcNBf9aTwdvS+QDMlFjAI5X+izId4M0oPhBBhJukb/qN
TMZH0hnBu+ue0RKaZ7Y9i8p1rkXamYuk9PurgwfHgPh5C4uho1fUNqF+z3KXz9FvgjW38LYqaf3Y
alHbVQcVsNactNE/Dy6tPwryNVhNWCLZ60wY2NjUoqB/ollc+ZJIJg26k42HOXeQcZO/rdupXANZ
t9awzzWm9O4Xca/MybesFeN9Ynvna8lW+1BBvKzdzEI3TA7dZJcXHYVTCgJ9o8qtga/rIi+N0Y4E
HPIAlpz9uakTW0ZY6SaJWnJAUNuGgROtMQXhLlNkE4w9dE0694WmXSOzN1d+F5LDHIywHRpoWoU9
VdtrEwUPSEsjgsLvLGR7pZkDfCxPA6f8BmnYXSAYvcvQ5FpAnN5XwlmyNpCrULJAqCBJCsdPuftp
+8L8yxCuzUTc+ZkEAoV6QPfgorfTkZag/84+2UTehtIFFEN5tjREyOfKBSmTU+oZ+jLw8JdGUXeq
HDCAlHkLALeM+tKSibpbXPVQP01xB+QRaU0ZvDBtwsaMEpAAKWdnJGNJhZD+8J/bMpo50syXHPir
sczxBbM9IRU+Og/ORTOpSkKB8MoMxoAQS69Yg+/auIh9lqp81nNwOKiMrZmJtKl8o1uHcXUdMzZN
yAVvKG72fpl+pg0bOZaQh0TreDrkdM8IScBNw5mS+ms3YzdYME5eqDnFtXHtf0JmFghFG1Q/G3Ut
MJpV3Pqb2qvVU9m7aPga9to2g/oSrQfq0R/QmYeaEi0UWFwNr3krSnxDEUYoo7Y4qdurGvFZxiDm
IYnq+7LTno2x3UaGKHZNe3E5XddQ3NrlTXQPsjLgKFsexFS2WkHmf0eVUx5wbX21YUZo6AS1tOxJ
HWbFzlErH8Ixh/XY5McBYTkhHXjnyx16UR4vBd7CxH8sGaji9v5wMyZ7/PD/0CcG3LW80wo9XKj0
h8ncn8IO8kJphJjCcwz0UA3RJVRLPI5sT2yBmNNCEGcI+5dBDr5UcM9+zl6nKaEntnZ7ggfPqlO6
v9NE3VNbxoIj4cmJHJZjbLsAgvHJBGC1MTZ9t1ncreigvmwnaWG9QfZNTKJBdbRIipWLWfc/CABi
1QIMTlz+IK50ENnuuQ5Dia1jQOrf+2faRlIGVxbfg2Rp6KRRcWJLtwxAgWSmt8aTVu3ijM1bjQSR
HgFiV1BP95mAnDQoEYP4YLfFsCnMiDK4gYyLkwq6eYbMXBRHpeh6S5/Jh6VHnB0Z9ktLXd0IyUcT
kALuT529NdUcAllYqMHrS84+9QqlBqQzYgoMPhY+Wesq4phuggIS1fXfYGr7PsWA2lvzxiY1ntem
iC5mxIAdrkUPX1qg0VAA/WxkIVGEsbLotwbHUpiSlYAZnhD0ujq0itSp4GnyA5RDCRMHLLdpxn6L
WQ6o8BiliGW/5Y5W7lJylTa1+eIjjydt3fuZpkp/Gma8jEb2+hJFKkQwo/JobqYNK0+Ui0D1czKB
R6+6sLDl841NpIp5/Dp6XEmJfDiokJgngN9ugvjZaSaPoTEmdqrJt0EDaG71Q3TQgLs4ZDP2aoUN
EYkv9YTVVFQ7zdbJ2WjlTkoUQ2gvusq7lSCfQeVn746PPDWjkoLNeasV/xCMoYQ1mYRx8erOcTJB
8yZRUTQMbZ1EPFQWvk2BhvR9ooE3UhzGdaTDBknjPzXi/EYOw2dbcdcYJ1X1d9fwkHoZ3sMHI0K4
NFuG1H+UjfvZJNVVldpvljEmZPxyJats3wUM56wwWJdh5xxrq2X0hkMq0YNtmTA5q4yIoyv4ncL6
pykYGADPoE9uHWY0ZncM1y3wNcoG5FoabVNc2puMUKUNQCoaIlT/Zg3as2mzN4wBDhHp7rLpKVRV
ahxteBUr0fX2Jo7Mlz5meEcQm8c35NB8Bh23kPYhUGiAaaEKm+aO6w0NirZ02pmGhzfVKv277o9H
yAHAbCeCMEzS5HjiwR1ohFlkSHNOurLuDT2ayyWliESCEG0wOscWBHxj0/deBY2nYDXCjVRqurvH
JIqwrmViJiFsWsNsROUFXfhoJY4GftUpZ2WUFbq9gi5ob6TQk/kbfxIt1V/v2b+losEOJYtC6vAn
EkaHzUQCCwZcwDnGuI8tjewrfgmMCEi0pnZjuRhbQsfGMlCRxo2+opNRdciTslqwsB3Ho0l0J4mc
KJGq4tduqXjIk2nXdt0gHgU6vy5cNEW9C55XH8IXfCM7ZsTPfde/cuUwL48MjCZNslN4FyqCbIER
6N+4w8wVMQgIh+AbHGzprSO+Uvyzzu9Qvvi6vCcyTHd6Jn8ioxR09QgPgnmuKUGFA6UO0Y6iXiKK
Fvw80gKvIeWr5RLV6vqW8NeRkUQOFop2VnefwXB3Zrlxzx4tdIs3z8O5ZJYflsa63svQETjqCDXv
1yKvFkhySIKJf3eJXa/KDnievjB9ppVM5awFqC8aWYLje4E5oeysJVlqrAqOlnfERoJSKPNXmcqr
VZ/ROLPSYDL96+n/Y42Ytlij6jdOdRI2wuWex88Cv8g+2HtAyXmyDFhyrcW10rAVgADpreoItFI/
EyomWR/01tqESC8hbzBTyAdw22I4p4601/TxEAV+wzj+SUXzSWpE30d/IMJhfmnZp5cgTNa675oT
eI6OhLbMELZQT1ZGYAYbF5weyCMnOixQws078bWUFpwLnUXWSIzEQ2T6tPW06Mc2EDFDCHIjVGVa
pf1COLZJciFUReCAY4ceFPl3VzLGTS2eiG54pg9GFP0e9Ih9mVwKE7lJHU+IjtLnhEZ2kRvF2zhS
3+gc8SUAUIO0Lfa12beXsw3qGnPkx2IwEZfT3U6snfKR68N6+K0Zdi7yScNl7wzbyRLXKPWs24hr
C/84aZAI5rJPH+FcbAP6pzWHJ4n2V3Da0/wyrgMmsaLeZDVp1lum6/eSRc4a+Nin493NMSLn0gWn
gvKe7SsmhYXK+JByjENhILeWwbQAwRJ2RW3Rh+eYE3oRyeAWN9naNYpPjVYTCNwP6Ohi47mI+2rH
Zsj7QWYjNk4owapjrTX3+HnlYDxRGsNZzqAWV9WiFskNOgdM0OInqAfS0WawwDi+oHrl0y/lJy9S
uvVisaqVdR1l+Ne0yXcz6acyD++TUnunHN/d2L1bTWxBow6AMPOgKlsne7c+tanZvJiuu5uAoFLN
emu/pTvPLPechwBTirq7oJpf56m49SCUVyF81DUrsTVaZUGOCq8lb9XKsOx3L5nf0aBAjk1iT6Wi
cW3O8X8OS0KPo2yZ9tDkJCwQxE/JdjALl/5FfhRdvO1tTIQ1hkE57YYa1yWBJugv8V00kmQB2uZi
kdMgJkZwbLGpYpsCkubXLBYcuYflvarH+UlwOBzGSQKVmO5JhIZJUlJVeV5sGtVjHwmssxfl8JOG
K94mlEsOkbZ5fOgF9x+X1sMyG/j6Ut+7llYuc0zgjGG/HT/aCb6P6P9XwQoeVcNCrMl+EMLcuhSI
1HjJap3I94TXvJMxE0WIPzuwkQaJGLg+0uJfSal6okKeMdiAzBW+IgaVVZxdTNUwYdbbbsuj/mJI
5k6BZ8CqYDvKcNuDbLj2qrc4IlMg7tiLxcJm9AfYe9UoFvIhNs6yYr4mrWprdYDoqSvtZQ5kCZn7
dZq/UqdETcp1gmYezni6JJEBfz5ss6NZS3+JdWNfV0n1nBXGl1lCv/cSG5G5tRUprXeJfe6SI97y
vTDe2oL7JZf+Dl3EohzLjJRiKlZUiq9Jb2sHs3LPknYhGvJh20bq2dW8g2kXhLyR2cOoMcZOyMOS
amZwyvIOd2CvvnV8MsSf6SuvYs1t+8xTrKH9QMdOxYiddVOHjIoB5GltfchowZZFUh1xOEDgRK9x
LRD4EYw8HKyKrUqqnxB78OczTp3Knx0HOXtTFij81oTMaqqo4JKETAFg3yIHidepaOmWWfuvYPjd
kSiaywjc4eiUQK6ZnzC8lmC/A54Umx2p5jsSFZr1W8RkYGsxMFJLODGeIPFCJBhw0pz5R5ReONy3
bBOe/ZQjX1W5uXYTlpKpZdOMcNPgZaINKGGuU3nG35EFsCYwwWRFh77nDcjG9DkqgggQZ7caNG0f
6W2ysbTo1wEyvQ1driZTC8540H5EhQ470puXOAxJgPeTF91Tf2YMz7NBn7xKeizTI+BzrfWHteIM
W9Qa/YVuscSE1iCrHIcRdrXJsi+EY8Mts4cLvA6emErTduyyjxJbwNJsSrHMAl6wctwXNhc1E9/n
ghS/tZM6lNaEFJT5ZK7LwRtX0CDRC3Yk/7VlCcJ2utX9YG78tAuQAbPKLhrodS0m1sq4uJKkCkLo
EjfWNwhlPiCPzUQ0BzlNpXaVmJpDO7F+3Q+V3/1wmrXFiylRFQ1++tYx8wzT+sD8uCqplw1icFjC
hMbazqbngjpjz6Dd27Kj2kyKKaKphn1PLqxAEpqnCDOCMEEsls2bIS6cJebJVyv30C74Md9wiRKI
jMduJHSaufoSlvZbJhlfYJYJrxhxusVnEXtf1aC6bTwH9hriM7QZz5rGjKCyYcM6Ea8v2bAA7hxG
knjjHWMlq2lf+HCPepf/H9QzyhrbPGteCYcqRnMN1eTmd/5HJly0e0HE4omwTEaL6XLSm78yHbVL
lk6bMjbBzLv6i0/YFiFdborw6rsmJwWWyF52sOaygPixYuiXWaUTElOtWxNq0Cin99CcvXoxTgo+
Er1he69CA/BUCyGNQT3bTudZKXzViCKbRPvMo/kUcoHwWVH8TVA5AuoYR4nQi3ZVAz4VOCldNFXb
kivR9IJzH+CUkKmyUZTHAkfT8O0Ok741dKb+GhZE1leHGDxgo3/9Hx+Osh0GUwNl22xTjpjIYY4M
MpQejoQer0BSxrG6LMBvIkmh4zNyPjG0IAQnoLJKrWLL79HOFEFssDXyzRoSVWUakgg2kLKt0YkN
jY210XvjSDb4tFXsGGKSesDOHa0A/U7QV8/dIA5tJr5ZaUKHsVKB+cJajUPuL6pEvPBhp6xATBTu
lfHs52VwVK5zJnp204T9Cc7gEzlSybbrzAdv57semBVoMAh0cUWt6tBzyon3MY38bAXba197lb5z
O/VUW7m17Dvb3kbmvoCPvPCBgL0jHLx4KXkZRmQlZ+MPvd66qt1x24Fo9Me+XiRK7geRfEATY0YQ
4sGFXvfmD0a7yTA6wYW8jmQSYeSjCJoXG2yvSkzeLtMalr5Dr1M4eXBoZSfKTVYyr85dVgM6frY1
3xUlrT2iydGJbPTsI9D/1QCHuGGSt+3BVDLD888tuoTGYssAlQzq6qBW2DKxaLu6WA09Jb2FissH
CzPlg7Mrh/YmMWTwLZY4M0Skr3VjWxo5CqeSdwt1E7KruAmuhFF/uj06UccIbgzXcSvqHDoyo8DD
z0w+IUSeOWlay3XSwb2N7PlwRxYak3avhP5oTSQ6ZHP+/5fZzjkMQQaZFU+tXKu+ZGKcosdoISda
TJ53TfPoeqEdSuYMVlvvhO2mS1t01T6V8kxwN2eh0+7zTr3JtJmfY8NbQuWHnlTkf0wseTiYnPsY
1lFAUWRl+guHzL6vD22aBU/m9KuX8dFtIFYPRuHyuej5amYlNzmNsw7to0nHcSPEIZyK7wyZB0Ae
flZDjjqSkZXeeMEGeUO3InA5BGdJ0aQKm1so3wngXKxlYtalPUlpgXJuYaPeqle6UfuN5Slvg7UQ
SczR7Q3+qUOAffr/v8X9SIOaER86/3Hdy80eeLPjn+z537jhucGp00IVoT1EVfPAIdy2MUhCsMIt
hR3MhKHDOpeJB5fxM3756pbURAL3xSVG8Dh3sh25Vc1HwbAK6W+cHwTWuXuPTq/x0rs2uulRtQGa
PZfwRzNVHl4Y+4b8aJP204vASblrfM+9iWJ47mjMHi5RTevCDsYdYjABFcjlMM20Mwr5p8SQ9Wvk
l4TOtFGA8or9cRRC3fIM+V1X6qfvrddqFMZzjLjpKTbKr8ahVY/J4Vi6Hmt1v9WWLjFvtCgjWL0k
oCxGLCERWJ+Q9CdOqi6wzWBIe8XWZOt7TfKG9yWB7B8w+OwiOu1WpCvZyDkdzli31MyHLkiPhsDw
V1rsoco5GKTAEIwj3zjVSp6wDN3xkPoLtpr61YkCycT3lqqwOvXhgNpS/VRoxPGb8dKm3oHgTPvk
YdXlaiaeYSxabzOmExPSaGDQiyODeSZhhbQjVJxh24f7RCSShnTSbi1sFc9mR4DI7+Tlk7EiWr1Z
saLaMGsIj0ZXvwm/pn9prXunjVy0dJeg5vz4WmhGcKiUFW+U33SnnsKKxob1RtjE3/6sq3RNtMGj
Q+WBFQ3Fv+u/sOSPF470spXDVE3JbDoz9Dy0Lnd4hiKUZhm7T+dbCPLhynqZf6eGybZNyrpcz+C1
48BILrUgXUGSPhnUioG5omOLzPBkBbrHw2LfTEkQZVQHe0bnzqwVSzYFszwW+OxI25A2wDI2bmGu
R9lJfjmwiGFWR/tA1yCsjFyd3DUr5oo9qXIXo3ZWgwH0nm/hMLTeDSUsDaFQG1wSp7iozyPStw6g
qB1oF3h4Dn8pA6WpmVOEZ9hf6AuQxD2u18TeNyEjvZESc1v7yPVAopAl1q7ziGjkqNtY8cgmpEme
vJyw8dyigiYciYbaoPnUWIwmDKQK9K+0DEJuveSzRKrFgiAlXkCHBp1xgAMxms1pGabKSV+JiNvL
UVm7K6GXhPVZKwVz6aR6Ys9uLJtUPVJq/xWnfoOr1ViLyjP3LC0HPP+CBbge/2syDnH0Du/92lH+
tPUlJhyQPNEyHZFDx6VLDAwY6M42Vh0JIgfdcJ6k7ohVGRdk4ch7j4G8/T/vU94i9Je7pNC+SlXe
hD6SwzaVf2N50Anpor/E2wVan2Sr+X815CabZILyyZ2rFGYawwcDADCnVdhv9IRdeGjFhBlk2jND
b2WUu1Fa/zT89fMHdSOJDOf7UF+YJFkLtwVVHkhutKhgASGqW9fmDfQZc98DhkwDv6WukFvXJ8Eq
FlTTSDMGu/ybnzenG0h5wShgeXGxtcqWEbIY0qXoa1LFxUHUxascsnwXNMR5OsMx8Akx7+xp9xV5
/O4TUdxjPssFMauv8xAnZOi9l/NqE8teuXJTDQvugCu2Q14B86Xw6D371l/JHEZCm7Hzb339njZs
H8vPGoQFnGZHrazSfEJlD3VgyAiUKMu3Mc8QXmqoLkIInz56I7u2PnrTe+lxEuABOpsd7bWo1R/y
mXKJXsQybTBU/RycPLj/yh5ZRQoGGcH5P8vjYUI7hEe29N61W+57P7rlDVtuobNpRpfCMrRd0AXv
Jaf6prS+Ew8btdPp1Soq259udHjbolTnqVwJx6DblGDf0F/3JGS4K7fvvolZc7ZdFV7IChA7QyRf
Lim4haX7LyjASzLcsfrtyAdOVnbtPsbsEhTin5YCT0cSvhxM8znX/ZU+fx4J7ma8+0W6bgJ3M8bJ
vnMTMrD72jygrzgEvsp2loGPZKzNM98Y/sFptovJYRd5sl/GOSFyuXkhIFJsm0xtIpcP16KLVkwu
kZ5OP54NrD3LaPfDczfRgQpb/SVt2+/Qf/9T8k4c4auc3320vgwCnOpdTdEXI5YXNIlHcJIG1bXx
pMQ7R8KXz2Rr2ZHu19TJTzpFHwUAQ7LnzlgpyWVD6OJhVpv/5NgE9x7kbO87YqMlNiDtZtrrbs63
ELA7lnIxf0tzwF9CdtDBn9S2YhGwSjh48dK18PpQaQmG7nFgv4cD5karFbvKzbELMn2yB++S9tzF
fj9+WgZoc2UrPI1uvg6L+BBVSA9yMEL1b6rLq1Zj92ekhQe7zHycMfGmqtunAcGHDHFPahM+fQOl
PyOB567rb5FihFNF7s6dShzIroeHDievJAls0drWv7iS/cLN/DNOg6OdXbhMGOOGfb+GDLacbfyd
2SAS+/HM/q02I+zaLiOD1D8krnZo2o7IAMP+GkMK49StSWAM9vNnlmK/Wzv1eZoLUsrlp8kcMKfA
lTd7++hAUYiIdpyFiWIV6DmK7EIu0wEIwwgc2Tbb21gVBLwRU22F+U8tSPSj5DnhS/kZNI/2daBu
cvvsTaLaIliEgAbpf9d1dW1dYx1RFI5JyAleWEhTwy/LE+NWSfxduvbbmuEz7eJ3EfZvPSBE66kK
6yezNcd5WcBWi5eCmi6BINLk3+GEyrXvT/rsfZXoYX2jPYk0AICYhx++9OSy4ucV+C8XRCy9N5OT
ANbxvvIhpspJPwNMx2affzYNDLSY4nHsKLTH5x4VYdGhqCcoKMHUGe3bgEiIKdYvo0fImDl8o7rI
b3rFhaGJR4Y74loFKPmMafppaMrnwxdHce4edQtcOnsI6pxK4lAgzrhBIB4UsY/V0E32YfmAaAnE
FF6Y6WsXQ/X7RKXPLR8sX+mhMSpr28nunmjzCme6KT/XV0MHfhj4z1OnkgtA6PfMnZhQRgYh684y
6vzo5KpunxXZc2ii8mW6yBqGPnwM/gV+7OHcaHjW69voWubeUmKCufJXYe1CLzuGO0uqZ5MMgEWf
DHeyotUWXDxJQeRmpiB7ZN0/SV98CpF+Jy7ckdwBkBTNiROESaceyzQf2XHAmOHg/SOg+Nor7ZJj
/q5if+fBP1uKUv6Baf2kDfdT59OJa2xVEy8+TB7lveOJfvWMeuk37ptBIR1G4k5xSamYB3sORwBo
XXkwkuSapN3rULEW8uKp2/rJ3RnD32bKbiwQD3U3WKtY16ot+B5gcVp9ZhpAwzZGmOXmXMwgKx7S
9H/hxl5tJ0Ztb9ofjF5O7O2mlSX8CynXD2nVBwLDYPQOGODq7NLN4UpEvlB1NN2lnu0i4Ky3+eRe
DcIMiLNDPHMbrPSnk0x54+yk12f+bth32qGc2QUluOvxjVzSv6znleFsZi4R7EMo+fzL5lWW4Abi
7laix11EVSRIQA92rcHQxrZACwoNBK9jO+1uag0AIWGBLcj4bvNaX/GwzD1oQHJVjEaCrWJXihwL
dNcs/Ia1efo6Ffnn2PHQopR6bQrjxY21Tcmgx0QIvJSiv9mh2RMgitl89L4iBVMkyceTsiKoEfPm
2Xb9daE0HDFW8QdoO9uSZsT4G7H6ApIi0jxTMVIPvF/SwbArs1yfRYBLgpY+yuBtCIYPaLAgaIs3
nFuXPJOfXYwiE1EUFU/+5mZ9cNBS+54zZGF5Iir8lHPGEyYCcMWLeGw34Gff4HFvekfC3AjOTP/R
BCSs0ixgat54nxCr7uo8/gvng51nt4pYrYu6foSEuLB1m4ibYsyLW387sgpjZoxvpNE+tRoLYKGw
gMc6MRlFTqXMNxejeusKfNCVOe7iOHhEaqmGyXsVfm6u5tEX2gQqz7qPKXjDJpizJRRlIPl8loex
etT6VYmOXavbhwZdbd0BIrNFzQw0JDagcXch023TUwdDON3GwU6pUmb6BcClA4KY38lZCVlKSqfk
VbPmTVeJmoN2oBhruYmDXdSM+aFR+zyysGMC9TcTRB9uzU4uor/JUIxhFjIZ2KF7MQT21sFiC20a
pDA7NTT65DRICHdGysDbFPidqS1YXRhPDSp2fp7qzzV8Fka+SfzsJK61g8Jc17j9wV4v2HdwDRj1
b7Sp8Iz2dpStA4+RSTLFa6y/PE8ZyqQCu1nTTQbCnGoDN3xdRdP7BGdF814au0s2vuv/GzHc5B01
nYL8VWjaO4CDI6uupzrY6CW7IR95NwHC/UEYg3MI7II4pqhVBxPVR06Wq6j4dMbGi7Zp631CC7UX
rMd3UdB++yAwaeezFwmvelG73smMjLtfdCM5wOS4O321KScQNgqJvRLoOPUeLiYdAWFqzcIAfg7Z
GTUqVuMViRnspe1xrXMD+wVKGf1UZC0PqWfDts7ZrEbDdapx1fU9iyKryP75TBgBH1FOosNLRPyS
5Xh/Q2xqXmO/kqZyiQSzBJ4phBZY74to2sUjHke83y8D/hLQLOoGISGlSWiYQCfxKemE2Jle+xrH
RDMWrDQ4o61ZNsWR5eZwtIOR+AJFte+P4TotS6jbQ3n0mS4jpoM1YfzemI2/FkP5owrCxyAonp3Q
YmcJ4tCeTLmWAfe8CSGTLK9oZXXml66nN85ioEjBc4jAIgVak0bGB6v4w0CKn2GGmHmV+26F4y6d
jy0tYkLOl+TbLAEkTitb1XfPnMgWlg5otZbsAoT+v55vfeoWsezdJRne5KSLpQVlLfHVTY/UgaBj
czE0WOJsce1yyG3OQCeTGejag+yWWmm17WaU3K/tDi/M+ixC9PqNMY3dARiDi/etXzBaPHtO9GtO
0yGvGQVg6NuMJd1JG+sfkzy6HLpLd2iu04gozyjiCwv1P74BCjDI2lgsL5mWAKV1HhpjMF6eNfMG
tclMZPYi7i5ImSmT/Gidi+bV7bRwNSDhWxo+JB9k9XB9DomBg43k1ZNvVyeLswCdqk7v1D81aXwz
8QPT5bzqrr2XI2Mm4FwLAct9QqQOjzv9DcPxdTIqyBvOJnLUgYIMK7pL71+6O6wvhFZg0d2Gjvpz
EV1AthkeQWWgYtK5OwfFy1P7K97Te0hqcDVOX4mDXD4JUU1q/dyNRcfO6/KV29EPdY34ZlbCa9FT
SbvD96BF7+0anC5n0ZCwH89fh8b86Sr/xujhYGr8dmULXJHlwQ+yPVMAUFH9tIKYVbMSJrqybo5u
z0ZVeO98Xj9TKvcjpz0bjRMo3beyoxeeQ5Ykgj6AQwBR6QSlK56sTj+4efcD9fZVj/r3hLAIzAXh
HuQk3z44t6jfdSk/rt+kF7YQpbwkjb4prIiHYPa/6ew89cL7UIW35rt+jqZaR4vVv/pRg5naIAE7
cHDnVpZzYZX0Ig0PZCIhwZ3ufyBdNJjj51Bo03WdATsLkmPUpmcb0Itn+9MOfjychtScuRI70cI2
6KYi2af9r+k2w8aox8MoIkxDHLFztlVJ6cVNGbmnuaptFWyNURUIgOYJnmNvCy/p1rT2WNiT75C9
GHCGqdjhBrgERnhCbH+HrPWUJOxf/coK+OSRPTMnQLOxgLt/dRGC27r/j5ScM55GjoUo+8sMJMDB
v5EsIKon3EWoOFvKnWpIPxLB05oMf2UDd4ml+q5T7d9k5KfSYXBtsz0ycLQQh4U/3NYD1igJD3yC
XSqz+PsYpkLRbBXMag3SRD3krR2d4xTg7Mn09FcNclvHIZ2v+opYZrKzQM3nOzvP41vzyvIQAU8m
kuKUN/9bY6ZHNDUZLAX1HFbFEeoFJUduv2JVUGbDDojQFGJlMdKxNHK0+scWzwJ18slxvU/SJ28q
5TSD84VdgG2eH0KxbnZaWf0rKaqhuh3x3353GW2WFX9MkTjyiJIENaxIFGU3TRpdiehCjngXTZSV
+ogN2eJo0H8j/aEXNkRWKV4MKnIalsgiP4lJZsG4iH5aBfyjmvpgKxzqevEc2oiXxnoXMfxcZmW1
LwqelyIcn0iu+LDiL0UPhmlwX3B71Hl6qlnBRvysJpvfjV21l4GzTdVohfJbSPUOgCPm1cSp5yE2
gXFy4uRD213O3lupbo7g5wGA10mc7q3QOLCDZqlY4aFgG1L0jf9/AV3Hm+a1Yj3pBNF0NFaaqDhc
cwAJffChMuANAzFbyEw6felFb76fiV2e3YSZMay2ycRaagCvafsRQbc5IDxcwYBbJQtaFMd0CQUh
Q1aqPethDMOH2X5HKwp0gVjtujApFKAP8LHcusB/5UBztiNXF5qpfDkN1a9jt3/B/5IxlBKaMAuM
5vBTQP2igYu0HdqhRwoakanYf+ydyXLkSNadX6Wt10ILcMABh0ytBWPmEMGZmdzAGEwS8zzj6fV5
5ELVVbK/THstOq0rk0MEAnC/fu853zlkAyd0JLPaiYFkncq7nJ5Y7hAuFs4nYXFbZ8RPT3wnbhK/
WrtOALQIDocX1/HOSrLnqcWp6WugB90yRnzju2Ms0Qbg1BdeOpqWYrmmLgiq+VaAqu4tTrW+j2mS
BNJTMgChAAfuVcguAsAZ/WxSi3tp8+Qa0DmDyXxGeQHgyO6xSpM1UOfVCEILFokbeZ+CFDwkpM6b
IZECBqFnbwbDYXgn5vmmIJE+8E0HmizRKXHJDmiEydnuSbAXXfNolYpOWgcsdM6lSSxU22yKLkZ8
mUKMzcH+raEAcbQWD4s57wcvJQ0y5JVzLTu7+uHUzFIqxwAGXuewDBbcqmX04jkePi49mVEzqAoQ
Eq6BlV68J54fsK2OKzsBeEFlCEO0wlSFidQOQaYwKufAo2B9+vgf/eW2M511VwR3VhO+9YNz549I
gNspvg36AtUu565msF+6EfkI/dZTPkrQNHDLjfDnMOd0AIqXPELvRdQCB9SKfB4mTC+mSft/kpDW
PAGAHv/wEPXoqUgj90W8QsoKi9w1sF5FbCTqSzlqL9iARj8imsWY0p07PZlJdNMMjE8Yri1ypDnK
XtAut3VAjVOZ0PPG8QUx8j1imtcFsOUq7Yw3P6K0pkrEBCib25lPpUC/7Qt3TwDqxvL6V4+mVNsZ
h2bxraM5F4eMNpEbIduw4AfeTh6Dg7m1n9IEYaUpi5feqh8qEC4kHYPC5hm1lfFMIiSbd4jCh5uX
qV8qbqOYU5B516/hcJ/YZXOgrWPBh1lwPwmLJ7xi7/EX4yuW5F7HFeD45UduJI/4L2tUeMAexXjA
uL6t4XdUxGkOdvNuevG7PWV3lBRXnn/jNrCEBnBmhHYYHubhzHbumwL5hIP3sLKglsrAP6vmRCOQ
3qxEohMnNbl9DcgcdNzWEXnLI2yXQ2xxAmLi2ZbyJx4kpANYASCAvzQoFvCRx98l/S72Fl3qocat
rc9ZsZEl3DBKD/2H1MYieyZB5Wap8gMNrEcHrEkmIn+TjcYzqJ5fhTGTugRdYGx4POv2XC0kcS+K
HSUon9uGPPnJMp6VHr3WiHQVeLDBb4+LiWEiFSzznWippZLhRdjlya07esgOwedivh9N8ZXQ1Lru
gjeiUeodjAMWiTjfw7l1N5Mb7dMwQlZYBa94+b8acH6C1BhpEL5aB3tDGM9ZeY0sGSBLamo+KhmU
ji+IFQYiLatznXvsI8TMz0RULjPz0Cg6hKl1pwG3Rn7yepIlyzyCKsuezWzFhccObMNmAlBIcOhI
X60pPiWW1i/gIBl6924wo8cgSO4woVhMeaJHjpozHBaDnanswNJ3GJh8MEcD4U15LA+wOeSVhSaj
mcZ0P3nbfHB/VsNQ7gJFBm5Zn9BcQVLxjBtwooCysUFAMiZriF/toEmtWna9dgiPVINkW/Y3Xed/
tF1+XxLCfBUh6IzcHOZGiWDaWlOzHg2MZl5V3hgDecdBRDr33N8TUnnK7OvSws1XmMnXyLvz4gaR
XYdDsfKe8DTfGc3ZabQ70hhDcHLpyY69lzq4Y+ICC3RZMLgEHxni86mwSYASpNkZyNnqgc5mXEHa
6b0vt18IR2zfgSXc+lp5KghNF0xkLRV227lajnJyafCgYybovtv1NO7o3pbuNo+N12YACDaktCDY
ku3E+8Egi4QFvzqPcf0+m/TaigxsdGsn3+DnXjoFRo7MHLbTBPQ45uIwxmCJDp0SOULLavrweInC
oIneRbSuqnirWnp0VHhQKKV5U0/VgWZRveVXH0yJOlaONSvNcApn1expXpJS5ORyO2bTwUBmfGV2
mu0fHt1RDuvcj15smxO+a8ILLTjI5a2NOTqFuKYzpmRqr6ZEHj0T5lBSUFPG8NYv3vQYHunopi9t
UH0leIbRX49vVKnQgbz4Tbrm62xNr8g0fqRhsSabAHyFTWBunyPzFYl509bZdTEF625WtNQ06wst
CcerDq1oasfwSHrEAqT64ZQ/J7SwcA41p1gw1ZyAZkUVo4pqrK/SanlweQbXvgcAYlHGl5oRrcEh
def4m3CmB5P2x0q4YX3DtnBTJg7GZ+ODVHeKIgRdKul2frxgrbLRn1j4kH2XcnVgZ49hOT3jcd/U
koT2lu4uMYY3ofAOwGzyZSbGtRD3YZnaxOnOTyYZo4FTHPKa/Qvb8ygn3pCVEuEVkpFL/gahxYi7
Y3Ei6xJXBknGTBLDTxDpD4AxEaqcM1IcDEUbryljgtriMwlov7APcUHm8ZefjjdLV+4MbRDpZfRr
zPM9oBBSxAG9Z98qNeRB5UruyCzpORUTf4G3/SrgfrGR/LBLEhARwMOldyR/VLSnN3IE8D5O16nV
D1s4FN6uZdSZhgzy27Hfe4X3iHkr1ScOVMWTuyFBj+H5Qt4DLIJ5y8GoYpQ3oOjeKJLQNixwY0yb
pK0cfyWrcT/ko3Odx0Cm/CLeZ466J/wReWbPaaKVV0NzOR2gd/ET0keN3EVEXUnQeOOpS+Xnoies
U/eDRGsH4iv9NrukA1KYzOAgZ7IQA6RlUrAvJZB7BZUHlsJdB9GPDRl7D7HWHlw9sGJvqN38W+1R
agmv390K+tX4uIh1qKR18pCOBXHaHFEp5YWpdqAu76hHQPdON2NifzVyvAca8yp6/3mAOBwJnORR
TLvAN/I1BvJ41TUTRgwPNYoG9gD+3WJ8Wa4EAS44qZA1XCyan0FSvxuIwPoMxXWEpRWa0cHMTEGQ
Q7wZY7yXgH+n1VAzwaQNEbitBj4Gy3Wni7qpXz58WjRrUXvX6KCfDQ8LpuqQpg/JHn+OT1V9rUCZ
38yumewRdV/H5ACuBhUAfJbefYBl7ilqWGXstPpqhDVslx4c8Yj5SanuRrgYLy0mkPoChqqkEfKz
T+t11WNx90dtIlf9ram9zkrRLzA2vXALolQIzSNi8SEM0ivHf/Ea/MWthb0/9VJaZjzl3FY9BGSE
F/d+Wt1rftFVomqfg71LV613vsFG3TrlWGGfdcFlvZqlVWw9lz6UB4VJcfYPdFuAUUe1R2t9SJFh
VuUXmonPzInBcqszslhvXVaCujkGM2UrdajIJtzMRXKP+mAvbPgiLqwgVKfZlhgeKANwFtN2zznI
vBkycUOBy5llqe+CJbkb6vFHMy+3jWedrKkCB9ZWJFV4xb0kKU6U+AiGKkVakp04i2NyIa+2iXE+
wUKprTzbTcyleycg0ILAF61NCfYcnxGUX9kkSq96J51PoA2NXTcvdO1HsUEs6+7zzj8mQu1Cxkm+
zE+CFaZU7NDmhOoUke9+5vSat2W2mWSyk6l6DZgtkQjy02O5ZxKH1imACd41qM6VXb9YoryvRoKT
IIPfZdYYERBOJSQRvkxmfbKX5FBzgeLOAJobE7xkwVv2JRef/PSMk3VMAiIKO+6fWjfL67WnkyDc
kuO6P6evfpo9JIpDFwNle1UTCwUDkbwxu72bjeLRSR6pG9eWm0XsV6SwSIw6Bk7tLRnsxRp0bV4a
p0YgnLOKARqvRdnusDHNbfK+EC2+KctpX5Yyw5AY0b6ywife9cKQu3+efPNgU5YxPmfWmcO0TIVq
UI/Nt0gziTJyiYIKFw6xEySlrW2MaKdJJLFF9gK2SDPPwqexT/KXkd4whfZtMGf+NbKs/ik0BdGf
FbgNtip3U9nIBo08eYIq0YNLZBPNQ8ZiTM/AGC03wwJ+nbH+lhE5njXLCF97Qn0x+YC5iCPa7KRB
ITVINAZmROgZLIKaoiNK2ZVQEZj+8q1b2ec/ELihN0nBmNDlPy1Nde+UQb2tG6PYz7KN3jmpwcW4
5zGB30DjoEY+uh58zpG+ZxKTN870CztU86IijBcG0KMrp/wRg9yhjI2N9hfsuwIqoH5oWr8zt54l
u/s4ueVQA/6TKU1m1z+IlEFGVNNHTmuP0rHZuIW8ne2qW0UV77oa3V2C4t/LtoaF862OxtfacZ86
1RJGGYFlSoy35Jj08NCEPsBEaf4epDz0I9hy7AwYUhMOMaFAKaRgKSnVb/OJEAyrdfGNE2KBYlz2
u+4R1soxrzj+tFSHe13JF358M4UrVdH+QKcoqMhL2Piy6NeG+cOa0ABwWmh3Yz9hJ9O+I7qKt04O
GAWZP1URu69hOuDUACFNdGiRk+DQVfFaEA/NJCt8tGL0oZB16YyG4Q2OrewGFRsyZUk7yOn8k/7f
UDLv5dgBJ9ppqaKgGlYth/WpmKDXhPYJput9jMGYnD6/udLzHkSxMeFN8pke1rQNltveC7pT65mf
yEexZdLBuLaoZekjYqdOTIceMZiTdEzg0sdMeBVLMnKTalfUDframvrbpFq1PWZbnRp2zoJhxbNA
g8aQsEcTqP4El4vpQXYwl/YUF9qHbLGGxZiDim6JWaLNh6SeXvJF5ZxiwN4V50ikyS5ADLBLh5yL
0ILRib3gtmZ2HmpZq/bh9JX9wzCTXfEdKZZLhxF/hfzXwbWC4+AhMxXhkTI/s2aQAofV1S9wIzrm
12QasEw46U1NzCXFi9tgONWIpgNNnasqV/cc0GEWAfVHx0f52/s1NZEkbsQu0qtGchBXWQyRClF8
TW8jCMpTbdEn4hmG6TE/ITGKuXnTmzAj6WlmeazUeN/GEMZEweTYpcc4MGeuE9qOlIj3uVdJNI8g
D418eqxzDHoL1FaDqDQ2yaBeiTt4WcU2MenNN1F5j77vjCSUeitxP0yZvY3qee5zSe8KA4ZTjB8G
D/18tVQe6vuc6NHUxTRgpzEDdkDnoXU2HJhMSrYmImU0XUXszdeLCXm99s4cfV/Coc+3dKxR89Gd
ieIfAw3qRL0nBV2DLMxPsxVt5xANv9lJPnsEy+ueuTgGIgQc/gIqbfoRtw8Wcb6lg5wgrHcciPBr
ps772AM6kxMo/fBtkZA6KBSxvrrMHqE0H0zlfgCuEAcgpX0Eoa2GeyQc2iyAbG9mM/4x9eVbmFT2
oUHElCMzzI1xOjo8WOxEERHvNavp+MNoqN8iZe/GOkhWEfEKNDIww7Dq2+BoTtgQQjoIH1N99NLg
PC3yvevbDTG34soK+SrX1yOMpL+Lq2mfR4EP2qL94TkjkbFL8BVF1/iiuR9igMKe376KkHLZpoZC
t/fiVe11VvP4RHW2n0OXoqkwjV31YMrI2OWp+9lbj2bI6+EJYr6UAVBe8ncbNlhizxo/8hlvHSuF
5413oiUWcVv6hGelLa/MmBJtgxrvWvSwYDb4L3oNOWQWd2WhsUfKDZ4VK9eaJgwe6KD6xBGFGpp1
bkKNe2WW0l4ngFd8DEUi6pDtQ8nq5+JUV/IkBDPUSJ7Cumcs7o9PDFUh7iTwf+HtXbOUkz2iRiDn
HdKkXoXfsYsMgpbHVTh23EYZbtWwpmRr0/qq1qgoFZXMo9RwP6Xt5xBgknH6H47LgWBMaJX6d9h9
tV98ule8XVGaP5xckBhijE9u5G/h4J3RJw7XUYjcxZrPCScH1jhzOSTabe4q5lNUnH4b3JnSu7MD
UtGKQGz5HlbE7JPDHgJ4KEV2NDGq9dYKNlNFYOkKmynfz1klw30b5OgYk6qztsFgnMtYaIBKweTU
A5zYszSnkqe2X4N1XiQeV7+8rgAeUxIAz5hpFM6bxmCMkZaPkTgEGDWN+EcbuT9b9QnNKuH44UXu
9+hOt5yG8Wrb0Uvrv1+K10xTp1CgmpPxyWKzFa44NV2xby04kGaSPmbx8FQvaD2TUcBvyYsDb3c1
cHYnMOnWD3MUnbpOltL4yofoIPPppVgMkDN04YrO/ebJjHZ2ZT16xjcWZBjGifUrh+mOsunRwKyP
R0ei9hTu1hUj/RjwXVhYKYkNf2s0KDwdPYxBteVmUHfifN2ibQRxgVurfaXpmzPWfSFEaDHst7CE
sYNAGF9sJR5LGrmw6p8Na2ebWaOLSByYUV5fL/ZwR2YBbUmHWzBeIDXI6dSHj1Tqzoaz1YJqPFzN
RUmRkmGlj5FUdku4gSEX4td+EHRMgHkW3W5qSaDGff+6WMUvDy7JKVdLvK4GHenRl8hsHLpCqZdF
W7FUai3N5kbONOMXo3rPPPcVktJLM6LEh04BA3uXJv5rQoLPPeKT/Aq7lXuysyx9qKv6bC6YcfGw
VUePeeAwsqI6UWKtsUK+hGmZ/vSTz2D+dBzbPHLevk0GYWHg46Qxd/Z7VDUsnkHRrYolO2UefBnW
ZOinPh0xJlOa3OZjw2mfUGEOD0WukRqp09+5hePvR9OiE9NhISabGsw6sTZ0wssDWmosOiV2+cWO
Zg3kenQsj4ziBCKTMSv3ht37Jpmum9Sst0tqNMekch6aFI2fp5CV9VG5ERAeVnBnpd4OOL7j3/q2
I1y9KWX9beuM17VhdB+m3XsUKY3gAZ2dTWFONmGfXrgZciKPehIf12UkmSUykdgZuPo2aZPfZRmb
umS0qDA5IkIkZW8e1oGY+++yHE6p8MFrht6dVzUAysGXWjjf5jdftT3JQPF43buZs8lMW11blSTV
KMAWNKafjTBgaSa9SeOc727Le2/8SQVxrhFl7q1B71vlShYDpFyUTmhuGIHSFBnqaWRlW1pS5Wkk
uIv8MplsysDhTIK4PbQFctLoGgsA2vApZOV+HkseOU1etNKUWXgusCGl7XpkMtYKLluc2y6AgGzv
Mu17JOrpIS4Hvgsuzujv7M4gTzXKca1gyuwG/qtnKXUT+IIjI7U1MRWjj8iQNG+C1/Lr0cNv6IoB
ncGpQcl0NUkTV7eP06Fy7A39tgOQAyjX9yIQxEUWwJ2kFZ5i9sureTL2hZO81LlxzvB/MLbHux53
QN0bPOhbWF/7yQWmUxjMp2erO5StwKvTQ3puLGcn7QL74cyHGQfJ1gqDEz6q5MCvdfDE+35Fwguh
BnMAG7fPtoLQyw3uOE6WLaQKspWeJhvXPSOw3sPLHWnZRgGcGB5aaduPrY3LFyBfCQVA5tU5XpA9
hYvD+ad6GUkScQI6XY3aSCIjQ+OGc8UBpfdHmkMd8fNH5mzpyEPkRfm4jmtrNc/pr3nw7pCzems7
eOphK6xDr7nNAWddiX5Wm7yKDx7ZCaQ6AFX1vOxQ1BDN2ZfFtp8A45sxigqzOIrA8NDy4paMFJRA
lIdVwiYFfDjaZXn2lkqDMLJVlFacrog3WYkJn8sMvQW9ArLzak0o3LerfVOW/DlPM9jOhcovE4Bg
HO8N7Pm5jXOF5if+SRxCWrKAEh20Jv3Fvs380KL8Mj4CQnyNGVLS6Ay/3I72lKGSdeaI9gGmy4Mi
drcHPHrPSgApLgXPwHFpTYzBp2Wa21QUSK/E8FxO8DGi1tyie4E7nE1kv5rLmwdwqbQZSFuLhG7V
2/BTEvNqHB0MdBZr7jTeXLKq/39otyS3+r//r//5Of2P8Ktcf3Qf/yCcO+7m40f+9e9/rj7O5T9e
v5pfX+RyX/7+8Ovf/9Tf8zul2xDiX67retJ3fNPn//j80/ilA7wNIf9lSx9Rh+O6UgrPdv5PTrf3
L2G6lm9api+k8MnWZsTRRf/+p+X8S5m+g1dFmpaioyT/X2K6hWX+8x9Vmc1hWfx+oaYE1YCTmULa
clxL6X///HiMi7Dll/23wjG6KiH4TEu80FcMV5WRLVsoVOA2N1iy9r2LuioT/Q8libTIUj3FrQ/F
VLI2WhDMDeNBBMzp1GAOq8LtEPzX0Fu6CUMNjt5B2e+elqiKbgquS7vbjSmu0Sl9dXym/Z1Z2nqb
p6tnuEcThtDM9NHyClrRnEHtuFX02RjmtRJsYncLl/UDFNiyNWaMum2R/EKPxtO8VbGLh6uWA+Kb
kIXXw9XfwE/W43PibvdOhWOzqQi/UyWaDe9nHCBks010SLU/bxSjbItGEcWQez06BdF9Q/A818Ev
Q7YOkHLKYsWMgVWsOTRSEDtpAhnFVkb1CIQBDpV6tuGQXKEX1uyAsojP5di+lGohimu2mbdCfjCm
vdHzfZVbHBpUHrAUnisSFMlWfI5ml74gERsCtniZV2ypM39UzHYT68OsSFKvwOxZnXpOTONjmPlK
FF+JXzOQFox2/Rk7E6bhFUlWZ4/LiURxIHSF8o6bCQAihKclBciy9N3GkcNL1tubDmaNaHnjFU4J
TvFURJwbwTZzeXvlHcbGYqFz+ASwsGzsTkAN7d71b7j8Yv0lvGY6MgOUY2uDrJRXw4W//For9Q7k
Ar+CVd60M0ytJDrb4ADQt8vD5bf2NS/88uoYCBwvv/VY/qpDGz8LXzeN0YIFntcSzlzkfqCvivn3
ytQflTOFZ691D/rF6J9OMDmfn77Ug+T/BbW6K6Tx4lnes4zTc1W1N6BYbn3dR+9Nmg/5KpHxeXSc
o4MAuWAfvFomSI3cnBkStLxVMG2D8CVq0S53zFMmouHoAdLnpn8YmXz2JeFMzITiM+czXiS9wzRH
NppWzmvu+zt9JWzlQ62FWdnY9IkLCFI8+PEqdPi4GwtDiqf2MxFOuD5Q96vn0erb9R/WpPvfj/M/
CnDkeMM6/dzKvzzmSnmsGhaaKVs/5tZ/PuYymzj9x/Z3WH26tUS6GXABTRHDCuMTlJ++osxR3ByO
vmcEbMApn9fSHh5miHC/H0EOLAvKOO5R1aJN4ge4nLXTBPQkV19l3hF5C4yvjp8wlx44eR6hPMnX
ssp/wr0Byqj/ouSyWVn00zd64Dnu8fJS4oB/1s+QFfsPpIA+XG7HDKsAQcPqBTUgmnlulTDi4y2R
PiFVPhiObibxEV5WEYfICGHqgTN33+Xt+R5RWDxt4eShIQc/cnlU2k6tL59LhshuZCDnB+19xiHc
JH/lqo7i8zIFm8VNz2lQvQ/AmbaDlHvEZXv9AstRHhXnnqqRNPq5CIY7dowX3MPlNtY/udKvNAld
ICr2npSE8+Uv9BN5+Yal4O6cY3JMLk/L5X2hDziGkfHs0DiMfj8axNUQxBhsChexnH7OUkse6pl4
QJQtncHP0I+MfkmX270eDE50Ln5KOseefWAUn8zMdHmK9E/JlvisfwhRdh8DgY2wwb6MFFWMe+zN
37Ra/AN0RuyAhl/N466fZATYT7EMTkby7tSkfST6U9Q3acwtf/l6BGC/126/4pssBA1O7NxGXvBc
5vG9R9Pbl+4Rsdzf3dPS/fPOhQHQU+CuHVgeru386ZYOa1vk8Vx9i0w0B/C4+3D0vKtm5NrrV7d8
ulMVrjDvbpHYfYCXZI1jqV30q9eUB5SUa/x22MFj9iCykJ5dLzrjB35e2MAuS7bJHTSIufu9rB0i
1/iYuGHCNLzOybpNey7Y5R6lyc161Dg3Lf5MzCBHYGrcS7b/nA+aqTgNK4DzJ54PnLdjcGvkEeiL
gK+p8sc5Vsc8IRUzrn3mgQjuiphjZEP6dxywBF2uc6C3DX1z/d3K8Ner6FuIr3yb9QG/IuXJH/f/
jgwlAsjC7wCnH0U/3W3SglC08F/QudlyEeIjHCu3wg7PRsJfX/5wmvzekDo9XF9vJJn+6m9emP7F
/1GYKDh8whKmZ7muxeHxTy9sCcdW6yoa5liFkMdFP2tZEjxPg7rc9WHB5Vti1hnE6ER2TmxUl9em
b3OGv0cVpr+8wt5XPNJ/8+J8+ddXR+2lfGUrOJa80v98dUZI5z6vqi8MX/RQx2vMMrAGarZaVyXn
zmCFxLR+F0eELkPTREdIMaOXzHpqkSoSOAf1m7uTBfFyZwY1bGS91fcwua6sSkc0Nw+sCOCwMV2h
7MC0o+Sxz/h2WaR7GySW53JPdLE6XCqXos7PPLi0juZbsHX3fjVKlKiUDCb5FGurN76tpt7Vff9R
w1fKYmwL3I6Vx9iicVmNBoc/vOCx63XEkkNNF2TJPmnktmlwh5qJOgacXPTD1VYIvAgP9iqPwb7j
HqAC8OkYGJLt9vC7CuRUwqw8vtEPXUM/YOXO7uFyp+TGbZMx0x8W/bnp6k6J5JxGTB+Miq3xwr6r
h4zzGOt/y1OpV2WG2bA6U2BsrNuXKzwmmMXhgtnEes3xGnUTnS2KgTJgidcLo5ynbmNP3hF/+5ut
EthdIT8xATXPfA/vbkYoof5Cw+1/kVej3WToLnXZFRkwTYP+6fKzWtptIi1+1TPmAqBZl50KPTyZ
1tXbmKTPsV4X9a8Ox4A1lBqiNWBpXtb3bPxErkd7Whc0/picmXw8Z0gfgi49prqI0O9Or/aJfto7
ZIID00WRG6+X93ap7SKmfZdfcKkB9bpUGRNTRUJT/bB/NCp5rQIWtaEhnqwC7dbRibn8eivlpuw6
Bq1pZ95UCXnXl+IyMIpr9MMflSJXuLFIwTT0zp/byFaJAxLE6Npjtw0U8uIBwMJ6LqZjFS5U3T2W
19pgxJ8OyMCtXq31PTEk5Zu9YFIOaM+uUnchUDEnitVA8+lTlV6qntk6h0P5NMa23MyRuCdCmdqR
72ZLTfB1gA4iUxghOoeJv3lmTf/Pz6xvSt/jMvtKCce7/PsfjjoWAvAoWtpPRszPqRWizi7QFfJw
Tjb3y1g6z35YfPZ+AAPM9plJJ+DqXPE+VnZ5oxzjJddHJAIYxKaI5cp3lnEvPW9XCm97OQg0urTw
QJ2DIUMLzM51NaVjvEutEUQnU8+EVYPmpmA47L7GRXudE9a4ir0QKfOAbk5m3zDovjsP92Zpdjlg
cLpxZotHsILho3LCwWKjpDql88CyUIIbofNa3hqmTRjEePKBsIPsiMj6lcM2Yn3WE3lGM+2qKRte
CVC4JfYZ+yYx0ugKfmmDRS1P8e7ZIGknEII6HwHqS3ecU3OL+ICLoNBW2lXf7K0MKxf8jW9Pq2iK
9sX2oPIjJP7Ms4KqJEq/x6jAhC5uiJC9FaXc+1XyuXQ5q5X+KYzOvhGQMxsbn0bvpwqgGJL9th6K
BnyI3fkb2wdC3iTideJLCyLKN3Y97pxpeMSDk68EJp2urbEeA8QIRnwWRN6Y+wx+MaSU4c5lcvQ3
N44+h//nVuRbwjc905UAeyzb/tNWpLIIaJbZn2N3udWYrCtHv+tGQSNY/Kn6KdMa8suc3Kl6mOmv
Ro8MjZdtDvoQMTWb1WCjSTZ/GjFBUtnksSQVh3Ke1Lpggzk41i5vPjHGUJcWE4bwJuloq68qyWE7
dLB8Mx4VaKPkqncHtSbBhRlMPVzXRflFo/I+d6wBw8/t4rgbc0DXRGHik+fh38B8fGld8UZcqFrz
KUPPjIufuJQqJPOrKsWfVqYqWzVJ8jAoCPdLTgd9LPqSRFljWJVmeKxG7kYNh/PxSYk5uI6szFgR
mGjToDPQfRuRdSBGtojkZvr2gZztqAx4L1ba4le8J4oGL3IC5i22wzvZQjZsUxj7HuN0b/CIldRE
4nAEEh3O+YuBCBNlKzls+n653BcRb2Uj5/4UmWzz2VPUZ9/67kCiezbNxxbEj+Y+EjCqf1I2NUTf
lMH2cgMxpkvcaS1nE5DQ8o0gAxFb2bxWCMZWfijwURPxaOJn4oSq7tiVCZAto2/lVsaK1OP1RM1x
ldfoVFjcUARHOYlI4ljPTQ8gkCfM8f178KaKzLr4py0jbsSGA6NjTsz9uezhHLhXkwjvpq/AIP8m
0x9D59Gh/pv79C81iW8pD+kmrSEpbddV/1mTDBOJOYy6PiN9VC5QMtkD/RdJKaJr3stmcDmqo9jy
V5zS7modvYVBm1VlRJ2fSOP+b14Sfao/PznKY2F3HWnatCD1k/WHJdct8EuMyfRp6Q6DmijBLT7+
2cY3EIpd3FTfuqSVlExC0APSRbg+j2LC/vivX4nzf3mGfY7FQvjScem66c3hD6+Ey+2T/d19Xmoh
zuCLaz4HTkRigJpiiqLuZ+eSpWKWP8vZbDYwmuGKN+Tw4DZh3o6JhJX0tfWmzzSbd03v2jjyAISx
ZBt+j8Ixx5cC8CDO/c0sirfOZjB/ufNxvawCI/7OAB3vF12KcbQiD0TQ2lr0TwcCtWLUScnCLVNY
xCHNgi1Ir3aJvldkw2QgzJaX9m/KWPXXO0ZYHquaKRGsOab9pyq2cV3iFCf/HMSg1AiH22fRwLEG
VP9mIHJ5Zxmota4cq6drlvEMRn66i43e2bQeJjgLwffBrgZCPrLh9xVrYBXdzHm8NWx2Qc8RmDh0
/oBcEsQ3U8GxWVsvaH/BoJnbe0ZqbB9dBHllaX+qYTgG4F8p6KGIlcw29XUjXjYFmyuOo++jFxEO
ZEZlISMNdVuGTvuaKR0/JQIBBiB2Y5XHywLm1fD446p6aowmXfVVw+Wm8XKV1a8BlFCO+3xXXfLg
lz6BANE6S2u59RISiBODZLI6YyHzURy1hC0GVfsWTA6Lg+rMu4kZ2zqvgKSP+HVWdEbjXe4yvRCI
Mp2EsRCpZ5dHPO+HeHf5TGnf4DJjPZigRwJdZSCahw6cDRaUUd81//UNb3l/LXdsofhgBcuCRZP5
T53dWEq2qRmCxULnU+nFtFkAoJl2sLpUG13Ib9blRk+pubq8DmK4smroENSZXJqA7xsrfDFpC3Zf
wV8UpfWAiYHpFzfDgNptZaNrIzSRPy4/gAWTbq4Rr+1J7yO6cML1/EbCLQIvgGBjtS8d/zFdJoJK
w/42BYqwU0v9RBa7x+3Vs/H17Ok1wmdnjlIIU/YnaX7g9TsvW+G/PAkL7zhOE8RbnXkFPo99LBvl
rY/kvg/x60QOYNuor5G6jHiJsEk3AXjSVD9KE5NKui4pe5hd7GaXrU+CgAcNi+23iJ8VQZ1QOhDP
z8xw0Ix5dwmhYevYv+1yZjrE9rDBMMTb0+P9iFyB126ayd7yGIvp6zENJGHkPq2GOb6/fKGf1NYR
ydWHyDyc/nQl1+2MklrWYY/IEQlJ4uS/7+MItexVOd6M9kesyGtIAKusapMkP8fg7q2hw4B8JGh8
LH3OI5jLqsE+GYAqwMMjsbt81aDrVystnpp53ifEBHCsK2+6nnpP9SUY/uG2QpPPiZR3edljCfzl
/YTTmyUB7Vcz3z845PPBYiXMSN+fFcrysLkDxnt9+Y5JX7jMqEC5BnCFYFhYzpvtFvNuMQaQAFyp
BOPyNraIPmKjTuuGaVdsPhjJ/At1vrG+rG6Xn6U3c8OjrGRwiY+WM1pYs/L5oqyYbPX35Aui7EuP
eEe4BIkeNyafsifCNalxVUVgY3ArNXf044n9+N/sndly28i2bX/l/AB2IIFE9yoSbEWKlGxL9gtC
smW0ib7/+jNA74hbdjnsOO/3pcLllgQSyJVrzTlmwuPGCPRtMCW1IjAxeCrR96UzTvXRXG+PgQgW
5fgoPtsaiztJCkxfA/fVzWThJwbs2T8/irfm6k+tDM+0dAuDtk2fytSXac4/955IMeqwhf46vqiW
GQLcAgOra0yivYYjukHAgaBROr7S4icj0C9RQS5R41EfsoLejBRZr9Jjgxlxtyjt6NmsbkcNVuWc
MLet8JtBMJDPt0e6ytismGnymtW5sQV+lGjuPg8uFAvpoX6b2doQ4+EUgV6hsnGVWcHXucqBvEgi
OzV4Vrf3LlZUjGYemvgoc+6C5Y2+FPS3Le52625bWC2TQ9ENX8nn4Ndr2EjLW35ZRPHtynoeow+L
Q2Q6s/Rvf0uPyXpGbWeKr+3t3BNRIWYY2Fa6xklFUMgcowNySdQ12LtuS1CG9hs5ifWqqnlbkYpH
HDUg99t5Qq86KuNyo8XyhVf0KQ35Lbd7+P/Hm4wD/rGa/z3fLOr31//59p79z1NX/3PEeftzP2ac
wtT/49GnswUdMRNWD3/jjxEnPJD/2LpF4JyuL71anQKDILRljmm6/7H5ZdM1dMacwGzo//13xGma
DD8pFz3HoqvLMdn7v4w4zaXs/X9Pn+OafDROb7SJzcU7rP+yDxLIZYezpoUXYMkcNjnqcJRywGIX
wHZC09uFRXMyckOnquF9UfJk6PC2MNi2d6JvSTVJxhB5BgG7AyGqhgvmOm4fpsHFfeRNizctPtSt
Fm1xSsWbdgy/a2XbnUhnJelhfFRQlnaFF6d+5JSE9EBIKE143n160PsLgtxoi3CDwaA3q1Nknv9x
uy6/Gf385uu7uiHpd9AMQLRt/Pzyqdl6HY+hwEWng8WsrCYWICTFxe4CezOdih4dhpgB83B8EYdG
1AjBx2Y9TW392exAlCfGcTR0grmg+eulrbaGhrbuL59yqTR/vknCcxiB059hTCWNX25SWxVRi7gm
u1AQgs9QlrmRHofAWgCIyKv4o4UlAzHfpKHbZ1SDiBNy5fR91iONHKf5FVlnDcwGlWdf2cnhzx9P
/lwoL2uIhUMhxTVcfnA7Xfzj9BDFI/Q9QDqXUXjTObP6wudE8SaY4a8brQjvXaKL12kd3BdcnAe7
RVocCHkoZyADbT2tnK7i7Kts4zwZlDxZvKFd1tzPZRmCVQUKPeTv7LnEQqvxu53B4WFJLzrVUW29
3j3UzK6OWuBbevsm28Y9kSptHfMiLR9ra4QcEytiXV1wb7TSx2vdhSP9Vqfa6pKQAeFhg2hmyzoO
WOroxoWEUJju9z9fJfFzxXm7SigWXINOieSY5f2y1BTzjKkr8+yS1704O0H06jT9Mjlo0l1vTuCN
DSJOSIFQOwa05hoIZvHJswsE5yla6NEL/aGDxmmj3D3je9RWEGrGnWtrkAqSZPfnj2ssH+fnNWfA
v3UMW/Lecjis/PxkNHQcGYo0+aXA5LTnyWHMad+3XYShaeL0owKN653BnWRrItwWdRbjyzT4jle1
2HXux6HU3OexzY5woy6Q6jLftmn3jcs1tnvvWZoi+UtZL38ei3CNTd2RdKIcSkqDI/WyUv+xEucE
DrrVFozWzPxZU7lYxX3iXhtTvtd2FX5Q+Kky4vCOENmRInd28qEt6w9mTbOzN73PlrbEGy9/xOWn
UGQV5a4KRLkGdwQuJ68/RbOaXwdISfgxOA7Q6RomeY/egordio5qubek/SKFKIpTQuR5MDfOfeuw
4up5mtcW6F9U4TTxykR9aOLc17oGopk9XSt4Dd3oYlVDqa+a2dy7Y0KEjp3Wf7lOt9faTzfXRM5i
IuAwbMaEtvtL58EC8xiPXesifSZ+fRSjOLd94uNP1P1hCp2NEJSKCnLRXiVGfw5L+7lYwNhGxXX4
80oTy0r6+cPwOQzUOjQelgrwl7eb4oDVTFbQPIRlTz4OZJCwhEDZ6WRqxIPPhBU08PI5p8QQ+wHH
T2xruGVET0Cd5nz9v3+c5aqwIRrssOzLP68h2IqqyzRreKBRwUMIcjXQopoXGbCeWsTTyob0jK2j
wfsN8s7PMaStNMTHdx4/2rZa97crZPzcnlmWNW1V3qv0V52lIvhlDBlUoxtqtGIejGF6LDu9OIfV
fAC3mvXRFnAZPvmGWZjbMc2ue+few7TyOVmWcQLNBe8T++wMyHUiIsEZyKdtsGppgET6mCLakTgc
yfsgr4kBTqSsv21f/3qVmFQqtJXYuHTur/FL602xooBuFfqDs7wAJGGKGnFhDgGIOwv6o59kkGBF
ABKhJDlkQ4ScoTMWCeL+w5/vrfGvnYpPYlumyy7lusL4dd0Lq+MQKVv5kNag2SxJCkpoG/R5RZ+c
0zJ1dnGj4yAwwvmoCAGQUQ9urAwwMdgk9Sk5PEBvWrfJcA6nud9pScHFG910HymyLcsI2UUyL177
cm3ElrkobyUkZfNvl/TfLzqWpgmwjE6mbgjxy4qo9MaL6K5I+EN2gsvay/y5Tb+Rzsn7yxvVJkz7
HUliRPWYH6rKroEtqb1jgX3EXY3qHksetAuL5lMZiL3hRsP6L9f6X0WLybmOx9oRkg9Kjfvzc0T2
JzlZIkazUdTQzJBOYbpsdz2yjDxV8lAHbwy30cHWbbydo5LGcpmfoMiRaTx/rms5XeFF0jkbTL9u
BuX3Vu5tq7ko72kFxHSdIUwtDxvWVOQFWQ6LMDWI/Bz+Jqb4zeP30zf5RUvRuZVi7BPJB6XslzCK
D8JL/lId3JqJv7wEmZ+wPClC2XV/XZm8zJLaDV3jAe9JdimAF/hyEBR19D/WqcBE28uA+Keoehvy
8CV1k/fbz3rwcu+MnAl0GKEz7gc6yCPx8jvyDM5xkMLoGnpvIxTczhB+pQI0SBME+gQU6n3plK/L
g7vrIbJWMlHwKIk3oGjajaH30prmReiFdl85Qc7fAWNeaeZfHkrxu8vLs6izJbFt67925pvEnOkA
JOaDNMz2YwKgWcRCx70eE7A6x9SzOtbJGqHmqgnrt7AMnHNrDwmdyYkAAme+hcHIhz+vX/M37wqL
A5vBQQxJGG6rn9evZiHSzN2elCA8qxXduo9tkS6idcM6lu51Km3jaKqAwY1Lrl6VApPhrKUwnZpb
qTHxLjupHcJO6o+AHm+1j5nObxlagEvQ1DF0HTy0rsgz3+0FiikegyFmV9FFYB0Jn2OMtRSliTMQ
klubCoQXbUoaSQC6nBCXhktx0qrLX773b24HZ1UpTDoyv6kNZsvDrG404sFgVrRBQwSAWx/ub11P
s0dp0SmxtRvan7MkEsAJCbxDG+HRWrbOzF+9dWd7BkIe9OsmQZJeUM4rGjTw5xhXdohajkLO3srA
FLnr8As1RkZmyLKfJpV9V4ZDei9ylHjLZpHUxlGhkzrbVXK1LQ04VIS7789f+XfbAmdflzGMbnse
3/3nWz2jXnOClK+syk9JX014grDuTgzw6LgXTLUZ2RFsXpgbrRi/MLb6Ciywu+dACzEkMk/YK76i
mt07XgHFIhs+ZrV0/X6uCm4mhVRPJ61uiF3Xp+o1FuGmK0v3h8T8h7L6N0dZc3mf/vIGYZCEtUa3
HJc7uLyP/1H7ZiVMK60SxsNt1dCjJgO1gt81JkPoh2TOQoGknhM1Ac/AahDq6kBrxmJvPWq45C9t
nbnoqgKxI5oHZWqj1Frri2YjTPHYd7gj8B3i50/xL/NKfLXbYQUuG1k0XUHsfkl/N/WcQ7IoIY6c
U/2fb9K/z0/mstfRLjGl4fA1f6kirFE3AeJn4oGI9S1m/4GgrnBYa8r4KnoXSgMm67iEYXVbqRiv
wN5kX6aZZ2bse+JL3RHSSf88tW5Er9CKcOl7zlUrTOsvt+I35bVpsztzHpZL4fbrUa+3yzlKvIGP
uqiMBFkoF4OcrrtRNtmRzA4PbgtpnhmJDpNmwsRn0HXOol1Fx/tvn2W5LL8uC8eVwuJcZHvy18O5
14kuw9FuUHxpm1qM3X7EQEsP3NoHyjs5oww30fLwMUiad0RBJusotiUt/lkx/2y8HREyhJvPebBN
CgbPSo5b0enZ3z7o7947rmkRzms7UoKC+Xn9QmAZQ0ye4iG0X6KSAEwEuOUGQuJdO9fu9fYZl0IT
x9bwPOfppzrpvGuH/eiuUN01qv5euP57C6DDtmiCl2XHgPSXR8rp6s4xR2N+MLVmib03U+Y+pbet
0REwNIqJaYhsDw+3p/w0lhyidCXOty6CIEnlLq5mpu1zbGyNwew3f34g3OVf//nO8umkwQmdMhAZ
2S8HFWcQZesQaPCgsqDziaTQ1l6ul58hnjp3WZeZazbVCkdcZ6+Cqvja0k0jjZkzqXKVcwBejLPf
CDZt14LnNXPPV066Afxh+f0wmmur15pNEkhaJ+mzqYny8zjp4hw393FRjyfdHB8qU9PgXFnot5ph
gLzR2xsmxGxQjVsus2J6iKOgLDGNGIJEVfthWjsUp18jWi8bMsmLI2fLnaME9rG0PuGepj1/O+yh
f9KGQlsjedAWvTCkgpoWpUy7E4Rhc9Nah2kOPsTNh6AT/Q7Tr77ROAGFwhrBzPCqq8SQXuIouXr9
QEJLqcrP7pxF931ufijEgBiwbHHl5kRWCdCJKxFmiCTRGe60CvqlFs/7sLc0qNDiFUiBs64Mczvp
mg3QhCaGG0kgOQSD+CLw1glsmVVjoS/+821GnvCbG81N5rkQPMOm/Wv7L8thW4fd8N83+1yO0bnS
dzeZjVV9aSwdBqhTlnsnh1FbtpO5rjVF4yAtX9yRcL0kK8k3tf0ABO05NC3GAGzq3VI76wvZL3PJ
zTLNkBn7OOJIVyARyToEYD9IQrwnO/KnQ0wY9xPGG1AcZfSATOrdMJ3Kp/5Eu5lXzgpW/bgaOlHs
m7J6BRlaHI2FJWqcUKsPl06zHrpa0lAIALxOxtgfwzbbgfg/o6Ltr1oMlGSoStpxbkZ7c3EnJ73Y
BpoaNpqHBxPnJb6CIOlO6VSVe5kw7qmWpZI5mg4uKGBwNhaOr9WA3PUZ2M1Ylzgwi4AUj3KiaKve
Yhpwq6EZyzXZht+Y3JA0F6JWmAn/xnuDTipxEHy0dfB+20YNfRq+yigM+f0W0YJxNSFLerO8/JJp
9irOjHE9MknPyek55/QAambGJ15JAqptqKqzafAghVa61Ugb3ORdfgkJ3/BhzUT+jw+vCM1xRxAc
5H2UgzbvXBl/JXl8OI2W+6652mYK8vxj1kLFw6J81ySQ4W5NuYwYlry0CEfEYoUTLwFNOw4n29F4
VI3sG1kL1kVW4bOjQ500HUdcbr0LY0GYdDr2GEPCVBgiHSH2uQVr9GIE3aehq8EG9B3EaErSXM50
/iYi7JNwbw/yW8c48q6gmexPXNt9Wzmof2QwbcNYK/1kUYPOej1uXIzq5dgwcZ7re4UzIoXFcXTT
RJxFQ0OFbTNZ2Wrm50ZUdr3iMy0QFouQ4mpsP950C7dXaw/c6+wSYoUC6qtT4DhYlEfYkLhjPIe3
Z13PyOBrPIZsFjCWQS5cbZsbkwkOC8tKv4ns8yqrfQ1ov80BiqwBw9gDEHm13T4/5sSmUIby/mzR
vACnuE71OG77DHuWVsM+L9KGYBv0RT78d/JgHZL2SBsxw9DdyvQ+BP0pyuba0XXUcSi7rdBPaikx
RlB4qzaz+5U7xNKPEp0pu7CO5gP9RW0T6azCSAUHGOjwx1saOJ2+cDqE+lRZqFUjGRR7gN4wBL3a
77Kh9mcaUdDjvO7OHsGRWQiNRcAsmiYA8KpE07etVw2rpQw15wBzb9aDMm3F+GxeSC+DEbRwJdsU
x5FKrEfAKhHmhyzzVWNtVCeto1XqJ/oONLl0KoQiw/fLGLbBZFmG/uI0cVZIvOOtp9OjdKx2V7OP
3GnwcI4x0W+sUiirVYIXTXapj/joOU9kfcQeQ+bT0kEr5TRsAj36aiD1Jb037VclIc4Etyj9kQDa
R7AFZ5MG0Xa2BUCipawMgz7Y1S5RelGCCbEcsnsmCuLcew/8U/0HQ8hvI06du8GeP1Seg99zD4KZ
dGaPNb58rQhSKBQOCXGmGhkHnGFrds/gjGBFLr1NL07CQ9rucH/Hm3C0X6DkTfhBSnPDI/UQhBp5
V1SMkn8Oh485AaD2jrAm9V04i/1tqSVCkk3fEC0ZzO02sQgwiRPdIjAP60SovhTdiwcbJ3RD/NLL
KcfQYWinbbQvloVvZSno1Fuf3BEEtrhZ/92tiBUUdnxfFcmhwWhA7gUjjlt92UcJDwE4521TinFB
An6KeDW5QAEinnvAJ7SEvBb8IPlTpIMtrYIu2CQy3eotb130Etvby+5WOCs93AJjVQetUeda5aeh
dj6mVVWexsEmKA1YGtl3cc/g4pqSToA+i7Uy/bint0dxnsuzMmNtWzmmc61wV16bLn++/drgWj3v
317dJ1Okr20Vv6MRmk9JByYLyAvROFe9LOKn3uMaECBRP+WKRO0eycKDmbT6+vZJ804z/Rx0oDf3
ak1M+Ixcj51gsUj2bQYPdjk5B2l+X+XucHICa0a43nHbjPJZNxPrmqbet4rcjAeosO+04kG7gFSA
Fq2veqOOH+dFr7m8XTI9fFN2Qcysp8qzNwacdpem5a2XyaG99l2IpDgDTjU2SZaOAIJWVRtwJ+9l
ZeUnnRCylSVLX3fq/xaHUSROwA3TS94RTOKicLl9Xi+ake/WklGBEp9uy3UomkupSIQu2urFmp2G
vHCH3uJssJFO00c9t0t/VN3JsPgQbgwWqrMC+9CbtLg5VzyT4vZJJVN5nHskEjqGVlBDELE6A6Ah
XVuUH/qlcHCoRJoQR7eKWp6MTIxkQUPylLyR5llHK9OOXwuUDCSCqHkTxQq7C6O62wKUFQHRZSaD
zW0pzumrqNz6Po/kcerbRyecp0NNkmjcp/HBCRsA2bPL+HjW8m3TmVAJPUyVdpfXmzHXGQem2lPt
KUzssmnWhhpO2Fvcq6aNR8qKesclYvMcGRFbPcE28Mqe7QIqBOQbqS5WUpxyx/rewCk73IokpP/A
hSY1bg1y5x5G7ZOEW3B7NfNwFyvyQOqrw1/Ba8Mx1m14TbPIPk6wVE9BQE2lhiQ7GHHNde0nP5RW
tbGLmbG3phW7JiWDY1EjAwH3CnJu0ruksADIDjjIyn5K/XYan/PADB+hQewF3uGUfule5dVjFuLl
jCuWJWGEit1jwVi/BXXtnWTu3KNSy9GoAv5QcbfpXSR5s94kewOObwYKM4TbVMSAz/C8jW0wIh12
rRUx8d1u8ZCWYi7WhGiXP+4LzI5uExZPpqcav6XXxo5GjTyF59org1XSzGubUOi7ErgckLJ6+NpO
zrY29fRemcN1hoq7om0+YYzgcepEAAHM3cnuJLwxPkIjINIzBfxKn/BSwzGoMgSBP15ORndFhZTe
jwWZbMuJDcVDl6AP79RVqvj1ts3rVXmevFGe3fYr7wJI3oxAr7fnejHRhLYerG8t+9ujZzMqu2jz
OZTTpsd5irSFXtOP1xCb3vJ/HT9dBpV+sgDJ0kMuqNT1mBz3PJqwwo3vt4PG7dGbHUDpUVPWftxk
8c6A9LEehi82EMp70pj4j5Vg4Ct9Ag0VJgE93t3ellHcO3uj1q9exSHLrOwz2e37FBTYyQ2bO32I
ABZ2xXQYKLnZq5FGyEr4dDec3Uzc63mqxLeMZNG1hi+GkKLyEGMgYSnVvMmh0vu211obSpZ1X75O
GrsrWKHaR2L/MciZrHdevrltXFUvw+1IkmpXmulKtWGyrjKqQk6AqCvu+p6J0W3yrLftIRZgwkZo
xYg9hgSnprnt4mWCtPQrMkhyh3qu70Y+117rQ1wq9MDcUu5u10rIgS2kL6tj5slq10qAVQz+73Re
oVsyicn5LUN1VE1vrntoqew5Ir3P6R2FYhhPcfjZIsTizp68Yc3rSeL56D5TT36VI7tdsAzRArJ3
pkBZu1Z7CJroQ+oSoodWZbykZXaBwlOgOS21U5gdSlV3OyMN32egsPtGKtKFLIIiU5uHonSJc0vh
i62J6JuY4nb54bag5oi3UDb36SpMiJxGDNgOgziHbXlkQlut6dLuJvS+j0Ooc6cG5GJV0T567q4l
wbgu0+c4wVbgVmWA4WFgCCHLR9Xb6kRoXgyGqaZWmdO3SnuehSKSg1n0ecAzUMXQxfrc3UUd2fKp
F0aHcJBX1McxQLueqxhSQN8KJPr/2qaxnc28zGepRQwfrCCn+qV60sMFTqdxmDdd8c0i3W8XdpBR
S2OcIf0cbN3Mr337VPW6tiZyF3V9GG+jqqJ2t9jdPeV9KxinRigA9jpEgx9HN6aEdsoErGXq7UsU
JeveMp6oqOAkFZ69ozLvtrc+PRC12m/E7G0anF49AxS/zMlmp+TQd2jroFcDp78bWms8Wiijs3ZA
P5jQFI5TvX2cna5YzRKon+qgbCPlIFdoYWmWSHYfEtf7eJsLCTODXZqo4XDrPdjkHjVNLS8I1VcY
1fjT5KZg91gSTXTjac7mL6qNKcAt6DdFY98Pp9uJY44f8e8OWHzChE9nbPHwhHs8wO/aFL0T5uHt
01FRRomOO4DpK9YCCEfavJ4cuGy3z+ICS77rOZQuTYxqXaj+EKbHpqGFylX+TNjLUxLK54pPdO7k
+O5I50PM7BDqTVpvmtw7S4+Ih8TUSaNR9nM1KndLfw5Rjgm0srcK06/M6VK68eQnXRSf4yIlEyYA
z1MSOq+XS3RV8UlYLzVxNallk30RopU3jUcnIJQkDebyoxZ/jHpyTVT8jMs2Jx4nz55axmszYeaP
t6qxYXR2N0jvXizlQJiqfDUbgHZv39JiaHdOU9SkVZH+OLFHZnKx2lye9egae31y1Oht+qXEbcgc
AOJ83FnE4EVvWMuSbZ6i6KkHj2luKIwVE6tyU5UDQT5SDPvb2nECoFZGAdPaqg25iQBGMUuvwm2F
oBmTVr8JLTXfFWF6nbPC3McFT0KbG+TnBeTtLIPt0XW+WROZEdk4P87MuhwpQFewPmpJCMMPlYmV
vsYjbkFXS1OARTQfnKFr12Wc8sgXrARFNvlqknlOYJWbnbloq0h3zxoAqCsjqMjV9Asv9BCpmrah
3jI50DXSR4FC1RAR6iVcSZ8rAiA5VFyzNi77A6LqN8OqvYfCCr4hE6Y3uJx8B6U/kSvVbK1KhmeO
5jiKEWhfI8C9Iwj4LBfNjog3Zxsk8VOpha8YWaZzx7kK1gUsrDancX27gd1gfREUrtfwcZhI8IZN
1e5jegbn2y0MG2vVTkQfOP2FaX+w9qRjbUSXfu5dq/HpiOFwl4TPhaCVfMNZGnGlw/2ZszuOmaQg
zcW97HKmgdUIGjw9V5r7LUvc9Mno8s94bIKVnNpmy3DyVE0xqQux94qaDyO+KL5EVrYDYv3KzCFF
M+71d6LyCQRsOQtgpucCYiy0jz/2T9ASCdZQTJaTeErqEbkCZNg2b8B/W+JTIZu3Ip3Dq0ErA+FY
cO6Vmnxpkfuek9e1At0fv6YyODTKIHA17csriaoIjHT7bZBApkLIE1bQ9h9pyXO/+mEmWjjcIo+H
qG9F8amyM2ePLJjmd1hNe772U2i0FcG5QQuTkGnJZojG4KFC5muRB3205+Zb7PpOY9jf0Fe/2uwX
UqbZF11/aeZ+Wxam/a2d7dc68NwrsRi+6wTVTl+ysLBKpf5cRj2Nr+yF1qe3L1DH8UbJXlBcpjve
9d2m61lkOJALOaasmwwwZULOuSJC1k+FzDaerYajOckfj1PTaD1+rvBooSTdRJCL12iJ1CHNI++u
GK9lCtC8EMDKomDTCIwDLWIT4h7JXFT6YAIMrjjVcL75oOv5N1TTu5k34n3rqW2uuKIy6hzANdD+
Zjeu6XS071Mc8r2CSac71b5Wi0asdRuY+X11H8TIoaqhRdkRec4hxUc99GN2ng3zezCN5S5rUQMQ
x53hMg0fyOcQftx1GfZBvAHZQnppiK79ppNpZI+kZBh97e2GwdgS8bXOUDsw0VEGq+T7nJWXKbE+
xrhGZJSnq0DBXJ2RaFUmWbF2DDXd0N64MOwStDRAhVEtT28OXAaNKkELC/AirumTV3nQggCogItD
kw4x7mz52KJveGgTWLLZ8NIVmbllWIzvrmo/521CyJ+j9BPbE+xv0HNFLO5sJepVk5KxHCWzzyYc
+l3QVHduwuFZjclpEvWjbMLR7yuPk0+RHQDmfEqUB9g2sNeBItsuNAi6ruOPSNc/1rhg2ZsJ/TOD
S9XSjOpMTisZzT49Pvd6ShVhE9/X1U68MWv30Liy8xGEopoY1gP9ZBJimdLNZrkiqojWIXGYNAPl
82RlSOeBjaxr5toWEqyVRit4PWWcm6QWrZIMCm82fmlmHu2hJbZpnuOTFpnfvYJZob3WRwzNMvA2
fR8YRIr1oHJJYsKmeXEK7b0mbGFliKa4w7OwUYQ7r3o2sLU2MwurkUTvlc7Un5Xm9dbTSLd4pY0G
QDMtZu3i/VJ0W+NwEofe8J4zw9u6KoRpIjiDx8vRdWqqjZvoZG5ELtTKST97xBGPpv0OoAfTVSDW
owmtPsiYaoFwIrWRPas0BFodirLEFYdlmp5x6EJHUHOwIZeBQJBnRKQ7EBP2SuPV43V1uaJ3kq91
Z9gHmuXtkaB+r6I5W8FZJFy+dVblNDlHgque0nKgiefkIAodJpLQd09BQUcKUZ8i+XEku0c9hJj+
owiVokMoWVqvCRpA0hnOPqwG6Y/JirAQAuuL4QNc/e90CWlZNS82xAUMknDWOOYRXkd6ZwWRZJWp
5FhUAQI0UVHpusEzt6fYzP20oH1eZ4dEReVxjzuN/AoKe06rm5yls/I0cPKVB8Be15s16QxPTSO/
Exz1GoXiKcQhGbV2BcwnfkkmGgqJdzH4nXeFGxp+bIoPPYrWuwZe9VrV0cYbrBe7tTAI6gZgBUxl
OzdKIdJqUPTxj+Trx9CJQCo5ObGTJGslGHmHlPhForOC9fRCJUFUgnCybQOH3Q7Sp3DWCeCKppdO
UgnC4y625uzgJSPvgXgFClPfwtu/ji35sRh1CEMT+fVD3bxnSbNvF1Ol3rTf7b4H+uf0J80LSK5J
isNoFx91omcx9fKlHAIuB8NNN+0krjjJHxwzLvfjWEDRIhqTUC9MqojDXYnrCj8/a7iayGAG3Cz5
gIIG8aHQ7K8iSvoDS+FVdtXJIuGrBFTvMCjadkO+tbxeXxXk4eitQShoQ84wYAyef2ONbLzbrlB1
kzjrjXuDA6wfGjC8MV52q9m26pXnhs4x4VuV5blNDbkP2B13TLyJ2ZEb7DohNTBcvniU7p2yos8j
j9Y6kPZRy2FAw2vISXt80saBo0+TuZhFYMKi/gO/tNeM+KFf7L1czFXrDPF9Dw3XDtGeZPl0tFV3
nLz97CTQJoyvwKwYzAX6tmnsr6GI3nOmNTZxrKMKvQ8VprA7w8q8FVkKmNmTOLtmlXuYRP85NY30
PBAogfAsEYeiGBgpAwIUsvOOnVUcEjoUXmfU29hug4sRt8OFwKG8oLPXAKfdtU03nmeN+BmNEMYs
w/I0kRgNGhjaQ68AlAaVCP1CmqSCh5lg8za/RWMf7CuPgNmxTO45ZzWHxtCerKHVP2DZy+mEGAZJ
3uHBNit3p0lwiCjR3PsgH95GrVBnoX+uSK5vtSo9NdNGMPk5OKLPwPSWRKTQz9plXOVjyck/dYKn
udCz/dTJaNsQpbUbJF4jr8BGZTJccKBhI5wZ4nWiLOcCkx79z6jT6K4/C3OekxWPMxnA2UjSbe66
19t/QLCDQoikTp5r7v34OZHLd3vWrcPtp2rgqpAU5wnHW2nd3/7jcGa/b8sgRgBPeP3gVdUhk96X
pCmie9qx06qkKbK2RyZ7uZQDDaNW4xQHRCB2BqZ9E9Z9RPz0hWqDwdxIqpdTIJNfWgXxHNDg5pzM
ZKN/i2QHc5Fyc0gfQYFrx5s+NhULgVnzHsN2ekJduV+8And9aLt3xAmg51XfQ7uhgRTyTvOmizW3
xke3GF/rGk1aGZZMJTmQkRU+nDTjSYgo32KWyFa3zv9NcN3orbczObJoNGbTbs44R8XPNUU1QXZG
Zbo7kBQl8AxkSW7Tvom48kWNhc6tyxw1pzOeJLs5PWZB+xQzNhNP5eX9J3dC1i3JRhim+tolxY9/
gVbjk1ci8XQtDdWhjQHTaljGTTptigSMaeEi+14oV8bQPBh189ZZdX/oFcRVEHH1bJnnLh/2kPYX
1Fzx4ab9KgNvZ2cGU+blW4yD9u64Wu3rPZnVacDbIwpgMy1KDfRh5knXYwTA9CiOnoFHprZfFdFO
dPWnQ6AbFwmb+dgOOQaxpYudQ7k9uWg+f+jQGKWQe1Q+TajQ7/ib4h/9vjBmGjyl45ecidXao/Vz
IHk3YqhXEKHkYaIMMhcLI2x5gu6XfEBOqOt0msedpYH6dbXmKUnnYs8PMvI5TG3DgYuxPAOybnaO
VsewiqYfWVt1W+CB0xJ089KsDoM3MMkv5r3OzM5cABJ2Wfq47p69StEPEOmlc7p5ZVfoyGy3Zd3c
Rn+tVe7DTtj3luthgUYxGOd1zdm0oE63O6Aby5c2e91aVawJ1Lm6udYKeaWqzja3aU1JUGuD/O/O
tEzrSSs09vDmKF24BEYr9UOeU8HbJdE/3cScfIDnelDTZgjs4oGm0cFuQ/eY9Zjm46WSyb0fPc9w
dIH8ZtD0QjKzznW1cMVhhkOPJGeHSKA9vgnmMf/L3pltx21sW/aLcAYQaAJ4zb5lshFJiS8YsmSj
R6Dvvv5OgHdUWZTLHOe9XmhTpsXMBBCxY++15nL6p8ztqLjqTkNHNzcq55FFwBFe1Gcfw/VZmld3
UjvTkOXJUILkzNYn9LfP1DWU5ReXR8Qx2/DJGHLymaR1keZ44xMF3i69bG2Ek1gPZvKnFTbVrgmU
YM/lngikaFYTFP39EFrBw/unFybuDfLyvT5xFCui2Hy2h+TQzyMm/BZ34U5j9sBGY5eXKJfFN2bv
4VkrrWNvt8V5gJe8aqy+3wNVsQ4+ILaVZU47ANoDoaMO5+f0vaNblOiydP+5TPuXXms9Znmch+d7
J6/UzSyGP8dOH8iXQ5ce+2/LajNNuXuOxhJZEnQoCPeEOBTyrKrWwHDid3Rq62znDfWF2Xx21auC
6ipoHuwiQA7bhDd3SOHW4DhOhk0+eiuQxNMbQXXPccJly7VgOBUjeqylVSCoxx8aYoepfecFL5iA
zCtaWXDqONDy6NEEj1QPAD+1BgjALSpNXT74s+eqc2is1Nom1S9Ak8bdMgobpTLP5F++DrPLiWXA
Ptd8RBip62Lt6hnzyFmUG5HnGvZ6t1meVSMu7fNkVzuCtlnXarHrXaBWIWdwXyJVHNDpPYWkkKi8
T66oYYM17CkurO2gIMhg1Keo+LZ1I10e5sncLx15WgnZgY7XahlKlaX+ysii3i3avZ7aYDWp3Ngs
twnNHpypNF72Gisz87ch3kf68CMGteNk5lfHIGCkbBzOT7I4Cdq8g+EO75NQ+McMH/yyUaC7jC1Q
5PSVQ/aKu3VLDTF9N9MC2BSyG88pnb2QY7Vf3nWc1ahh57s0zfP+IAP/TdMQoM03SGtYGNYnr7hw
cMwI/gMyI1PUH8Hk7VtKlicSniga20eT0+Yhift8PYQVIUWkfjV8iudCTFy2Qa8dGtRd98XgbLaI
AWVEsFerVzeV++F2mYFwnzqIuwgYoQGyRvw2S4TUXOo697Krfi4NLWsiwjbw1fBOpBGF7q91V2/X
9qzFKDE/HHWTUPvMuJf0sdZ+MMFjbwLmAvN7HGNzbqOSuVvZwNS9KFy5JXPhqax27zZwc8x2dgZs
kY+SoTa3x2xbq1EOD8NZOcAd/Y4EA5/G2sYyGPYa9KLpFg5E3nQ9k1Q/PNu1cWBo3DNJyOgW2fqG
JdWl4DM8Grkb3g84K7CvQS++aFlx8e3uuLz0IKI9rLpw3OOCUtuOxLHtsu8KOzI2snxm/zKewFdH
u9AOjgBLPEqoMd92Wr8t5rlsMKMwgcEfYgFNQjPelc3IEX441cAySmN1GepEhnjTaC9scqckUVyq
lExLbViVoPA3Cwmwwl/lufHrVAoKZNrG6LTy7oTZ7CJQKqyxXnTAMyZC7XtW3Jyx+DGn0YhLZ9Xm
xVMSADKrMCPR7yibZ79ObjVdo7NXu/FBauqeeOHhPrWs+5kJFrvqtS2mvwyzpr+ROf2PLh9+NC3h
4oyIQEbwCE9VhmYnKX/AFLf2HmOI+xih7sUuGNGSHBQZ/o6FKzl6TvQ9LNF9aEWO4bC3mHMkGQyD
+ROy8KRf3OCK1guYFGb9yYr9dSnb8VT2rnOLapBwy83SCUt/qHk88HSWX6r2HuWdcZfmZ9pk9Q01
W7Srtj7nI5JapNIvKdumD1FjNZVZu6/slqzApIlWuC3cg6PV9boVHZefXXFPiE//g2vEycyd/EMa
6HdaUr45SV0x9a73OBgPajCjs1sTEM9BDGC4bNYqbLt9NFo76TvpXkFx2aGYnHbIzCH09Uw+S2H8
AMZUb/h7g2PK3G8dJbUkYoR2nDv+FQceQUsV/VdbEE0MuvK+L8QfPcEzF1EjLMlLX784SUulsUhZ
FOHICNWIg1WxjcikN6fD5PX6nTF/MZvGWYWPgU4r3k1CQubYMILA67btrLAf/LKAJsv4QFTAfyZO
tobbxq8MMUwS8RCHGDyyW+RI5VNYQUxyPY59NU9vHH4VIBo25ENzXp61GwPZQOvRj9KN1PiAGlIY
gQnNGArk+aq0CZ8gKTelxD1iMtiibFZHZCOHoeF3Zeh2Fl1EXP/I+lYdypYpScrI4ihTMgdq92AH
sb0ZXIJOpYlOJlCNNSdbZ5CTCFHKfC9fuaFl7wWYdRKNOacWEjbhQC2KEvDsiu7JCHHuERMPQaBw
aX1OUYAqpLrTuvpl2YqEDyB/ClLnaMTjIZ8Gl3iKrfQG5iX6C/g+xhx+feyLhpn8XNMajX1VsUF0
ZAcSJ1RwG1olvoM2FGtz0NWprca7YerOlkqt9zUOYRhDTjP6qUWd++DkpH6koVbfOb773e7zWxfY
LkPc6HUMzeEeFep5NK1zrPx73miCIor8lbY27mguEspBycekHbsIh12SaeJ9IZkVN7z/9ZQYlEq2
c8w1dA5J1ggeQS56zT1455WFfa5KIorcgIZIgL+1VQbNVlth7MuTI+M+ZFOafOZmTfYMJINVp4q5
kqOExKfGlDirh40eAqd3SvOJaDn9KFpzo5z4Lss1be80NEi6xCD+xxaQI3zk/oQgkXnEHKN8WWaw
xH+F60Ja8c7LMIvGea2R+cRWWCLaPDmUu3CGWs6V8yHLAgVwJtI4A9n/ZIW2h7l0n9fK4ww7nVzD
ezX1Tj8vGxiBO9TWqjo6o/v+q5Zi2lPxBdFQuS+yMFhVs0p5vrLM7FHWaIRFTC1DEnHMfcc6pzpi
ECRCd/JtOcCpgqiyzNoztovnwwsLGMkJc9kPSWzyT51TcWye17BOvHQKYzIuEQ5jfhSuQzlmh5T8
LTJU1Hw4eShV55+dQHsz5mRrkzC6Z1uA/S9J8TuUvcFpo9CddZvxsES2QzjzfBrIVDxcOAC9a4N9
19H3gxTlOkW9Rdi8NPc9QB88cGQNAKfaOVlabXBWNzyRnEhTwGprx1Dejau3GfEInpeheQyN5+hg
JphVUtou0LvXej59LUVyKSf9YNpXE6MKYi3S23mgSNv2rBjLIh05ii5Pymib2mW9Jp3nqMzSpDzp
HqtS5Me47dGzkBtZKDpm/UtjBM6hdsNxK1n+evIfLn3LSS4tmwnyk5/t+jINrtxCVkM/1mIP8Qf/
yISsvwBd7m/dHNfJAl3PIW+isUnfkiGkGS8+FZ7Ar0pVaRkDlHofoXSv56R6Rlb8EOnmmgWw2XN5
9yAPTnZUBucwjn8mcT2AWGmGGxKVIGEkpJzwR1CQ6qY4Np/CIUSRYuqnuKxp8hbVNRjEReuAfGL3
/uYbBp2RYcTe1OXfnXD4OYkuY2ftT4RC8oj59Ojt+s6XIKFrnczqsQy+OXJKLjURkYEns0M2cWe3
jjoALF+926fB9ew5n9GvLpEOllqPdipwUXogJNWLfYa56o7GJqoI6z7PlPu4nOO8GneRwwzXsmeJ
TVi8BGkoz8MwqqPj9gzZjEcfozZUpt5G+RYaVBl4UQUFxCESzFdQp1wWBYQ/aBlRGVRmJEtlB6/3
q01Q2iOvKnaoilF4mspgIGfSyyHSBFxE+8Seg0QZozyNidQ6pPExJjSNQMq3nPj4DQG7mP2LQCGV
n9ZTte0DxXMzDQ3BQ2m8q0RBYFzl0e0wkh1p3vsBvRom6DeyWPzNZ6Ly370DWOVd13YNUhZ+k5TD
lefYoxrjtigOk5iQE90AmWSduhSxadNxcCNp4eCUBidgEQSHRXVgVIncuymN597PDDTR0HZr+8wF
hfoYFK/OKEidD7VHOK0G3rGcRgwTs5giPTE/MYz8g2sLN4urS9OG2W5CavvVMNIOFZ2eIpluupgk
4naZ75xIFdeADJhpalb0mwNGHqhl/aJT1zqO221HmhyHlcE6EIcmdsQSDd9qsKPHgzsyepKa/1cr
45sPh+O7psF1tLUhfB07pZOtHH8i7TdmX9mvDg7YKxBhBMEXBk7zD4yFqPL6rgV7+G7Zyk1Qn37l
czYlGpxNwfM4IaPyxLNA/LUJgsGvGmsFLP5Th/nvHnzpuRClPd3E2ybkBz9xV9ddXGSBdltOh1pu
VS85g6EROueG/NASCQehzDqExJWWUAVkxkBHhePq2ZUDU4sBwakxb6EBUu2qeksjumOJM8zKoGbd
zZIvmANg6qV1gAZVP/37/Wz+4+u3LYLyDMMQppjNRX8zv3FWp8/TTNqtMIvtyPp5W+jArhjsw1Jw
0NvZhMiH6UKweHqkEG6XU76BAXRFI/yk2fbPoCBNOq+tV72ihBGb0INgnMMx3+Xy1au6ajf2/riS
oU8EZj0lG79glcpj8sczw8i3PcrdY6Bi0seZqm8glXJqyd1PoDW/ozlMV6fZghHCgbBtfySu+qmd
O70srRsTIM58qIzv+ng6LbTVpdZbLqIPVYfGgXFMSrfeegT6wVzdLkq7nPnxtu2nI3nP8Tkn+BkO
svMEpPRPx/65nEd0mMjHTy7S7xwAl1etS8N0adD+xtyjkynSxhXmrYISsC2jaCMVtnl0pk8msxso
dqipbdPbB6Jsd3FGCluvMTFLI6RjMxN4Fn6M/OiReFCFFhButIXR6hjsl8NcZaPwqWdtie3r0IFn
z8hyrKyNjKsWCaY/hn+h4AEOMx8kbVlpW86cn3rf//GdgmvQPVyl3m88TWUxeg8zBig1i/zajhBT
kdj2U8Rzyms3mZyMsIXGvb91veoE16vfBcaQbmpbZSvhlOFeH3raLCx66GJlSfY7RdAiZqXLa228
BNFWypyyZQbyyVX6fVHiKtngETC0OLyD+b397VEyhQGAkuS7G57ti64imoxVBNBuBIPSpnOrpiWz
KzHZHRtoa9sgltCeaw7qFNlBoNoNsZ3RDumMfYlrgMsZda3P3A1lYsrZJTUfp8z6VhTlX0irSOOs
cBXmeLB3mPzN1XL3lRZ+MYXzpu6901KE/vub/AczqavbAkekrc9Y/49m2Znw0QcQh5F/EzTM0bj9
ZqRgFXFQNQx9Lf9MiKIITmEt3PtgNtzDc1eM7/ZqKpBXtkl1qhpylns9eg7iMdnkGQrnvCUy+5OX
+k/Xw7HnRY2Hx5T6B46CpncGkxDcX1HKI5y0fGSY4Tq0FYB9WbWLk2ax24lyJDtNMAwnnDfdBL2u
1p+8kt/tkC7ufNsmEoENC13hr3dGL0oBwTDFh2YgngsHWNxebV7NXVGb+sZODRcf2lQfzYgmNqOl
c8KGXGbHZfl3aldb8bGpT3zB4vel3yVqYL5bYTKSFvXh88GRhcMjZ1XpJA3fbJYZI1Q2hmg6IL13
VsujZuRyg2bfovLsS5AecHf3NjPfMax+qhaLI/6+ZKO0FvRCKfeQGoarqFBMKt39C8v6HFD8uU/4
Hz5Q8siAZssZS+LoH3YtijwY5X3t3Ga9P7LdU6cjv/cKfG7L0+R2nAxKHNfMnb0/FdNgo4is99Zq
WoPfn73yqdL/+7rEZZmWOLDmwsT8uMHg5SY8Zkjs2/IwCllgZ5HGX8NEXCA8Wn1jzViTQisZjc9y
3aXHZ+Qc/v/9jvunnY79HDDGvJSabHu/3nFaRQLYPHq5pVM87k2NHTc2j6CYB0bu4DA4oY27gvH1
MBEJuJSoimoOcrWzRiknt24mfPbrAuBcoHX72LcFJvziunQq7LJnE1HyatUy+Oyl/9O1hWgkbccA
dwDc8teXboIDpBZxnJtjleIsy/41zRVseV+vMAFRY8w0zA1xoD/yQQ/P5AeqTd0Legg4VzU0DQ95
Hxq4MPh2Gi0LAl7a7xFNWoek/ZoJZWHKIuKyLo2n3OPwqsWtfpq9bf/9NeCDty3uT8Fa+bG0Im8x
0wJTuvDFPQ2kn9Z9aWvncame8jB77d3wFvagaCzSwRk/yF2iMy1SV9VjKFlO0u+cJNUd8nfIL868
4a4/S8wt/ZD4j//+ipfF+9ey2uV0LKElwUuaNW+/fvTNAEU3Clv7toglOxttpJXQL6rHaIemhMH2
5PzAoeBjXMpuy82rB9Y1s+mLuWZrQi4f4zsrSo7MOJPtv78683d0D1g1g1XUEhYA+48cg7YtlDOR
zXG/aDUVDN8N6gFzq6X8ejDc+mmQSHMcqcpNFfVPZR4eltWAhIYXJoj9tQW78FQ4xqtA63OqnAfk
pT0iz1a71IU9rHU64LpPxd1A2+NXvY/7aghsdWKPD5qEIa/s/WKASbzmB6VsvpqSBNC2n2z7SO4j
YiuOchbV/fub/wcywky6JE3XcjnucH779dKkdm9pQ9HENK3ZH3Q3+JLjtKRjIKxNiOZlH+rts1sF
4ZlkOP+4DD/SxPLug/gTvgsLLb/rw23iEjoICUryeigwfn0tqGB7a6pFeL/UVQHd8WORwfIgqbxN
cjhUNJsrkx5WMslbnRvUCVkRUslFV/jNGJOwwkCuhc+nz75IYglU883nWUQ7+1CAY0X6MWzaUn9J
C6ffOggLd8uXCS703miycEt5wbisiR5zi2au7LrpYmidux4jEN9LFa9Gt6W3imw4Kcwv5izOrlUK
t9cZgaJh2Wmjjt68P6xCXTa46ug46AxlBpY8LQFOiWVO2NNLFppvy1qSO8n3NMppSFTGNa2VcRcG
2cYsW4D/OZDZgBAdspvO0lDf247TXMsEYLV0UXQLi1VcfvWcEQ9uhIp2AiixIuTKeRh6+UI7Bflk
fAuaIfuZW+lNQ4nLYammx5pfsEiaD0Hu7hYlf9zgtI2tcmNj+mSG0hq0yKbgkkn3Meg6SniuHGMM
JMkZJuVjgZ8Uk3ARnRDZ/WXrFYxGn4OoF/6McgDX//19CkJy9k2DpPsdzY+TI8GHx326dGCNzLsj
jJDiNRQ/XX1A3ZSMNGmMcTy+E6znEY7b1tWxQyzwyWv5hwXDo0YVIA2Fwwo84wH+VpAHHlNbRurR
/QCTfGXko7NdvPtFr5/wEXWH5SUsKJc/Bf7EPQfWcl0lxtHLpi8D7dwNQOSdn+A5xYkzfXJgMH4n
jKA7FCjdCaT6hy5GZ9dm3lc2DCS6r3SAgC3X4luVYVtsi7J6MSZ/Gw7I6TOIkAdzQh0est8WVgQX
iDHlunDNP8IGC0eoCmPdxuFRdvGnRc1C8fn1efdmvo+ARgZtynQ/AGTGzvc61QfpfehoANEzgmHm
L9IghUN30Luxa5W24sValXYOkW9g5SjXwurUuvJGecXoh//VGLd62jRrrwXeuBRIyw29HDQ1cEEr
uwP9oaPotMca7ETailc59dbVxKL3YANTTDx9o0ThbAOHiFBnjMqVl0dEImbuWdbVTy83/zTY1/e6
WSXb4t7pnkykKNvCn4Jr6ogvg8nxty84a1hajWh7TjWRNTfHSDMzJRBFw9ZZQXs3UVSvDeTWRx74
NGqLo9M2L4vyvrBwrGplgDinQzxQxs+GYhiZ4LCe82aKa2WrvTS9/kiJZ6xVnHb0ABssWUXhn2nA
/wn1IdxX8aB2pLAwVQmd6hqW/Rxnx4cwNOpRgf8HHEvijVngPy6xQtjuYF77mv6WBqj1vmXqs0+1
sdhNLNGb2cw4pM0hL+4r3RlOLjr3TVzml17NURAxhsXJI0yu7cfpzsqSc9U07aELu3hn8StW8SCN
16WJXHSJdS3s+y7KtV0k6/po2ONbWqOyHGbqQ1bUzarKyMvJIkyWxhCaJ7fyHkY9P40xbecxLR+W
YcfQm9900TIITYMv4/Q66WRTw3w4N6TCrSk1GCd24khXa7+YjRXinE3JqLEXqt8G9jRiM7d0VEtB
wdTFP7lR4PwUEXq46TNSsPj9sEhD0QAy64ItnNuiH9YKcpqYXafqPggJF7TMxDrrpNKAub8MzDmI
dS6JCButM8MIcVNBqaNW8zBuWA5AeuUwFq4SsSdVmdJOe/Imf81EbNpHNMM3oMpWsme6+MkC93up
DGpM52ApoL/BT/jQcXCatJxSwunu6eg2NNqLSwnK6DwaI2pGA+ayjfRuXeYRegTUy1ah41xhl0KT
CsmuehZ2Yz6PUfj876/LnOvEXxYMRixAp4iNof6gUviwYIRoQtOMufADmENkakTFCN+rdk6tnZhl
o+ny2nstUavleeqSiomnwCg590EWWpFMi4NjFa8p68hOn0krHFMNxm9BfV5+Ci1XdoCiFiIQmBFC
vvS3bcL4Oc0wAwbWDmEFgTCTAKARVY9OR/hX4SBD8lMCHKD1IEoZF+m6cUeMO/WiT3vSAPD0ySGA
3JMPn4XF+EzCnqYTQbn0W7EkmfMXdju2t6VxthT/xWgfOM+vB7vvtm45ejutUV/bBs0IWa+VewkK
5lyLWT7PUF7UMnpoq1VpPDSsul7kvIRh+t6Im2ihnkIvuC2lmG59VVbTHJbFNfSZ0xol64Af1xbp
SwRtBtIeTg1V8AYPTnZV33tfOy/lbGcTDR7LCq21q1G25OGAERcRuI346tT42RWE4L5lZPZEKYcX
MoZAOTbktWCfkreUQ5iVNwfUrM5d1zvBJp+CH70Yh6dRyJeFujLqb33XXNACeuvMbplxp+qbMK0f
po3XD3Sh2ujJtBUqaHeL8SuWDY0Qc8Cw0VGrERef0/hUG09SNISm+6UKkCyayAfXozuiVXDNfZ33
a684GZogfUHpz8v9kXllvuPo/Rwz5icawDhGkVWif+MmWQYFjqUdBQOZ61LpjUOFAqetLpIuXVKM
jBtD+cCQMD3wBqJd2UYMa8qrLlGO19VoblUa/anJL4FpnmqEJHCWTPmwTIuJaaf/aG3zBlSrQwDN
xia1b0ee8JWZfw3V00PWbw44u8Ni3Qe9eavrAEybg0gu6YhSnfkuy99SiqJhjFyVt+VNkf+ERTrv
NRwJCpYLd3/XiPIpglY2H9EMdGnUo1OB6WH4jrep2AYNahpRZR551OjpcfkcF1mF5Qazcip19TtV
l+w1FG9odBGzDGN6scBZH8i5fxokkVzQrQHdiHthtNZeVs1jS4Dbck4NbeeLgCz+pYv+RLGh79zM
Ieph5A7sc55nglk0S8HMG/JbDuYZwEl6yfG6ncl1+/cVyPh4RKEPa0kDWrjpwCH7rWNue30+xkal
3/y2Dw+1BHs6JagZaztMeO7wFJthfVcZMArZovqDm9bWe3n3/7MdxLx5/r+z65/aP39E3/8e6rD8
D++hDiQ3sGNRTtKc+jW33jD+Q80NqGuGuRog1Nk0/jfUwfH+ozvzFPN/kxxs+z8gci3WU/4ayT/+
q7B6a94l/7Zb6bC8odTZpkPv3gRj+eGYYAylshwXAG4T6PmlzbTh3hvS9pKX7jXX0bWF+Y+ssFE/
oZu540+Ie4IDMvcSgjTIH6eRaZFHYqCrxH7iIbq4ceWvMG2E73CFrh79GRL0mM91aFgjuwo6rDCI
OYxD0ECRjYoIDxlC1M0ccdjjLGQMVuwtQExk18xpMnOzPSAV0hwxOdT8xxcykcIEiVMXYPcPw7J7
+ttVu3//AP6e7u182Lnor9IJ0h3Q++Z8wT6OiZ1ceMPQEGf8foRXSgOb6mFc64N2vANhqr0AtJ+D
fXHCWCLfI1uvHwuJtwzjSYCAcIdMwoEGlVUkGKHoCohB3yk8UCuYMcNbnFBuDzUG+JDKbO2WWXj1
eydeW5KkAsNS1T6efRI2YKPV4su1WJFJaDHMC2YLE2cqJ7PlW/xQSDXlq946Z6sR8irmL4mhl9uw
TRjTGZqL9D6mtMbH8YWakxO+kmB5GjF9qUq/egglx+b5O7/rdHScLMsk3z14fqR/6Wo2jqypjLOc
vw1H39yE01CvPTZKJLXCfO1FxQWZzOm6fFu/plbZHP79kli/XxKuCC1DnXLClIDWf61SwyF2kXba
7capkERMP1GG+q+EQ1X7DNrIDrGP9mo3TYdrzbMYPznxaxtjUSrDlzR81jh2n7H3FOVq4bqRlyjW
fI7Nxr8MDLfv2rYUd8u/dfO3pmq0TRnk3roMOIASto3lTyHvBH7oX8OiaV6D6c5AvfyS8AAz/Dff
9FE4LwG2ZOJer/pk3hg7hk+tSL+FQ/3HBBvnXDhyoNPcNM+JtAOacp+cqz/OtDmr0mwVFpMfFgmd
4I9fPyXYjLDoPBN4tmv4EMod8dyIsTs2Tgj/ocrNZ8dLkQyaQcYLBRPdyhS7GLSSrVv5eArnhOHC
fG49aQ1YAap8zYAU9rltGihZMFIIUu/xrbhI1xvDBWgVenjcIESdC8R7L3abBiiGrX6vWz97qzOu
eg1aZhpT6zhlDZVVBLnt3++N5dr/sow5NMypKyg0ybiBofrru67rZOgY6pIXXTkIbiI95rHKq8tU
M2pqKo8i18sx9oSawrkTSkLcfWIjY9d+CWRR7iJtGHeR42b3k+v7RxWifyUJLAkOdiEBG0SnxWAk
qip9CBjX+yMkkG5s/DtbgMUenLx+6pGO7IzEK0k9E8MJb5B2aiuabV0GUubf37D47WGAKYTD2KHH
Y5MB9HF+hdpNFmZeNxt76JNNbKcm/o203Y34ilczjOTYB8VzRP7zGwGLxwTW7TPWGv3gJdFjihhp
fnAbaEvoyVBxNJcqqjB2LN8vXyLdiQ7Uze5r6Rl/wr4xHiNUsIwNy2Iriiz55B0tr/jXSygtNkZa
qiYkc+ZHv17CvHKHgfNEtdEpNU1JRPnYROIYq0KSbgkQ0W8JeM/yFIyAlSGFVfLWdbMvmLnr//1S
dO5bXGjauYTZvy8sQJP2HOBbRzrJryFgXRhiV57H7tEto43og+C+mghKNbxuhvlY5Pc00YQNM7qr
5FQd0ql9tMJx2qf+xC+Cqrh3uuIrBIEQYpQVXL389P4cqKY37wqijEjLcd88ZEEbF8X8oVfqZI6B
z6yAUGCa9Tkq00q91Cn2EfgLm1aVxnXEwXFx+7beJgMAmALhwaSZ9U/TG16JOfhkNRUL6PXXzxuX
JsMZUPse87qPjS1oFanMQ7hEpdaOa5XKbIt8oCnWU0fodR25/VHP1fAYDe65lJ35imlSO5YcYTdt
a3pfmH+mW/xYap+IJr0ovzLb9QAeCFhd+0rOgQ4pJIBJgaLi2Ewp6ZLWDAPVxBdADM8YqOTZiYib
QyptP5EqsLWqYBt3nnkvsSow4Xf6g0ELQVsBXDhhfEWcVRXjQcyLmEfuzSYsjGqduW656lAWoViO
+2OtD8GaaDQ95zy6hyiGZSMJUd6wlD0gKQVsCj4hssE36F4dHbLRLe/7GKEn/blz0qT2Uw7qc1ur
n/FUI+1lLnFyNQaIg53+6PDvHDFCBle0wtnaNTu4bbH2rhJdpKLdNHk3buIKCrGVt2/K8JFFtp6B
Zjb4Q7OhN5fYKdct4CPETgXrpy4hxOgaevIstb6adXYtZwtV7ysBjBdysKaX7bYmKnnXTF25bxB6
bZelPANuvQ88A1oYnqN1AVlpjQuq+guB/hM6XWY6i2qdNJQQKrr93HKsPPYzLou172fdhNqRhMMM
hXO3y5zwq1/U/lbEQb/Wwnw8mU3GXwH9tLtifa8uhV9zsHmq26J4ZU6l7kSQpau27cabPmYEIuEf
+pb4YKKgDY0z0YzZetjXe9MiqjtoCtwvgplGwoPXpiQ2tkTZndJkekhbH+pE54LOibzqUTnFVzW4
2Vs84bUMiq4+B4ljfamK/lzOf547YBo7BxjkEEhcRmEFbCjSDQlsbGxPrtkXL5YVUOTodmWDEvCN
Ve/CKnXs18EpejoMDhpgs6wfk1BszJ4AsjFUd1npQN1ctjVlwAW2C+x0uAjepkgqoDm4EioCOJvJ
3lTAsV7tMHxAA8LkjRaLj4wed25ewBuIe1OcqLmsCu5vdy8gbT1PHZK8ys/iL1FYyy0hhTs7MVF4
Y9K+Kz07Zeji99+pgVYAMpttNjO1UkiO+ymxgq2YN/PlWzHd+wF2NGN+FPL/8wMtmtGbrY9fJonZ
PajTBoU7T26bi2OVTlt3HPM3RrZzcCCmCTpDPLJpFSZnlEfpCXknMJWkPDrC7Cho9ZtrJ/1dT0XK
ODyI0q8pXQtAOGZ8ayxtrxKkSCryWbZwy+9qCorRksm5kCM2HGXGK8xl1nt/0zDHpwpTjLExyTg/
eaPI7iNNQGbsLI3OqB7/QKmAjnki0NrZ8XQ2oZSH5VEjxKpcu3opdssKMtArUNY43Lsh0kCmpbd2
fuYmA4d6xYq5UxnJnstPhAWoXUDUbQWxqaXLNdTphpXOv6MQ8e+Wf2sj2uJOhElNVMYn4jVmxx8O
4xwdXCyg9CdJhJjnyh/ECEQVtJgdhbGWy6cdQvG7iL7y9jpmbcI34Y+mk1Ne5Uobwc1U5XjvwlPx
VwGLGDm/fsWz/VWnfc3JI/nLMyEujRgJp667Tkme3yMmfAqiQSV4lxpzA87JPw9j6Z8bxBFYIVBz
27BzosS6M2zsjoXPsYmO5IPR69nVLKzTSG13UAxWUI1oxFRY+XPV1PR6AhiUgBma29ST1Du/lITW
P9UcIe2glJ7SkpDavkvsdWV45Q6PH6QLO212Iu+cr1Ofbnuk3X+Au7svveZn7jfWZbST4lE02hua
6d0g4+TOwGr3xfLREQdJm1w629rhGQw2gir6mQxWc1Ma4q52TGsbVP0ILacA9+o5+87L+Jyw5m3y
np9f3KxZPF2GISh38QwvVXqeHt7XwSbWXW47DZlyZKHdGqeSnc/ztguiLSszZ1fFZbyxYIQB3Yge
IVOLY+RmLYOb9uZEXXtZPm8EIijPaMLDA0h/juxV1/dlUqJ1LTL6cTGdvDeb7OeVh24ecA+qC73C
GqRQOT8EXUT4OXI5yAQd4QJ20NDAFJJUwPhFBHA+QPv8MGdhtGpz7TDk7kNBnoZ1JL/2oazL4bBs
x3GWvyajyhjpcA1jFu4NLTBxV6EaOuROhZtDjuvYAzpYCit+Gt3hR8jJ6r52pp9mabhHkhlqFsWU
wFTsAObm/S4yAvPr8px1GExXXm2TcRY+jf6A62O+bQDC8wXUxOr9becJy6Qu+tFejXryGgo4u9lc
FwW14a3hfTJYnhzMcu/Pco95qQxcgj+ajl9cVcxXqtg65nCX+A+ogcM89m5FZGPgdvAx54Zxl+cd
/QTnf6g6ryVHsXXrPhEReHMrCXmTqfR1Q2RVZeH9ggU8/T9AHf8550ahrO7du1KCxWfmHBM9j5+m
ZPhlRvRdWhkp2CTPuKsxljEcpsswVwEkMk/7uOntlVNX5tWaX5oaCOOwnGMjoMptplNQzDfK8mLT
PG8f/7Sse7zEiY3fntJkm4wtiVJ6olHSd9F+dnooCYkQRSmKzwJCKsGTqrtO+qbe1xMnNmUmBWEu
1B273ps2wggKdRF92QZW3GTK/+RUgI0E5ke1cX+86GO+7nC8dnE3n0tGvZ4qYO1Ee6lYr3Cvm6X5
L8T9T4BU9T7VUNedJpUrm02bg9/Glu5puYgHSt6zQAaE/HJVdvo9snQovJEFOtLQNpGIxEFtHfHU
CtxplvkDzrn4ruu/7eTYl0oD6RWK3xnp9r/IK4qAVOAddgakJJTJDZRRcB/rxO7b3wbBT6An4308
Qk6EXGFcvXKkcghLLn8ZekxndG3LlGCFm5aVGt/r1Q0yIiwEqW2rITbWgZ3XXwhZ59N/+WZk2B50
i/utyWcDbjs1u6LUxi2V3ruXyH5vjdVrRgzeJQe76itGdyixI3sVhb1HQAnGVRdtVI5CeKiFs6/n
NrYZ47dkbP5iP6UdNoPJ21RZQjb60LW3PBJyL2OiCzySCxxlMO6UZQMpFiz3Ctcr91atK35KivlX
1jvPk1Pcu7zfR045vvcpIlMrjn8TS/aHxxmDHRaAEaaR30rfNxvwuL8blVOmKn4N7LZRVJP7q0Zx
cyssSznkQpjdutAwE+GSVHTey2p8LrUGBlElnhdI3OMWs5J2fLLmKqfIsu+iBkeUtJ/Ls2NqmU83
LfTfx6NE8rEnThgmK/5C7lqq3ctyjuYpfQaI/ggEAcXKYvzv3yd1GA5DErjPbUzfWEI9udYdV+CQ
tvZRcpf7E3qTpZDsVCc8KyXYCMUO+ZIUE2V/XH+NZKIolaK+TJ4R75PKfE36Ht8hcSzvYVBQqTs7
gDb6Vc4HR9e/YiH5NvXc+Tui3jZnMFk+etOpDeGxdFwyt9ao5R0J+5Njlt4nsXTWFpYQaAiG/p9j
qF+IcQJ2jMsLZgYJEUNN9KDl1Le+NPhb8NQIQks9jZHDGMib2ltcFjnlr5m8IpKC1xxn+rm2OuVd
AcANf7+BoWL1m5C1VDjTVDyYK9vUG23giACx0IrtYpM7aFkZ5nXvzW5IfdM01p2PtTsL/adr6SNn
IqodDH/wOkhfEabxUUZM9JDwQd2sFAfHT2HfHx+nxAJEsK0u77mobmQbvVJ0vQAwqj6UtIVI5NGO
ONGkXDqto7ISuUJg30QRuuyTqtYK/JwDwA3+ML+feaWIWYFeT/tCif3Q5WnZmL3ySy3P7JB1YNpz
8eUk9nswRcWTNzbWsQ7jVyzMK8EGD7bKWBkYCGPSF/CrU+ti18O1W5y8xs7fkVH6U2epX8NU4o2s
eztgeRY+La2KETLrKrtPLJlltInbCesAAdQPlInpwSgJE/HTNM6vVmMVREJl/BRO3Hf/804Wlu0j
rUGwWqGiNUMNpUzWn6Io/ifrqHhVbG5P6H4r1UyUV10Y3UWLFE75+SLRXUE0ltHbR51d2mf6BjDa
einb9GlimsU+vQ3gGMSMa4i3Wzl9hDelE/S+yxiMLbKONNQ2b5FRzmUyVrBKseCdcL4V/hTmf6i0
3JMW5mSZqbQ32DvoPOcasvz/haSWI6AhXj3aPp6G4XtpAlumFi7hWX0s76ap2w4Nid9uD5UKSSHx
tEYanhaM6OOJNh+adTWm8XOVKcZB1hqOycksvO2YtN5qyFzbx53cvLnw+YbS6Ji9g5Mk3+xZiKSC
y4b/zycTAu0i3EbFswjFqEywq7OBNXV785pM3LxJXtdI92S18eJ3I3bEq1pO5S4SnrdfgMpqoPy4
Jj5PAXyWgKXx07T7lVUT6qmH5iqI7OyoxuOpmywFpoVGfIrrnqKgO4LNmK6gYtoXlRtVmZpNhaw/
I5CmhtnqavO2UjuV8XNj4fNKw0g7W05k+I/TDnaW9KPaS8+L5y8dSSk2huHupvnWdvhllmiveg60
ZLxtH8mUvefsFC6pwTQjrrzuuwzDtRRoRPNRI0SrZgPW67Hy7iZg+uygN59mt+yuSSn2ciNxrmSl
yM1Qjc3RrJvmrtnBE8m57ahmb/BgI8CbYm/iCqYcdhGx10b+KhQR7qs+/x2obromBi86yql2PlPE
P22inUdIzUSCkF6AiqElEN4u3qv2tqg9UiWlj7Wt7VBaObRS4GNL0djrsMhilSGHMPsvN06Ti5iz
X9vMoZWbMXs8KZx9ZTU5MhSC4liS3lpKy0vtTcOhl+Np6MLysrxU7tWAC1AJiTyiz21unprMGhqk
xrLq/VLjOVj+r7apnPiUge+GXc43QRA865jqAFICFM7Sn5EBWvl2NY7XxLJ/N4Pkb2i447WcvPw6
qS1TCAZml7Ispk0WDGxju97dquP4Bw0TY9gmwaCe0BY/qj5ECPRcsu59IZEBCGl5VMj0spCRz40G
gqRw3+yAOrCuSuu9rt4kl/GbW1TZvfOsQxeN2wb+4DW0w/Y5kObKRAVYKzxqYI9aLzTa4anryXtd
yDymHtWXx61epVp3x+xTwEDAS91pr8i4tVcZV0+qUI5u2ShPcQqqg0JFP5mKrQKUjaiN3YZFKdCj
M1TZDkud5dxi1RMbKiu6q8wN13ALmTgRjgdEwBPmZWzM1fLMc23rTaT42pefzMEbzmlYHuOqmhEF
7qjumqaOuAIIgals7XMZiIUVSCEg7mQ3DNEtjAFaGlLNVo/hEy4tuSJo+PgYSHn1O0nfCWqJubfw
7PbeShQPosXVZEc1gKe5JYlagDfVedTb4Koa0fQCcBv3yTDJg+KJ6UWKjLJ4yuFdBfyYlYFBuIqI
8B0ZarFNMLWGytm2v8KqVSCkwfBJqOxK6Ea8zZa3gw3TSJJruu9sYk1rz/iIo6w4RAqIRQgHjxWE
SW2180hVAUxkzxMc0OoVxn58gsRF7vAXIKC1Emr+MSUIyqucb+E4+YGwkoMsRw+BXOqa881A2dQg
jcDISQKHPoPjjKClEwhgNfSt+W5bRBRjP7A+JAqXEzGZQFiAfOJBctZqTYeSltOAfrZu922CCzod
+A6jwLu7pZuvApQ610BLAC4MrOWiJhvv0cRicuIK3ZuQGe+qM4D+B5YO1pLqN63ybg0zaZfWUY2i
IImxsRbdm3AMfKESlEEXNeuilUm4ioruXNekD9R1/8v10uwk4owj0oisFwqkdYuAbfP4HKqM/3Ym
tENRUA7ZdPMf5RC8qa3MDpX0XlTFqIBqkXoeo+TI8NZidQdQSVpNeRUWGCew1U+PIsCoTZDoxLh5
rf3dZv34Sy9LToaWKYUGk3YDfMJ98dTqEstC+0L/4iEwIjWcR2SKyig3UMeAqFpSi8q0pr+KlN+h
F2FcU6pX5tv5KQhxh9sMhf0s75wV5AW+TC+mvWMc/UKhWW3i1Mlf7Z7xee2hPUokKVguEAufSVhy
NwkrAPcJd275EaXIRrOnZi1wiGkrK3YdDv4iWsuMkYAzcDQ2k1Eep7gu1q0epBsz7HUfG6S9FZQ0
jiHNfyMrWv6LKv4tgmiSKKe2ChjHzLC2agjGDfgSeTUYr+CT7CJQST3svHEwadlmlcnchC7/yvxj
muGq1Ys4gNrGBsJ2s+BkUKEeorA4COC6hxi+9lY2SvntciC6YvomTuKV5eJ3yITPrTLgm/M7ivTi
3SHLhnAOfn3yOto1Nm7jQjiTeemanqzIwtF25Ft+17N71gos2A7zu24kwzec1HpdzbC55QMWmUJO
Sy9c35Jauw5mbfnyUjruPiBd7ujV0VGTUBDXtiwHOsEd+qiC+RcncOMq+X40gVdYhcqyUNcgMCwN
RWEOLM+c1dCk48VwbVxGmqOsDMOIfcxazGpGLjIgkQMnhniCYts+DUE7kDHlMWaG4QJiAAyjF0/l
PW/bt8Gpk6+leBknZ/isW+TllhG9p0x5z3lLxkaLReWTHsy3Z56o7gQk/rjNvigyyuqgiM+TXucX
UIvO1i2a6OKI6L+XFGJOkJUhHOr+Fybi4IdH7qptg+npsRkIBrShUkpf9qH6h0CagpWm0byzGGJ3
as032YyFzdHqnJhwcQktb3Up7sM+MUZtBSM2+e04Yt9RbLLLH/qN8NJ0g9QzOw0t/N9iGsW+QnT/
30Q5hB+PDuC5dEcIerxJ8HZiEsueE1lGR9XycJHUEbxWhwneyZtfxkcZiJoe/mk4o2WzJ11PslNr
NdIXSeceUfoVKx5+yTFo4YMvx4fV7JhK48ugz5lWhmI4l/C9+Ahm0FA3ET3ikn4TWSR4kjbx99GS
hJrxDomOq8XNqcj0jqwiyXxekA1Xg8B+RdkYH0tNe3cKOW2Xk8PRv70yVD7tdCr2yx9DPbVXY9DL
YGuMljen3V7jIel+TC0/RZojvzIJZaqxceSa2eCsa8WCvD+FV8PszFM70ukTZjYd8lDTdqmMCTxp
ePpZah3+1ZR77LpQyaP6fw1wBkC+fl7DP4mk41ziCQhK1KpkUs4/amN5TroCi9wCXuzxxW9sZcSK
oXH/xVlzkhYX1rzUKSv75TFVlBPT6ZWaZDONZx3N+JqRC2aQUPYKHDSbvHfBbDGovTTayuG8ZZc6
wjdBR7yO5+LVDZ3XkTCVjZIQNLcMaFj5ZJekEy9sn7u15kQlCx1G18viKO+TdP3YohkR2d92ViuX
PLWw7s/zBwDN6rqh2ZXtc9iQietaYf94J+b8FoPVHYFpe+p+8y3PcuPuxtFOH4rhXaDKuwo4pEPA
EJgZoLZfFpfLiw3hn/UV+WlK7Bm7Qi+hDs/jAaMuepQm2qeHPPweEmnU5Jce4qw/9lH1UeX1WzJ/
rQnfRywJz1ueuRUEKX95ao71uRJN+mL37hcVFCXq0HR3UFbrsNK119Is/8+7YXBXrUr6RtCqxkVT
Ecmt0twITz2f0vJnineMCQIDcdDJJ2Mgi5Yh563E2HID2KQ0bvfcGUp3eIwxkW6eIM+V1xiocDki
B/eLoGh9ECPZZjKCao9NK18tzUc8dyCFov5xvFZbM2HMX2tC91ZTI/VTpCbO1nQ6xceYJA5NyE6r
AXXwnKt2uX6ssVyEiNaYmwA+huhQk0BE8Vwoz5KcGXKz7Ar8sMSbF4nk8jhMKz09x3N2hEZpvWnr
pr0tL6ozQtAabSrXZp7tERm4aDjMXF7tSAtuuZzatyTWn1M3UMn9Ztox/zR26XR+XLqu+QLE8pQm
EbOGqNpLxuT+cpijaMo3rH+elz9yDM07WmkKXHPeI3iZeQ/GJjs64gJgluC3AVkDJzsSrAFU1SG3
lJNqGTsxAKFeRq2pF0zELaXeNgw868UbWU40IjrBQCyvNSD7/869pfYYG+L7BqPRQHMB2jM64rlD
yDhW2h6peKFvp69DG3GS8k3c3MwgUHTSmDbNmwsUu9E2GUC1513yoylhf4WjpRyKgfzJqg+1L+wD
X5VbGCcmLp9tWATnwgPFLTWv+Ramdu7TYngLM6M+ZKyTtxCE15Gd76a4qeD4e+kHRd9G14lxrPNE
JVu0ytRdAP270ZF4ztNaNYWGOgX9Taef9HspioOLftoPjKQ9W3lrbx+ff9w2I+Y8Zscrd/Ky/56e
jxOx8JRxN2ZBem7QLJ3RpA5rek9GK/NXAPK58LtRazf1hLt1ZSrnx8MKZy0XbsUfTY17y+GvvbiS
+Sj3fI7+lKHC6CKNS0D2n0l7sWC4SesdM1S0t8hJ8PXcSF+0yWWOFHvXbJ7wuzHi524Q9xKr+NaB
eY2auLTaOdoseK7m/Zo9hN+xGNydNZ8HjKmjG2zala0Ma2Oc3eLMXEg6ZfqaUIaPujncQOWYjKfZ
XRDlutXzcnqZQovV4tJFPi593R2L/XLhUrlnK0WKY2HmyRqUTPucj5mxtaJw2MaRCgwpHj8Rvrek
mBeQsweerCiuqo3TtfGB2RuKOs8bnkAvE4lWdhnMYVIMlcS2zlNOAoZVa6tkVmpYgdbjTYQ+BSfN
5ncQlNjKSLhXBccJz8APad32X2Ug/NEcXtuI6ZsN+UkSX8g+NGczbEYcxWlZ7xaVZC2THzWsnEPT
NfZ2aiLvIBHsrHtmw2dLJSu08nhIcuR8sUUl6NQWpBfNMKlFIZCTkl5UrndOKv07kIQE6gWXZKPV
8pQq+HiR1G0BRJ6hqoQ/85uhFdoHpISXoM3Ky/LizISa5d3wpdXHGGb2sSnb9hn22T2y2wIFNclf
a75RHQ9Pf8gb2wIv2O+Xqy+vkx/pNNN2+cmrvP/GYaz/h62uGNqlnM3lXPpRAIQ6UKR2YJpmbeFi
IUaXTXAK+uoPsqdPawwRqgj5EiDkYHldsvUrFB9JwPnxpY9RpD+EE4EB3kEJ7WqLIkesSG92CLgI
an/5nrqezDKGEcEGXlJwMWWR7P7nnZngNUxTQ5LH9L5078tLnKNkYuF+yzUT7KYbkbjVJvrKMuzs
xZDcmbhu3qxysv2sbsx7Mol/BaXga26R3cq63beEOjzONE/sRs/L1ibRVsd6Hsdmsr4wTNJuimJe
AMLaa3PQJjwKivthVaxcbFcND4rkjx4rB9XV3+IZRRraWrixGvW9LCLssbP8Zcz05EaeJ7y8qGCO
CPj5MfWa+pwTUFO3Za2PvzjMnMaOvoBxm6vMMv8lutvx0MvZI+du89IlpGvOgtqe3fNa1ywEtaVy
lDp0qMTISXrUxj7fhchFGOwO5RVTkkEssyQzVWuRp9RsIissa9s4E+3FGVuHyqHLjxGi8lMXh92m
6fTdUp0s12tEeu5G1AhPPFSgGw0l6KXynu0SXVitSntdts5LQXrk3p0vSkjOkKOzyQQtRoryoGvZ
0U5rw29lEL5Uff1mzXcg8+36Vg7aUaqEsBG6fglmYQBxOcWTDiZnlQR6sB+tptwNHHgrEyLwpVK0
xodOgyVJTtoJ0jBjxdprf7xCm5eqRMc0eT/cizbStwEylhPpnPSDy7CglOIHIHx2CiHnHZZ3k0Yu
cBmLeI+d69PMI1xmPeavNSaZqCQGFG+WdgCN0QDZ18nTbeQ5xAl2EmUPFaJDVobM7KsczR/Rc2/o
9l8ba0imKO6x140ZBzZvOh9jsVYy8gny4QylVfeHpDaeM53i1qurm75Do8hOs69GrP35qG6IeHf2
NKDFDZlDRzBZney8wWP0rCXNJTcasQMG91NNorm0dQmWrZ4iGsV5IJwFZrlaFFiFW9VrRxZQfOcV
DHMmcq/mA15GsyxpvsHNiUhZRY4KpgmLTBlGnh1RCGfThlw7VwzLLFpN9fECDJslq/SuEMypUhfZ
yzJREHbeYH6kKALvZWzdgJ22l7j1YQRSc1Ug16+iLB0/+4EEppEVGTkG7qlRzfhqpgwL5+Nfi6zg
GLJEBfhNZVPKv9Lt8leotcsPXh/nr/qsfuafmCzn91LQpC1TwIFjYgtnhSsRyCH+F528QP5nMD6H
0/JjVTAM7voJu8nc6ab82mqyw0Vi/XVFcE7pb8+Wm5cngkf8SYrpbZpQW8cDkR3ZaIT4dWCYQaaG
F+7GxraJBhgNrVJs44lqVGRmsWmiPryoNYPIx21d9617NFUSvdYs5+WBHAc/XgRCrFba40MUstRH
WTN9JsG/ah5+2FOW3pvJHA6iiMiB6yrwLbEQkL0q5SLyfmYt5lsz9NI3S3JJOZANYLuQY6CCxNwL
jc3+4BjG08LcMBtQmaFow7Ne6Rldcptdlnfq/OPjndeo5OpE5IERM8MiJ9q4ZqJ+dx25boEzOH5r
hdnOTJt+kzBMJpNF+8odLTwuzWJOEF3hjPXx0T+Ok3p2UCrxLQ7Vl7S7VaMHprEy3ST0RcNUa5He
lH11kTUcrEQJ/xGyEvyQO5Q3hPgkEwhvZRq1F2Qc8GsGVCqk5j6uEcQe6OWB4UUj1LVlWqqTSKCV
8/itdoYjYUYSprIx/iraYR/YUfeR2ZO5JnBmH8XpeNRqjxRYqaE4SeZgW0N/KbtbOFrJebk0LLX4
91+d3rvRM8Pw33NQIOUs68GVoTbP5LoaO/53fppP+XNbTOYLyozVcqECnDLY0rFSTo33MciKz85Q
ySSvBnuTxnV+rgjLWY2mktyHjtpPQ9kDfowfK9fOVlhImgudebcZi6A7mOYAUVWrOr9kSbJi0d0y
8Zhcf7nLvdPSbNqipqSEen23qgi//VTYRwqR4QJbNGZ4NzLxBEy3gZl+r60kOcWpIp5idquIX4t2
i3VpXD9+ZGqNuDh566yYRYZo3jJdkWuwcjwg41HZaTEUFzlfW1GMuz4gSsQfBdMmXMOouyyDUJ5o
OFT6KI9Knl5ERpYCy3UNeCWXjXTcT4TVlDrFMD7FcYfKnkhworPH4qmIsX8pFZ/Of2NuvunlCUd1
nK/VDofjyB6HZDM19kXQTCdYHg6OaJWsGqVivxlFZFpnkP7H+ThxI0HknktMaqkSTRFGff0rxBRP
QzhWj3fLnz3+qaTOLCuoDEmnB8+dYH0Qppp2cONYeW6tOni2XXczJLDHVvVQdh/Q69nzlkl5LTrg
Bqx/tBtLujmxXdNuqLOdzRKr/tjg6hXZ2fOzOK+KhmbUGTZK2CnPg26s+b3715h12CsxR+cx+K8o
yPS/nUXglbE8QWSSNCvEKfbVssRLpI71K4c3Qd4oHoEXOrAVS9v09imhNvPx/pj2NlXAPTcDbvgy
iY5utOmk2cm/dIif4qHzbogTimPb05OFuUemiE1o5yVMX5a6wW710cee7g5WvMss1tGFiU5RyWzw
IuSkeKh//BIVzqsZ98YuVBJi7RF63asO5SjYFwfdNkOQWv7WDHvYxB058CrpfBW/6KrWe7GFhPMh
JASA1sb3F+t8oSaqUpULh4O6RwlCIpNACcI6eWC/grZFrap1ZlfPFaurjSJsxNnlfkxyFCiByT47
L1/MyWMeHhdkPbk1lmQtXaE1DbEhkjpjkB1XQNQkYVObVijdf0epsRESSrsDRbVF0nux2GIx0g98
JU72rRcx1qi1u9J6+pHfJypqogYbWgke/tE2bPiutbBVGDRHIwaQ3F0PsThYFeZLFUinrQ323jXq
fu2JVdV6LPhb/HcI4v/o2IW35OZsKuEGa70idcpTGyKGyK288O9UszAdDLWxLZu65/O/GFjNN2nb
/dMyC5ryvCIjkmWW34zbSKH7JH2+fx1GBrEhnYvoQ4miPl5jodD8oIvPlmK2Jw2R1pZVPUPgqb/Z
XfzFM3NDtgkhcRE0TB3tDFwX69udqm8zYhAVOmS8pNnfoJ+uE6HX/oBokoMLziPpUmoCUc/iE2lU
5zCSCewntuguavgDoG4b9UTUjdi7sG1+0OPmWyfH6d7VaOA6s5+F2MxBCNDcoDDHgwLN1fRm+iCA
Gp65gAOm5r0PqKNG1z4Olv7Dlil/YvpvbZYXZY6NMAYl2+sTmUNEeJ0HNb0BNpl8yPm/2RfGV3e0
bs24bXsatykn8tHRifQquv7MUFoeO1OheAxluzWJcoeG8K2J4VqX1BhgGX76gNkPlqF/snAMaoBe
rgeTSZ5KlrHfp/I+TKafjh4ds9STtSD6cz1ZnAdxb/0aSENx0tT2VdKYiLz/GIg6ZD+pk4HIQyWE
m4qoEf8psSmbVvnoBm3fF20MWKKiFdTUp0io414lT4UDvH0dbWSXaokIPnC3FpxacjTU9VgSXpcx
Q71W0ZcsEKcNgZbdSzCBuCIcNnJAuzPVfW9qqaxr0bkbeB8mDbH7N8xBs5Pui56k3Umc5KdtWimv
0cBXmkEX09T+jye3wZgjP3eKnecwLQsyDbiNTF89FA07ojKlPDSifUHA4DwndGIy2XRVoW8HC40m
51W1His2f10SA5AQAjhmqm4ZlAlfn5n9TfokxPTOFTLuSS2nuTEQcRehG9w6T+Hf7AgSwbk37dJe
E6RZkenOE63za9V5wTls0SPHxl4MynfAHJWDOhl8tZhIzMpbyZK2hcAvyGWpnAhNRDKyrtR1kmFs
zh3ZEYTUV1yLjtwVhk2/q2+nCKhnkjpkGATpbszVbwaBf6RZ7pgxYuJVmtdQZYk71DjAtPRZQoDZ
TEEk13qthptyqj2c2dF9LFQIHmljbCqF3D6rbg9lOPzSncrdgoP/l0uylIUcjn1epmvSd0ueNXDy
uR/+aXHIA88BQ0Fuz8oV/E5aRb3BIiL3iypltUgEycZh+swtH/91O66FDIThJtPQwoZuvo4mzdno
kNdZXFC6kZnnt2GNaVA1N+DrfEPpoxUUCn0fh1l69CLnkgU86aTJVtHi7tk0Kt93nBvVxen/YGfU
T6zG+VUtjfS9mhGDXpxRWx6ZfgRXUjnQFTXpNayDXdajVYRLeizy4qg0KI2TjF7NaPRVbuvTtYzY
ZXRe14FAFcYijPUjWV1aEzxz5LH8aOyAGEVUAxqywX1bqlf0gdo6MrnFbENn/m0TDYS+Q18pxESy
rjwpUBqeHJzdsy1Sf+VZQBK4ZfW+FsyBfbG6nthV8fTca72DcCgIfmmCUBhKVX3b68gupNn9ECvI
fRsRpe3qHAPJ+EHSdeITcoOQp0vwmhVQK9lDanVxCuRXyXKd0QsIp0irryNx7PlvNYDUbnRtvunt
Nt3Go66u6yl8YlMErrzsdeDr+nngb8r/SfknLbUnt0WAIWrcS27nxfsqFQRBKvWw7YKhOgbhvkuC
e6f3ICZm+20efZZdM1xbM9lNQJiesqr4ULKEcK4qehOJ8UM22N+QdmYzuO7VrT3vyJ20Kasmv5VA
oFaQGCAYKMOXamXuxqYeWBH57ZUR8cYCDksu021m4lltZ4KD2nYrU5+6nW4BtrQScuGqdjxYSRhf
nPnFjNu3SY1/CWvsvzJGoZ0a7hqrVe+pmp3RieUHsKDeqWzY4RKeVZIFRr+gt4Z9n/U0xtyZWG1K
4x/rn5ETfrtRnF94OFnrtBAfWeq5l5hCemN5r04AooaQglWhqfK5fqvEJH2r9r7Gsv1TNMGzHtNM
Y8Vac2Rg4c3RFISTa/kDU59E1ohk2kbzReHIs7C9S6Z1zanUJB9Wm0MwSaKnELk+wHviznDCvZAc
GTy1uih3k8u+OW0K5alh5OQb1MSrAImQK7NgnzoTCcRY5cJWjFdH8CkxKKwIT8YJahKyU0Ky2YSZ
J3dhbU3nSZF86igZj27aP7yoaQpOzbHtkOBEj9UWW3hMQvkpG7LIV8wdAXYqpGSK/DaT5VqM6e/C
xqbtFM5lEk/4hYzdoNP7qJyoG9HUb6WVoneNKGb1oriQEDLH+UQusv6gvKiHrMvqY0Pkk+zBA3pB
xyhMZmfbcOt978Cu6To6ESq8derEXDYmJGeN1c/8RLgqsjhSO2NFiBFz2iEsIdLsrklmpSuNucO2
qXQeVpD8KO+G5qk3U9PH6IET1y6tq5tQqWuaG/m9oyU+WxsiE9XWudmMD1eTEmOqFkipgonkK1V/
wklPMeTSxAs/mEEzpq/VY7nJeXih5pQVc/B03LMpf2syQ906iQeUWfafxMY2Zzue+n1nwBHLQmJv
lV0fqxCGJOqz0BrGXSEN6EvVtIpIk91Ix9tCRWdenWCRElO4nfjroehUlbUx6R3jUdfapGGH68e4
O1LUM2kRRatBUWvp6R/PVKa1MqYmFCGE0NjtS0Zz9W8ajkOod9ZbVLoOeAar3sn8XjYlImqJjmTC
vYOuHOIR+pkjGJ81XX/K4kZXrz0QzJXVaMrGlD1UlJBIDdY6vZ/bwj1RtqxTozCPBb6tdUcBtukY
3qwTWHsk2dHX1+LDYMeyyZShxWDW/APytw7mKLvEz6RmvZM40JOkhGgwxxaWo65NVAhyYOdolpjg
tmSRq3m27pN2O3QZ6xnMaQe4LxdozeUpql4Uutlj4ySHakQ27o77MoT/zkV4Yuiun8lnzbapHTUr
r8439E79K/uQv2QnR0irAu3uzupsNEmbSTdCppoTJ5A+fju9l+1jhmaRtNW97D/cuq3O5Npam9gp
4jVBsTiVGCn4WQr62IpvPMDTPZT3HxlkN7RH5ro0KFijqfQBIX4J3Y6PXoBkht12iDOcMMmWgdeK
9jU8KabM1zqpG9il6JQrexDg1DRyl/SGAZ43HJtEoVrSsn2tFs9079jQw4wshBYIfpulF2/g5Olr
WqYB2kZQpC7fZXSbBBQrx0q4VG2EL4V9qiIdgICqkCWsefmW1favaBC/CTvI1mSnqbtR+ZHJUxvX
zsXIEjzaMhXnMHBodBE3YF0H//FeZUWyRs9Y7JDBcIdPxEoEVcFwETnWumntAc9VTnOM+cZvGuBp
XJ6EpOvZPuQr96vUJebKpZdwMjx5mk4ymfL/2Duz3Mi5bDvPpZ7NwmFPGrf8EH0vKRRqXwgpJbHv
edjNyOPwxPyRWXZW/YDvnYCRABHBaDIUQfKcs/da32qwiLrmCY4xbNmoxTMZgn90yzw6G6b51ORp
c0c1X+bm0i9tsa+Dvl/WDHxIQCpSvqaNqjebcSzKfZykNA8bVEueZKkGUK1cG4ruLlBQ55u0lY9m
7HNWp+0LzR5g0BrjJ9EExSFUCs6p+aaeiOIQTZesP3fnWykKO2JJp6f/y/183svKuyCFuvv+fZfy
RnxoQkfcKLIrtxjhZxkzaATTvbTMXjkXo8v8WJSwvFFEbhwcMiafYkmxwKp9dzs/WnCo0QZuiXXT
h/aaeCVyKk1urJrWWlHWC44aj1PQWdajn29k0w6ryAkuKlKXc0P0S67H497J4+YwYlcMTeeS6TcM
AuKlD2pgE3luPEuLeaVf3yz8kJdcRbjcBmm5NMPmgdgc+9xGNspvHA5BGCZ3ekrDRLRhtQZdYB7S
lMVx0aw6pwoJFvKKtZeO0QotDN4oiquvlXVErZ6SgNl3wJAIXFcHNWHwyO/coSXJKBH+Tg2C90I2
v6qkPpt2hCAiLOQk0ngumS6cSiLMrgqrORPlRF3K8qQ72RS+GjzMGzkI7S7xvpHoDGsalRPpDE5Q
K0DsE77MX67DYT5QhriUsm0vXRF5tClM0kOM0AWG4SovmmJ9ut69b/jaE30z9UZZRbHyZ+kPrDgj
0T5mY8FiX7oLCmL5liWwIGNviA/4BoJFJggkHSic7scM2k/f0TYy+jTaQRTPlyPiZE7L9PLSFFp3
KFLlElBj2XaFb5xVmZC6RljJkriPybGUacheh/NAFWKv6qMJM57QhPP8QO1JcdS7iSHB0/5s7LDX
zvPTlJ5+F+pLmPPTvj9PmW/N+7wWr1UySHX959H5ATGQl7bQEH001DkPf3mD+a4KC/lQGOr299tN
H+xfXtqkhr7uE1Tlf17758PP+zJFx8OjjtVmfgemTv1OG8oH6QsynCvHtw5BEXLTNwrrMN+HDUDa
1HzT09lJDjzFDI/kxnnf/MT5gR6u0rpo3Gg5ZdcGBuVbugLUcmwPybvAtEFzwvlR4y4FrI7UEg9E
QKltPGY9PkXXTR+bwSdlXLdWXG7gzmtTDbYwJzzVfDM1DA2pZmyvLbcpk22kDOvW7N5J5cponP6f
TVt02TntXG9nGvXZkSPEMKJxl2pQDIgCSr8Ct2oa6AHz0aPEaTp74LmPOfzRi9YcigxhPQqy8nMo
agTTSBgYPkCOmPK7cNTkkkfVr0QPzZUX5tFDNbgaso+6vOs0S9+IvlXPcZA520pm0cls43hf5rY4
EOCGlF4Dv0jwmnv0EbjtDGys54iohI3sQPRmlA72zVSZLBougT3ST3cqVlqZquOek0sAdelhqJSf
hrhQgOFsxrbF1UUCJZYS7lp0/u9CDuU7GtxEucT5C1f2ahUgCeCUYuOx2rzMd4NeuVpOr64iSvAL
DYXDpTey+mL831td8KtrumwPZfHcJmVwCcmMpppTi+BiVfI1SZgBkGNVLtHG9Qi/8y1+b+82lcAi
jXpOj4laKcBBBx3SCnAI9j2n7SUZC4Q9hYq1q8eGVDveYxjnB9YELkVeNqbLonvQ1G7zZ19NKnkX
tNoh0hoXhUz07hhpdizdO8WM3Wtsdu5VCYo9LCBvHWKzw3cRDkjO2YyKTdMCxc3WyitmfimUj7RX
87t5AwmouDOlQXm3eQwxzb8ZGtJH00ffpTRlemP+e5j3o20m0a7n6pE6SfNmkDJsidh7SsLWOmI2
1BfegE12yN1fig0uwqRM3kaw5qNmI4cwfeIM3vo20rkS5Mg2xZkSOCj2Qrcmwm1wvadYS6jaUT1b
qGmJJc6z0w0B7bRSi1th5/6psw2S6KnhqToAOwcd/RiIYqdHTBaTrnXXAZS+RWYMUbaBE9rgGVaM
Yopff0swrWwGT2mO80bJaOCyMn5yiyRZ2tGYP0AIbnZWJ/Vd5jbWvQjHchlOtvaS5f+Q+b8aPdgp
iMRfZTUQNIt05yDJA34IKwvzaa/5JPy5oJEV9RnNj7/tLSXYByAzHhHXBb/fw0nHJ0Ee+FNPtZ9e
SBfvytbWbo1dvM7/ie46X8IonWMUCCQunT0eC5IDmKBON2NdCzZwUvdEIchlbaf6BO5XN0bSZg+1
kuQPYd2kC4cIWcNIyJ21zPpaBrK+qp7YCLyQd/MuSoXFUcjua76nSLIKtagVLOohQSl0tglmSttb
jPVzrUZ2gqF4bBm/k4aJSEL2rGxzFj+2+V5ob+AUQpRLmXnn5OLqBb766FX9B1EJVLti37y3XF05
tX7O0i008o9Uyovfs5ivhLRWWIdRnGqZoDqoxh9uly6sMknfChz9U9d/3BJj576Gar8Y6+iNTl4L
OaBCHEpM41WrrXIXs0jehcAXd5VqM1eEZbHwPDP8ldeCvFz7Sw6xcqIxCm9CEaskUM1daDZHadry
kWU9ZnqWfJuyda6UZEDviVwecoes5vluUWrlI8GOG3BFzPcT/ZLGifdoeJ61cnVEPtTu3UfPE6yE
e6Zqlqp+GtAogfzFJM47wwetU/2imPpXg+9kpRQgzz2+2ktVjLTXGgwepBI9Tb+yLo1FE9vlq+zb
L4DoVCX99glLDG3k1Oz2Cd6iISfnQUHEeA8TZJlQVF/x6zx25Zjfk+QTYYNUQcROd+d9dp7nMH/z
p5Iz8IBaJL+fd1mp7e/42Rnmp2f8eUEPRMciOvc4v3zejxafA9pndJMN3bHF/IhfQECsaLHMr6dJ
ajGxa+N120BmnjciNcVhmDZ/7s63CkSRzOX/Xw+7hYe5UOs385Or+cnz28yvmHfOGyO1P8a2yY4p
ClORhMEpBKdCJLnaR6uWtIO1UtXq/bxxh6Te18zSF5YVK/XaKtdK2yT3o0rblvqUcfBFPxwMm4E3
Q6b2YHOKdVqv34E1o1MTe+pbVVn20hSKxunpZ0uDgNQNMY0uQYCWfNLdkkla3xBjaBKi0fcpGjNf
E/GBBv/UcE7O86b31X/emu+qdd8e4eZQDCcGHt38PzdVy89CHDn3+8QKjnahlnvwCO9NTli76NP8
lurYxGkYz3dsb2CPgRtDhqY8da9lTzD5WOf6FR+WfufZFWIFR7vOG0dWfAHMjtej5eK5tY1ho0dc
exuvQy1NwOm9rQ/JORlwOA950XyMRYIxzZdPslTKfd/Y2AOn/SpEqTr7IJo421RItfdxJ40nmwRy
lETuc2RAjXSJBbWqGJCjn3voMnWESpWqvfj1cKIQYv1yY/5rJ9UVsDr6FEASYpxGbn91DQTr81Om
N5Jh575WDh3zios0zU8qwUPcVmcFCM/km6hfhyS7MBvxv21/uFOqLnz1bcRCgalH59ACp2QLQ123
OoAvcnBf5qdWvHXTuf67S+MZMKnXX6TNcMvwMWxKwbAko8Zhfco8IGs8JAucrOvUwdwTgarH3W2X
9xbyqvseAuExp24yuJTtsPXyQKpRjmiQQMzPmJ/ry24Hfso++MY7IFGdTEFhnRHkVjjWppvgbQjy
6mkBUTuA0uKCu8h0sQx9pNnAqH1J3YmdQU704Gq+yfffnNrtfNvEK7UidFdZUghdWayPVtHQVpfa
Tb4qFpmfwF+vLOa1LzMt9g40FDw8OPSLIDRw8GXgMQT19az7kEE9Bou2xT3cWslz26RHao3KKbez
f27G6e68j2XbtlMp6fhR5BLCIO1/fd7vl2nmk48Ta9cNacs636EMF7c+0pwGUe688a3QJ3yZzTjo
5i7XTboLtPryeHz1xzDa9o0enhRB5fJhfqDrHHVlpOTHz3czs3jKuNJv8etQzKosiHp9ZQ+XDNf9
4Ds5F3+vCLbFOtda/c6ynzqu5fdxrSr3RVgq9wSNbqeMlfOf/Wk+MTD4ksQwNttqiA64MeoHTQTp
g/OIRmXcGKagZaZV+nks0T/qdq5+oqthQVI178Sk0F93OvOA8Kp8cDrgfvMz7KTgPAudp3TojG0U
9PfZYBCrhLP2qbVURNJ18xm1REYPXd6BtSZCnaIjaT7TA5DeFHrOWpIjMs2xn7eqAzVdususDKud
6qC565BqPjNC0TFK1ckMVcqVi6v8waiwzZaKtXGLUL3hlkg3RC2KdT55CXujiA8KvyyWNR7VQ1yj
Wv3O2v4xa4r8NWsHc9slCA7R62SvuNdwewWuvDRWpd2phSQrvuzDh4B1zIaSHt2DQnSwMTjcWH4z
p67jatPQGtyyNAnoMKoEUKI9fZRofJZB1FfPqYXNEgMiSXt+M5zSwbzoWqb8OI1Jdzsqv/wgLRai
bOpTXDmI6PMwXocy6u5tJikb1jgohJVUoSCcNuewNxjuFBpWdKh15jGMnRx5h9jBplHzu13GMI8p
bzjNTYHBtyA7Pv4IxuEcBrrrL9CGI/cJfUie1a0rwhFdWg2836ZUEoiqxqIBuicq0psS5snRA1k7
SRfFuxarZ/IF1ZvahRbfKW2zeb+M+iPGx2zZeKIDF5RsndrS7yFiNDfkgUTllEl2EFbX3OyxKTZ4
O5q1wcqBImEL+t4u3bXCRHkrW2N8cajYLQCQthPHLwG6RgBcIl40ElHOud/WKBi8cYuLRG4z19x6
mm+/YzUGT9yK+t7V6DQmJRABVY+Vc51ST0HRs8xElH8KpTimnTc+x21jbMemYeZqpPKZ+cNpfkIf
obCRCJvvTAjzZxpbAR9PZJ8xjS00cumJQmfHwGlXG3VMminRLt+hO2D2o8k3L6dYrfpxfgRMH+r+
+NCk6vAQR7Z1KYW7+rML9w/HgZXfzU+Y90e+2R0Q0bAu5DXzxq57deGgmFk2Pf2agJ8VmZUSxyck
fXfdkAQPctrA3jDvMvX9z54ot/yHTHjwqZ3yMu+37DA41loakR+gy40/Fu2LiqJ1MdhWe0KA3r5U
9VQdaowbjWj7Pqk5RabdDS7sve5UxWp+UeRCUK4pMOznF9E0fU7lWN93lVU86bWxCK3cWaHBGXAe
5Fgs+2m1AigGX6juGUs/KrBCTKsa5Irfps1ktMLIumFY7d8HeV/2lvmB7J5DOKZci3FmuKam/zPv
7wKT5L1RBA9hnIanEpnTqp5eUFbKEjW0/or1izx2YMsELbXlMwfRwXQq80OxLXx1NUjseEoGYylo
PoFIIpdYCf1zE7jGU+tCPNLavDyb8H+fqCz8qFWq/n6waCe8ZL6uBoxxtjQIHU3jcNtMd9Fx3Sw1
rM9M68INLBEAaW7Qky3Z7Pwc+oklJP7xYacog4sRu3rvbGhfhUoQuJIHLNzV5FcC42Pyn9tRuu6h
7ARp9Jl2+nuQQ18PGkrGGhbS6bK7atTh0/CaelHpo4DFBirdFDo64Po8pkF2pOLrszg7Sp+FP3YS
anoVYq0p+04azXmoG22n0Q+DB2yMK4GLmNRVazfaZrtvW6r7RuliolKOvTkGh/leq5f+SugR+Hb0
6xdfZSMYCJa6O0TriaB2aMfMuU4YHo3Q8VQL5SoxVEKkCxW8TJq9MdKynkZTfvHcW5EFLqdmlJ+c
tH9NB5CLBQr9xjPoKMX9IzzWtS2HT6bCpjbQYdK8C7bPYlF6kbZK9G7tmjpkHCXdmHn57ljRuGkp
9ixDxT5VXCJfyLZ78AMl2gQDVfKJbfFuWi3mEUxjquNlhyxOyf3xrZWtRcoT5Ipj2CXahyaxxFqd
oe9Nzz+b0ieXUkuvdogusTaCrU7qzjaptZud9VeIjUujCZ6sqD8bSnpEdnAKh/qmBAoJid7naIkf
XJ34+MV49EbxiTHjbNdxcXaRfyUWX72jxvVu6mbDAk+OlSZgs4REhwlYNINn7DpZIM1rEWikgp+8
yZFrOVFEO7ujMsGfC34j3ZU5bc4uorUk4KMuakcn7KSvVgPiU+ykXrLMFRSUuXIBIuKuB9wdNP7I
O7VTf9WwQqhkjCykxvatuQPUDGy0yzQiv8n0nIWAlA5iqXdWjuIGRMPH1L6ZCcIe0reiwmuCJGRk
sPabxYBU6pBb5gpLoEX7tagWMiW0Vc3DZS2JHnfADKziofsmNnc4s1j+lRJKrzVmu+3g6BQMf8sw
MMQ6NLtbBG3wKR6jW3b16AMcPIUhwxbAFwgmIe+5dtot5b0Xunja2bcpGkT8MbAIky2ah3FbaVQ7
k9XgY7yxIx0kWqzfcjSPi4gTcukFo7kgZYY2nz5G+xIExyL4kLnlHdSBSY8miPw0y19dJpWFr4fd
Mp/CkM30qSG8HMUbZwVo53Vl5JfBygo0lJozJVOfWDQ5S5EHA+/c790EGAX1U6AM1yDTEVH5ZkSD
lrW52o35Qeuiq+7iPBDesO8zv1kVPn0ksFwrxhrZBvQThDiJoGtPKF5hZCD+Qw1z6N3m5mhJAJFT
G7cUwB9jYF1bX5eMWBNQmXCkHyZb2SKz2u90+pNRqq/0IK5WzByCnlahFbivdRn9GKayE0H0jOs0
Zr5Jp62A3k+300J2VzrrJHm0VcLeU5HdHFEGu6DEdqYZybqwC/QWRbpxyuhFL+NP6jpIjduI8tg6
Dv0L/T9WqySSl8caGVimxtraEKSSJ2N3artVMgAb1cHd4o7JMFqCLAjd9JmxrlnUtkXenNLtReHt
oQkvgkDZNk34LcYOxUjbPYluVBZUGYc1aFaxcW2tIm20P6as/pdjbC/pOZNkWtTeMoubC52bVa8E
j67qk6hS6meXgKtF14g3BnauYNr9MHQOlC/kGIWFUjAtaDVG0l/A/74YlM3J78hy7YB+AZ+DJ3D2
iVUTGp8NS5VlkjZPYRgt/T7uUR4kwbKmyMaF/jjKolhoPtHi2uD/UuLiYfojhyT8sLwzsEtWQcR+
jF3FZFvLdrkc3lXNGLb4EE+FjAou2lGMcTDDIKgBTjXMUIMBRjxritqtWowd2VZViPKvzkiYkklD
YCvRsyhnvEUguVodhNO9VN345cmROW0BbBpLntW5PyRJeotchZoBTlsuaoOT1Obojkf1gwsrSkDN
CPaK32fbtlSPWpJUq6SBORBi8D/bxqUzCefd6TmfYwjcW5N3JwtDONrD7LG5JETcnnK67JqTVFPl
4lepUwyKLahwLddgFn3TdGEPCGqno7bFILVOYG75dfrh2IiJ+8aAN5Ul2EaC9KNAQHUL9eZiOtqL
lw8PtV2cx0TSAyqVgLwQm68YbSmKfk4qI94Vak77vw2ejY4rC7X9aKGE9tUS5VevuCRqCARQyQux
Nru2qcUiK3F0oKUOPLwJRRYDfFE8zMDeotDfdKCCAAeBh6VDjQzCQOiiW+1yLK1vZSwDkuNpH+EU
XsaddyybpF9hOHtTEEloTbwP4gHkljxZ2KD7lrcqOmeFcWVP0fCUjCmBGsNzQ3/XaOT9QFVwCcpl
SXVlFVpEJRe+gokNJmiAcTvxT71NtG/cP1hG014551r6cQJgdvoF6TLacgD5qEuWaTg8Rgg1ENeK
kMW5xa4g81eGpR/sceS6De+1VLyeEBs4b0WYbOoSCKsKlKB2PSyLtUDBVn2hwqAe6qK7HOpiG3by
0qXmsy1ZZ6MI5iQlIIBkvIXdeB9Mt8mY2iKG5Ie5QtBaBtVwIA6O+BxEy2PfQllG7ynDPqEkNyy1
LLpJaSA3ylmrGEr52Wk1vlMruAVVe/Qi6C9uvO8Fyy1gO358X05toaL7tlNlCsL6UMerT6a2iRHC
DLtdGmpbxfTvq+pj1OozyLHvKS1StMFHgoo3ad1gU8dAj/1vRPAktbcl57fhPSuUyBAz7/loHdLe
CrJufqxUrr3AIfwt0vyQhBiCv1RFR45cD6y1+R3QiLQYXQYlsIHeoeRwfYTORCKmi1FHv550hCqP
qcfXR5gE5R8kSGafYRSn0hGKfsQtI9djFTPeSKEtakbBRYVtS4higaf/G2wFaBZLDIvEjQxQBQB1
leqtjZnau0rxUxjJym5H4iMdUS1dko7LEuEFdaV1QXZLS01tD551VTAn29U23aSEq7zhKJ/12KJm
c4n4S3200pR9kqhdZdSCjxDfmMi36bA0IC3dWSKrVm4m3RfPSJ+Duqp/4q4k3ymX77+NpdIe7mnV
BHiKkyUJNt6Sn3DHd6Fs+GzpfnQQ2ygpVDN9cpAZaVqsLCy+OF5ZZrbQjHzHoX80uVWyjkV5aKBI
UwzHfvKnW5mmiMPsZUkV/Z3s761lGfrPSOiPhgDqgznWIqhzmo3CQ187KEcl6q23TkMvRAV24NdM
vrXJt6SXWDmzlGNP6ZzPLNQreH6UzB3aEabSnYdCE/u6hluhxdn9vOn8dqmp199QYr8w5V1jeeQ4
DqOyqnq73qkoVp59B2AT/OSPvG0hUj65JHeugsG0P/ufyI/SX3OYdgKW750Qt9dBdfRVpFtYyWwl
u7R+ev0NSNJCEhLSGK50nLY5fxW8tNlN8Ns+DLshO7lK9hyN3fAemeb5N8C3aofqZKpZuzV6isWG
NfZn8JL5pq5yh8NGSe8VUMHndGJ9pqJfo3AZXh2u0YsERwIY0i5yVxmIv61V2WCra6rHqiqtr8Jg
kee2z05pM5kBCfVnU7UPow46xkrs/JhZcOPa4S2g2zT19jHSFb3gpxzijr7WgEXCQcqpKNlRKhq9
w5kGUTRgfQZK1o1nbkJZD28Zk08nUccPvwHe2tKZXBVy9B8a2tiYaKRyBvT24U6L2T4q9BdsTwwe
AMqwhYZ3v5OkYT9v6sL9NRtrjfSrx7uo1Kz3AI8OJ1rC1q2XI2nDJUT+vKvNG4KkemNnrcmoiLA+
skODj2tXD6aG8soU6WpwshAqEtPce90ESQNcvN4wr4NJU+f2uWr6G6kl6VNljq+dnw33fTniEqnl
PtSH+hknBJRMh8JsF44H4VXFUTc7ZZHgWWl8C6jlBEEg9vFsZtQGGgf8apPQ+UCVtpdRdo35Y07z
kyr0pAt8Uat8Ys4YqaMdCtFuhF1cqokmxHRCIIy36u0wREhQOU5L07bv6yASD9IAUr1sdWSHc1ZI
X6Ijag2XbgSggRFlzIbUx2wHCmLALYJnUM8rhm6BYA+Q/XudYez9bZsDPbRw2gA3z/Q5iBY1t5Qd
oOp1VXcGW/xci1wcMrMm38TBeD1zZr1Oe8diK+9Vt6igw4KdsM6gOMUJ/Cbdp0jy35qsMsPBuMJp
NjEwVGLZeU3wOdbq1qaxaXrXmStWB6H+iLGPyTwnPoUlOgHU43StXvlRG+L45ROymMm4qATTofeT
j9R3Kj6ykSvjly+uQ2Q8Z7LpPmnnPyut8Yo3r7qCW7CWUAvI3m0N+KBZXPSQjhyxa8qie9AoX0V1
K9dxniK1mo+B2Cd0ihHJXGZJ39x5NP9nM5rrfZOjmNx++ynbb+oX6ABYu5cTKE2WXN38LNgnjaWc
fWtSJ6bSgdxKbIxwouu8oQ0c7KVqfycw4UWndI9DbWmAlYuGsliYX6YQVmYnzaEd7OJtDFwLrWVS
YkRVgK7Oxts0dpWz4ZsfiOW8BdAQdWU1PxpJtUgozAIRhYjXslNOdmmbJ2l7Ge6otORX2XXEBNx+
fxF+lxo4nTLzMU2YTdDzDLdKOi6HBt/ozEdHif9mJ01/bxDAsf4Nz6qQV8MrTGmODDbAxajjO8WG
6h8KeEY0NobHUaU5Snh9fIwc+B52q7+QW5DumtFdi64fHs0K8oVX0vrQrI+0MOjDTYk/ZTVSbstH
CKItLDUvKh6Gpgv41eVrZln9FTlEsGDqMjzrBLDUxQTntLJhg6EgvQEJ0omkiy/Qp5xbX4QdBF5i
yixUUGsv9F0KqwLe0UTFmMm3bY4lRkpYrk2IqUdarbILhlw9/R4dBgyJXp4ZizrWm3XZ9PC2a6qb
C1vLjJOYb/aW3VFFL4lEmU5WCJZUud7VkqBzzbWXmd/7u8yX0VFRdgBe3PuCGIwlXpt0kyW/xrh0
WGRGVr/1JcfACCQTTrT1UdTSW7pmpV1qB71OB3FzXXad9axI89rmsFoDjjDZhM3V4bKJW/biTmF0
TogOYP4qIedJvPcMwUINE5rEefXYTdI2B525EhjOQea1uhuYlS4lJvNLWZL/Y0xwej9N4yse2whF
KgzLgfDnFX+4WNpTrFIzhtZOUzNIW91YAFHtICWJvNmk+k7gRMqXrTPE6xym7m/TrgMPTO/L4EGp
BwtMhEPJXdoYTFPIEQKiI+UwemlwzTRh2K+jinKvDj476pFLx2mxWCXDnqa6/9yKHsl3sixGT3kB
uWbgRsVkTVUJaiwUlluhMhkM0haFdRAz6DO8+BReYAEb1Nfnk9+i97Wd/PsX1BVI/F9xUjxFjrp1
4GMezN7qNwV9jR0gQzr4g5Q3uIvqWomiYuPT+Yzx/YOX9kMESJWac1wkYU2Gip6vpd/j73ZqIqYU
z3xuNQYT6A/YAeZB1vGNm753OI52M9H7zwacjbkVkfVBHjYtIp3Aa5Yt4QZ8ALROgoTS/yJLUlP/
mnij2rSEbSIRnemf+td8GJcjLyZOUVmaHhmHJNZuxYDXYravC2yfRxreXwwRaPL7QcGTUY5YEVQK
dYFWgxaKqp0rqMSkLsExCFhUqPHoa2DtwBXovOrDiautMG5yyjabN7pJfarSLGUfVVH4OMDlPdXD
8PbnGSInQrtVK//QEdPB8NueSFjUTjYR5MvaM4p3kpX9haUV1wF9wcU1vPWYxuKiZOR+NAkBuIX5
PfOdvFgzdpVXjGtAfeWbaqfPlTpgQ9X17E6rSRXqp/2OZ2erEVzxoVTqgx5NEuRrGiYJRQ9RXrhc
bJxWbTeW6DXaOFi3bI/qU6HBX582sdEreAHlJoybduqJrXwzPBZ5C4KfU3uDIqc4dPEkHaX7tSzr
1P9wlXadoxX4cvrxC8Jv9URGInQXU4ZHKxLZRcXosxKQUt5izd+D3PO+0k6+mH3QPfsh1Aey0Dss
WcnGS0ztvqD1JbEjHDDvhBdf+Fh8+vIinRDs+7BODT//xrz+LoESNobl7oDTonWeGGYBYS3SZyLW
1sTKDoOVfuP/MA0zx5Iixp1to0HXJ3xMS+RcPQ3ruWF3R9G/oLdqRJt+eFyo144PbNy1oADAsuKP
8NIP6Xgh1I/HLEwToFMiPho4j35v5n2WG2C0x5R5oad8/S1V16sIFZLK/0y8hmYl4XPaIbb1DSs8
t66XHm2K8Jx6pF+0QcLMQfrNV6/fGpMKJxrZr65n9eCazrPshbUqai2hXl0HLCYjlZjkUj6MMD2W
rP6p22eYUCXg6bYdWE+3PRgUdzRfejtFZe0Nn7EbEUGQyPRBMXyYOaNj7Vw1zI9h3h9jqZCWaSbm
rjdEextJJo1iS372NqvnUiGNnUhpceilgi6P+L9pAlutMPZzOMemego9ashj0FziEfJRn+vqzuzb
EIsTYxXECPOq53qztMbcgONcKlQ4fKIcpE39rE7ko6FRiQJZsWJ53t7hG9J2Rf3dwc09YsUNjsW0
USBn8M1MN4Whc3N+HJZ8cCRU+mcO0fr/IZX/eUbl4n/9z8QPf/17SiWplr9DKq2/G0J3LNfSHHLF
NILUuu+6+cfftL+bhoEVGzylI1RT1Qmc/2dEpan+3RSmgf8IwL4QtsOb1blsgn/8zXD/bri67dq6
0DQDG77xt//xH7/6/+5/5/9MYaz/cv9fUxn/Eq0spmg31zRcU3NMS6dX9+8RYYC/qT+klBg9UBvU
k0hmo1rTVcnNA/1JfeKRw3uqXZn/RY6Lzl/w7zGZ0/9sqY5mOMIQhvmX/znMfQSzjmGytjBAgIzx
LVKiGyGzW3X8KXRsUyCIzCRYEfjz7HX6i2iHD2mMd71P7rd7SA8w5gjRUdsDrRi0C93dsb53pH92
6ovkym+U3d5HuqdzEeLozxaKk91Pfaz/PDeO9Ne/fokqpijNMXQyLU1+apPfsfj1cQ0zv/7H39T/
BqjAs4TnoYs2gGCoKo6o6QIirRHhb0UZQrqf+I4NhJJoQ6N03NdWximc628+PpROg0vWV+50omvL
pZ341k734lfWocSy2P1P20jCJbxC5X3jcekqIV16jzZO4aD8dbUlpPIP3wsocqYqZfjkGOrWN/Z2
dhBFsJDk2ZmVW6+o7FNG7xOdaiyMwkF075TP0DZEa4j2HwDjUQ1WMcE5qXZS7PbJy370VzN76ET2
y4CrGgaVu2hg1q98rSL7GKTssmmYphoVuN7UXrSK+zOIVFmSg3WUXnefWwplcyN6pi4T3xmRvJP1
Z98IbTkkarMMa2SvLDeov9qPjsycJYoTxlz3J5QpFLnR32Y+2aZx6b64bfVWSjM6KE54310NPV2m
k5nQK/43e+exHDnSZtlXGZs9/oFDY9EbACGpNZkbGEUSwqEBd4innxPV/7T1LGc/m7SqrCwmGRFw
cb97zwWvvQX9ecRJGo8aHIuy2eZyavuoKKf43qI+lG1d1nN1V45wKwNtR1MzDbE5YZ+r8/S4TeQ+
tlJCRBxmiLVLcwa6Bk8Bu9XQIf6FgGn3lYJvScLuoDYk44rUfmKQ1+XFOLlSkVzpi2t6C4wjVzjM
pRf2HRG79eDUDpE1myMjAkrUl9hZpYUBwtrSfbVuezzTko47Qa9ZWb2vClZMRyd67A4rYIx+e+6K
L7efiHTZ2VPYo+/7ZSnBq1r3klS0OfrgEbM0HrDd4WDqgRvkt1hJDkZrvkHiHuM29EIIoeZToSak
XXStEw3O27rfw78sr0WNOr4FuL6yPLyyuZ/wGjELKbERxwq0o2MCfwu81Ie97O5N52J6Ez2IOUZm
uA5AmTaEtKM6kA+UYeJHyL6kDD7WzPiTurSuaKfb4Sv049Vdj537282YDFyDITPuohN5IGxA49n1
u4OxqKNpSPvWtjnohWgdCMvVvaJXQ9EqvocjcDt22bm2Cya8pH84nCap1z91dSCiHIEwxmT120/Z
zl8EfiUTucsnHtO+L5snohH/W510NqOaMEtxg2gfMKPirCCWq9Vg3Nl0uKKWZZPHchzyu6z3btYa
vdxfW7gflw6zjQa7dAUPaVCXUDQ4nwek3omM0jHD4Dw1i77/x7Zb4u8R52BQHzIoRwrElgXfTv5W
CBLb81J9uqPjcEYyiNDW145AYF998z2biAs0jYjNeTw5xJmvKGO76S1yi7PdvrfCJxXmwTR2g35X
MTOj5w5IjVzcb8qDmpixppXgJf6osPg6HthOLjJNONB0JZ7CmlaOdTJnolL9td8WlzEi1cHsULFs
TbTZcVB8P2iVfcUBk9vdofWGpxanqobWtytVeDEgO3u7VcBDQ2JujeGO0eXpkAvVtqnA+dzS+OFf
tdq7JjUOEDDkA3vpbCK3vF6hr92S4yTvtjbU6mHFbNLfLZMwvx3xc5k+xnWFgI1FStOEMGTgcoeD
ndnVfvEmI3LILs2L7e43nAtJSGQiJvDX1RarYojJMLxU4dGj9nRxext2lkdpM3S4zOb7dCoi31yf
RqO20XeZOcIw5ZOBcJ9aMIBWifIOlpRI5vPcwnDxOvsZfB5GlbZLoIZ9QbBhBFYK740OJH/5aSvz
TweNi8cPb3dJiUXsjAp0d/eFafIjHYT9YGZrFWVuOiaLlw6xc8YW/2ZPjY0+ZvpJbjy4hf6iVdh6
9LyASyCPdZm+FA5vcO1TkGQYk7XvACMKbDqD4Y37STd3RuOBFM9wGHnLgwnwKKnfLR9TSHApfMys
dm/3vFRdx0wSe9MUVwY8GrXJ93lDkBjA3xNuf5Br+0ZLgRVlA7fgsDmtjEpIeEWIBFf9i7gQkC5U
ehG+1nbAe0vhDLQ3do5uAIfHqbLm77lWTkdgGpoefCtSXyJ46VS9xB6cq8TLvc9SiFdVcc2gh4D5
JuOVfeqWh26DYi/t7jwE7rTvTUBznZ+Q/rmMwDl9DNN6BJ1/1FX3MXhBMnatcT1cNVua7kXeDxFU
jhd8eL+jXd31K8OJrHC5pSEKhg4qfEtOYUs/lFHZwDs79yCLIFENlfEyMH7nInwvL2MFVNynRm/p
qe5a+xCmI0VRxoiVwqK/ZbS3/cJzCKy8PfdpV+451pVRrz5C4X8oM8Dhmvs1O6dzUtMQxJP0+sjp
PWaYloxxEsV40v+0NYzmcMkf8NgEhy0oIBNhPzA3j+zJTJTuhrkTVGI8eTCPi7fFzC8rQY+fAPoz
QgKjcFlHuq4e0dBmHqh6bwUEtnLD/uLOSkFkdjX4Kmbb0kbwzFYJHNiJi0qfGokbbkQcQW0PYiyZ
XUwtFCvs7B+ywTEuppP7knfQ6QPvwbkEODzlEG8c2zYBMweD3KGYcx0x0sASPzut7URq5CPU+iRu
7Pae2wumByGave31Oir79DHwjS/MWVio1iWI08B/Hxewhitad01ySC9NxCSC8xo/S7cmrkMpmQsT
ypoJBW79mJCouk3nLCPBtTy0E9NWWbcvucdCMq3f0vJpDx3Y79nbbkHf4JJcVBkNswwOLRJr4b4L
6X+K8rrV5kQakCYuU9wPC+uK9PPbDbpEHFobIbfS+s4K3Ka85vHc4zglZwt1oy6vSaKcrNQ2EGNE
RZJz+jXA5oBpddn/DZntUMHkEZGO1tFWdfEIN+5GZwfLOqh1vu3xuD+RRXxJTdoqa3E5uFiyP1Je
scQrTLpDU/l3nttxxs3Xm9KumZfIMbJHUE9B9mzZ4ZMxdIhtOYzOFnMiaxm9VxNDWzjVW+p+4ae8
MjqoY6Rfau3H8zJ9C5/Wmozos2IOQQecyz1eNn/cJaQ9AONCPM9YkeA4MQbV3WPfwf2Yx24H1Yf5
vfEJJpDH0ndktJ3MSzvB6FQNPnOW+2CWj64777plxU5gFbeXb8YK0kNOz+vimq/ate4UNbtwYVa8
TZjPh8LmKLMFwa5kw+LowkBnnpt4wJtw5bNDHkhQm+iWTwWp66uxSfVhzceX0TaX87iMx1Ci/1dr
Lo9mGpxs/K9Lp/bpDCLwUNpDmOQBK0s3hNleK/lOibP3NPSHizEZSIkx77uLPO8I5OpiwcXFSvJU
BhkLskjpJOjmkzthQuaw/UbATu2HbWJfEP1z7ljdUXVLeePVcPZW2p6urPCnDSj480NFHohI3Jm0
G9nCReFP57uJsOFudHiHXERolMDUHuzDgBS8Ly6OShACEMisH6uY65c1/R01o52Gsta4AqRw5ISK
Iza7WUHNn+mF3wHkahJnyMoYrMCJVpEueebEC/PbbE+WLviowVe4hnHoRI27PSvHNt58z9sVvjO+
OwyUkqEMx/3qqeHIS8a4QHoDbLfwKkepOQMOMmTo0DGL3bcyqtc8ZMLSbTjHlrcpL8PbYpvsneBv
S8PsK1TbSrC4/y7dMjw2NjGIDArph113f2Wvp3tYIv2VIb0bQ1oP7HcbVQRgJDezjt2uKXc6hMtP
0hXrymTd1q25kFJxqitxKQjAUY/pqB2PzaUhcc0FCTERcO5r18Qx+09ztldueCo4VYjE2LPmJ7H4
Nx2TD6Z3OH0zFWyxnVGoZMDHEyLkBcThy9YEg4jIynYZgpUpWjsy0tNG6gyb4HwuBXOsgErUTRUR
nCEkWxAdEZ00zrE31oaZ6xzusOKBUWSiAZfie52dMcbLouJWBu+2c/GC9BPx47y8q1vEF3QaI7up
p/L9n4YJCrMIUowcU03mjw72KFyH/OKtzoyvuiG7OOPnmU3vXkuTkDV+OvoG9s4lz+4tH840rjvy
JNyaC7TXFq11ugB/QFOAFJVcQraDXsW7ycWBpjUaGLbNeB5Iju0Hx91TwEb1cYP9gMg8IxSnfliF
l52zbCFYz9/TDpJtrmQvmE2OSUFpQgaEkXbrmunL0mbeI6GvlxEUYquN72WBQIx9KWuq7WrevG+j
YtvJjJbxg75Q9ODZsMoza9Stvivq9YfqLIwjfciZbiso+2MaeM42/x1fe7PvZqLA3jy8MbW5q7kC
YL9z9gtOqFK59ZUMJaAlDnnNFpASnHkLlcJ5DtCmA3bMxTFnScOC1qbhfTvk9I8VsLiU1V3hXQJP
NBYm/IntAyLTL/adJm7n4i/3OEhk22XkOYyQqvVy3ZlVQDUEjdJ6hI3T42COq6UHSuJ0gFf8LqGl
XgMbWAQHyg0zdOBrGqWt7pQrHv3Mh5lOu9MVfCTjHZNcf/ANiODatgc6ePMt1pifT8VQUPRccmFz
PEVEVJVEt7fBi3sLcHjNLPpywexulQBvw2rs8ZYqT44ckMI1ktr2d5qbyTCRVAQp4EdEmm5drd/G
0L63eCYjofN7nYFVmslnShPzbG2vXGCn4dYIg2e7N9rYz75EdoUtg0k6U3fGxm9iLb6dzZTHVjgg
WfxXMkcQ3b97yHtX2ljNE9sgjzC2wi2d7g2IRsegrmktC8gsyYyTOZ4egn9YTAUIDn2qTKhdKw22
B2Uz6qUGtKmmbyTsd0vlnPj0s82o5Y4jXuFZigoWg1Yaq41DTGqRXO17L2g+p0uFkXZ7uoACYT1J
fZrNduR+TQoQMpbrUpBm5u/uNF2ObOI67NvjPOXmoVbVtdP7PzbFK5Fdc/Jw+wv/6gJLcDrznOnt
tGhfUtCtzVupPTtpC7Pa48ilfHAMnwXYjCv6SsJYTB01liWT5DbsDuw/2K/QtusKW5PTcGIoQCDT
Z68+6kPusRHpoKFEXR49nJZymZGs552j2LPzwT93vmeSiWAQUdegWajHsfyMUm3xHmgiPhhbuGYF
vXPUaNsbHwasY3V5MKr0vSH1dLPNKmqNEvW8xIhe5H54FGI8b77hXUGUptcnP5Zt9TejHil3cu42
Q2/HRs9VNWjKAu877uSpG6hb4SjJAXo4BlPDrbC5k8yyE18yB8wFsX5oCa31RGkw2E+r/HVT41ks
WED/eebcEO8+bwXEv5M55mbET+4fioWZUt+XNMXSxFBPEK42yKyTMGHmCJ295JjAz3VvhZEFpyfG
E+AdlnSyHjGc40wlttd7Bt6KznnEVaNPbk34qLZLjv6Vem4LnT13y3TgzwDeU/fBYLgM1nCeqXrs
om3aRvrw+EMtd/poNBT1NrZQca7BUIzNeNDCMmhbAyUlZtwFulb7jh4yBk3hvczqMUlLGewYZz/7
QxhekTdN8LbyaNUiPI2OPDjZ8Iq5rL7/z19S55VAElM7JzLh7tFk7wTHQtqQkufgjpkDG4hV6X2l
GW6GpiZhgiEz1f3fWTrPoeMTNw/d8ZAG/SNhvpxAEXGRPFiewzlCTloxrQh/14fFDccXexcY7Xtn
8/C79eJEcLmGu6WdrtdSXeOr4uINEmAbrQ9vnm6wpptxiFcz2QTbuCwGPIsnF0erJyxmWZAYyMoT
MBxut6VsEobjmezvp8H7bVX+4i7jvB/gWSbNhC9rs+/V1uPNxm0xNjSWqRaQg/NDUZcb1z3Br4KR
K5peu87YOIylpoJkZQS+QbxzOMSkl5PEJ9RzSOw84Y1vHl2G0FwtKu6WU2/u1pELWdpu+0xgwggY
s+8obMMRAfpcGOJCspynOPOwyte5wfguu6Ts0JFppGQ2w96lW5/wjWQuS+jL2DVTI3hEF9YJ8xiq
roxrLQmncH0FBtlQf71+dO1Aq2g9MJOyADeY6xf/pYuLeQTv0GOgXMnzGCQkkqJWX3Ajikg12OY2
CNoYXHCtuhhpeon3abTFjrQjVErhkseg62VdPtH5efA4m3QUxO9Da3iEq/HtgJtDUwVbtzTeaVj7
75Gj72ARIRkW8wj0nJaDdu53BYP7MW2O9sDNzTfy+qqot720bZQJ1/qhygpIuKDhpKNbrQlmXlf8
P3Lj8oXmcV9l5RmB09ynO99mcc6mimnkPLa7K4EXPylQkizT2y2Kx9jhwzMIcGVlgfZgC/NzIMxX
Aeth8U8ft6pB5TIxSUPSj1gH70IbZ2oFeRz2UHF/SauBsBv5lBHPs0o/GZ0p8tzafg0WvMqh/mpi
2/A+SrvnWKbSP/MiiNIzu4cGx2pooefUWLdykMZ0w/AiQ5lB3MXIXXRaPWAMPE8T1KCuniBSYn65
kYJmqKV3iBGiSIITLRLsjwMwV+4KFebryW5O8yjrHek0mEgeTmyvnGBP06SYFRYp85Kzg2i4xPh3
GxeKC5E68YyS2EjfXweex5leGeelfQGeVmO65YVGh0/6YEkyPBe8k8Yj8X56vPEve0tgoChP5WHU
E9x/R13ntt6VZXvpLupPZaGXGKDZdcGIJMZBQkHSuJvKV1iVoMbxjFNKNx8uYHvoKEiPRxtk5YMy
60caMXTEvfMceoG+8rrDtCxf82zr2CvXG92CKrdlvR5tRxzN2fnjoY1VucsClslHp4EKxMEWh76t
NaTXAmGF77cbgfDaU/ZMTU9hdF/5wqoQlssdmHlia0UWy2qzYnqk8sPljdy8iONICN8kf5F+1u5M
6d/2wEliDpLU3VwTA2YMPUJyypsDfKy3rg6TDe9SJO0LwbK6tvdF0Zp7D6UXY7K8meWwm1MfFkxb
ADaBe+Ytl/gsJTj4tK88BYlOsOiU/R3ovydgAM553OSD4wXVA3hwKovMOJvcb9Gr27JsqOUmPNpA
Ws/DfZHVHGEddUzldtPlq3HTNj8YpdYDta9Uqm3leTCBhVeGv0RScP/HeMEFKlegPlpWEKvCBYQE
Ha/g4mJOjP600mHGSwW5DSJtqr6VqA+BYbEKhOE+5PLDju7gRvH0PSVDQIFswgzSmPuLXpeEC5+t
tkQekgSpkF0zrJo9kwBd+TXv1XRx2OKGX4cCdqIbMxJJrOmCsLK/iynApp7OI1JMhhfb65j9QpX2
fc7creddWi38Aj3eo2Dc4jBo4tyI2jxqvYaey9DrYjsFOo/Uu9ep0limb7yeK+AQoAxUxUTmkj/N
Y43pU7fbEdKWcx1yECwrOjUbQm/A4b+oie/3bHRvYQtXOZ0HMNz0Q8RaNzLKGvfQd4J9TfL2hOaX
e6n5nAE8b7d1Hxwl1r1raqgdZEb1SBaupM9wiAbnzaShCCkA7z+JqN8BNC2dRcWBzz5iE+033EyY
PGknOImNCypg18iFDxItjqL5CTXdd+hTCbL1yffXnUrhUVKB8LhuI9mxEK2pqTd7Zzot9gaiIGG7
8LrIMA59rW/qbHwju33mEMnbByOO2e0Fx3ocDGxbcqYJ3HU9JBIBchnEFsu5uluxPnbdkseZs314
Vv1rj+ErFDgCKHO5Ez6XAytMI4qPe+yF+g1U/quC5cvMh/wyDeYjV7NmmghCMUhctyHD4cS0Jlue
kZCOnvJPgiFHDI0bg7GT8jASDgpz68lz2xcqJnAH2D9BTtPRuubzQbrmfXm5XLQjnDrbfBVbvZ6h
3JO7wxNOmNN1wQ1OOdfkTApM67Zxzgxsa36NhoffKyYBtePEwxnT0Wo/+au4gZS45+Y0EzoFNLUS
mtrq6X3rxHpSpnlKN3c+No35kRZ2d634DRr2kgAMDj2FBlEba7qnmySPCtL5O8cqv4apgAbq22GC
691brRvp+ismnPm0lRC9A59Iq9bom16xFnHbG39Wz4xzvhAwoN0K0ZzdI7+bS87lnfRJKvjzF3Y8
fbU4gD9ht6CHZIrjRf5iSHqb0mZni+J36ER45zTOEZQYR/gluzWkZtzSWui00jkK33yWJauigxBe
G2HEXjjuVbBQ+sBchFD1cBXQ6ZgULQ+YjaciKtDtIgV8jz0VfYjnlvGWH23QaqIeQ+8KZOBqQudh
e6kQY3d5V77qZbvtttzbdzJ7N/ouvCOVSK2Cy3gReMEN+Oxqh2TNycekszFfnsu1eywHC6y73z7i
X34sNGd9yzSSsNyeAQKCuZMN8wntfaWOiA10Eb6J9qXFPx/ZvOgJ++kvCbv7NeUKlzULLxQ3eyoT
MEOnHj2rYbDjLFIQ58MYaPbbA9iOXRpy3VhaD8LbANZlbLHbIQfPzN8it+okeVoshqGvAD/VgAeD
WpxXThdlxgOTT4QwhsH+svr+ZRYXbaEpVLx5Cx+o2jtvxAeWMD1DALWPDBbuc4PmiazhblcuiMBZ
RWZZaevohu1JT8UVFVZHsyU3VwOnTjqa8eoZJqCPHDfbO1rAgX9hyBbT5CbgVADKTj5VndUTghYQ
2Z1rVgmRDfDRhgVnJS2viLvEYnTzg+cv9+HcvIQSWpKR2gtIP3IxIFamSuYcsI/1sj4yylPxEqgH
3TKIm4oXN/C+TACYMAnpCA3hfS4ukWU6SSmwtEs87zcpXJEjuSmAXAbOBk0TCCb25pHP8VcRZL8A
icKWn6DMN7AFmLpBDOOl50JHnqm96vrKuVmBLBzWwaQv0R1+/Ire6glTg5ps3tigfbwYp4Pp3iJz
uNua+c3ciOUO2o3Ze6iduxlqIK5TOL/q3k1Rr/0HOiA6pMDhp7WsZ2IFePXRXuTqvffw7hmmVjsY
fPWBtjSKySrODLVkwi9k+VptOj9BbCAgPLQnuWXUAzFq3xdwVZHmUUrY22O/mapDVsIFyHLm2b5r
n/yFnETmS1pGMfFVwrgL3/dEJAQoWpXulgLMhS957rlRrXEfjlUyjeNrUKu/lAdWO6kwG5jT8mcw
1qcaASpeQ5W+AQNDuiG00xvBo9Pmxe1iOmdvYdjKXRGk9yDkfrC9EEJB8/6wZSYnLi2Ypa3Lq9nO
dkx73QGXXYaroN+7g/GiR8xcTgfk2hz84RRm3eOEG1w14hMQehv/fwPVevrB7ORh8Plf/8eZlHxO
n//jb4M1eb39rP/+x//8U9Rfn1/qL56pf373v/6X/7RQ2fa/TPxJZuCTZqM9LMRN9G8Tlfsvy/ZN
TFLYODju+tir/m2i4mr1L49SP9w5Ib8I82KA/beLijPYv5D62VhgpAvPMT37/8VGZdsBf89/8zNd
3LPoR75n4VZ2A5Ov+n+bgNqwdey0n9GB0jHbeQ50vYHr560pL7Q+eaR5BmJNQwQj9xWzlIVj25qq
8miknCIt7h4pVPZdMEzqjm0ThK859ncWVRQIskS2uFbhhpfj26SH/hhodiFCts7sl/slZ5rNSsrA
mGlrVlZvjKApDeyoEXbLlWnsVJ5Kd9axud3pPC0eMbQKzEIbWKWO2fQWcvRRY0nR52zFpUNMuh45
lo/ebqqUubMDfke7P+vclS+TJDCwNL0XhSN1inOTK9TSvLuj5/zaceuzMeG86Tx7I+BQ4Rexurem
MsenRQ7fyrZeOml0J+VRhlaXYu+6JctsLRoq0mvrtvMFtk+cOcvSYByqKgKui3kz1wkgMDYSo894
RpflA0bVi59+BvVvUKef6PPlH4JPJJZIrNoc17gfknc5dBBPzo7bHDOxIHTlSh0pbXxJpbEkbSOd
q3Xxf2cva/9YAphE52lO1GsKRn2+TD+YY5EGX9XJZZWLl2RIV0BXHRPuTovykek8kpZCRwUehFZN
t9meLbi/ohx0VwymeVDWXNzIEOHMU+ZfwhPreRP136zFSr60tTpCa66vFcEHkKO9ICUoX/rWcQ79
REZeMVPkSM9AlcHc39aazdPQAjxs5qA8gWXB9zEYOmEigC1I6CopRO0+2Vt+PfZM2AtP2c/zhR+W
Tp3/4i8TzPzhC7pw/7ZWzHCMtlp3cNjbQ8Dgqq59jjHdJi8drn9MZ2WEFJLc7ZlDlmgkepDPxdi8
52No7mSYgz6mdMM1CVY3AjL+yADGLz6y1hBPa0ZrRpeNeLKdrd9ZGuXAnieBpvuQ4fcndW7uNE9N
0vb+rsbCgK2k+NMOpkO1Q31WGaLBgh5FpLJJ4KoUWMrKP952IVKk8P3DgO7qfqlOLtLKgTT1Gm2q
vWhOJsIRydzaIqztF4rU1zx3+5ruva5APsAEt6PwzUUTdP8u1upi1GvbVxDebPKp84OPvDkui+Jp
qyAvc8LM2zq4d/i3yPCM9uJfN9HROLgiNQfgzMbbts4fvK4ab3l+8ue0nR5yrt1LMbaJqmdabzYn
Q26ly9VjPEyWYMTUgeNx20qsYuaZH6Em6XXX6PStT0Ww6z3GrlPllAzCpukMK9PmToPvfLFa6DFm
f2w7mH6wjB4gfSd5gYWvNibQ4cO558xzrbLxiYcujVNQxLEjO5KjjXvNJnmVeXwa3Rz1Z+umX2ZN
MCGvF1Gb1+UWuDfalIzgQwol7OExLHJ9KJ2AYlRYkIVF8AVP6T0VDgFbs+73fj19LpkddU7xauAR
268lQpC74LjpsdM3blgmBu4GPvX5Gl3ulh3cB7wbefnmeDXwz7BOwN7be1GxUpmct+J0ZvA88l4W
GQZ4dMyrvhoOQMidZ4+QS8oas81emmgKCk6Upu9Qrgmo6y+KMb6yzRFM+MbHqUyfzbog3ZwWkFvF
twNhCIuO2V/35EwW6LZbiDe0lx2S5drxoNFhHGX4wo+6EDrSygZQ61hvnQPB2GPOFNKXNg3lnpPJ
49Kkz9MGlrei0jHy53I/EhLhwmzLg++fypK5UHvIV5yqJiL0BOiEouT6QLvDHd1HWzTlQXkvShdX
eQPQjoWcA++SlCtta9r67r2G13L4mxbyqfTv4dIfuqYJOZeZmKRwdVN10OO1HOgU40OOeU2RKLYE
kA4UfhB25mWxhMfVdy9Gqx+KjUYhq5eobLXrx1NY4TApscYRc2NsgIZUYooEJvpk+kxrLNBWrOOH
UPoPuYBDhhZibM0pBJcWyXlILAvjTZ3Z7TFkTgCQN0WUhDdstZAAJGYnnzj2lcCmrhHYj9CcvLMK
073vOO1dxhKVdOADk5GKggwtyb3N8JYli4MZoZ/6ewKIycwAPjXFsi9NUSK4fPRGE+xqSmuw6Myc
JqGfJ2tHw3knb7cgDSAFw2KB8OMQYSs9RFssG+1JDTw9Tio/BWtO61PJzQd3AQb80vUlCIf1wmUD
NJWmDlfUOY2GgQuXnOcP8NafdWN43LzETZGBESD0OJtmvge1rfkx6afz6WLDuGog/HvXQedZ3FaW
1zbjAakLcQ55/Fc6XJKNjLuocQVmeOmYNNFgPSPopCkH9X/+KQTrxPVJglLVr9qwMkJNYJtxSf/q
ZriliIVbzgREgqUKqXy6ywPGWAXu7kjR4xvZM44jUaR6FyIA4QjsfrThFtxcbKQZZSDr0TFRwGY7
eyh6nBXonlm1t0/BQWzADSuj3ck5YBc0w9vBIqRFsgfEjLnVDNZJauFh/CrFcm7Ekx1iUlnr9q/L
rbGHUtaRnNkFVMlHGLt/ZdlB9fAOvGbdh2OY90GGsUfAG1DDpkgl1tcXXKavppPfa/s9x1EHp4iE
D9kWSpVTquW3bQdAIVI6404VdkZywUjwUecunIF/KLhmYtBUwx1N8EOiFjAxnmlNCSBMzFip3dMQ
rK82vNnJ2q53GBp7WtssvD8C4tvXljL5nVeu6MPi/0U34+gE2B5paMUo0D4h5synfpJ73+huLBac
o+8N745/0DqEYdWjWUxjSXhTl2dH9Vd5MQSnPMxiS7fJ1I+3Ln5U/CnnvOCtZs5O9QeqDgAJaE0/
oKgw9k3Ve9uiKIZq5Z20mw/BkPsYjrNxU/04y/phqGrjsaLQuLsMblrzzqFxL3KzsLo1J/+jgch2
LCiCyfUtFTDycZ1yMOjEatopXA6jYnFPsWnJUU73rtH/FD41bYOFHwUUlB9M1BZyfqNfZj2mDXFq
f95qTqIwYdDbLz1eCzc0C1EjTOEWM9qB0O5jCeAFoFuKyiW6+3InyQr2Jm03f3l32pLZu9MELBjF
Sz3n2U2DGVUwiQnRvRk5sBuLkF7UlCkW5S02RZx1InCyRyX4zMivgc4UykujKWhSZhHP3mby2Pgc
IfyyKa6bp6ozVVxf8vIEvL/Zit04755qLHc7hKnPbmL5n6G/zLK7nl26FQrwGoXzYAzezzZOzSHt
/zb3xoD916pgKWyOBsO13ZaZbV+37pM/uZBOTIb5M9yELAg/yw0HbWh1O7V1P0Gmf9KXlXTESGVY
Y4ZcFQ3qDdzvbsvgYFi5fVN/oqElfZbTo8OMcS7Usd3EPWrtjtG+BLjO+J/SuD3Pf7XTyMiUzaHH
gCjrOGwlPtghLqHWs4WtnYIlxuOiHO5umrKLgwHeeYhIi8NFYCeaQDr29U5PFFF0Bq7Q0pnYqYLv
2jV2GE++Osy8McEjZu3BtTSQe31A/3unHQiu8z/pMotDTdsKU1j64weIHHNKzpz66z1KA/kRwHj4
Aw6zC8TFcxESvMDbpRWR6ExDdU9htnVk2F20QUb4X5JWtAigw4fJe6wx3MRpIVC9cT5Eq/b3eLZx
FxZQOwKfQF0uYGYLTEZtmAQbVuIJi4ndhzkaPylZh/BV3GJXlIHFvKYpeWOLJ/IAcKs6CuJGCTvY
NV/g/6VHByQgliw6dWxx7+Ry2k3D/L01oYgI6t/0s+vtWJhpHp1SbKX2fef1N4ylXwmgfzCgBX8D
GRnXo/wYCw7+IsWa98Zdgurxur4j9EmzCIajQ2Yh11NlFq0B8ymCPI+4OaorzwKHhDn0OrWqP247
/kDXwI4kKXpOayY7gzeffDntcSMYh9A13zLSowj1xrTP7HGH2ntv0u7nNOXrclwtlKDO5kvmGd4J
DJH7vspwjYd/C23cNjh6Ddd46kGLE9nN6XxiM2ZGM1KBAaOlQc7bW1Dej5m3/ejMoMZNDfeoOX/x
ZPMDVdT6UJlJzRBObioSLwed6sUderWbl4utjMM89Hg+vFYPIr3lJjALTHDbZTcpKODIq/qzacgF
q86wk4vJKWZY7CRVHhyryVgPft4+dvB50WlHedKEMGdlzAle9C/MvSfI+JqvxqdB0e9nFO5vXoea
VB0ifrOps9K2nZAqTbAI0RI1NLdjfuldhB+Ebt0UiZO9K1AvNNGH46mXxmF1F6rO3XF60Cr7rMTL
AFeCnsF/Sn+3eKvDR4eraLT4lUN9E5/1ctIj5IXtKXTn9cCczLwKC5ZBphzu3vrf7J1Zk5xG161/
ESfIBDLhtgpq6nlQS60bQmq1mOeZX/89yBHns9s+cvj+XEjh95VsmirI3Ln3Ws8yBRWcro6qYhGi
wknAtmpEZpFh7wTyrrOREzS5huODxaj9eRj7z01j+lM18NO7RrqL8ibwmN2cooVHuLKmfT5p9xBm
bndSuj7NQvVf4hGRReEOX0yXQCr2xz2F1qVsDERx8wuadxJfnKYO7AUKbprqb+CvH7SBNKAfrLt6
rAPmKI4/FuS7WnP0iqyVBifzsF3O9Ax/BZ+g1N8gIn/HDPzdmt3Tas3zgaiziTJ5Ws/4WPcx+H5Q
dbvB4BA44724on350s3u1QIg1KfF+VTB5JkbaznXIdPuPNK0ylJL+iFb6Q0EADeIgM3sRtVw8LLK
45zVzq4NK06pM5+YS36YiUWf6IWVXJrwnqANfJgLOrqoo/9mtfvEEQlTOKiWzH0vuevaAdJp4BYx
CEfg6s0i9rVA98a5w93bGsu8haNBzyb1a2Q+5S3YHFHa5z7i+OXZM+uXJPSX/p+lSvsK4d9baTfi
lAIQ2duKoT/hU9O+jZkNxqQvayw/BMwFdjndMHcd/cm1GKn3n2hNgr8WIKPSFHJJ2r1S/YkTbZDX
2iV8LLdtPNxttH5yOws1F1ENSL9qikFrILUXrXYl8mup5s/r2D2Vco6DjpLlsFAk3qkwu3KhdFO2
aOcnAuU3OKtshNZTD8D4IS0hky0pJ9JlYCTBdANpSHgLWYSSejTuyhS+nCAIiejG+VKL+o14xVww
GWPiXh7NV4r2Dgq8SVr62A0+xpNbrxlYjgs67uRXHkslCXZoNeOl5j4KcUb8ShfpVfGUjoVJUJgr
LuEB54gHkhMs0KCIfCL/2L788ZtpbSS56r2F22Do0tyDqN4SiHhZ9PRYxq63Q19k0J+Z14BJPHjd
WfQHgxBm3Bs6vnMVsI0kb88Zs5WzclOKly4l8GpLyWQWkBEIz4zxquzMDm5ZQe1xmF2cykXLkG3x
XkZbOgEGnZ21rpSldXWPVuheR8VPqrot1Q05/LCymA3pcywX9ESDfQ/y4XbFo8HBaCb7B6hUPWRo
FnO2SVoXCFMehfcwxRlzBg6Mu870romKymBd2f4o4W6OJDHxUDFGSp88DouIgvY24W/oRGAhTrAX
2P44uxlJV+wAa3SXuClWtEXl14T4W/CevHMAztJrc5FvXd5AUC7m575gor+YMQDI8pTXiNzCtCB5
S1cCnTPqNc7sI7oHzqokVjXH3smVPyj0znEFTUNY5q2jsXHiSLN3kii2w1Bg1UHDRmhmTLJY/jgY
2YVqRvhYNBraXd8rki/37FrGzuyo8kxxSNlwz17LFo4t6keToCGyOMeCNQPf2Hzy7OFl642eB0Kg
gqlmO1w5f6ZVNh/zDVwUDirdp4ulkK+nuzpO3SOsui2hnAw9OZE92hUksi/b8L9e3J9eUdyaAmRt
MZwNo0WU6mBVttefbrwQw3HljQqG2Io3xBnWoCw6cBm8P4dZ3nlTOJOXVn7vQDTU1vw1hXakADpn
jkeTZRZfvHRaD+2cvnMUXx4WPEpBnl+5FUJYEvgOspueR+q6q8nS4GEcxEFm2rPGFAQg1C20ERO7
A4BN8jim6LLYKt9PCyegCWYsjbL1LQKiQp0OpxGRNl6nMeuP9fTSR0l7nai4IHdu8WGn+mgCKA85
yvmopiDCknuVdNaPemz6K0FHAGDG0GKUIjAjKFMU5FNRwhHYfivXaUeaJNmXGfYMOdYvEZ22Q5/E
Dalb/NYS3J7vfv2jlDVr6PbvR03tBlX23quFKsPpYOAYAy9021wbzpIfPU/0l4EjyaFZKIK6goSB
Wv2g7Yz6Y2pIDg2TlwwAcGNO+VUN4JCAucXbleRmAXTZ9Q5zLSjvjGWN9N5JhviITUH45PUcBaLk
3bgJeMGgn8ZWzxh3qqfGzbnhAWOESw8cHyfminmFq+l5BHHFnE3oyhD5gZS1kxogomEEyQTDwGkK
HmvHIWyuAivkivM0NhFlmd0Gqnpek7zymQmQJhM36BCmGRlqCAZsKl5zVoXAiRiyYsTNcK9l7h7J
/HUrSgIICTDe2R4+r8UgG43N7SoJva9DMlaoNc3ySqYMNfvq0Ql4xco9thlMIJO+HtS1U46B8hpq
8lxVR9MYoAs6FYNzpBcDdBYe1s5ZBrgjNXH1fXieu2GfjQ4CwQLLUjvYEH5Qj9L33RMh+2LLBCJq
4zpHModxW1bs7IAAHEACgRF38X1DWX4wWpyYTU1IX51iL2jrX+ARsC/hfeNsyTDE6HaThyIbMUW8
0mBCLsjwv7au684leRWbJPE8kj6hzWi8zMSlL6u3js42jE0aXlEoUarX5ciei6Jejwxb9Xx0Ikla
d4j6o1zu5tgcX6Y43DvDeCVgsW6q9LZZOaTs8bYDbmX+aPUDNDssgpaqUS9ZONJW2yQzRBqf1nJ4
TnF8kH8BAbPurtHWxJhEGGoA04GrNg7oUDKJ8290uY/JNW4KNOtdMahDnKOxlcUQOAvN2qRl6mHU
BnGVQrXHVFuf40oEeSGbF9tGSlcjNq3S9SFzGyJbvDEojVBe8bS8JCRcY6tR4Vdz8A5WPtw5zaLu
eqvFcYM+bZ9w4thJg4gpoKTsJAUimsq1iAOvXqmm7D0+JEIruwCBVuk3wjhJevy7ltnkzlPdvTXL
Zp9DlPbLJXvPOuM1zlxzt0TEe65Y3qZ0Qr7amy8I975IgiNJOjDZkYQ6KSs9hCsfYVvUHH0zTl5Z
0z60q9VdJz1cu7G7G2aFjsXucIUT9WxUZRlQmr13CRRI/KEvaUjfimxM9ECSllHxjVDmhzzxkiBl
/7Gbu7qwUMKaK99gesWjsaM1QwRyGa8BMsD3SefeOXaR4VZMT1x8PvynKmf3ad2asArnw46IiUvn
ICQeJzghIJwR9yahb4v+NiUKuncZaueiOqStiRabFDR4iijL4LkRe0SCRvxKoBr7uaIHPzh1AKW1
9+PuRRE+dqrD5RvdabihLRqGpYeEXsGuAnKJqNnFRKm7t74s3yIOBLt5whzKeDoY8FZRNCuAwQBu
a3nTkR+9lxQGPtl35Z5v6OgImsZJNhZ+NmXHYhFoLbAL7G5XC7NWDfzzVC4hJzn3rCJjuq3N8BFG
63xshtQ5FNk1QCRoZLEp9iNEXPQhTXq2l/C1NW+U2tyWRF9f4dOtGSZo664tmc605DTvaNwRchGh
Gc1wmj0UNtE4dWl85dDG+07wW3tjkWP+6w+T7W8MRtveS33+4y/8+v/7JvGJ6JC3v/5XGy8ptJLq
gbaHgj1+SGqG6XGbOA+/fvOqFwrGk4Bt+SXsyNiiGnQekXU3hyWjOY4KDeR6WIErxP36kGnABSWu
zTO0kiVIRP7DnLvuOo/1p5G1GNie8+ohhQnGLjEwI9+6uDtZRICwJn3KYSHOcBfdSM8snstVxneZ
ad+kfOrPZAG9ULVOt3ZIyxt9T+aFzdmdPM5fyspp83Gno4MYx8P+IfrhOSZ4zi/l0VyN4ejkHmEu
Vffu/OQBnJ6LrrzPnRoBfTu150IzLZxHXg/DGlJfp07/DfzB2a2t96aNiNdb3HOUOmWA4hlThGCL
J02hObqVfsNYsd5VKZBSY5J3I9lju2KEkg3ZMbwp3QTFUUl/dlyX4QLH3A1WsOfxnJ4LQNPXTR2f
Stvs9rrlYJQxQqXPaPNIEXJ2oyfcmYTP2H4rrQOdTsQvGWyXwlgaP4KxfnTigXj4Fc0EOGjcPeNT
vGDnbu2i2LcZA1pzXaeTecgrU8N8j7pPqvQIp9fa5/D+SLM7iBHd7zqCPkF3W184j+kbw/a+o01b
D+UgSMqpEgYQS3TbS3aDkRbfW+8cBETvr+hL8DxF0Im/MAUDP5Mj7+Ym3HsMRdgOKy4+ZFtyHp0o
wfRYYLp281HftojI9nJOEgYceOQKGpuinorAAt7carN5tMrlk7TD5ZZySOzJr/6RG+hzaqdN4EQR
RZctxp2JG+eqFen33ATepgyStwqO6pg7OhHMeLlRdU+jL6Csb8G6GB9GxR2D99NR897ZlHH4gX5A
D6Z8le7wpIxfUSkIfiqvZQzWbtB+3ncmNSS9I4MmYLm9puOHv2NtkQs2GJ8rhIp7DLF3EKPJh3gQ
OQlFHsaHwFmlPPeCAZm21m8ctqwrg0w3T9RsYewUcR7P/v2IquamGzBw6vYdJyVzs5HaHU3nV6Mi
r2L1pgBjMhAAtVlJMX/slDVuItrshmwvEIqZ7i8qWn8itG5RXdrsagv5jW1uQHjuIZDC1yUftfbR
Ih8Xdq+avFxDxSgg7emRRKIWlREjFWhDplPLs65pZ4YpjnNX8mpYWTueaWLct40gx5lun6yN+mKx
hToWY6E5CfND2ZTXU8fJBdF3Ac1Xz6jbODOX39ylFyf8hjD1pzk7VOE7PyEufwjHfspTg7SsCUhk
Z24DQaJM1ENqoth3HMT1pROfV02n0MZfsRrfKt09Irg0joyU9FE7zqXLS6LF+sg7Z5trv67rwByn
bpdK+XWJ39wMs4A5yjdpyntO2giY3fouqo2fHDRdVK6gJaolPCAMAQUe/yCbew5M0dwWONJdC9FV
WeH0DJkYyR4NFipErPCK9BaNcTuyX/UyvMzruifi7rPRY/brqvlZYvPEluTth5Dg7xWpNGBuaBMh
QvS9S4t0r/tsCyr4qXniEX42zrGKzoJKIaSvj0K1eUepVPOzFQ+gbecgTew3CGzF3QLwI6fQwsuL
YFrrcN91A0CTSfg6tDwAzd1xwh1yKIyvZNXQ67NgyceaWQst7Ii+035M1HXvNb5re1hbimvXlgj6
bV3tG0KQkHkjobIXTqKUYNQm0cJ/fbc69RDIzU4Z5RlkTMOvivzN6asksBNQJkx/wgk2b0U3ZicU
4bqwAN22ph6yEVEz4vNNZ+x3MFEPuvsZFtEakJZ9bEceTuzLjw1SOb9rs4EzD7PUWiEXb2+isf5p
bkK30q1faAJFZxyq73L8rJHqAATBoJSwD3p9vx9GrGTbTF/I6aSb6dFi1L3r8cqlobHrawZaSe2H
wsAbFrOorSNzqbK0qMBX1Fwry9oEGIZ5V0EWGvNNrJ/SwGVV5TyKUTqfZRvdL5DO92PphDvG4eOu
IWQNZvZ1lIzlPqHdWSWpPFWIKEDTJTfadX+avcEf4YA4dl4Z9NES33ehuBnc7At+egJP2JMTjzSF
DsPMZA+Vv0aoZ3vrO4AJXv3hYaAZfGhUwp++zzBTiNZQK18RNqZ1CVygSK7VAvLekkMs5+JwIsSz
Jm8k2SMH0cDPsIuGiM+FkRVty4x2ENYtPBe2js8ylYdGKh7TwZGXVj60iXld1PJJdQR6GrGLupFY
ydEdfWkP8mw0aK4NxuMNo+SFJocbd/RCZkZvXhaOLBnpSdpRwygTkgFyk3fWeXSqsWGyfHO08WZq
XAZpNyb86D3Uz2Q3w082gZiAOKvPsyIpDP6r4zlf3Syi1CX6p6yY6jYAeMZ4vpo5M2gX2UOhJG0M
41SZ3Q88EfRlrIlW6Dq85F7o58zlvTfo9OXB7Fk6J5kSn1Iw/KsJSTBq2z3A7al9t7Uwdo4lShEb
TNxo9dc11gtfjGOxJ4OPMFXvu9e7+ohsmx8POMGw6C+1Yk6g18nvbdxx0v7EPoMlWM3sfH0ynmo2
rF3hbS3faLqu3DY7uFrIx0Hr63yGMG+BzKcJ63IyY5ysPQyXgERms+zuSe0mCMLa0fo0/aYHtj46
/QYECN90mNn7yYggNczjD1ZxRLDZ+oJn3wnw3X4tS02GyixwDrZxfo4F2UccSS5zhxBjbud9uBle
5VQhdoJNQVtbXRXjzNCs3TPSTl4VAT4noIK3eaivus5+EXazkKLIP00QtWhNbS7XtCz8RmL7W2w4
MAn60V2bzd0Xg/gGvnoj9lePowXA0jVATD/7fbGN1tHCPiAvz9BfsbuE6DPzrSHX2r6sHePI0VwA
nSCCIGmAkHo9Y37mYkvTj36YN9CmnTvTY5xYNrE66gHGnSwg9SSVk59x/OEuWwfLl/lwvdFtdhbW
Qx+g8ZyFVaCQfOHqXH44c3bLg+33S2o+I/n/VqYtKxznZ2yhtH47gUsdwypJhut87GPr82zxxDeQ
B8LCCMaY56LCsRVaxXcCM12/yfqngYy6HYeVkkdhj75FHUB9AOBVdUJJiXfCaumUuWbxUHjyyhql
YHAtXkTO0tXbIRr4HCZomtUULcN8cqAocBBElF6iY6rpvSCjVS+ZnroLz/60GzJo+MXKdzkNSE6L
pETEwACCmHNUC525r93qp4jol+kQc/MIQyFR3zsGB8fBEcjB1Iy3mRlF33k3kWt8a9BFH7y+4izh
YVIldDMIDX3s9BNnIzRXq1OBlxWH9VNzv6Qzx0869Kg92q8d7qM9Y13GZkmZH21p+fTpnBN5jyjF
xke6KqwE7M+4maYHyVks6HSbIutfg5Ygv+PaE78l505tbQGSVl2N84HO4WBmb8TYnYi3GPy6HqgT
VPFoWCyoepjKoPOIAk0lRTkntueCbIPL2ohHgzXttHqP4Syv3GSzLDBXNYbqgc2Gna6OngtRqeNi
l3Rvlulqbp34hvADsDVS9WSDsgfM62Va5/WQT7ya7ZydZRa3O4RsdbgaV8vwFEP5oLG+kax62FRw
/fBezsPRMqsM0M6S3dDdJJDDjD979E4Dd7z3lk7eVU3zkLSp9MvWfVANeZLlV91TsUw90KUG7jfn
a3wdupoDoo5avOSfp9LODiXNVGJsiQRg0EUDBRM6n1lyJ+YwubStUZzQn/xwQE3gVv9Csdo85UN/
QAUA3Jwe2nnEclZad5H9nYkyOrvY/IK7FZgXzouBQxen1/EWbdphEXSiwla+mKyiRt7eOGijD8gB
8TML3wyLr1YVgmgSyRbL+uDxOsQlBcAol/xOuQQn9V14Vui21zgKqDuoOcIQw6hIzpMm2yYHGhPn
zPa1Z/iWSgl6MS19MBbswSpzGNWIZD7i9NWuP0UMLAeljcOUGT9EynaxOklziUTvT3bzGYAF+i5L
oGvqZwWZFbvViCthcJprVTFYd7v8Pe+ZBBX9cKzyXy0LdTbG+ouXIOmTy36dCAh2LflcLmAnCjjS
u9yNv0+pWvbxwBiiYdM/OBEWYomV0oX64uT3heiSgzE2rc/3FWIQRVZoMm2Yh4H2oPmeFgmKiKaB
dCUAqA9Rck/vCpcRgyx1CwXyc27l19FcGScjfk+xHscdvpDYUY+0qB6czj2SyHIoUpgj65wgiaMC
3TkdcwLOsHDGlpd6vtJ4GFF1VgoRQrVLu9raxxkooiXUt2V7bhhzbHkfUKFcFpM8+z5TjMTmmw3W
lYgdTDhVaAXaNJ09DN4AXhJEkRFfG8GO74sVQ0OoDVbnZeUTimJ/WIAWYw46GXl+0Uth+iUhlTu7
Q2tSWGZ2HHsXLXKkyG5D+j8jVA7hJZ8UKL0af2qbWQttk3Y8iOgn0Q6vuMpvBrO3iF2pce5vE7me
/iA+3j4Q3fItbvozjV0qN7iKxGY8VrXn3kzO+lrJOTvBePWho1JbKzaLZWGEF9qGTz2MHCsN6G4j
PhoRbYiyPLl2NRHzKpFj5inLIPNGy2B+07frlYf7ttNQHHgx9jPEpCsOU5dxoO1uQZHfidDlj8L+
KnKHw5SGGHTdjigvOdkHe2ofCCt0TuhxA2k4W6Rp/Jpq2vqRXXlBY41vODr1YcbuPGRhUGfS2o/F
RTqOPrqzuMEZne+xIIM5S+gRNdFGMEMTpYK2fF3YZM4JYVMZQMgFGRviCeLp6wg8GKPCE/bhNzng
uUnL8geuPuSkIClMA0hgCvT2mLve7SAkVD6SaTmlF1+aMnJwzRlXoQPWRtBQ7oZx2pdsxsEPfDRx
YJjtaxX1N7A0lzuoHXj3mGTtuhW90JrLM2zIKysnn0IR0XfBiPrilJj2B2t8b82YEWVR3dRd98Zk
/bG1rb1p03srcxAdNnyUdCwDw5bdXaH1Pu3mZzb3+mx7RDFgPQmxYxzHVBTIReLbhQHLAQUu0uGu
viTwAqAkjG34vVwjdAnWhAs6eUAreiNKstTzlH45iXzJhNaaaCicSqk+CUu/FDkdVnR9TdSWZ6ur
bw0UKRAGCjA/NP5MjmWpTDAsQbF0qM2kLA9lvbnU5czrVWxxoQhfGpX9WBbQSnqydkakvZ2VrwMN
lepz3iNK5CH5XNd9z/YOf2vV4WHECLsf8vhb1LXgeUf0Lmtz7qyRf8uyXiuXWiS3CaGRMn0GZ4Od
10LEs0ZvLUujo7Csk89pQjzJMWCVxqMJ+/cIYt3eq9D4ErfRixtTcRMk12IXq78LY7kROqJ3z8mp
S0abWhuGr76i5zVjUckx5sx08qkNP43mbIKyq16B/iFKnQCVMwm4Kjk0nztJZKjJfMtzGwCqqYdT
qqhOVTp98lrrzAvIBjdSo4d68hDQK/poQ4YLZ2kuIqKmUjbyuya1ePQWzGOxheCmWtQDJi+LgQrn
pREtjT8D42KZx4wV84Bjzq+KNqBpFHQN8hLP0U80iLt9K8uHYQ71geXgtNBNOBVN8pyM9xo/4Ams
d3LRc4d4Yhoex4k6wJqMk2AxY4DDcDXpvEfZZU8GB4Vfv+rIuhMLNjcLk2Oa3cacCYj2cGBYyvgi
E+EdAQz5nWheMsMKT91WW0awLIrYe1mn7N5IX8jRUIeFiomHo3oMuwfOhhgMmxzighGeOMLdePFy
qprs6DScVnNZPnWReN5lCbVLQtz7HHdn5vjPQPI5sUzpT4p+jJLDU+uyDHc9Lrge31y7fMoc3voy
RB1HcgRCPeOUuL1FiUHszRiiNRhU7vrb20kJ9azD4ho794QxTT2mZiDDyLtMA1WjMWhENgsFVCl4
tBI0gCKWz7C3IPS53c/VphHfNDY7RwLpbyGQ4pAt2cHiSHuFDZZGWsa8GVjZD2K+b9tRqytbnlMl
GTqlG/cKWdeK8r4HbHjiTJH7+ZiuPvUOY7pTa3dExqe0cm1GNVNtvBsRE/e2yHzK6z3NSvIxEzIS
Jhym16lKXlqm2XtduDhiRPXYF/gkMaIjAlrwx7h6Z8/9+Cmqinsb0Dx4bvMaWNt3e5Z8Z1FxX9tD
fBb9q95oFhgWXuJmNncSDeAhc/pTmBvM7sPlDh8p7ubydq695lgwi54iEE6RFeOYtSfrdtxq463T
bGbgTDObplJ/LMb0FW13MTCcWCb5yW75wzkCnsfM6+Qw+zg6Yfk+0Ctyyabz45Akdyfj02Tmd2QK
eKiVcY9ujY7e8mOQUpyhJN6XlBQ5U8BzClAe7pyOx6fWovtlRf2VdjDlzSOscEGmKt7AAfCAN930
BolW3dy7W/cCIS5rU8Fm73OURCbbIF/JLNzQsTN8aSPQTeWY/syjziCEitbAWrwRjVkdFGdUALSx
noAs9cOnVE2PxurIgNFI4U+adcNzrts28tAe2GesN2+NhxZ4LhklZwT+IO+bkAdrmr/ZBYzkQefh
gWlkQNpXRUAoQThV5vlKImKsS0/flNWnUsZXg1V4gUcpT4AfESQhQMch2urStf6MYSOiP/+MMA3w
SZo+TBbglQKNTIgXJskVyDhGTllPU2LFP2gpvjprqM8UWfF5TrIL99ifZi4AxLatCTxxAGVuTAeN
irUHIj+qU2GSFzWY6ltVZVjDSdw5LVkX75OyPuo5qi+265U8hB1naqzpG2FxP9IgLrCbXStN30Ka
OnBzyB0ejbUMUUvPHrZbWWOhlL43OkHMAUffE1544z3BybMeOSNfDFQzTe3RPk/6EJcCbSweTV9Z
dniCu9ezPHnM6eGbHh2ZE6+H52FIhnvLpuVKqDPyBkKRg0HEM62GB6srhmNOuAl0C+QbYYylOjRa
ezcuJqlc/WFVW4IQmp6QPtFs9qCCEZDYCI2ZQ/CLkOwKjaB2cKIX1ZqcdXfxWjHfiMbgcKe+YotC
wa/1pzlOl30K5oPCOTmlzvwDmgU8JcruXdXQOZyMjr1wLQNkiBYs5xPqKxCO3ah9YMeAEpLPZKof
CxKAmcMi0czHqy0qbR37CYNH9mOcwBVPE/SfsbnENsxiXUDP9sx7SfqDH1kMctxOVMFEe3/36zf4
zT3nGn6oJF8/pZEEFmP/SgssXhBQ0N8EsIPOnopm8gjVnbcTIrOVy0Zk2tnUo34hWgixaB3xKpF9
i3Pr2mvndZ8Da2C0SWtR4NCKkVS2G3cl7JerlJ65n5lUlVkueKjQZyRufRv1yUHV07VMB2D94/ot
casGgx5jyXR8xZN9pIJm7G4n5m1vVBflOjQdm/BhMWXEOjQd+qEi7QHaMul8l2rtvngdst9t7Tai
6VRJWjeY/NlfF3HL8/pEPk8TdIbem8lBVpyfBIAJZIz2Bkkbzkj42ZDhl7lLh6RSEBw3Cpqd4ZT6
SW/AsbFEGUDibdB5wU7T4anmkYP/6YhzvEwvIfpijqp82hTtiJUMxafdvRZdX9PjpvGbUZCPeGiM
zgRUWHDGGgXBz0WIujdsHARYdne12ORKerg7Bg4Ytl2uOzNzHkyLprUL/RsnJhFMHPH2FXmFW1bl
TevAUlrPrjXpwCtgRGSaXpSryvkya+aLbT6TRLJcY9waA6JwkiC2s7MdLS84jMkNNSfAlX2LOjZC
KkVz+shpnlM/cnRULA30+ry9i9NK7MvwcQK+sRtS4wdJowHuAbUv6vyWapGxEgZg33TzG/LXLZ9c
dtgxTv9g6PAqRO3m5owjJq84GJF3i5gk2zffkLRmZzwF+FFaWD8dDwipPpCA8pIPQW74gN7gGG6j
UGs5tBJ5Ezo1zNetg7uM574X39swG655eVj7sgcCvWI4m8SZrhUEUevLNHTeGX3OPVyi+hTFh3qy
cANGyVfGLYdpAoOqmpIJlmPsPRqI+wUQZZDVOf4nBHb5sHyjTQpbpu84m00cQKP7LNfJJZprhu8h
MiqRDo/F+lgy1I16Fg89Fh6qrQoorN5bcrxjYH6US2UeTTXsjLZwz1mlvlHv9NQCHFSHRn91WlUB
c6J7EtXYCJYul/e/fgsT+bi0PUR4hIk7FTgab0re4+FBeFoiJ8NNVZCi7EK8Qr2N9jz3DRXByImr
Q1OVww3nSrZdD62mZSKgisN2Z1fdwZ0tDB9Zja1/oldOQewXKZ2BWoMgkIqn3q38X57k/x9vYeOM
/n+bs2nC539xZm9//Q9jtqFItxAWYRVEHxAWJwXhCH84sw1hElXh2FvWiqVthP44wP+vNVuTYoE1
2+V7peNrO9b/WrMd9X8cKR3SKOjv8CfiP1mzt/AFXKvIkTcPuTKF69LmsIVrEZuhUCL+1ZfdSG0q
VrD6DKN3Z7WnzAW4dEoh4xrFH4/HX8I1/hymIcx/uRY3/OcgCMcVOIhIubqARRXX8YD7lT06RoVm
IveoTKTZHv7GwbPe3D77UnmSoOY/fTP3f9zYn3+G7RK/u93Npv6nLIqe8k5BhJnRqYzFd0eWJvmH
ZDEt/3Kdf/5YtYKWo7StvA8fa7sIImytcj4XaX9teMUR98iVkUQXe+kOJTXV72+LB+xvt6VgbnqC
2hcAwJYm8qfbQl1Pdlss0rMz5kGDu9AYlJ8ZrLTpy++v9PFLtKWtbNt1pODmJOOoD2kepasWYBhE
xnURDfiGFLCVWYCeXjuzPHT00CMbljYOdfwfX35/7b8yBBRdOwJfUJrxxEo2QvvDlwcxVjlmZ7jn
iXPwc0RpD4KfHTloHHsMfn+tD5/odi1MKCYIBOFJGy7LXz9R2lNTPAEdudAnZ8QxriMhY9s4cxsr
w6k3/+Ub/HhvNnYpiAs0XLePliicv16Pc2sfDpaznBDpYv8HY/juMIKgAesad//t1my5rSvbG8+k
cFtI/nqpwnCXlnHEeCYxM4gy936JFppcbUcALQeS31/swwtHqJsjHV4p14Yx4djyw33FHSKReE7i
CyaSxW8g1TLTSpfb31/lb5/erxXM0korh+XU/vD85zOSDKMm4T5iPI2WCRFFRBxU/y9v9T9fRvNV
KWAasKj/+sk5Y5MVXZOn5wXkQ2C6KTEI6S/f8Didf39HHxYQFvZtTf7fS31YK1usTHgMyvySW+PE
aAX23z7roHeDtsWxCQ9pPUWNev39Vf/2bTnclSk4iAHLVOrjDTI0M406ltml1kUM+GvIg36lFvn9
Vbbv/E+LMPfG3qXAsjucmV1Tfvi2ojYdeyOyjDM69gb2lYwI2VnqKtP3UYNNxlsq6IRtMk71Jh9P
I4BqGqPn73+Kv3/Cmj3WVKbmXec5/fAaKOBQeKksvkznqnUvDgcvNDFx9lT2k//7S31cTLhhLqXZ
61lRhNAfnhvPq2tH0748r/JnCBpOmT8b80c7nn5/mb9/e7j4eNf4ZTps5h/uiPWs94bB0GdqSScY
tCieFCvxv6xU/3QVzZem2AEcocWHqyhBAGMlOuMsotX8Ri43Hdm+z4T9378fx9WmI9luLKHtD8SY
oskmqOGSNFaznCJgW9Hy1hDmfT9lU9MHpdlWFQJYDpG//xT//pKTKqYtbyPVaJNv668vOWkboDkN
Lz7rfCGtCNJHgrc1BPby36/Da+aY5raV/e3bEmIGFbHU5DUVdXhPmI/5MGgHWQwPy798lL/e2w9v
nPOna31cH1cJ+VMk/UQDeQPsteWcYmomiRguXFLYP8xUvowxGnG78ATI3NTaek2sox5uw13rGub3
39/8Pz1EpIIpShaL6ld/+JBz2ONRFE0caDx1yVJsYYPxLzf9D5fgXTMpiRhDb6XDh++xH+PMsqfk
YuG6mHcSvUd6iFIvKY7/+V60sB0qZc3hjPbPXy+UDiBtelNH59ZWJJmkFzKD/oez8+qRG2fW8C8S
oEzpttO0erLDeOwbYe21lXPWrz+PZoHvTKuFFsZ7ZewuzCZFFotVb7i7PsTCnhTsxilMkXFx7s6H
4AToDWaPsL2bUaq3JOxYuFvADKA72eHKxryIViZz4fGhEa80IeYL5zV979FVsh0vbv1NrID9aUph
7/oCRep0AHd/fXJL41lcOgJVKFtRzem6eJe84kQWDoEVyMciLwx7W2ql/A+1pJwiXGIl/6J0U3y+
PuLFcjJDRNBVNGkVmZOnnY8YuyNF78qPUGQUe9gt+1CqH2HarmwMReXvOTt2b+Nw26nkP7qYHzsB
B2yUkcg8FRpsK03lYqn6QaDfWtb7BkP2k27WBoUZpG4R3E32dBeA1iUS9MlOtv3D9WlfnIjp50yP
PMCNXEjz1L006S4BuxqOIukclCVR/li72hdX9t0Qs6CNipZXk8vGTm6bWAYlguYPn3xj54FY2abT
sbpY3HdDzbZNkCG+VNISd4DyHpBegX0Are532z1OvfnrK7c8LVtQLJSRMptnLEUPVbgq1cgp0RD/
jPo5bZ56EPvQKOKVyLg21LSn3p0GDIYg4Aal6uAbcOgg61A/fDKzcmX1FofRTRPBON2mAjA7AgYC
FAWOshO9sbLuqNPR7xxUwDWt6X+/vniLH8qUNfKP/54D5zPyWm3oEBpqnJhOU1b/SNAXTJUbDVBL
zR+vD7YYTEzBw4YcVgbCeT5Yxn0yQqvwnTKCRoZymtVvWg9gcLCygBdJ7HSYhHhLETSyrWmB330n
iz7CqCR2xAvA/26C17NT/V4b0k8J3KxNo8VQGxL1lyQC5y9miN49j1JL5YEwGxgImAluGWJ94iYC
wyslpBtSyRnGbHknGQiyjV3ufbs+6NJ2sTUe37wKkJyYHwArqSjmF6l9RKTMaXLzQUHcVcIZ+Pow
S4sKIYTckmcppZPZ3OgSFk2K0J8jRYBRD4HhmyB6Oknd+TT+071Oy716HNuwQco5kMG/6XVlRfvr
v2IKUvPI8v5XTHvs3adtx0xxqzqonNFERKD6EiblTsEwD6nWDRGddtVKYF5YXY1M0xBwlUh15ynn
gPZHBGkhdNCcRi7XLkwH7TeyrzAdVuamTAdgNjkNxCVykAYBkpTlfHIhGvi5sLBG1exxiybez7ho
EHXInhXEKHs9/3fstDvoNY+VBrxVk/yV+HZRQOKrarygeQ8hpCZT7zj/AUapukCzDOvYFKb+FW0z
HFrr3hv7LaYwwT+YDzSfai8MnrlV86/Cs6XTyOdYSTqWllzVLcoFnGLEL6ed+O4b0xtNuQlJQHOI
AOk+lHs4T36o1Thbo+B+fUMtDkYNRDP4xvghzQZTA0m1ACaHDrqS215gYzSZkQ7JypwWAi1ekeRQ
PGYJf/MakpnUVdLRczqhS+vfiHGwj7Q9kasw6AwVfuLh/BetvAYX4q3Gc9NmQJ5pF8mbrkVSGBpc
+E1Hk5XeY9lBfKaDaHproX1pFafAjnq4QfI2D+1aAB5Q6qUY8txgnfw+x/mlkJQdRVz/o/m2SakK
KPtUopju/NkeLX2jGqKUBVNR+AOQjpyESmVVjuv76ztDWZjU2UizrTHA2GoAxsrHNjECVBtcS2u+
A7MJQYt4rTygMId2+i5Og87dj6GstrQWWxnzPxm+whY1/dbDDkZoP7FPKn6mg9r9LMqiXntCLuwt
kkbVEOilKbxx5vkCEiV4YEtoeZUNvAA6qxRe4Q17nrIrYqlyzK7vVxZnIV/VNSp3Kl7esgZU6/yM
SoOwZM+LoNGinFFII9SafuXCWVp+KpPYjMNA0sCZnA9RQpc3A6+mJSENz1kZ6BALemvfWWOwUpxZ
uFRo1mgcfwNa3cVbILH7WhFRahxj5Fer8F6qb2v1S6/8ChUJOs9afrdwk75VnXSFDo9N2DmfGAhZ
WxvKqnZaG5yvULG39gowBYM1gRnLrN1byFnelkGpP/mx3qyEooV1JSJQkLWZr3HZkDB4WUVyojrG
MPE2ByM+mAmA+c62x5WFXR5qSoRk09aVeXDFRKCJ6L4JB4SPr+4b5pXuVDOkvQ2XEmuo6yd24TtS
vdR5Q9moHF8E2bhMm8hOcvqzpoXVcIn5RBK09S3lc3MHiAql3ApJF8sIg78aGdNqahp0eeafVM0o
iPkaCGQJvWBotuP4pIyh8uoBOH/GACP5nTQ4p4M1ChLnLyZN4qfTzcKWfv5EV8dC8lIUDBxTTITD
ASSAKLzwNpUU9a60g/RUlZNsRisnH+zYMSLvZ/YSlVqDvGVe1KxczZNyUYXO6HeP6F/i11o+XZ/d
QmzjAFCQprdFBWde9UapSpJa9IGP1CGrr66NxgLeoOKQ5LX2OlR29A8d4O7L9UGXti27UjYszsdl
BaxoOiPU6dg7mNOcPCDsQGsSUBGiXNk2S7NjBB4LxDd6hPNIoCL2M2I+gNBiqRnABrEaBrCCFDXs
eq/vYDDU0mNVdVihXp/i2sjTUXqfY4WAZ42mTMBNQycfwRjDKgDkzMnM+l/Xx1qId7zF/n+Ws3vU
js0ImSsrcOqJhKvBNRjL50FTXlCsQ9wY9pQom8+dWEvtFudIc+stX7CNeX+rT+kSjmYnIcdUxmgJ
BONDYEnayYSsdTBH2C2CishKU20h6aJG/b9BtanR/m5hIUEqcjRCdHObfzr3ztPkG2n4GQzlSqdw
cY/aU5RTeO1eNEGx+UNlrVZypwWY6iUDXgYZGMx4ZZ8sTQfS6tQA1ci5LqILSkeNPvit00C9BqIa
7Iq+SjcyHtKpsjKWztLMnj/YBv5vLDFbOgvt8r5pw+RU6CMedjzwj0YS9iv9yKVLgt4/ObEskxXP
Xxeo2/pqWKWxQ/cYfuMjfhbbAmqDjEuT9dMETXV99y+u4P+P9/bmerchMs+nmI/PnJNYIcS6n+iA
o/nxZ2xWMrKlDUHZnradAejzIpZ4Pqw3OHuu02AsXW0rUgD05NM8vFPzdpT312e1MJpFnUNQXQeb
Qjf0fJvXsZl6coOIdVn3N6jkHmF9n9ymubk+DA/sy03xfqB5nbasFFFjjm4eY7LpFwDC/V2lZsij
J5r3rYh9yRFDoOY3lWgy2KOq5Ks3I/WQ8i4shIoeUVSIEOnRoouRrWjBaepSisziECdSBxM07156
SdL9gxQV+MJA6vs6GNCId5nn8j5Lh8y0noDCDZ+DITYwVs1H4/NY+RBavFIeKP/p0a3pckti5acJ
5KUwGuwPtWxU8g4uQ/Sq1g3Swm0uB5AlEMx4jCrV+C2J2kKMoW/68EYGKvuiJa6AeR7IlXygPR75
TjLkErDS0mrgOiXagLVtWQCJR6+6Gg7yEOO8x9sYlUAknVN968udOh57jNRQvdNG2FWJZCDSXuNA
Y1N/ave4xgDbyXMZf7osB894UwyVeC2gmNXbDj8n9clq87bed12UohmS2KP5orhxKfgLas3b+/0k
eq41HgJJvVI1CIl0Lfh7/NESBL5pG71KlBcmM9weeqUdtVa8zSzsjSacBgJa5IETejPPQFdKFKOf
m0ahhKRi7YK316Bp3s7XMvlrmapDS7qEb9Legj6DUHSZSY9Np2vNbrDRYNxKoSH9dk1UrXpFOciu
l+9Catn5q4J6cU8LJkXxPpKBA25xpQC85NO2RwJN8cXncpTdV4NMmP8DG4I7GT7uN2PMx885xEUZ
8WC0UA9obrDDKzn0kfZO9TR4rt0AioABs/cmo0g6IpczkkwGoYTbAY6sfQtQq52Qryjk9RDUgzbc
jOaAk5gdJmY++c802V6rJjx+PhjVc6Ip6quU0Ni+y7Spbi2N4aRxUQ1qCVVw0laNg7YVqGrgCbxB
eyqI7ww0k7qbVqd6sO/wEUPNB9Z7/5ArOGrvjF5FugRehGEevMFuUXASmR6gTpknr+iEKgXqOiqC
1pPDs7JX4lKKdy0NiHCfG4EC3jjDh8cRxTD+zNsS3FCqubi6wvRBUogiIJBIiz1tIBRnlv9kiP0P
B39gwluUGsfi2a6aIbrBhxeqd0JwgJc6YEsPitbyX3SlrcV+jGXPXHnYLNz31Fd0elVcVdyMs5gE
tbhHyhsDLtf6NlrHNIG/D2liGF5E8mklLi2EJV5uXL0Wj9/p7Xge/wBfwW2D/+KYsWiRR45ViBya
/ckbE+NIFxyYl+W591lM6aUZElwNcw8+H9LFK5fm4qTf/ZBZIheYcV5S8Kb9GA/wDgBxb8Kg66ly
j+0euqmLbHymr7w5Fu40Wyfs67pCm5hS+/ns7botTRjLNYpHnfs5H1I8i2s7+VzJkbRXCILXV3sh
MaDYM72r6JRTa5gVOKAX90EjoRwlab75lBX5cK/rg7qyfRauNJ4PExbE0JGDneMCPRX4M3X90enk
oRkeNIMV2HZVUopXr7eDleLc0pymcj1wDXA2FzUHPwutBvU0eEBR8h3trG+65668nd4AoucJ1QSU
0CxQcoB6rHmqY4ei1iq2hdNGsfXTbYHc7Eyjwd+wswvUt32g9PWGGCNe81hD7kKpIgtl4aiW/0SK
VGGzQJwqdgqkMix/oqpHINJsEI5o0BiMt6OCOO9GGdXx39pWKYtlGdjNbYvOy2NNvwnBPGQ9/sWS
tf4J/Vl/IvlDaRMhYQgxVWXW6aZuqVtlUW7danmYfJFGt4dn1Vv2x9uEZ2sxT8O80Cqs2pddTIvy
nhahglU3nrtN/IzipPh9fcNebiVQPkiBUoygIkpSdn4+ClR3A6mLBydAnCgzght/apU0K0d/aRRK
rtRC6U8YF92mPqJ5GMeCSIf6ixR+mhQ5av/1w1OhE6nKlqLxwKcNcj6VRE57r8HTzDFxDOemOEWQ
bygcrdVuLkOKyVkQGgzMCSc1by+J3KxsbAQip9cGaH7B1tCzDY7qlqXtr8/ociRqJeCzCdz2hOqc
zcjsC7WvA1UcS7/i4yBHpOTQz9p/RDF+ePHOh5qCwLvcX0nKwmoztXWU1qUKlf8LtvMZYbaVcHy5
ERhGpxwONATkozzbbsDKjKYfIs1RgvHJD5UbAWg7wLb4+sJdhiwwbCqxhJyfRH3eHYpLO+1iBb4L
bjC73nDvfVv+8KtW0IdRwdfr4IkvWj9jE9oWJKjQqYpDVtUHwLDbFD7b9YnM1gvPNEqvwOQU3ZRp
dM0b7G7Z51YYDaGTm+ZGoRNd4uPVoDd1fZjZ1fw2jMrJlOlTgBqe5yNSUDRB5Qeao4W+vKetZcHY
LNuvUFDQ2R+wCAS6lKzs7lmx5b9BVYzleKvLHNfZ7u5czAxQGJIdrbPuCgWZA9EigGYY3StQzlu3
7k5ewfaIRH64Pt3Zw/ptZM6UYnPTsLpzCDjk/C4fFLsHudOQGIMvQUzF3A8ZShJ9Cws7yfEpbcak
+diL/r+Bp0KICvx9uvDOT1k5yBoWrrJ0nNy9tohe58+epoBOcjONQI/qGxS1EF0obSxWdtIslvw3
tCAvoXEKGWR+JCIYiDHOUrEzTNJ8dGtl8WL2T2nkrizu0pZF6ZnjR8dggs6dz7GQi16XC+p1nmci
Tpw+2mH1nKFddv0bKksTMnlykALxtgcffj5Ol0gMHvXD0W+5vlUwx+NNlJveEwoOKfqNUoB3TAdf
36RU+T2L0+55QKEOAX95M6KwRT9BHZ8yX3Hv89hHTV3gDyMdr//KWSB6W3XyTs2gO4SA8Dz9tAol
LXu5UJwgUj+ZfnBXytZffFh8QGhvKVSBKX6dr4MaUSUoQkKEFKQg1otNFapbSYHUgFrWX8zGonJP
dZtzOyeIVEbjJkbtwcaTwwMvuk2IOcX1IZZ2D9aTE4RhumHnJySmFYB4DORtPVSRCWnuJQ3b8GSt
3bMQ8OBTvdXrAfhcDANxjSu0SmwHywjkEtofpScetKpx8gJLgVGspNALsyIJh+9CsctiH8zPhPAi
mIBG71BI2ISA88asPBqptlJYm8My2G60r+gqvbWckfiZjVMbSldQhbGONo63Gx/5C1ja2kMclMiA
IANkwqYHXJQbyfcIVXFP4Ih5/ftdLiy/wDJYUhCRykWmV3kULIMRJlhcjH+CLv2p4j8ykXrKyjpx
T8Yr411eIvRzwOUyEiFVnT+FitGgksQtgtD38KpIKJ4qUvIl1zwV/UnvpdI1HYdEHcNzQtLL9ble
Hm5jSjXJZ2GZktfMIhDqn5lf0WtBpDX+45M8bxAGXZvg5V3FIICPca+ka67Mz1w+SLLZJmZyEpTa
Tsjs6XuaEz0UO7Pfw/4W1AoNNlSJGMf16S2PDOp5SnEIs7PNVHiQDtNY9U6Sj2Jw7+JnIfsjMtB9
fdOiacAz9N73VjKRy5NiwFhRAYNYuMZe4OZdgyeeqfYSruYo0Y7Ymexz3a9utbDPnevzW/h8rCjt
Ovq9AMXm+UdjFa1V+J59DPTggA015Hgk+Fb258J54PfSMcMBV6OYP/33d3l12CVYIdXsEdlIaZsJ
97WKbGxQ7PpFQRdSwkHp47MiyhikjGCe7PnrxJJHYCdJi+tSZ6AdUn/ytXQlzFzevPTiNWWSXIS9
QSHifE69FuYDMowC76HcKJFHTZC97zPV/iV3Vfa7ycfuz/VJrYxozPstZYeOMcK8p1FkxYjRRQ+3
vfUrKoCdqcPS8jolX+uUL2xFpkmRBSQhdbP5ydNAj/d12cQO5tzbQUhAhLCoj6uVD7Y4DC8V8GOk
pLxbz1czdcsKb2EZ82D1TrFGzLqKLQLBN9dXcGkfAtj+3yjTYX+3D20Cdup2BS40VXgTdXdJL2+N
MHFC5lUD/bw+mrJ0tt4PN9si+SDqwQzYhQhJiHzfxa6NjH/YRvdxrRXpjods/g/FxgBHSLvVvgRF
Ips7gTAPFn0+sjmbXsmB9oblABpMSD1SQSs/cVYXne5KAWjPhhNEhL3oQsmdTbseWWUnSNNw8rks
hs+9gUwR0G0Px5syuh/RzLnvUipHbSGjzQvUZtSCciXOLm2ACW1HBYZu2AWLxdWyzm9LxT9VWpP8
dM2h/yQyri3dVKSVvXYR0tnGYPcVWm88QS7yAySq4jTSrOiUoKP4MtShtM803EYsE7+GMsWRXsJI
7+SrlbkyyYsNocG1JVlnA1L0Zred778kTC0sdw2Ummvv31aN/tTa2uQugsTbENSzJ9aVcpkIB0LC
MS5qj4ZcHEpfQd5BDLDEkSDRkci+vn0uV1Inv6KxqwIj5EE3y7p7XINGfoXrKMiUoWcNHvOPFSnq
n7wS2m0rKuNlTAs0dgPghu5fDG6REdiAV6eS/mxwA1jzmPdyeIrcSNxVgTCcshJ9tpHQddOebJT3
ol0ZJl6w71skI65PfWmd6VnYFNqoCJOTnH/KGtQjZiromWg1bcAUzdl9NmidM4ZI5EZKKa2Erovz
QUdfBt5CpRtiOjtoNl4eJRZ0EHH0Jy1CuT4OnYUrgPfRtznDUJuiEsoEmNpsWnaR0EOrattJSjPs
7nxCVrvPobD2uz5zEXEs+qx5xoMO/76kHsXKpbo0y+mFYCD8LhORZrNEfwelzQryfaVjsoKoaxAA
wR3dlQiwNIzJw4rrjIccOMLzxQzCYAC9FHmnNiG6FNDOvgDZofOZ1Gsw/IUjQs9FJrKSu8Kemw0V
4ltjKl5mOIYV7RTEcyt6mI2kYWgeYYb2A/OilXOxNDnIlnSwTRJW/nQ+uRz9EgogKqqgIKMx3UH2
EK3V1Pnw/od8+4bplYnW8/QHRCTdV06f47unUSp3k8qoGX2VUQW9PtDSdLiY+QdUNEnq7Jg3gB9T
sx89pzbxteIRt+lE9wX1bn/lRC8OpKIvYlNnBsI2W7ciLc0qQQXPyVMX5ezAenARbMLdxV15B19k
IZwxmmIKO5BuwAX+lzIJ9hFmmp4GbC52Y0ilwi1sD/+9FgFjG2Fo/tVat2whXqkTPXbyl5kepbOT
1cH+CPoeO4S8Ud0NUODDYLRf4QvyeglWduCcl8DBogNB0QuxYAokVH3Ot6AtQM17sVI6WnFsh9u4
LzfY43TRS+uaO6u+GSUbBcWV2LFwuSJlMUGPwTiDDJ6dtAzJ1IBrSMLSJ75LMmtD2/Pm+l5cOMy8
YVhGlhBA4fz+pqbkGkraeKexaVjAXE93Ac6ziipFDykKfru+x5RbD4W8sqILe5OqCQ1McjRSlnmZ
r6FIJ4sRlyfwaVj0aWjfDc9uEXy6Pr85y/Ltw1FIoMY+DXSBEO2y2OsSsM24jkhiJ+OWiqOlkh55
oVWHLO+RjdSK4FdQdvFJ6zJ83/Ft2SS+8adFKX3lQC5tWU7+VN2kbkRZ/nwXNZaPdTBtwGPVgCSV
962CILR4cPNo5bMu7BzqhqBxuQvUSzEUnmshz6qod6K+AVApEI+kIR/2Q3+4vr4L+4dGlsXDnmNP
tXK2RROaQVaAiPhRbZM7xCde4qhCPthWD/pg3qUtBsZggq+POf2d75rK0ydFd2VSZ+CrXmK6/U6W
IEG6iePX3D33Zfd7yL/qym+soGUQzmO0Eq+XxptyUMr7kBsokJ5/Nd0mn0aovHAM8+dkSMKS76MK
1+LoiYIpXl4ID+ofP/oQ6ihhaBxPeJizdZX6slGlhpKsNDbSTZGLf3r0F1cWcuEMcv6YFJ8QGMk8
vnhpVpiemeaOSPvj2LePEHleKsNcaaktbUY4e0AneKBM++R8/bhzitZHAc7hMX/wu/iomtLr9S0x
/RXzLUHBAtCNBZbhAv3umqhdIgrpOYVSHUsk/CChYC0gNpJ68AJpZdMvjTZpDaEB/taW1s4nJNkN
VBu/wOG+TTeDKR1L+WtmHz07v42Rrbo+taWPROHcEhpRWieVPB8MfqMJHMJInMys9gTjW0Ufjn34
QXmQt0NFP0ORdZoOkH5noSmJMP2hbEJSYo07FFDvsfFaycSX9gEgaNUCkkCWMH9gaOCURDSWnkMJ
5rOuSJiTtrvri/WWO802Aq8KWZ6666QGF2UyySg8j+vqCHjPQNAP6dl466PYnO5KHX8A8FhJ4E6K
5lW+CZBCazZ+Xef7QTOyx9i6EcGx16Nm5RZamDmwYhSc2Pw2PcLZN1THUkvbOOQ5Z+eov6dqi6Fq
Ov5zffILsdiCy2NPZS1UeuZACVjFim9jl+FwFd6W+g+t+CXkH275WvZ7Ze31tnCVWWAXptyEVPmi
ihbIqUx6KXtOoib7qPiao8Vp4WkWGvvrs1rY/xQlwdLRm7L4trONiSQCTf6oQ28VROgEzPAtbIQJ
BeFGRwl5JZAsrSFPNSjvxhQV530HJMCbBt1yZXI57o1diaZveYiCHhPQxLVjuomRr3+NAt/8MuL3
s/bSWYgsFHIAoJBlTnohs7BvuRXEHbgzJ6AaQ73tU738nHuRO2xLpe32nZ4NvxI9CNOVILM47huX
RkEADFD/eZBp8KDuXM6sg4r8jYgNrN4DVcZvqp18Utr2oY8BB68MunAqLDi2EHj+G3TaYu9ql0YV
NtSrEsXp0YH5httRdudzNayMctk8Yz3RRqEnYFAbvGjnNDYkVDsd/FOLz8mGQsQRFSsso7+4nbxD
JOUW3c7vpZvbn6oGM2eM/TCa+fAeJqJOdDf2Jc2P+YURRxi+QMw6KRKNc0K6ODCIf2fE1lrmt7CB
ISzzMJ8eKqS7s6Ea0YaoUWTWUa/vmNwmCgWeI1+kNjlQ/cijnx+fGbc6TDfSTBiS8+EiejpA8SxH
wz+bZ17a6k9GWhfFttH88eUvBpswAQjUcT7m9TEMPORRby3qAOhF92Rq+LFFpyB2P56wED51sJiU
AhGBmYUczYBW6sapdIz7IrzPbCU+oBSm3FyfzdKXmhJKUIGsH7HmfPvXFs5jqeYXTqDhau0+lt4d
ajq7tHtEtiSvf1wfbSGM0nqntge2iULtPAkzh9JKpAJWdFhVN7kd3Oem7ARGsHLHL+TKXPG03yZq
KQs4WzojsodaGxrFyXXF38Z0IY+Km4tN4RePnZLEeHOWyi0uKQLWl5KJ7fVZLtxKZ8Or52s6+k2B
EU9gHBv7m1e/CBet//ouXdO5vFxMhLkQbOVGByXGUTsfJlUC/BWtzjzCv34VXfoDF6UbOWxX9vtl
gDSgPZmgYQiTiOHNdohklHmIKnjg5IZl8ZDq44OHmfRKcLpcM9r6QG2AvFFEucBXWp2FGH2MZEjr
axWlhrzayoDzbyCYFLu4CT6MfZsUbye8KHVfeXoJny+eVkhSChPOQ7R62NnenZ3HyKZ/ur4Rlr6Q
CS1U0AGygXPO96FeY0ZVeeKYVMbJE309BcLPWO18vj7O5cUJLgJZL56hfJ+Ly8XyG2rzeiofc5FF
2zaU5WEDciEAQ9MEdwl6zrxHM3+terL0zajn8hqgjqASrM7XUFILyMuEf6xyffjhCfzF28D0t/X4
QdQy7wLwNOA6FSHrZCXzmGvkEtidJA9OQZlG3wiKPpbNrtbi8SXVK3DxpY9GUqmRK8MpRHfofFaZ
PNklQmqBxmVqN6rZNkcf7CCqlmq5Rny9jL4TwARUOk18YB7zQKVovaGMkhUgsGfkW3SOgmOcgUmC
rqLdBfTf92OHI0AuhmwlEi99OzJaXlpTgeaiL1gD6ur0vA9ONCR+e0L2d57d4I6J5Xz1ZahQk7i+
Rd/2+vmbaFLEICWgozXVMWdhxCsMTHGFCceXUthTPpSZuymoBh8TeDTBvg3D4qYtCvPZ0MbyoapD
93Gge60cRK0EyS6hepy/krKOv1Q1kp5V34x0LJcrUX+PEHnHMrSBanLARj5BvbKRhh+Z3zd0u6kt
7CEWBCh8jV15W2mt/TikWLJv4PpYT1C2+KNS1Vq1N/EowX/Js1v05Ci8/XaR3Gy2mZS2t7LcF+mz
K1Ff7vNaMU4pnqDVj1YPcHCreK86WGHkAjsUtb8Pfa0XN3ok1Ef6PVq9LxPU2vkBZoebd4eXCGqh
3Y/U9NRyo3m5loMByI3vk8AGnsfU0aNNJQCXbBRbdl3eiNgt0g0b/X/SOMDtQ6qa7FPUtmuaDAuR
ZOrd6sj7cqQvMilJbxJPEdycUQWNrMYPAuepDvtrrf2U8xOub4qFowbmiErJVB/kjM8CSISGjsDx
wzxmvUoTB9j+4AyYpn94FGS2aE5zR7Ll58loDVPMbwfED/3mW19gtsu0tE4+/sUoVMhBp+pT/3K2
v/sEJ5AoanunDlE+sZK9Gts7fL1urg+z8IFYKvBoaBwAQ5+nuvj5qTxW8E+q9Ui7qY3OctROdR/6
UM2OsPekL5hjisP1QecSMFP8pcYExHTKMGmAzWKi4re1ZaSh7eDgDTBL4u1fQoLUlXGbaqkP5Dj1
4k8NhsvaNlYqU97KnW7kB1dRuvqW6v74RLkUtqmWWztUnA4KJrmrbyyVyDwLMZSAVfJlXs2XnSY5
DXAbi5rAMXPzBv0Q0jw8uWNc7ONmW/CoghTYuJiwEMu1p0BfCakLu5lHJLSpCSLJhTXbAU1exr6M
ZONJBK16qpsiM7ZhaZW/5aS31vBzC/Ebkb8J2q4AhrzYB0Y4JA1dbaQFQ4iNkwf6xu2xKLaqXybI
6+vff2HTUaKlboQCDc35eZskawWMern1nMzC4DL+oQ9fsv5BU5+HVls5rAs3IoKJpBS0t6biw2yn
tYrXCDXQLWwkxC9srm7yxnbEmNxhtnMIFW5l+FnXZ7e0lKQxMotJn+ACBOkbA/5Jg2k6flX8cil0
nnS5De/qbhyfbWNVSmChGYQWH1Lj7FTzjUJynmDIXmA1vo8rkh7bjo1PEoIXyqa2qqMRFrh2G1s3
qv4tAsnpwuZOSiN7a2TRyhNpcdITQxR3Rspn81pLXvVdmFn96EhDCZTlkw0SKiKNq7CC+fjyclVx
6wMavMSTDCoFjVBBCSKylA1SODyXe9yJb0X2z/WBlnYpVEzOH8ef5qh2vq6VGtYZKHjr2PWjj0Gx
/UN3pfxYeD4iwkYowblo1xSSFx5HE6+QSvKk03YhsViyI4O+TF2nVavqNcfRXIPPDEX+L/Yo4pQU
xSkGUB2fxZai9AFCttng+F55KxlY4lp9sjNy4wHq3sevGLCCE0iWXYqzx+zVwvWDepleWkdZYGVT
CBQNwJ2T1hPTkbaptT1+Cubn6x9vIXjCHJm62gbMpwv0vwvhNbRsj05sT+16E2pZ8j3Gn2byOdUx
Brw+2rRcs5sChNX0qGU9uddmy9kMNPUgDuHi1j/IVbA3hmqj9vIXT1h7N7nHlv0op2u0gIUjBwII
XLPKmnKDz0IbL3k/MrrMPU690q1iudHk8fxadc19ZxnP12e4sDFpcCBBNynpkv7MPiL+XG+yPomj
ZUEuw1YfcDZqMwkv5+sDLc1qWsZJAAl61/whreA4no1tL46SjbRbc8jdfJsYAif5178YaAIwURen
DTV/TPslTC69o+Hal6ND4wbvxHYPihYJnTV56aUQjRIidxDU5AnyN4Wad0VhGShjYacxLMxR27VK
dsB58IRWo4EbX3sbSMZTl2ufMwADhgjvWu4Oz03XntcLR4JNOPmzTESyiz59jnQEJIvQO9mKpN8O
aOXjIzzID20drkTOheOAdAlrSuZvXfaW66JteGdEJooB2DIpVld/EXoZ/kh4Ih6bUg8f9UlQZNPK
LkgFN66yZuVATiZD8xPJRrVk3sJkMxRkzlfcl+U6Q/QaOUMpGTRsovMs2w5emGHG2XvxXYQYdLl1
81IOTlZPtetQhOGoo7SAmBpekIDwt7ZS2t+yNsV/qi2D/ldZTAU+nGILeds1Cpbgbmc35R5xQpR8
ru/OpY8FIIBwAmmDlvns8kkEpoJl1uN279nPiKN8L0r1ppOUlUxscRgal6wRCbk8D1xtV6OZzbvv
iD/wEZGlJz81d4jtrnCxFq5S+qMTGQspULL/2f6XiImGPRjmUc1uhedtM0AcspFtm+hT6g+H60u3
+OnB1OEwNanqzu+bMhsaZDtG2XERrsBBNKzqmzgsX9XOxHjae6WSeuBp8VL7ffHr+tCLy8kJtxTK
0iAcZruu40HuK1bkOaH3MCbpvikoxRRriNrFUXiuTaVAxCLmuRaNPLk2E6AHTVzc0Ze4l3X/jtrT
SsNg6aMRHicwK6eVTOv8CGXIqFBUQC/dYjdu0h5uOv6Y466Os2A/4GSwbz2xJnG+9PHo9oIVpg9r
87o+H9TW04FyIwEwN3FS3oLwUcAtarG+0UwRhxsv7cd730qGr2GW49/Vt3nz/fpHXLjqeC6wU6GM
sGHnN1BbI7bMJx6cfEjQBS7a4rH14jUB5IWHCaNMgGg6+5DBZhfqKKqA91grHYVI/7itdWOH7j2C
h0e9DXHn1B940e6vT2xp3/DasmnZwZy+ANRXOVXf0VJHp0goTqk5hWRPxsy7JI6uhK9LTgXwyKkS
PnUpJ9el6Tu/u/FCgcRFJZVYfUhB/atuNelL2IXot/QMaxwirYyVIzJNn80qOBRd1t4AZ/B5khmZ
9UkYefktr/Tufuhja2UVlj7vlIhSILIp/s6LRKYcBUWt0KC1IFGNreaQIKw8hpYWeqLZq1ONaKoy
n0+e+tbAOymeHpd2dQx45T4UuCc/tH4W/0XNC7VTttFbt+OiGpWkQZ31Oq7VUWhv2bE7SUEDGcft
j+8dSG6C+UBhvgiqPtWWAc/n0RFW8VzlxZ3ljX/koPqLYfgqQJC4/Aiks5WzQhNHjAal7MwYwsnO
O9hEVi0f1I5n7cdnBIMFcC9dgAlre/6RrNoMKgVvD3yhlUOFGXhmhEcb090PDwNfBogtam4IGM6r
OFWpGHGXj7HTGlW61TLASJWM+VPbwZq5PpQ6/eTZM+T9WHMxlnCQSkv1JdcZI0vchymNuO040ZS2
KBdnX/vGUP+MTY4vZooJ+avixd5LjohXu7VQgzhAmswforDw6o3nNgDzFB+O+hatjdrclImeh4cq
ytzuRUU66zcEfQ5QHiixfhMbWnLqkshsN10UASvp8iZ+6IzMjLZYl666Sy1NlMBJL0gH13pRHLXi
bLTkLncd3XUB94bJ0N9KsvEEmrPC2LrP0ltLH/8iWbK5D0FdMOxUlTvfMVI7KJoUSYLmLy1f3Enb
Vt1W7vP1r7gA7QCPzcUzdUgFj4ZZ6Gze8IuZ2jhNgt4YxVjvTiiknJXtWbfCZuw6wls39QwZl91u
2CA8XG/12pBWDuPSKoMXmMqBPKUveqhj5iPkE6nGUdZfa++n25+6cthWzd4af16f80LABAmONpQF
E5Sy8OwsqqknGW6UcTOh4la5Cg2X/+PsPJYrRbY1/ERE4M0UtmPLljcTorurChLv3dOfD91JiU2I
0O2pupQCMlcu8xvtYIk9vv5GbUlIYWq0OHndApHq2rGFpSUxurCx6QGDKrweN2CQzb2n5cLaqTA3
bhr4AzJgCFpVNPJXT2VEaivDJqfLrdb9I+oo6g/UBff0Qba+0st1tsRm6uVVmlbbcqdUPUaAI47Z
qfShEslJNhBfCX5paMC+/0PBpWLAR150C1ap0H6tA2Mc8LEbWiwi7JmKbkrqBPU+MTfj5f+xHEoR
HHFSiZs2VUTLJU7mIboGktNeghwVNt2Synutr/WdqmFrCzpkXAtggKO3jtMBhTheCGl8VUMNm+rZ
MHzRR6qXGJOyo7u29cXAxiyENJIQmrav40hj1KNZFnJEYpunJ/BbH9QSvrWSFLKPfl9xTsc530lJ
Ntek8sf8Bvg8x/n1mmPUIZcNL9lPtOm/NO4+RG1/ijTjecyN51rRd7b+BrWEUTfFF/ApUk3ILK/X
mwKJtKjVwKwM4JfL8CLs6tiq4pBL1RVCNrW4/d0OC3Ri389HYKjEBIPaj4YLmJ3XS8cFmmugloOL
w4GQ2TJdKA5D+LFI399RYSVkapaLaIGKrSL1zPip1hgK+UbjfFEC8SAs6zv/97e3T8Ft2AI7QAcR
8OZSQ68zlcIpdNyzbKw+5QcLk3pFj85dprtjMe1Qnm6LEkyL6PBRoSPgdYNFK6cyyeWwSv2IgbGG
sXyeDG6U/c7LM9Ant0Gh8u1H2+iMsSIiTizHNX6Dm0HOiG7sBI5Rkuz+P6RF5S9dMckqTLgu/52p
cY2SnjWozwMCvb+SqUd0tlCU/xDLKd1yiPud2/c2ZoNc40ySvW9pr8M6SzrHmGZfMWcPHsP3RE32
ZEe2vicfErcN8O8Md5ez+ldtRPpXVEVrlH4di2taqGdpzju3MZSrbe1Zfm6thcTJUhzA1LxBwEuK
CbE2NWd/jOX0BHf/T1FW6mMf95mbcu53UobbKEqb//86jIic3HxOtdYCJ+8c1S+SyUfV9RTU1gmG
zc622fpKNhAX8DSUlzccwLkLHaPpE+cy12I6M07MjnHJvf725lyO7+t0ehnivcBL+FjwXF9/J3jp
Q9rUzLR065NAvaEYP3dR4trK71r65FRf7GlP+X/r/HG9gmdcuL03hLy0bBe9XfrEkjW5zfxPVv8z
j4mb2wleEhdpkN99nfOEDHzZh0tjel1upZhSmjliehecHH47UvJbFsnPsEz+e/tFbn2upaWz8AwN
egGry2dA5SabholWexgfhthA26f6+PYSW/uc65vcES4t2hSrM9VFBnrWExpJDXD6LvJNbIPRUj9U
1Z6n++1NurSGKOSWzgbT3dXDKF3fhVpvIK85xNJdMpnBaexjytO0b5xvYxNqT7GhFXu5q7FxtOhj
K0sflVVvbgEjlasBgHTga6JV+ociQvnSlSUjV+/7EtyGW6dER7fChV2+GCKbtXNhOeKfETGc76AY
xn9TlEj+NYO6/a7ECuEzht6WuYVeFc0BeWSb6UNujPYBoBgSouBazd+M0DAfK50guzMzrb0O4JWM
C27uDcw7K0V6e1TnND8UlYVqs61M/T1KqPpZSNxYz0wHNAWtbyb7MVjt0SuzPLaRP9Oy5qjk2iB4
gMr4ooRVbJ2DMcnqk2Nl0hcM7ebuOGRZ/JSNhilOqHPE1imZC/2jHUT9g9JjVI4oGnhpzK8tPAML
VA2+ZnKc4cUk1M5yc7Ubniy5aJOdin5jqwEOp0lBe5CDs7715TrMtLw1Q39MGqxkgcsGbh6bbqTt
7OmNY/P3QmvhfhV5C1zA0tF3mvlczvYzvgp77SNtI8jR+oc1hsUjdcoaFt4mkh1lGi5AWj4O31Ed
1+6TZjI/j1U4XtMeLXDk6KNjVQ3f7Fj80zL4PipD8288R1Br2/LbVOX3IwJdHvYTggGayNzZRvgx
LKdPiAkZ7oRYgVvp+U8lUX6WdvLb1Ps7sOjXTrZnhs9689OR4b8zrTE+GpXWHOYQo9KiTgvStzQ6
lV1lHDJUcx5kYyJ4NN2Z0LvHFtmIveSMCCqAYTChzK8iCK5USZfV3PyzyLypSQ6WVnhJi7k6MJ8x
1hC131P+3MqSWZNZNJER4vw6K+fjIuXkNKNvRbE3m0i964bbT+kFW4hT3M1HRfseSfmZ0nHPP2Er
nND/oUVJy0i+GSIoep2MQY8pnix15mEoyvk0WKHmRla7x97YXGqxskH0bIGIrtJkbA0dtdGYisx1
9xDE2rmq+hPRZaes2jouxH5a86SSFnFydV3royTX5thfavAM59BM40tV78pZb53+BbJEB51M+WY6
ME24baZQ2JG7YM8HURReAglFfM0JCyin6Z6w00YnnWYFzRHAWQthft11UhH1cECXJtd6lqfeM4Wp
Peid6dzVUjz9kJrAumtSu5GOVjjFj5VjSh8nvVV1N1C07Km17fEe7wSj9QqmDe8eETFOpuWAWgHG
wjfa3pFADYq2Pq7CjNpOccVAe9Da6ihneoyWffDiz7CHjNyIWFDeuQXZtDTI1qPdUKjZWA5AFlMp
e8zD7qKWM95iFtCm+D5u8yuKPZ8HZP7fnWEgvgpFgt4cU7f1wGbh8s0AyVBLhySiIP/eoLadZsK6
k+d0sl0honYve9/INeiykGoQmjExXkM8xhHv4iLUJt+wnhKEm5v5qk2FpzRf9XSHm72VX2jgAxaJ
IBT0buYitQ6W1Soiw+/DbgoYP8Xzt05U4IeTkn/kmo0ymM+NrWbJfSON4becCqq9CxWnkg/CGHrT
7couYL4+CSzIUK1VsLAXeR/dhbMonmtHrYrjaHftfaxALziYQdbInq0Umfotn1XhK3Y8fSxVa/wx
a1wvbqDG2jcMjYKvMR5umZeRlxWePSSgBKXC+ITSjVmdpVDU37iyxg5Q91xUwLBH42lCXbJ/GPUm
iI+SPo8P7TRIj0PUTIKCVpq/N2JSWq/GJfcjiKtMw1WWitNrhBTlRym2w/FQZIxaPUY4gf41L4ry
Vx06VXpJsamG+2NFycxzm0Z/fHujbVxEiEIxLngROb7pXxgVtiOhmNOrbkXj09DK3VGDqhkjqRx/
sTD68LI0D4+aMeyhtTdOFnktd99SWLH+KoLKSBynSVnOF5qkZ/QG7/IwPobGeDHD6ZBGn4bc8KtB
32lNbVwPxFIuIQA/QNHWzd+MluhkQcnB2im+5o1yQHntYE725e3XunE9sAwoUOpgYsc6b+8aTY+m
osj9kgs+PpR5JxJXKFNa7Hy/jYW4HxTu9OU13rzFsBujPo2QuZKcXJUxh6F3jpOnM+wUb9vr0PqF
SAUJbt1GbFHCx5RPAe1elV8sah1kP3be2canQd2WyIOgJhfe+p218twXrRo2fmJo3QOyS6En5F45
DoIc7O3Ps7UU0ktgWBdcw03pW5hKI9tZi05joTseinvFJRqtmLbIvOdjfbsUGgeLvA65D2qh66ga
9UlRjFEQ+nIn7kxn/qBIOPa0iv/eJ2KuCKUTGAPSAzeXY4uI66gZE7BbLbAehJN875Ra9WIxTjuF
wu01sQhJgdumHqEgXc+bqXr6AHNUGbEGM/CENXaPxTzNX/IeSFsQ2t0diWaz83gbySur8snQzWIi
duO3mTISzkTUlRcz1y9NiA1inGencjA+DYvrkJIhVNqa/zSyesjkaqcIu938OHyQTvLQCKDdBI0o
ygMo47Pih4V0jfPyWMrNu+MSS7ARoSosymDraNg2KfyehXa5NGNanZGt/Fk30p1W1ta3QwaJEf4C
4L7RXAXGkwtRO+G1VOP+3yg0rOK+D4ygcKNq7h8cuXQGX6nDYc+qcKP1usxPmYCDNkZZcr1r1NKs
S9HCzYnH6gcDiC/JpGJh1P6Q7OEwy8WXyPw+d5k/yfnHwHBOubZnb7z17LTpGfTTcCWMLffRX41Q
RYLh5BhF7BctAE8qdyP6nAzxMR+PjvX17dO4tRZnXiGDI8SAyni9ltCUOMpzWfL1qRlOgTpyz2jQ
vErZqV1dxfh77IJwJ37eXqiAq8mQF/L6Bks/A/hLOTQFlzhFEs0zUAbw4NOg0Opk6rk0K9PT6Wwc
i2IofiPpt3cVbUU6qHGEOSzs+ANWL7g0HRFWRYegbzucI6F8avT0GGb657ff7dZhxPOBjizX0IL7
ef1uYzNCkC23jUsrsMxSK9+U9uBSm08C9ITc+2Uaveq6ATXQEVdFktNAwMI2vyVtcE6iPV7o1iZZ
bh+kMim2bhBSylgXeVfJ6TXNx+hjJNA9l/s/sSqLwc3K1HqI0E3aG7NvvT0U5iBdI551W8/kXZzR
s5uE3+n6r9DBnr7eg8NuvT3cZsB+LRpTN3VEGiUVpVqZ+HavyACSOtUPZO137xj9DmnptjxetgDA
3yV7BfS+OmaloZegE0bHH1IpOdtdOj9ZtBmfECfOHLeU9Hqvh715DwFSQAlDoUi+gSnosSJbPbo4
ENeohzv9sQwVL4qr59moLmYVXCpDcatKHOQ227kitvYLFwPDP5o47Mv10+LTJSUgrX29D49hV50b
+w/KOwBD0KjQw9Pbx2zjKwKKBFWGkQ+55Zp4WOozboH9GFzy3L6kVf25iUpPsuu9SpDT+nrswShA
o54He0L1sb4X5LYslEbXpUuuRie8Qy+pVV6dwtwJyBtPAyaKliNVNR2bdbumtLPeoGtvXcoCY75A
rT+gYukqnbQzxdnYka/WWX7+1yUj+rpqVQgol0itDqolzkA1DrPaHkdrD722cZKXe5RC/YV/vUaO
Sq0R6tqgkvlLU+a1XZo/OpPZvj/1WSTTzSVjUDjRq1CY6HMxTmHlXBSpdQ4JYhteU8/v7uwghWrS
GEaDGfjn+hxj3R4OpiOpvoAnh/L8GQzwxQbWrGbdvY7M7Lu3NssReBfFNoaVq2darEOnbiwQCe4r
50EWTtYfkn6o6ap3w67O/daWeHl39HLoXq1bapGeia5JaEiGTuAVUXFWROTpWICm2k6A2NoR7D4C
k7YYSK3PUjmqlaR1fXYVVjB+xh3avMz5sIdD2HweOp7kq8yTgTe93uJlBH4kTkzhj3lwdnLp2DY0
crWnAXGet7/T7Uo24EwseegRbGHCRTUnIptsX47V7J6Or3ZSE7hcszWPGIGmxent9W4DLOvpFqmh
tZA41l9qzhspQ4oeqHv3pRwUV5g/uv4uNZKTEuyJJ9wma6zFbI/jC8D8prNbyPWophXcO+YYTJxw
Sz5WamMcEGCVXLkoO2+S7fQh6OwWTeVdjffNVwsiYLmjaVCsBzG4VVSdI6WpP0w2+YfXtsBSk+ZS
Bsq7Sw4IQORqQJCon25qp4ERS+nMToxXQAAh/5dafGG6E/e1V75//7MUhwykEzj3GzmgqOsRUegt
4TuF9qGpxTeR7U0XbttlLEEJSut18WheJ59amjIOUOTGN4VoJrrgqfJrMYj7GajQtKUo7a+KPc3Z
ydarptp5lVsfjfsYCSP4arcDez2Sy7IShEYtxvsruXOyZxMr4KB7/7iGi3/RgmRKR1xej9B7pSrR
vVcZ11TydyHlTIva+2gU747DLMNdvLjKkwOvq6SpsbUEtpHw1eAZZ123aCevwKbp7VO9kbJxpeiM
Txf023JXvg5Y0PoNXRrRRMmgWIWu1GvTh2wYxNHKShkqqjL/oUuUf2ITzwjJqtWxyrthpzjbii1M
+4D8ceWAN79J3nA9LZXS8ONcdgfLcKUk8O009swuuHTZHm5ga5++2KihsURfYZ0cyG2TWaLs7Utf
RdhJz3brpqltfcxAHB0aNY8PLZ1Ct1LKYSeh2wps9O+YHpGQ0yFave16tEwRyjAd695x0/Y3mAUv
sz4UQIAW2+rHPbuBrReLmAS6qswRyI2XzO+vjGtK2zyzC7TUqxzgnVN8LYjVWaO4uh18qrQdCpuq
8ute56sLDQp8nAxwjVe7ejwlTaYx19DCz0unG73ewkLRqG3luzoFnfyc40r0PKVx8701rdZwnaaK
8UAw5fwHd+kYu7UUmn7RgzM4JDll7JlKWv46G239pWlJtLwxqGL9YNelM7qVbYcGs20G5a7cypK9
cwC3AgrcV7Rt4OTdSi+petuMZMwJ/CesAyxXHwDdx6e+/fH2EdzaE4zPFvowxKkb+ZxRasDrMJn3
yVmnu86EJX2gIlbahzIc5ciP4qmArlDZ6TeIeoNxlydVvxM8N/YJGRHRDLAdF9H6RHRaabW90iFB
PCZehxmV2coungzHMS88Q+xRyzaA9dx4BDZmHPSbbtoU8iiCCAxDdk0GRD3RUjXPMN/okJaNeRzb
fvjTabXhtnJanSHhT8c0rbJHuoPTTga/8fLBXCyBnKpxkaZ8fUDUuEH8f6KIg+0yXvMES3upF+PB
cPL8kk9TdsyjAKnfuROuNLTK77e//W3lhejzS4ViAY+9CXwSJsOZPXfssQa9Z/syhtpBqNNOkN/Y
yegAAowFUIGoyDrq8DxSm/cO4vLWubY+5lJ5svTg1EZ71g1b2wgo4JLSwPi88cZJW0Q+JdGN/oQu
WRr9HBT4A7rgoP/M4j1xj613h1AK1wU1P5n2qlDRRRtXpYMPaKKX9+BWYQw1R1neG/ze1g308SlE
8RdbqqF13WD3YVXNWS1dSrX4WYkeCa/Q2QkBW2ssHm2LGjejt/Wj4PZVGOqM21djB9dskA5zruyU
C1tvC1UEhjoUC/aNRIE2D1UdNoO4dmUyPwWwbw91MAf/FuqQ7QQTTb69BkAELFnF0r1D0uj1obJL
OgqM/wJfbVBGQHWLxrnrRHIUnfTCScqDgzyZm6RpH3pjIoPnRAJTvcdu3f5idnH6S0fkoHTz1FRa
VxkNcSk7kmS3A6kfeM6sScapGFs0TaQGKtwxbOrQdAvU75VDqyb1cwk93Ct71fogT5UqzrZaMjSY
SmBzZdwlMyrNM+xqGVzGfHz/iYYjDpoYGSc63KuAAgHdroDFhX4/5cfW0ZiGCK+ydrDRWweNUA1e
iC/JWqtVhkTqCuynwCw7zIfpnufu2GY5SvxR2R20xJiPU2qL89vPthVHgCQs+or4mNyMKarA0Du5
CHIfjNJvoY7/xQLgo66O/4SltKc+sbVhAegj+s8Al0HxahNBpB7zPIJ2X/PZXMse1DsJe0p3mJjn
vv1cm0txMiAFQpS9GXhaZs6us8B2YCZx39baIxp2h55S4u1lNl/fIlfAkVjoZMtH/SsZq6R+CEzM
en3H+lXBqSzqJzv8aBbzTuKy+TjsCTqxLxaXqzc3JEZpayOjjtAAl+MOYUubrZl6eGxtqWjBTta3
kU0zzKELwXwVqML6dpE61F6HUZP9rBfDcUwROQTQUByseJ5wzB3HgzOq+kFoSbOzHzfmZgv8FmkJ
8Mzc4OvxMa5dOfOl0vYLbC+CU9HL4Yc5CPsJMrqMryY6+tNwUvTG/mmmuUnvOeqU//QQF+7j6CA2
4Q0Rmc9O/NuK5pj3InK1dN1velqlTDzq4jy+Bg6gbi+fnU52g3CYd4qJre9MKcErADgIJm3Va+rm
qDUG4IpXeVFDrGbZeKSD8ycHkbXTO9tcif4zOigKyf06oPeqUyflkHV+KPwMGYBwCs5zsTcG3Xpv
dB4pQ8FqMIJZBTVw4mlk5swgM1U91GF8GWhJv30Etx4E9fFlnoSEzg3K0wLRkDlIgvldPh/LJrqK
oDwXTf7+yxbl5cVjjZbtbRdQi1L+gJmEyxjih6F+LI0eXL/9/rSOVWBq8kQMXW4OHnlYlY3gc6Fb
JO1pCmuvTv7wfo/vfmm8KqhqqLYRjtcND3NMLLmTS83PmvTRZEY62/1DFgQ7YWvjTmNQtYBvX0ZW
68NsOVknK20nXTo8Fu/NqcmSS6zqZe3miTKKSxIBCj4gJ4Lq59sPuBHB1MWMb2k4LqXeauNJSmKh
SQcjr1WcgyVFf6DwnGYr+6QU6lNjSSc93VOMWn7lqlJegFbwJBbkxE2rTEIv1TKiFk+gwlSfTBu8
m2nMzNuBU5ykaFQw20z0gxUWyUnNrJ9vP/DGSQNWSK+MkQ+Ah3VvKTSBhehlavpzlDrnqIHyGNjZ
XoK+9VqR0wC0hDrcRgerAEzWteCIyvTnnNYXUYr7YGxgFH91suQkkQi+/VibCy6I8aWbythsFRBx
PMISCqNSf/JC45RaLGU/53NxLLLP2Z67wMZtTiuVjvjLfPpGuNgeDUSsRdX5jdkd6Ve7Elegg5Aq
qsJvP9bWwaBGxgdjUbK5oRWX6pyZeUaTWAiRHGYjD6+GOomnopmSoxxXwTVOQuPP+xelJl4ELUhj
b6TiHKiOaaijyzzSu/hVR077pwUeCEAjcoJ/gCFFsmvUOaSPt9fdeq3ohBvwLBFtvGl72pNulk6s
xldtjn9qlhE+jLNePZYg7C6DEiQ7ycvGSWAcxDMuh4EEZrVlwrxNm1SJO78X0wG9m0PSDTtgeGtr
DdD2DJ6gqgAfX62R1k3ajG0p+8yGzPEshr4KDgil/8rDJPpZFGn6FcxdCB5fiZ+iCaQa0P8p8iR9
lA8ItGpHYbb1tdPt4RKlkfhkpoN81Ez8A0lChkctlq1fkgOPfhKK/gUxctWNg2j6NSUpDI7YKc8i
ytTSRSXxl3BCFIkF6rVxb0WFq+S9eWhRF8fGvpgeA+p6z+zHb4NqD/kB5fHJM7Q8x/suL70eJPHX
KpmdZ1WDLCzwvfhPkWPn0jKLcnMKh4OKkthllhLL08SQeKQTg1vatgCgraPM2xVd8iWbDEAcGM59
aq1R/xzRT//YwUFiFjxIR3XKpMe6j+uT6JLysxbSHJ2mdL6zguaXiCXJk+ZkuJZ9hyZz0WS5r0Vd
dLRHTb9aTVwcJFlbfHl3y5+XUn8VtFHLpd8A/ZfO1RpjYE3BxCiHuhYUF8J7pea2zUwvtdZMt4Tv
sDyoeQRxZ6CD0dnAxhpl0YWQ3byifJWLTHiQtlrXbgfHxdV2PBnyuAcdVjfCIIjXpfgEHL+w8F7X
GTPicr1eU75wX4bdwcxMce8EqIuAB5cHDYmQUvzTJHWr3aVsKvQC4qCQASZZySLwN36C0m8VtKOK
5nOKMMmHaZGunvpC+WBPAdptc2qkbh4UEx1bNp95MIzakO6qLE5rz+4T2z7EZdSBkB9bOwEsLoov
UyfpH6Ue+fHT2wFj63TR1mA6vmiQ3ljaRKbdQ6afcz+TJ+lfGcUfwGvauIf42IhLYAmIa8iQ0ipc
jygUPUmSMkk6OH+xxwWKORBthPKrJkU7t9hGjorR6sIvJBe67SCkTVdZimTz+brMxSLRC/rct6o9
ktXGrcJ1gqwdLWc8gdbZo+io2pwwtC/JLH2J5ahx50rCaU6BTxj28aOmF+8vswEuLzU2KRa596ph
l5W9oY8Tt1cp4HWpZpSf4zGpz1Zf7TlbbhwBpBVBcnE7o/y7TlkNRK4k4bStP+ki/xwLafDwKUUn
hqATXWpl0E2v1CPbG6Qw2bmuN1I7CFY00xcVZzR4lxf/V5m/CHfKRdoYF6vXrn3ys0rPpSrfj1V9
aDFVpiCNm/fr0FHU4FiITtoCd18LLQzmmLWiKzMfJoyvRE/V8Ni2e99vY8fgq7EIZ5IjL65crx8s
LZH3zumkX4T0rI5Y8aJuMqOk9SeFT/r2od44bQyqXypBdBdv1EbQDZQaxapavzKLr1Mvl64ugjsx
tt5gmt/fXmvjvLEWKcCipcocdPW9YKqEBe0ftITC+Wdvjx8iOfzWKO3OtthahvBERqMqUMjWIKu0
4ScoCRa+maJIm6ou9YJn1X/efpiNaEgQBJ4FcgGVlnUnOSxEYlqjHfkZggIiGVC+1neK262RMYoz
9F1YhcJwvQ9kUt90COPoqg7FfNGqbDgvYI1TGGnyPxg7wHlmlIW8SMzwWq60A5yjnZe5+ZjLZBwO
I62fdVPeiQ2Gs4IC226FJwXZIW+anbRtYwsSqDhRVIUvbdbXux2Ig7AyeywRik38MAsPbW0emuaD
Yu6MoDY2BgsBt1L5nQs06fVC4CHQnqlrcQXwGp2U2RjOcxWHX+PFzfvdu4Ndzq2yOKreQsngyodm
mCAqMsnFObakR9GLnYR647UtgkTwh7jEqG9XQV4tUzLRBMqQOpYfK6iIE26mthTewR4/v/00Gy/u
BeLnMJx9YVu8fnEIkvT9LKnWpRf9fNaqNHhIhRqe5LTee3FbT4XEJ/I59EF4favQZ3aZipLNYmlS
Jy51LRzoj8MABW/P6WBrIXzk6QkgILW0I14/U59Z6N/Rfb9ozVLVeXVrwtqODmn+8e2Xt7GQzRpc
GFD/b6lRDRF2KusE5FF9saw/c/97xsi3TfZ0NDY+EgUilTdALmfxEnr9QFU5y1WUtUioKfVdVmuX
pJO/TcWeGpbNr1ml5ot9wYJK15HLWafmZjZUzSiVoV9HudvlS21yJ81fEEVyc/k66ju7fCP+IEu6
yIkZmCTdtF6rWhmpWgbrwl65sxLnjJjgTljYXmLBfdLKwMJ69eLwU1NnU0RwaBWz9AMkJfwMG4od
cOnyW9bvjbEwGQPGSLdiksHUl0LVw9E3s+g5DSyfFim2jJ2XdanvBPJPrZ5OZr0TWzc2BVPil4SF
DaiuK2KtHuPcVBf4dJ8e0Rg6N13yJFvDzs2+8QrZErw8vhMvcj1CKvV6DipbQtg1ySG9hvdypPx4
+xhtQV5IhhDWAvAJwmY91JGDnMHCWON1lychOI2lsSY95TkCES2K96kcPXKGlTsjGQUTzDaNQ8gn
KNBd6zAxJBixU5D/EbBSjO+VEpXOVUltI/aIQVPgjYQCTGMDPa58pOXhPmhWrWXHQG5G9PMX36qj
ksr6Hrj0JWFc7QuU5ag+MHpdkr1VHLJTCbqFnSADWKSlOCSNU/0rNKf/nEVKNqPrgSCIK5WtnR6m
bKq0U9bEyJipATCEowJuZfyg9nlVIeEwDq0r84UmL6eiRGJ2nPQFV5z+YtQg/pnjKv2DRUb4HI2F
I7kBUevYmk2soQlOO/oYyQp9w7AaPyBCj50G/rnpdQIxc19ISuC4TlhZmjvamnTOMT18jAPkGV2l
z9TojNOiml0LMWMohoBFdgfm2eBq6ozLFJvaXhTaOE30/BfUNJ1BrtjVVT6onXCMxIj9uLHvoVqf
win5HDr1U141x0mJ0IQRcLCbOd+52LcOFI1B0gcKVKb8q2BR42tmK4lsXewax/ca8Fz5NER7wnwb
BQAh/MU8Csz2jSbZEKj6QEcIZz1LjT5nyWOsO4/10M2S22dG9rEWlrUnzLH5ZMuoG1ldSvx1GKzZ
J61l1ZEPdfyQSCN64Y7bJXtNk43rEOUz3t1SBIAIWv6Mv4q2fg4GcwrxYC/k9geeSDrzwf5ZTPqz
Kid7Si+3z8SNwX846DEm1Ndoq2AUxjQoMLjl2sKWxXzMneJ3lel74M7tdZA1W/yGb+faXdtFUjPG
FpDf+NA4Ef0aK0ETz5GyeK8Cvb2AueMX0C9ZOUijNe5hGEgJaVtYfpLY+alTJPUePeTg2ESh/iGM
2twLZTM4SrO2V29vrkxzlQk0AeNG6T2omqxsTSm4SNOAU8AU/04G6xTp+h8kFL4mWfZV16Y9I9CX
JtrrAPkyTQCVRrLBJbPaMEoZRbNdJwmYgbFID6XeF7mrtwlD5qGB3O7W1YwtQVZOTueaJVoNbugw
rYaQZEheLHV+bI5xfAz0zhBePRVd7ZrKnMcn3OdQ0yiYgj3nitXLZ7rESINPytim5J1GUuB4Jdk/
AseIeleJh1n1akcf9sZ+W++VChIZisXTBN7i6yPRFpNUjJk5+mkvfQtNCaOGEoNh/aBpiFsNho0M
ghG9OzNAdA25Oly/4UkyJX29qNLR0jH1NPOz1j40xRF0/9kR7w8qrLKwF8EsbMDuK96oJow68evJ
vm+D/AQz9r+27Y5vJwdb54+TTu+fpj9Nk9UlqjdVpbVaQifPCT80efgdbs0hm/dKrq0PxdZ34CrQ
nb5pTdohho/12KVXnMOA3XGLYjw4hodi6iM/tTBYjZ058aRekk9vP+BGK4CTDt90IUsALFwPEh01
BxcA5O/aBm1UH+KI3lMrydmzYWX9c1yPoYdLAGwRxGnQrB5iRckOSP7Oe9O426uJP4RNCuYMOhbT
v9f7RpXJu4wYCI+ctBdDNb00exrMDNkRmQRlz6pv88P+tdqSeP51W5SET9ocMb6DjkouVHI4a7fu
tcvO6zVuM9gFTQnqAiVHQDPr3lSlk0U6NmPivM3m38McGKcAxygvTGLjw9wrFtMS5FrCvJQeckGG
g/aNTrw3Q/EhMYcaTWwn8/RO6EcN3Xuvj6L43ppq81PQ1+l9kU/meVCF8g+Qa+luMs3iQKKFe1Gs
J144S46X60H8oDFXupRCKz0xaNbVMKrgZNlS8CDFY+eq1RQeUm3A2T0Os7ONDD6CceV0GY2yu4aq
I8HoLnJxMQ0pBKeSxZDrEXzOyAe/4xk64UNvaAdn6qIz7qWZJ6S4OcfVVH6y0YM4VLIUnPt8bs7J
ZOiHwBy0u0gFA9hEeXKm8CPds3qzfB5N0d/L4YQ7dFGpPLFAFmrR8wLuX/u5rLb3ejOGj4ozIqJj
B8q5jyNbHCMxKJexkNpjLqd/SpSkDhJjhIdADQr0GmpxsPvGRoql+yWV/Llm2JufG3I9N9At5yyj
63eew/RXhl34aVS1xq3a0iaTDTW0qdBfCnigzyONv0sOUtEr7bp3l1zKzfJMO0bQjO7sKFxkm0z5
mGp4/FZxiwNDKyKsYAbFy4RSHYo5VdD8Jv+xNIjrbdGJU+eYFd5BbcZAMfqdA464K2cEmpU8iA8B
ugV+08Rdd+6LMX4SphU+Aa3E67kdIfZLqJUSZKlXhFUVf9pA+eFkuoPW2ziNj2COCgTOJYuBSqFb
yYn+yAgFa8A4oZjG6bsIncaXAyQ/3TSBzZlXcXky+gHjAzuyf8h2mB5rXWb4NEeZsqDAun/J8EcP
jaw08PRAGw+Kk2c/29oyXTuaOEuTLXmBbXRns2kbrwvz5NDURecxnLJ3gtfGIV5cookWNM0hnyw/
/+sQK0KfZoM8xQ+K+jCZBUhNHCgKbSc1v60JyMqppMicl+75OkQOWt2WfVEtnHJa2c1w/B9n57Fb
t5Kt4SciwBym3JFKluXsCeHQZs6ZT3+/8uRaJLEJnQZOD12qzapVK/xBmbT7AYZDrgOCxZvpNCZk
Z90e2nAjIjL5ECIulIhgIRYRMdRqfUq6tPMwvr2feaz1sT9UcBjm8ncKTOF2qNpa7e/+mA4IMN5i
tUI3ctxTtPwOe3aoLO8a/VkZ3wEUArS7xw7ceO/IJcF5UOlQ6iybv1nc89Bhluop6bdIzs6T7zyV
yZd4fIzk8MJYdeegbH1BqDNIqyGuhSyA2Ps/B0XulbGaLFEL+9mZpxBihHyd5uY6aISSJ6mWPvrV
Xim5FfkZk/GcCxXfVSNQR3tTrWMp81DzLI9KL//WZTQBb3+1rStA90ehrBJgxWXVYySBZgVjFnnp
DA9JDy5lUN6HQ3V58zIq2Y9onlJfr5K6UHLssof7c5VVST4OcGGPfmJh3FAyzH/7UnTrxddC6Acw
1+tvhYMWjYFmcq7j1MWHaHb6qwWF+bnPpz3Rp3XJiJAu9ZtAYCMKviz2ExU+O4UB/P8hP/hZcT93
2GjVFz36D3UczEb6m5BvZahji02let5oWuijHTIPxX3BMPfj1KaVm8hwtN9+JBibknBws3TUdhaH
HfFAR5/VxPYco+uPuDRkZ3MK6w/ooA07g6SNIw6PGDA5UQpz3WWEUjslbRB8sz3gG/5Ta8jxh0qZ
ds2Dt5YhQ2VSJIgPqzqGEqcdiimfPezfAbNgVH5O6Hjt5GpbpwH8AXA30lBAAovXpEMGspHTAG1I
0KuPE+5OLnlE8TSWUneyisDf+U4bAZfQB0QAUUL6PsuDPlhJ2M9Vje52K6sHNWvu6tB/P9rmVQqr
L+W+UbToXS0KXkiEgGZBlpDqLzcYKKnZ9wAD7qh4tJ9TYKK12wexSfdC78OJ4nUC6oNcn3yqu0DC
9nask3dpVZYfMiNof9y+51sflQKRmh9NKEDDi5+bgpg8Cyqhl6Rh/sm359TFVEB+cw9ezP7wLYWb
hxrfEpKa+k0wdBlDkqpPAFypIKP2HrOtEgoSE3NGIEWIjS+LRMP3Ez0F5nk35BmIdWWS3/uzEsOv
1+Z7JO/vu25uDnId2ec8DkYXWWjl6+0fc+MZgHiE9jhIYoEnXrQtgzKMOoV84aq2ce3GM43yyfkc
jdYOYH0DCQfgFUS0oPZTEi9f7niGUTk4IOHi0po0wlkWOSdjaPvwyA/U4y8QmqdU1d6ZqRR+xRS3
A8mZN9za3P8RS5XuGU2T/cx0lZy0q9pJPuMUyXNiF7XsHAGyhqqrBn7ZHkercoRRe9a6WlfpOpII
mt8/KdQDo1sXpZW7ZRRO5anOAM6DF/WpVUer8x/GSSm+2dFU/iyBeH4MJylXzyaVUn9A7gMeoKHB
G3anzsKCMur16PdUpPln429NM8cdtGnLB4t6UfIiP6LMbX5X4qBODm2lh98aafC/yHXOBS3jmtrE
xqw5OhaWxfYpbyz5GBpK9NTkTF8ukOkRBdBjxz5Ydpc8mJQf56xMjPtBpe3+q5rV+aNdSZKB2Zgx
PsMky559eazGk03pKB8DpUhrBCOloj04IPWMx8lyihaXdCX2ZmWI7ENXqXN/ADdF2XP7XG1cUpq2
ZDAQQzYwpFOtzDO44t6LJZM6SvotVfbP20tsHV0x8CNg0zBavfdF3pgzzDKg2wHuN/mMt7d2mg35
dHuZzZ0QAniGkbhbiSf4veNUQ40n+5xUidsrxrNejjutr7/aIIsIC2sMGLqwMaGNunjmw7aSBsco
tWsjKyWj2O4IkQ5U5Rez/qkGlTuE4ym3auS525OM+rZuzG5j/A6H+DL3HxXl62T8ws7C9f35hcrn
YMU7NJB1rIIjJQAsgg+JhtkyOUBWP0m02HCuELNClw73O91sjriRHcdSOVhl76Gy+ISEKx3nYecT
rL40lQywBV2hnU1it1rbL1qp1bLCa7XqvV8Pl7qoP2Atu5Psr4oLlhEeL0xwmAKs5nktdogmOiqB
p8vvVfldawLyhPTSlG5mXdTqw+1ztcoaxGoChk/3DpD1MrNTclo+QVHo14Q+SlQ2RH2fFs5L2u/M
eTe3hTSpgOJvGNckdqD5Su8Hd51Z6lbgmgysYwR1UVA55lrQFZj76aNGAE4Arg5jPP3v9k63Pp+Y
kWLfjqzbakKVhVZd9C3kNw0Jx8I51aV5Dqs9YvnWNlFOBpbEQdFXCt2mxjDWxK/QA0vT9SeQofF8
gIWgx27vhBGA6S5VnowkU7AZG6pqD6q/9T2B/FGwiS+6wiXZs42esookuaal83lu4fzYSstQrEqt
+iOaE5/e/qtC/qG2QnEBhvIiZBSS2qll0eIFnuf3XRQ+JkjUJFnl/YdlIGXBNkMVasVcNAI5tacB
ao4M3KqxcZ5zPlnBnq/GKshyGSipSIboJAtAwuvazZ5NPYl1mckI2z0mdaidie72y9v3IjgNf0Ev
dBEWq7RpF3eOFvlXIxzsA82lL8xl/5dZVbdTim6dBYcbh+sWI8VVBR8rielXTl153Zi7c1bcZVl0
kWz/YOxpW66F6Xk2WEgcODGxX3YoRgQOHDqZhtfGc45WhGzmXx1cRErejDb6Mkmdfx4GNcGEpUOs
2u0sXYzmSK4/Y76u2Gek6nNMPlE9eJBGCOQ7xcrG5ccPhfwWPgI1xPLLxpoqp0WFvETum9xBowqO
Spz+kONa/w8rUf+jl0fPay3dpOJ5WUcDZrfQKsaPdRxO3kChdJFhqlzffJCEGx7wFaae5M5i0/+0
hYAFFnqbq9JV9+VnptOf2wGTpaLbeSI2QppQNILjSbm3drDNZF9vezUNPUdt6fu/C9UHp3rXjIjz
BJ99JTy9fVfgZWiJClusFWbGr6qCMW7T4RTXnWM1+lBL00Ft9wDaG5eDXXEPeQvACS7nNTiT1l2R
IHoyI4SD+Z6LyAf28w/Z8L/b+9lciP6ZTGGPIsWyy5v1YZAZaTbA2fglmdGxzu57Wt12eL69zkbw
AjosMEAojUNGWERiJ3SmrJ8SpBr7+FgX8P7zPUu4rSWY4//1hxIivYvWjO20AdWhoCCYVElW/RUH
6V+3d7H1axm0fQQpEFr1Ur4urBKtSiiEPYY21aGX6k517UiPPcKDDuUh1naS3lUbg8gFpETAlXm+
Vq1BvRvHVI0RKGqtnsmOc62nwLXt0G1k45tj71Ukm/szwcjAFge3t4QJOrRMemscoGZDxjnaetEd
q7KPwOqU6slv1XAnRmxdXjDf9P6RlOYQLh4b2xwBNY0Q1EMICU9lWg4/Kt8Jvht02Vo30nVAM2mX
KZdicLCBuv0xtxeHrkS1TZK5hM74ypSoZqdFd03FRIiJ3B+gXNEBmr7uTjWM02FyhkMXDm8W0uaj
mgD7EIKiF7nS/5ixhIqgCPUeCrRuPXwOOwQycdNRroa/c73FtXpVM7EUgADyWkomcHiLH9jJRwty
HZarRlHmICXG4V634vzPiBadW09G+X4Om/IUSpLyGQ/fPfjk1nlC9AD1dcH0J2i+fgOKMbKL1qkw
OWu6A1/ANarhkPYvZf5mhBcbpXOCHCGqvmul/HgIJLmvktQblSfoY8dhbtx82jsyWyEGBVh0oEBH
rLkrTtunNXNXG6ql+Z0rwgh3jz6wuQSVugn8iZbTcubQqYVcSloxeREio66URe0xkOo9SXxb2zgY
OAoQ+SHrrRkxTYsPG9JnSEMYUvNYNkGjHZGtLDUPUensEy6sUuS2Gh0vhqGzTIaO09mHvqzqF3tw
2gQBRrWz7+q8oAKUSss5x4xL5wc8dfx3tTnas4uZXndX1pJpuXTVDOlcyNazKVUXPai6X1VnZZ/8
qfQf5Frv/K+Do4yyN7VDHz/4dlv3f+RYwrasSFqrPhSjGn6TfJPyLy+mILgmFZDQQ1Vj0HYX6UXy
4GPbZx/mJhm+OVJtfoLgp9Vu05nBcNSiYDol6Bj4B9K53HHBQeY/nGBuv+up2n+ALWgCJ1fD5KJG
EuWfHsjCcUV9kZIgfmqjyXwG9Kt9zug/PrMZ8yFDA/NiVIBj3LCvi+aURZX8BfBBbJyiDNL6ofbx
y3Wrpugf46A31EOfKvVjHGndeEH1tI7OOh06+z2ZawU+s2ujDBRsnhmnAjv04arrfflLakz1qWvg
i2JXJP4o1OoYfw9TYzxEcJsfJEvbA7eKS7mMGSQCYGWAuMJjWbyjaIYghaL3zhWW2CE0rjYD9hGZ
6NvRdys0CAgThl5k36teiUb/JkmprD2sJ45TNR70ujfvHKVC+WhfkHor1sODQE1A/Ld62OD4pdWU
mRnqeRzM6nnqsgdfucb6ZRqqR7qtxzfvTmAYWUychhVpSorSWZ+i2r5GMiiG6ajrH0DCp/Qwb6+z
8a3g4Px1CWDuQHf6dYA126FR69Eu4GdnpYv/0nOhxefKqC//YR3US0UfUfgELM5E1xdhhXzZzCQU
dcTZzo5y5yRu1iY7Cc9G+AN7Br1DDInE7PD1hno6JJZvSjZhSMe/3UzKjCjrVIG9s6ON8ycefoSc
6XisHdbtZOyHMIBI36hzcHVyPzwFsaNeU+xuT0rt9+fbv6D4hRa3CkQIh53fcMMcTTYq0xgkgTiz
7fwQhu25S52HMR1PXSEGy+HO9HDrZFDpccNUkMjr1sdcqHHaz4TUPsC6t70vhil3/Wx3Er9xtWjO
obIF1pMG5HJAM3Zjk9Wdnd5FTk4Fq2rp49BFGiq9vn+wZWQKA18ZocqXwc4nXK9MYgF/gZICJeQV
shUnAl0NOPeebPmHvusfpEm9133pEdj9SS6Ls6TnOyOataQSEwYwnwL7LySFlkVGGU9IDFhS7jVx
+VTOyUVuGTxF9sMwhb/kcrxgP3TPCMHNZ9TIzfLRloc3d5tEoxAoL2UIneblXDhDM2pKpUlm6mZF
ED7b6V3rd9FXdOX2/IfWt5GlKDxQ/eJ3Xo0RMxv+uzwhsN/bCAHpoa97dhX0O3d+fRVZxSJUsiNs
A5YnSND+osTXOKat1nX4nJSA2tQ6ONKGbI+NkWXf3noX6TsJxCk8MhL/Za88GNWij+Zi9gZfuR8H
7b0PkgzmsYI2QvoxVoM92tr6MrKgYMHQ66JnsDw1WtS1als6IXxnpznZs8TULTaU+5qwevoPeyNK
g4sEebpqu2DoRXN6zHElHb8DtHYDUzvY/q+EmlGJpzcHNfZFHwSqHFMB5I9eR+sul1qzkmpwYX0q
8ZRq/Rlb8tnNDEP7ToEFocRU97gIW4fy30VFWPinsdSUZEy1pCaeEVWYzQ53Wjp9uf0jbkUW0nxE
BqBxoyK4KJtaq+jaGOqSpxaBO0af7fmxz/OTFuuHGfHxadjr7W4dECQzEPMjjDEBEOn6P3uaWmsY
ankEl2N5/gDCUJ6Pftr+h7PxVz4KyWMC9ZKmqToAZUqEZe9ySe/BGbflt3mMfXemRX5yml49Ok77
v9s/5Vrtkogp0i4wR8K0cXm7B9Qi8EguMVm3Y9qu4dDhWohVWnis2qb0z2WeMSDTgyhmKm224U+1
M3z72MGOqt0uTSoeycJ4qaSp/Snj7HyaVUD9rowBeXVQcSeqDknO7M9FdS3+WpmV8WTrQ/490vru
U+V3XYw2RzyjzAPNKT50UumjrgDOtSMRtILfDeNRPumY6s7X21vf/KhCb92CpchcdJGchU09+hFQ
c+wC1YMVOscJvRlqn51nUPwzrzMLfmBGr+I9Quty+VVnhldJpybZneRP83OWS+OLjD0m4oII5RfH
fKyHwI2JaiMCC/FYAo9tsD6+vdedP8KQXx9gVQ5jK0zxZ0+G9nPdzO/9PPDiTHupi+pjWycnIAsf
QrX7c3tZEWCWe6e9gJs64DmCgvgE/9ybemyVxgoyZJhKYLs1j/M9shao+mh1hzNYOR+7xlKutxfd
eq8EtgirB3KP1ah1lEQ9E9Wdx5T5FIXJCaDZIdVRZB13Pu3GCYJ6CsOEoRJj0GW/MeYldNJOCj2Q
IT/ySD+TQL7oSr9Trax+RVRLqR5IolCWWguXpjlsIMsHAma0klfnzl2NdUWpKCdsQLxk2MPTbC4H
6xlqF0oPK2Rg3/rYmg65edUyP/woJ/DXXKcezKfRrs2PaImD9NZwOdw5oqt3A1yWEBdh7vE3n1mc
FQWQ6KD6ke8NbRWSIxZNeLBRddxTZt3YHmgOSMNAYWlpLqc5fYdct0/2fWfUfoMQbzR/qHJtetDG
JjhogNu/xkmOmvsbDyUHBD1N0lKAUmulLjLWNsniSPEMK35RGvQzQhhTM56O5c7EZXUoyTrZlyUe
RnArSyxznhZypMJ8ugbVlAgK6a8sZGzlR3X81uPPSugJULeDTwRtIH7pf2930bZ1o/UDSpc6FAL0
s1K3slSJ8Xw+7gTr9emgQyn8koVvlcB5vV5LcqI4l+CJXO0xv/KKHRAk2QEZbPxwzG2hPFACkuou
D0ZldL5sTY2PSoLmVkXoIoJ5aNQd7v0ahYL6CCMjrjLK7aBhF7lEmI0RulU4YzSxDroXrnqWfpnH
7BL4kRf12eegrLxKyw6xukd4Wu9QB0Uqur1CZGXFxxky24pB/hRCAflcOnD65NzrjD1c9vpbsYxI
y0DZwFBYTsfGzpaZWuG105p02DTFTea9kLi1E4IiwwG8SplPLDLAYjZCfeoGnyaY87mZdTpTyjtp
erPsONMkgOW8XUwgGCkuvpUWNfjV9vghgfd7NzLxcyMLI+ep3oMmiX/o1UPJFhjE0vRUkKWh8fH6
ePtmWFdRztdo0rB14LZwDU5ouMihqzW9EnkDopeRO4m2tGt2zvBej6NQvVpzQjgux1oJzlqU9vmx
7ct2rxm48UHJD5HloWHBz7AEHUS1hexebvieqbXlOaF+PrVlEH+8HSK3VuENFYoRtBzZyOvfIIbv
4fMkobVhhP7ZL2XnvnTUbqcm0jaXoRlCPoZk/YqSLQW9FvhyOd1/hrl1tlz/vYaT90E7hofiIB1e
LpfLw8n95p6eUkzX3G/K6YCri/vnvnN/396wsnGKYbgItii4eHAPy6/eyRW6A3CzkPkSYgO9rv2G
7Y+ZApcz8M+pkcvxyZ6m8jCacnqouwGTPqOuI/kSmbRxLmk6Nh/8Kor+VIWefusmI6iOt//KzT+S
7iXqTgw6KRNefxY69Cm6/pi+VI3lGvqn1Czdsf5xe5FVfkonjGzDkQX9X/QXXy9SBSQic5I7V6w5
nziIx9pA3dqvvsp2UxyjIPyV5tNjXu7h0FeVpFiX51iFeinel8WzokJ8xqAnkq9pX2NUZBezdpiH
TPPdWPITL3JkbCeGGu2XbJg/3d7zKk/9K5QDr4pcizp9GcOswiiVxCkSr2+hvAJgwSsUJQL9II07
zcaNX5dzDvCFNxok8nKlzGh6q0Cg+o4wYxqH1OjIb4SGaeFGfpa9R3/NTo5GYDfdGeZJWwKfkEx1
pzm3cZDI7cBMsGHwUcsnXI4wdS0GUp7Mli5zGr1YHUYIwHdu/6yby9AdAJpIl2U1vs2ySTEkB6ta
mp609OdjqJYvSpLvVBkby9BrJ/P5u8jKaLCivg2dMgy8iohrn+bW7gwMp/pBOU91kdg7+ePmckLt
mLk/05hliypXslGVpQHsOUZCbl03FnlybkFtzOU3p3XcdeSiDKYJvOPLtC6f4s5IQpxJ5LB7l7SS
a/QaGYN+uv2d1lcPazwUJEiE6POvsM/IZTSBmjQZnOc/gfFFQvmolzVXrk+qlYEd3nvEVteNPRHD
qDDA65A7LFKGMGm6QgnUhgqqn45AcH/G8XBndtVjbQdvPepIolE5iTG0gGosG28R6XKedSF41cqI
SOzm6VuOIdp9MJh751BExleZA0tpIt0i32dfy8hpSFaDC4DWegjqXsb5DGbPVRvHVZr0UBo7yevm
YoykkfpDp281NwsKX/GjoJwZ4//P1O9AqZ51NXL96pRZys4xXL3TYmOghYgYsDtWmiZmY3dWXcXJ
nVnGw6kLLQsbJdqYbzyFYhUOoND34MQvO3tpYqRBFDYw70PtI8L3J6uXX2JneJrzyneHsnfxDdk5
+au7zJrgaegHAfVjkLZ4dJpUYvaiVPld2I/FU5VEUDpkP61d/lR/JxquQj9rkerwvgipNHL/1w9r
nsC7THRgfnC99RGd9KE5ykwo3Hyo7fdV4IcPZagHpwKzjV+1FmV7foOra44mDc010EPwc9YTmVr1
+6pmrHUtksh5cuxYO6mh3n+B3BseBYL8Yto5PHGtHr/f/rTrA8ShEQGTxUXgFJ/hn/K0NdPMDGPh
WZ5HNNtKTFn3Bgfr+yCE4QTSBLw93dPFrxvGNuwmiftQ69Uv8GzfIyl7rqz2OETKEVj6Wwld/JY0
84V4EddiFcKa2JccummxVxpAIeLqgyyXb45cLCFkx8CAO7DlxI7/+dG6wOqSvEMvITWzYyTfWWV5
1uLPt7/M+gIwZqFtBlwacvdKjzChyk7yEn3NLB6fZ3V8p4fGwZzSnSd6HfF5nkVeLWoqTsDinuVI
6CsdMFeIYf5Rjt4P0ITDeXa7aKdzsLkQNFriCAksSlavf7S56asuiPXQCyr5gz6X1zC3XeZaF8r8
nQi8dajRCRFMKjFeXL4sljLpldZPlaeG8xc0235ilRMcbn+edYuCk8z/TIi0ZMWranRAEW2mQpvv
h5KaU8dQEj2WuH6W0U6w9G9d91m17mPjy+1lN7YGr8dhUbCueJQu7qsVmgZtcIwCDMV3Q4Iifjg7
O9s4eJQwouyjzcNQc3G6EQ7QqsCoRS2Du0LzzqfRHvNgvn0jdLuBaaLwKvbz+jg4OLsVI5L1nhYr
1T0YG+DrjvZmnyQ+EghkMOl8CpqLi1V6QPuZPtiz10XzodTlhz5KDmEZ7By4jbONNg7vPa8VDOHV
2W59be6lSvX6ekjcWG++o6N3iDv722x3O5Pmjc/DNwGHSF+RR2MJbcKnaczVPsm8pGwslNqlLAyO
fZxlTI/G0fn95s8EEUt0wzCtW/uolsFUoP4hGQhTatW30XZ6pEhKfae1s3GqeX5A0cpIFHAWFrFB
wSFu1OoquTOUenqZpcG8R9piz31maxXhAYmWLKqoq5fBT3O/K5mleaBKroVSRAcFxcad27OxCIgp
tJJUodO0GqzoetF2pq9KXtv4w48eskB6VGwc6o+3P8zGkaMDC5uXu4r82zKlbcNwKNuSGBcE0VHP
6nvLmg7+6BwKXd3Z0saJA2EsSmNZuFAt6//ct4IusmaHtnzaFoehGqbnGkOK06iX2V62sPYNBZki
WN/cWt6KVUYCCqTI61LRPSVJjbvcCZsTA1cTqZ/APmm+Fbs5f9FjEyLJoFn5eAxJqTD3DcKdbW/k
LQwioTALH531jGCchjAdUQzzmEL8lMviUyn7gYtnyovRA2u1i+zl9ifdOjqi3w1XkBnoioE6TZHW
pf2oeRFKNcZcPgCO2VliI9GksEO9UtwCRo2Li6Y6XajNBZYvRVY6ADhoeRyA4ucfu8FUj6XUfi2y
Nn5sWtPfSTS3DhGNYlqyYoOr5pU/ZYOjJ3Xgjbr+CZots/ryCNx7J/vb2iCRXjgKitblMpUP7RJ7
RlWfIZgh7962WnvNpMy+1LqE/pA8p5cwsrVDm0R7Pu+bK4ucEwVpoZUmfoB/ksIgGuUOiSHD01OH
g/mCOs+xQwqtSnXXMKZDipvK7fOyFQKEoKXB+FGINiwe6q4yW6RXW9Nr8D9qcs08USTWRylz6hMs
gG+3V9v4gEwDGa+K6dJa+HScygDJdySD5dL/WiXti+PjIDKp1A3/YSGmFvALqBews3/9Q5pZrQdM
jYEctPh3TjKW0dPJzoudALq5H9q1kLsEbWj5ZhvanE9tmzHtb3+3uScbJvJJe7a8G1caKhwDTToq
ZPErApk0d44cpsmdb44QVKPRUAghZfr17T/ZX7FDHlGoO8sIbSZOb+sY8npob6GPGaBdkEitfEpw
WLveXmrjmBs8BUCl0LNfz60cLZWSvtBsz6+UKLrr+3oeDtpU6degsBrMFRoKSGLMWMP58vccFv62
8F53cgS3GOAbYALIS8sGVSwrfdrZIw1nDWcarGKxj3/spOEZQbmjamSHLu8Olf5Fafpj0KhUABNU
LeVU9t3Jz5RHA72GrGl2ztLmnwXniAYCqSweUIs8M7fzXmlpktzBWZ7e27E5FZ5TZ77lOvnkG8+p
lhnVi1r1zKdiq0XUc2bEco6s4n/I+aK1abVaiY9nmHXPeVG233pzNB4h6iXVo40wYP7rzV9R8DJQ
yIRSA41yUfXpc1ZBDJ9G4WZmP1SD3B9nRwuOgWbh5Yll9QESRP7QN2/GTTCjALsgyGdMy2huvr7c
Dc5imWU0AZc7dXstcTsILp19ieOvs77HSd24fXQC+CbCjZVO/eKrRLgF5UQz4+pjQZOV43lO9tpU
azCt2BAfnlj11zpxsYaWdEFR56Hs+U2E5utFrkF8O5WrduUjOe0PszVx21K6R6v2v5qT/hQY7c6b
t5GoQA+HgUxgps+yDDJakflYwfqjF9YG/lrmuzGbP42y+SAn2l3nN+lOgF5zkdnzX00xOqkI3y0f
nkIORsMac8kDoaV6Qx0GVxRl8CejWxW0pLql06snfVS+Jz2OGsYchO8gxtku7Jn5iBZPdSDH79/f
PtMbAR1AAl0mAVAQM/zXR2scijaMx5ogWDeulr5PJf+QduXbs0KgasJFhlDL77BYJZ0MnKjqJLqb
JFN2y9gxkXuVymNXpQma7UFw7EbpPyT7rxYVmcA/ucVg4E5e0+i46ql26obmZ0IIi9XkO+6VO6Fs
41cUUDxuDDhmdTXYSJRItlKt0PF3R7cYnwX0ibigWTcTo0b97Q8XCZM4tnTl18261hjmQimB3GHc
dCiZ1TuKeUwc7Xz7aGwEAjHRo1PD6Jyu3SLtVaTRB2c82Fdfq899Ez0C5N5pb239btT+ZJyoMQIJ
W0ZUuW8TJyQ9YqB5kWc5d9HexAAI2cvbe9nI+kTThIEsjgdrfqvdhzzyTjR7bfFx9jvX9ltE8EKX
MLSz0kZcYaYAcZ+KgXdi2aLp43KmuzDGd9E0Kh44nd6F89JcBLkujbAIwNBvb4S3tSZtFNI+Mdag
P/T6pJf1NLYVRO9rUjxjMGAB+am0xjWC9CBLe8F745vxVHPIxVlfo9wYLTuBAiPvasbzb6JUczeX
fnIp7aj/8OaP5gBnAhfC/xE5llEjRnO198P0bqaz9lQXRuc6Y/aiR3jwaan98fZq4qwtkiSQS7De
eOKFUspiNaWIZ2UuA9krS+koIzmjadfs0iTnKukPKlLN9fz2e8yDwFK0w4WW+OIV7I3ImviRDRif
0qC7Ydfkj3hbhh8RLOne7DfD7aKBjFYTPIS1b6lUlwGhaJw9bFPfOUN/ShPlOpl7IJiNo0iIZ+JD
Ewd2zrLD0vijAQgSIrmhx8pzIc2mO0Q1Qp1RFzIZkuRTr497ipNbR1IIvWCDIOB1y0il+fEQVjoG
2Y7+0pVnWZHOcq+8PRwy7Pr/RUS4/Oc5mccuHGXGhp4T/2ji/FgMe7/d5jYI6+iBiFR9+dtNNYpV
eYLGu2K09+hZ/VHk3s3VN0vJcxIoRim5OQpgYxbHrnLUdLKyTvWMMajui1x3oL2WzsfMKPrL7Tu1
8YTQa4NJgRM3zINl23XIA9Vvq3r07Ck9FowxsD7ZCRJbPxq7EE3DLaJ7MhtBWKIv7TlSgcLPdDHK
7E8NWXsnrm+ugyQscBqhE7Uc+TiDnaeYCTrXoO1cpv3gae4oho+3f7CtVcA30usR8A9C7OtDVmV+
V0QkkFfURq6+UT87oXQI/ssAE1IslSh6BCQsyxy/tvoSg/SOjpZVtxe5jJprY8Xjz9ub2ehKgh8Q
iAimizy8y2XwSUbtCQWHa+FXsDTgdMfyz8Duz37qlk31KZbSRyOT/9dMEkre2p/by68PH2Bl3NYI
rkDOV53BMU2cTFaz8C7AXrI5mn1ujU+5Jgf5m4cLLIS3tuiR0zZdQiyLHohUoVXgghBvH53wfR1R
D0KMvL2f9dkQyzCgA1nGxH1Zxc+I2TvjEGheUarHKGvPTfOtDOadumidKbEKdR/6s1t01aAADtgU
qDMlUgLrPKnRch8PjoVzR5oaP96+JdIkuCuwY9fwz7FlfJ8gPXan1Bg9u4h08culU4PMZzkU3dsH
W6jE0PpHiQZs5ApWHo5xM1I+B14+agU+zFN89VN1vJQa1IfbO9v6GUEm0JFn3I1t3SIls+Y4zZIC
rlrrNGet8Gb8hxK/Yea5E2K3FjLoyJFpiibPKoVuA958Bb+VvPHU7EUzAcnH30M931lH/MGv0yMh
FUQ6QqJCN3qZY8ZjNUSxbgR3QzN2d8oMRFQrZBqbs3zK6/xXOPt7mtUbJTOHQ0hiOBhu8X6IG/HP
k9u0nQ/Nbwy8YM7e2fV4CEnFApT23bHUvdnoTlKQfm14IechutpmeyeVzikP8nOqqzv3Ymv/JDZ0
8EAZ8kUXf4tURRS4DQ5StS9lF6UYkodKeL3bSiUd6lSuznXWSm+uznnXaFPzSpMTrPDuXRb0djxp
gLTxRE364WSbAIvHvb1tnSFeAVlkbhuWx7M8hrqko25iTt/1+segf6lqSE3pnvLbVgQDlARihiJl
PfFNKq0cQYBEdw6arYXb5JNdH4J08t9HzajMOy/2BtgAaJCFgq+wIuINWCQ6zTiOdhUbmtcz7rNx
TWvaL+pY1dgnYNV+H/WaXPUulh6z8ZBGSFEf/QYd3VPmpKjR3Y4HW4+RAL/AzcXFZ5XrF2aHqUKA
toakaHcKQoRyoe48txtLYNIFHxdsJeTDZSRI7SxV6yxJ7vTKKmhoF6PzWRoL9fObd4LNNwwJG3bE
WnCnrAwja7M0ulPaUTrP2lR8BNi5Jyy7cSR5smHkiAsnntbXVx8nXSfvGjX2rPKjnP0qqy9ScZ/1
e+PKzWUYV4Jj4+OsOuNyhXjNxOn3pD7p/6fFhLhjQNEeHszKNxPXRk/bP739B0R+gh+PJ4gEbLG1
tiMZ9k0Kiaiuro3h37foXdxeYuOiwd4XP5wQ4aPt8frXqyJ1ngY/AjaUfigcFKaiEMzDt9uL/AUY
LJ4EdM9pBsCJBAS+rFcG2OaKnk7pHXc3uUK/LE5jGsZnZu8fYRzjmqrW03GQIPQXwgpnSuT5kyJ3
1Wdt1L7pCb3f23/R1g3gjaIVwrUXqpyvt53ZakwnS8ZSxEfN0i2Q50uOY1dZOzvfWofpodBmo3hf
IWNLy/CR3CpyDzDJZaqcYxVPO5F/62CaJEbk5tS0VAOvt5LYsY1uhtR6jZ2dOyTBiz9y6l9G6cPt
n2zrpIiRIV9R6JMsnzWsC5MAs2MUEVT56Bd8pDY8ge083l5m6xdj5sqpF6atK55AMTZcvnGC+RlF
Xhzl5EOOd3uJtYg67Qb+eSoNIQuyarAHwRDU/ViFd1Iow3kou6KJT+hKqe+Lymh+kkxkT0PnhJVb
9LaSncskzCIEjnpEfhEG1a6wlbX84iuFBkOEZuTX0Ir9BIsmtUsuCC+F74a5H/5U06D/HrI+L11p
sG1My81mDmgZadoTDqXVi53I7WPcYwMVaHU+nnibMuMIxZUqaNLqwXFjo+8Qi0ZcZ/pRm4McnOr/
I+w7tizVgS2/iLWwAqaY49P7mmhlVd0SRhaEBHz92/lG3T3pyR3VzTx5QIqIHdukai7qlU74SZjD
w98EWYRIMCq2KEc0VCe6agVNZ66CEVkkVZQ5kEimLvdjPeVE32MQ6uBnSigyRdki+K30+bJBBJ1G
QztYcDDAGx/goZ46NNoA49kjzX34im3jfOTRNk9VgC8BXoYBF7zqUqSJ1mk6wIoAyxgz17mZoGKd
Q0ffdrFkzxb2XrDZVtuQVGpxga50wGNACW4rPm0hurucT6ltOCMCHJuy1Fg9ShWJ/8+Zh4Drf6+z
/+ci+j+ePNyK/u/D0oGgrrN1KM8s4e4xFz74slNcNCombyQ0xz7SxQEa+fh1TPytDJE/OGRUn4N4
oGG99kl6sD8urD6RewX69HwJieXtYtmnKxYHgxD3TcPpX7Gpdz/0jWXhXTHmNyQ1zVVEF0jm0M5s
QwHOn+FtwfV9IFOPySn6cZpd08O8JfjWC/rt8+RPkK0f87QhMLunc4PBsjHCvhfBPIOL5K4OFtDV
HoUfO6hD7bomtuqs/aQBWeqF7N/L7Fkdq/h5s7ttkCZV4r3JkwO14Jmx/5WWwpX/CheFfxuztyHa
posfNiiBhhKBLD0t6z4NEUfWHbiI1aHsMg5iP4uqAHN4kbm7LpuPBYKwJiMfhhIUpsXJNmaYBeNN
/Ra90q+YE55pXyJPlszqteCOVIsw/HfsEXIpRLtt4Q30p7EhJRwOgyCc7kHMtWdFzPTuNCJNglVn
v71W/jzFzq8VyOvzA7PaTwgmUPM1HPr+1nepvbI+mcFYokTsNew2Ydpg52TcKquC8KsvUvvg43z+
j03LElYSdtoS9CZ8OTXGCqGq0q+SVXYKSbMg2PtljJfgJgONWNGw38In0m2mAb9qb80Sk0eblP6q
Fjo+hZ1wNZkNdsyBm/E5isB8upnoehmUP5WFBNVz74bG8cw1QVeEyE0rPdQmyUxgtEuRK4elXwu/
vf0u3qh6o4EL6z3XvqvctuYHSvN4BTWrS25p3ulWeuV+qcn178u6hBCMEWlqw0N3iCiNQS9OXJ0D
Jj6FMK658uznmc3b0Oy9SSpPR/Ig5z3GHi+xF1iYF5dcZurZqTA6ICwB3jDOBnNrwsJf1p2HfznM
7U6YzMeXJTIw0SNLDlf30LeSM11PIzcPvMzWZo02vK62nJCdxpe9drMJHiaEZDeo+lkzzNiC77hP
zzzOljOQJf9Yug4Oz8SZ7XmGkZCGttXmz4VOxtbPk3igQYIbwUbSP8zwaDuPq5jfEq73uMmoQGuQ
j5sK7hz4bMnF+lzlyHkDNxQujFJUhJMBnDbkNjRTGENkILLogbtUqQaGNz0MykK7Pw4MQrRXG+ks
rJQYfYuJtWsti/nREFPeATNODnIkpBL4n2o8MbwDoAfdJLJN9AGqMrLXJFGzAgBCR/iNUNd/hoqy
7JwP42LqVGYS/jqFGwns8mjJbykwddYCEgO4FgbztyRueDFYjrhKQJ6mkWWBlOt6DAOu8NwoEky7
eN4pjFC0OkdTAV7D0mlEe8KoMcPOLYED376qYnvUTJiXZGe5vwOcQJBGgoId/VVyj+WpAECd3OFp
AOECiSRjGsuLjfX2OaPDYHdaMWbxCq0keCy3MbvslIHdBa9GKPaSvqMQgXrSPUWcRrBikrlvhmRe
9uMOI1iM+OXIPicGf62ii6RtgtGXDx2UEHVn6fSmS7hgxbt69MtYPmN8mmsC0eF5lyC3VZtAKfK4
tw7gVaDSwF5jviF9Mn+K3L7B+VUgXWsu8poPLm8oPBOv1vivFWEQ/0EbiqPeKcGO+PlYkOSjEIjp
0AwmMX4DMzkbtD0kXbzUYKn1X/ADn++LCHcGIiJs9MA6NXwovsA/F1gMe7JFvjQiL9ZG27L7Cpcu
Pak0DaoV7IpXwbbuwy8qbLexpEudOaObuVdw/k2o/M9hcrwG0G3fWZKpsR58Fr5TEyR3OM6uLdPO
XsK1QElFaOWBBT2r+9grvDl+dUi1G/r0znOU6nHbYDRbhrSv+zyUF+C807m3Rfgf4DJ9JUhrPOcJ
jnWjRh8+BHBwvqgJy7eKG3zzgxvni/GO3ZUs9kdiUv7Q48PlNYq1QJ2gzn5vayxOAXSf946H8RVx
CqYZHRYjEkjUjXHf/bOK59d+KIqvFF4g5wGhQTBFLJMjQgGyJ0My+itdy+yi3BZUUtxigdDSdku2
MG/m0HsGJccUQozWLcdlC0xT8mzCpK3Lo7ERe1U4xBWnCz/gsYwnqSP/hEjf+DJaJxAHucuo3ohI
v2kmYCS3oaGqelWMKKt4+mcbFuY1Q3l43wTrW5Co4nuQ9MaviSeTbrl05L8QHRHSYnLQW9fZMlF1
yOjcwScfYlsN4SxwPFdHD4nNoguLHNhFAQIWRS/XO0TomCoXBbvv5eT/lahQ1TyR+UD7NToSgaId
R6LH3S49nGywOPwN6D877/AxOeSZj3HExkEdMp0VpxCx87iZOs2vbiyii9IKXks6wdZDOHMuCE8/
EGhEX1QIm9Mq7qblhNOQ3gUq2e4hr0YaLHK+bt0kog9mYtVOMWxZkz0sbjB3tLaNNVlncKThoMKn
Qd1KLIuuuXIlGrE1LHBrB6KNV5i7VzYzwzHZ5+QAeDJp1k6yu8EaJIfiA2IzPG6oWm6/x3n05xzu
gL8YatMDxPemBizLH4pgl8ci2fr73JZgM4AuQ0+bRnyXUYM7ymher0sc41pj+2Yu+27Bpad6LV8E
j2AtFTFB5mqIch6imXb8gLTW/dQnMjvG+KwJ6G80PyPeZ1DosIFhNhFFT4sH2fd9i9Uo1mA+876O
h5+Tk4wRHFfhRjohZ8j38tHC/64O+2R8ydCe+IYhLfRhmTuEj7pV0nOMxOkPQaFIvoarQ5pHOORI
hO1jqb5dKJ0+BasMkc8bJIjSRHbqVgnV+aSi8xIdCxYNyXE1qX+EZ1tas9l4dA8hMg47lJuSjl2T
R4o+wqKb2n8laB/vZhiKVxRU+ltvW5JdSR5r9oT8Aa1O6WJXGCB3Mv4bKqLWarGuDB78BrP8vyCh
D9lN9B6XGeMIda23OcfdA29eXjR4aLGuxiHehxriWYmA0zz0B9w0470u8HCg6u46CcMGMonDGm7o
zKyGOqDiiNJRtf4xBGvR6A3vmCZY0OKCD21r+mj4LiKu2DUmG/Wg5njFakvp9jdTZnWtGWIUvmjq
u79q2+W7C2cYe8Spwp2Fyja96zlS0cPs5m4+g5g3daeFG07uxjgzAFCAG/zG4QjCs1+LAJdjJAos
myI4N4HJxIHi5mQiaPzKUcp3jDURgAqF7LZGlIv4YuG0uYd0gtNuk0xbEdf9OqzfiMa72i3O1h9q
gxjaTsPw8tCjA8yqeBhIeJl+MoEEH3+mGc5g43REa4U3pLQF2pEKzBq/HspJb+kNb8Tsqy4Yi/lu
ByTpzxsqzV5ZIGzuMK25ko+EwqUAzEOLMVHDSYzAoWJT6bUIgxBMynBGHFnBI4p4TwnUEznTwi91
zoHbVnGCea4KDDXf2nEkW+0y1ldbgmd9GySyf0/7xPcJRNdt+N0HcqFtLJcVXzXp/iaMJeVz1/UC
YJ4ox18bwrlwzXCJ+YBQcAXbfmL7eylgOIbv0sPhc9yEWZD/u3ewNRzW7NRTRWrKVHgJ8xnMTwPy
yoMYU/FfgW7naiTL2iFiO/z/E3FUWbKeGJvIPZLjoirXeXdvk/VhiAKcSTsfRNhfhNT/5tV9JZEZ
Ksj+//SZCyoYHD4AD/8mQYKeCbE2dQDfiHbNwrXxQiHEoFsmvIbctX1qWAVSp6wlWz7hdP9fl+j7
eGO/s25CwWRAVVS6sGrCn1MFFBl2jvMbimOC3xeXTYoC8TDFCMKF2Po+mEESFyy/YQbc293RBqlt
98iML1pQRZIm9bhtw9BepY9+5d1comoHc53Fy6XgIC+XenyAv7Q7zntxoUA9X1yx18OKfwhFPIcN
YICFv3gJpoLC9F+vVZyPObQGy6OO8geEzZ40l/Fxm36o3b0+Y+r6XeoMs0M0PjNjv6fB7HgvcHsE
KhgvsYF9AGH/DHW+pgP9Q1WoDlEAkEAN5g02Qi879kptrOhZhtEf4JEgRkXhKzKnX2dpngq2Z8hk
y3kTkD6plqS874NoRVs+4Y4uR3XEgku00pkMf/2Myxgw3pFTKO693P56sz0YS1DqJDwN5zh7cMiL
qmMJiqGGpdPBSgaLna5HQUTH7+n2QFIQIpUOPwqrIWZR4tfEfvSbCWTFdNRnHm63MZifkjkhFY3h
pC20yKpEbOQZZITllOr8jWPcqIOUj3dkIX/ZZObDSPP9hFC4BX33+LW6SH9qiam4ImuO4xsSzp4S
K2ClPCISdbCwDmeDS47w6pY3w1FWlJIibeLJsA+JnJYLKzvaTGUfhJXrhH8fIxHXO5LojvkSkY99
2OKbgRfjsfQiG+t+ilHtd0fuDfoO6LSmILzGUsL0BqbAF5ikTlhU6EQfWTAuR0jHl28GMVmN3fb6
4F0GPcae0EbLgt/NS4EBoldjC7Jj8LhPYLqYTub1noV4A4Bd2VdZRgH2WTIDqiCTy4zUwvtlWXyN
lRYdayiqp98KBtmY5OdgrwzMtWQVydm89mqet0q7jf4NESepmiTtxoo4wv/MmJtale4S1lyraWnP
h1bMExQ+YLQ3IXflwQLJfgIxZ2lXxukTEBHyQtZJPlDav3LZo2bwZ7OvSJtYFnmaIVr6E/Vsuvol
kf91Ds6MUbFMt11NwQMownPD04B+ZsCyD7zcJUZNOO8hyKo8dWRKkJExwiE9jo7QYKTnOcAZHOBU
UCW0iOoEPUOVxf7HtRGhSc78oXDPqX0f3rK4f2Rg/7dbqP6zw7K1IiK/ybij2OEIZ+NfnWCKihIF
y0xpq7IQvtrW+XewIml7FbLC8vd+goU6G6PPkGdFFepCAfxI/m6yWKqB5x9SENf0qQvqqJveEg0X
MxttpFrn/jURwjXSxDkAt7078tXcjFAtjZGYWHj7tpD4BmLplU3dUabibhTkvUAkkxZM49ZBdjWN
8o+sXE0d7BwlLUMknMwx3EfBM87/3RoXABV3+Q1EhVSsG2FA7Rhiobe6iyZ9CsuJN+AzAVLc+VQX
IgS2JgLf+hyT2c5I8DR7pN25bhct5j0MEMCkBCwvKrIsBo7yO0wzi7kuevOhgw1ffAeHtrmA8xc1
XVapgF8VWIRtvy+uXr1YGxWKCUYFnW/2MVa4v9MNOIV5c6VtqGHJe9KV+NAYmKs+IrZlAgQ1a/Lk
RknxGKklrcrYfWVijNEfRoh6pCaFBHZZ+u3mAbA90zUZbrGZ+G9gQfwFGu0OYCSfKzV16fOcEdwm
G2g1OxvYGXLd/ZAtZLtNZfmxRtl7aX+iyjoeVHZnXwv6M1x7cYKpEnNAZt3jCEetSpR4/RB7CNrU
uK8XTvx+ckWqZYUADECoO1uDI8rIAIfhPb/LJfZkEeCXNyQHsHcRdwFcJAnq+TjlL7BaLu6LHtbE
6GttimwQyBE+sC0EwBPP0VVOH1tIj8HKhgOcbTpUBCRGO01cW+gxqYAHP6958a/LxqzC7D6+xptR
UDwDZGEO5aHb077SvIOV2U+1pQFHsVodOaWrQFQBUzAPFftYmVC+dwgdnQr/l24zvPlT0OSj/GnE
h33ktgB3EMf1ujKKjz9t9Vgga77oSdyyLseQ2iX/UPZ+B1buKApov/gE2KmAwQdEVvsA5m3xX7rF
95Qo2+TBMtzrgS+AA5FzH03Td+4ZtilzcMSnQL7B4qZmDnI8Xe/+C7vg1QOZbyxH3mi69Gm18uij
X4uigt0yOS7GDaeeRXMLqZeGAbojNXyP4DPpglbRIauTiE4NQTzDgZmRtVsQbU1e+nedaYWVLLNN
4t1bB0Yh4AoN0YUpf3GeizpyDqGTmC4r+OvJg4dZSVOw/gkA+MO0LtcIsdB1H8afCYaKdmHwmCZj
lNQp9HxVIL2/acbGmkg/X5Fv6aq41EtdTv1jIknS8FXfKUhv20wkTwHst+sips95QvdXPo3mPc5m
08JQl8MrjqFbCfkzC5YJrdDwmybylTiEqaqO/UTcI8VpJlvU7DR5jQL0FyB4/VRKfhnX8N+SIZkS
Tt6OpboJ9PyJZUJW4zLm1cD2D7RTAKen/GOw8fteFqjcWj1KoAeVssb+gTC0q8dyAwiRFRjx0wks
z+IzT/Uf1MS5BtzT1VOk/6aYCypj8/HeD8VwLEP+hLcRdXaRrPY6+9r3CF7AxKPWRglc4/eiP2Hk
mCo2oRwjI1ZWAdyWanh3Lgi6mF+ibWUPpVtu3R485AOmbcvtC/4NB2wbfhpVolD09E8pkwPq4VqB
XncqucDRQbp67wFNAM5Ro1R12s+4zmMmsSQBTD+NdKjLYaZNbt0N4SRI+VoS5BAUUAl2Ch7r2ztb
dnHLSjq3CGeTbbd6e/N7mlQD1V8WO+S6mGnccI4xHyuO4xKpte0tgHTVA5bu5ugvWdKs6abuzXu9
XSSG4rrsYsSLZvP0CD7h0ji6T7VZt75CH/e29+jocXva2qdgfiAEakF7AUED7gQgd5kqmxHxRWfW
QUwFgfbQ5A7lZYEMsA5A8Ky1I/afinjWxtYcV4v5eOvkF1RNYbubGG2L8d+K8KUtwDRNsAevFVh0
dc89IEnHt1ZNUNPSHbktKZ47Z1ZWSQ4sDzv7oJl9OgPX9+w6BZOsIz8yxFmWYBESIOszNu6VHsOh
kSK5xBveyDTl4n7Ot7Xut3Q9loYvzTaH6tL3Ttbbtr3tOY4/gN6pMmLIjpsqAL0xt+LelbY2sIo/
6wJxLmbqb0tXxrgKII2iiJU8RXSOmnyMp9oJTK5dIK5Qs89NYKLpgFaaHKFTfEQcDcrGTjo8N7wi
4RDpK4ui+Tw7u1xsDPxMB+DWBTQvDrFDQ7R30dsuaVil2nxieMcejyz4xc6K48anHegx6KCJKXyN
FSuwGjPqXwhvxgrDr2NXVnrP8ReObn/iYjUHHefdzWIhB1jCFpcok9CcIQZquA/KiR2jeCj/ooBu
pz7n8Xl1Mj2UtNyfoDeQsJMWA6vLLWTVPMT8oQwCzqsgX9h5Q6r6EQ5X45lPbAbglc7FJZ5IccX7
1z9JNak7DU3oFVKk6KUEtvdjhbHX8ZYCDc00zNs3ucVtqMbpbAK8cLIb2Y5bJ1O3nivZipEsdwS0
FWSkihBC73HEi1hrjWDFtCPmKhBD3jI9Eaw3TPJXqgzi05BQlB2UbfvtKTxjyaTINd9VcpeIrjsS
GrFPTbf8boMDs64BhsTtknDRaty2Tcy8/JK9m+shAV4/iFgfB3hzP1KIDGvcSA6uZcq0OefmuYMi
9eT3Xl3hL4LOzSR+eKQzjGYq43Z9gZrmZ57Van60SykOCTF5LWUSYWwd8scUbpzNOg60Rfs8NLMM
8pP1nNyWNUkbp3GdsLQfTgPAgRfGx+4XQc6vqMS8rW2pBb/3fjY3gcXvI7qRLsXWNGJwMQAUe+EF
VuvFUi4fiB3oruVsCVqFbrMPSbANB66G5cDWLq7FmPDrFDnWyhhTQ7HlHmpDYeuAu621cFm8uV36
0zzr4psB+TwGPJLXqZyCUw5EEa0HEJ/b3MX7pUAsl0MYMfz4VtkFvnIIvT4jddA2Zg6Wpo+sakgo
l7cgTYA1mX05DdqVRzk4eeZwNO9apAEtT1ipiqd9n1NAWZ6igy33Y57u+/2QrfmjFrP/G5l9exoD
QM2jw8JzmcWILlOP6VNGg+Fgleif/QjZsEAM7W/soehFY5g4hqDFHPKh6P4wdAGn3Zn0Oe/QBg9w
mPgMelCHqdXjeZpXBYfDLnv3+zZhyP/fyLoYfXMXdR12byaAYdha0joH8fLAQJZ8y7Qfn/COFCf3
E+XUraYERAzG1QAkqE6DOPwjMeA+D8m441Xr4Tecx+aVg65Yl7ovjrs3/WNBFnlM1nR53OK4e/gJ
I3lwNJpEhSDP+a8zlh187+I62zKcPrjfN0BPF3xVXXg1ATLDC6yMryEMZWGVPsWocaSc8wdQR/wX
FdJflrhwjR5AV9Z2VAIf1EUPyboMD2U+WuDMy57BzAv3M1qf5eSXNX/OIT59MVs0/EIubH8nBQcc
YAzwlD3P6r7P6dlgC36GMRXwr1nhWFSohppXZPb4wZ6ufzjSJXtIAi0BnFN2d77r8wtmgv6XnzjK
SQkawTrFgMlGZt+REW+e1TK7Fp2aPWwUV2++2eQe4CH7EKgJ9yPIQDjsq1rONor5B52y8FfkhfwC
GSCIqjkl0xn2gsm9UbG7YG0//JFodj+x0ZQA28b5Djp82mDymd9Hmq3HIZ3MJwnchAEzX3/AHIaf
MyZxJ0Ds7uM7iA2LNyFnfQAVkHxlU4iqOS9g618EfDGXs5RhzxG8kxmYvSE2Xjebi4B2FhHNlk89
L1l5dHAWA+YLh7V/m4bPv1QxMr77vazpnB7naDTBURWeydfd0G06yt6jtcZATcPbSlnPG73YGZNS
RFfsAthY2PzczyX88PshlrqlEzEv2ic5ILMSupgflUqwXxEzT8Ht6Bb5a5xWggE1jEKUxyj2uoGF
EP5UGtAux4f1/VaN0ZLNlZAd8nbQBWWmIj30eye9gGCC/awUmFXySQrMkmFsjnTVDqlXUgTZhfgu
edrnAkumzA6JaybjND4e/GNI7WxeyjcAaCNvS7bty7nT64ZDtvLQ12gTdNgSoHjwuofjJ2kjmfPo
plSXPc1RYIuKySWF+6bv9v46Up7Od0FHmTghCTqKDxi+rAPa1g/3CxYC3xEcX9OKMANKC5oC2KMj
290/TiiFGfbj3ph2QCNaNlirlh99x6fy37y4sYc1d5HuFxPB/Lzt9RKHpzwKAF4Ap3MxmmqmSa3y
YN+OSg2kqAd4zn9LzHj+SW3Z8Kqw+70AyUL9z9n2C1nt3VDnocOedJ06y098oRRLu8BgXwsiWhZh
g9EbdtvBayCVc4Xs21llkF6aHPdOE5bSh22wpehXpV0pPbFxKNIarl35do43tOofqZSDSqpRaBUd
RbAo80gN2LgHPKl8feuilQOUGeF5cQtifHeX2MXrVMGkcOzrbMaXfTB6nH5vZWaLY0RFjBV8sqcE
DiRAi1u5e2j/tjQKxqaE2uFzYesEbWgBvg8kgR3CRMuNYqxPU5ttR/gCcF7HI1rnS46VoKpnEcUa
PYyl+i4ES/4D0BZ7D1hpdGWhRGHHciWTxPZmxxGMYjFeE+Y1u0P9Sv44dIiA0bwn4Dv18KJpFLhJ
USOxzxeXkiLK/AJWJDBgULN6/ntIVvCycFdjRkZuDDhUB8eS0N8jLyv7nAb81lbZwvcvyEHKsMQv
tLf1DKBZHKJdrh8Tc2hJQ04mSAZ6szj0d1iDtQscijVwtinsD1O3UQHHgYBshz0wIAx45N/tFcAi
kZ5mYhXICyQYOVa1ENSfDFwozDVC5p498jxJg8MCRqYGfshFdCiwQZva3VNV3MIFm5N6HnDabh3a
gBjzndHYpKQQTRzAAdzpY7jZpT8XVuq53UF6GzFqZYW4mhEJIHKDPu6GhRtalGAgO5KIQPNzrwvt
tHjBXmNNbrLnoWj4DuVM6+PYRMdgz0aPRhFBHPUaIDzmNK9x9isPTVS8cZqy8uAxsc8nlBmZXqEB
Rz3ckbwcXtAfx+hTSwBTlehSuOUEdhHVtqkIwYqdZ/1zV5IprwTa7+EGWobA7DJEYr3fio6Rk6RG
R/fODpJDXJPOXYMRncRVX+wFOSd2VdtxmhYTH8bBwQ0kACkeP79wAW5REChlxfog3qrYaDgF9YIE
w+toIv3mV7E9k3jEivxngfEB8Xi83oPOlatXFWXMVn7M6FSnetr7991u6BPhVDXzRthuyg9xRrHl
Q3kYMDeKAv9NyyXcL5wNHOtWhapf5SYfUREw3vyLV6QmHkvsMsZ2Q1BNdpj2uOA1UnVhk2/D8mfo
NPkg2o6OEqwpmhUY9vvB+mMuRjM301rmWJTjhAeN6rl9H6LF5rWbcl5gVI3deu6j3pUtUu8DWE0n
tvvJ76C4cMbekO03QZ4RFCGpLG30auI+gh1d0YHa7ys5owv/NQ57JP75LfaYN5EqiQQnu/lfi9p/
rFaMwBUfbgrjOg37HAMBFE37wYoSmXnYT0/jYbBhvJzQTIOIXng9vpc7Lp5LHkXASqHI490x6Ni+
vAK92pIT0DLEjASdy9KT7yK+fK1YIPpa92AxbRvdfpViBp0D66qVPk5wdgSu64TJ76dxWUv1xsYQ
VIwKbwUqbA8PgRFsrFrGeAak1mTDrrrqcg4CZLoGeVCbwehvXeINqrmRgcJgxUZZT9oWnx28C9I2
WUQRVtDaoRKrMF3htrkmaMblWgKtXieyuVOSWXYVJrL9IRtDxV9ANwGcZ1czIkoyXhf3lqy5/sSA
FEZYvJUDsYCEAdaDXuC9DVFI46z37JBtyW7A1zFAkLTmgW5HWVCY3aZO2rNDfqh2UCeJPmg1bFiX
0yiom1qy0s0ecxVjAij3FPbXoUJKTgNtyzTXpht2+nfEBJXWC8/J+IIegkQtm3gev8mQmP6E4gb8
aym8YXPdw9Q0yOpsJKgkdTDYEfpVXFbki4C0Q5usDEDD9KBD7X87XpbqFMQCKyW6RtNy6bMFICQQ
7i1piwmtP/gtHo+7X60dG6uwvD4ka8zoE4g12XAJTCc+wIMaapBcwrFdSEf2qswWHFgTwj2oJUG5
K0Ag1FLs6kzxg4niAiJHh7C08k9QhMLc8mlCpc+KGbYHCPNAuwbDegWyX9TH0TlHcHpeFWCzelsJ
n7jhfzg6j+ZolSyI/iIi8GaLaatuebshJH1PFJ7CFfDr5/RsZjHxZp7UaqhbmSfz/tczDjjwWVIf
r32AVvRMzsiX0cBmAVoa6ThJkyof2jzBvjeLSJYu7ko92Jm1H0wC2v9szdKAKicXKqcElgO9OAlL
oeIQiMjSe6vpVBODozCMed68MhRXQVY8udkapP/xMrPdnxLn+YJ1L5LOajdxIiFrZ6ea7q80pMUM
1ClkoZTtfFVyWt/7hfP7OG4T/WaYTNt6Vy35bRUSm6Rk2Bhi9nZIoWiQfJTdWcm5AZNE3M4Swrd9
zdULMewzmANZJ6W1ufmjLx2WsrEndGwi/si2wYVaaIaGiG2v/X+Dw/8Hpkc/GhFu2DDdVdbAPio1
FlqP8sy3itZZnQ2BAYeZft76YnTP+VDnxknUVm8lBRP5FxAdoyp/BE3e1AHc7IL8sh/249QNR4IK
OkJZJps5tFvkvGOrp8O/rK1EnUw+5xsgsja+8DIJrAMuik01Mzha/ZnOICoHPm02C2TZZv1QOFjU
MWtyl/GwCr1adxMDtn6yGZPRc2xHK52XrtlQ/ymUWLNr0QglWYM5zNqpJpK0XDfJkMY9qS97TsBO
+c8ldrKKMtYG/zi02ZO1BqvRH6WnlVqkuRXjnls4PDn8u9Y2MUXeFrtcyvWf2Y9Zx6dVAJizmGtd
Fkq3zBxpTNgDKFDRcrEJIdUbdPvcMVRMfYa7JdwpYCAZqLMsorjOZBXSMmce9fJZjrzHqmDSXkwU
zgnZI+sf19XRWLmLW/fL9AuE28is9xI6eritBI7eaxELWgtYJLku6d2AZGLujN7jBbTMY6OdG8sR
rK9b0ynYK71Sb8AxFuroSAN7pArIwDgL0mo7UkjXDS0hhzk1k8ZlZ3hsoptf5mws03j2UnO5gL9Y
Ht1JAquiYHPkmFijZ9L1oqZJi5a19epEZd5ihawJg02UjHHFua14mUa9E+TePS5lV+3EZHQlygrr
O1jVUTqsdRnN6wLww8Zrv5t+TLOf7UgOWRkQYAE/iQw3ZZ1iMyxAiHnAFBkZVPF1CVMGIjNWymxE
/GVYAr56sl6/mkJIfrCppcyoYneouTecfhRRtqC9ApUH1R9OMBdJmeXbe1rDpcXmoC/yxBdq1GPX
nhYWKkzmqqJi7lo9qtdxXJIipZM6ztypFxGXr8mPFQ7S+i+ryZn+gc6azY+pibVCOq7HuX/07Lrl
By/thd2MwdavxoVbP5RbW/LpP1ly8iAHBtBGxh5WLOwK0SA21fzq/b4dAXQx+5YlhWR1nnk6h/l7
hgpmOSEi2pTY5tRy3jWbHI5FMbfTqexZisK8mBbyZJeBqe1AhdhuXTpm8UnnstfEReDR5aKBGv2u
cIyCv7qpuXfu0Jk5INyy8nZjtbu150Ui0hCJskl3bJDR+jg3l9w/F+UQQCFMTW+/tinbIID9rOVt
c4ax/lq3Xhfcx7YcNUqnI/PM2TQ6Se0K77srMxa5h/1kBzA93O/rrApLIEK55zPCpnEoB5zZHd2O
/XkaQJkeA2WjuTGxbMZlmqgbOrB6AXLM4DqApZOjYy2JP2V2EG/eNi6Ps6FrW7wtwth+ezsd2cA5
mVr3mGJs1vutKCYJjjTOeD5mq6EcEQ5koeBu0FCEXytsi+0zH830s9SD7EOf5/wRcQxvvBLoDJAo
A0NuMZHDo5TcYduhu1ACtLe6UWMNTVE09z07rcHD9KodwtHW5ofZnnOHpxzJ0tBX2UWdMpcu0ppx
zPfL4vTbA6vDeHkZhS3x33lKhnDaMkt7EKbTBY+roY8NSnY9QNtOZB8SobNBddexUXw7+ELl9Rfb
67rfQOrAVj0cRHACEsvtZ7Y8jOhDskHJyDojg2nQN0vovz1wQXAY8sxE3Nw6r953qpvEX9/2nH37
WfkZKnmBfV38oj843xgU8siCm/rgaJMRl9I2YkGx+hTaphS72h5xCtY8u1ur9m9kPd9h7k3xhBrf
7mcI0Z2wvSnpNAc+qy3TZ8uSQOWyMNCup/WQMmofa2yva09SaweL5iaoDhrlbnOGXVV1Dbv4dB3G
UZtGHElTngbeEZSt5Wwe0eClQ0J28oHML2L9IL0/LdDrqFWGijTkg7gpJj1ivUFwnjUk8qVtnUtH
2fKfq5lGJHsdwH6ibH1vmVB4MD+mihcLTkw1KO5l2rkx8qz1fdu/cypsSOnQ2Nb00I2KQnjFgHN2
ZEUkpVFIZe2gF1ek2PcaB/PkrTXfBhIT9tnRQZFwrmxzP/WNwXHZBPI/VuymSVlUIBqi7EcV0kpC
j1DTORcvz9wgdKqp+dwmoZI2mOw7Y6rG8+p3XczpMV8GBnEB4XvTDQaGnQjSaI4pzxhodLftOrRz
u3y3NH2487jF4sU10/ozmLX7LBdN2zVtbh+MWiBNwGSru63e0OP7Rftye9u/0kPuIRdLM9bN3Lyy
41bu2NadQvk3FJSovj33XXMr1fXWBI9lvCBr2Tvbp0h8A3fBdl6HJUmDsYqLVR8e/c1bZ7wyAYvV
Fvi6+soFRplNMpnZdNa4nvDvs7SbAu/FgTF2uKdLxQ10DhjaHDMMBC9nS19jM0//bF3Po9WUICuc
WJ/+MhCBMjPxA9qiJRnqZ1KWdbUrgSkA2rvsYC0sDdK5Hhy6NDD3AlLsPNErG9buaH7PK01qdWA0
sew98+Bmmn+gMiAFcSpu33evCn3Hx4hqDJXQhEbC2KsPcwUsmnbr1Vo7LRyMjP6xevvRNPO9HNRL
0PdE04JdH7Tjka/Tc+CJeK69Q6tvSdE4p6Ie/+uq8UlU7mGW6ztT7tmphyuK724O/G9ZOR+5Jqj0
6b19MXBn09UpZQrnPXrwxiznT39DwnBGI3dWR0dM72tWjKGZ9VtIkfO5SnlK2OAm+R2of91s+U5R
46fKui/Y8Z50Xp1/1a4psAUVN73Z+uz1gDF8aO6w8ayox9VhHPg20ywZ5+aJ+XeKCtIVIW8SSu/E
/Dq3i02OzH9jPemFr50Rs7tgZ0zdfw0iJ4ocwyjIUKvMCFnihYjL3QQz2vrdIzfAk1V0T+TWMNHy
EVUqO5QZ9zuzoy7QrECsBdIKqYL0wek7nngthzx39kvn8nOXAXpH9U6WIDLwzPPUPBA2OM09aYRt
+Vim+k3MNC+p7oxHcgpkm/gLt1US9w5aSkhl7h0zFNxNUX9vm7qzfCIcK2Zj1bZlmK8pCrezH/Pg
oDvbJ8PuS+rMn0xoB6HQjqxsSFimcAra/FKV7bDLjPxlmKZX2ZTPrGq8GrnYlwozePUsLMRsTiNT
a16GsfNj8DgZzZW6cNlwY8/3/sZF3yOJvq74kqE/Q7AK3X1C8b7vhxU5AfyMT1wro9Tedpz2uwa/
L3PUdz53n7bLLYN9Rojy26hH/eiXly3ovptWPE2uPPaOFxM1i03bJzThTd8AU1yVA+5hTqE/rO32
4KiVdzjCtM6rpUYLyCY7McmOwJsd6bn+8wb5xGRwqFkg5BYV7DhqcIWhZbv6p+iCg+fCEDVu+VWL
Za9N/juDNo6/AmrfZP2VOUuSudv94BZQNPWdW2vXFgIoclC8kHcAl1yBkCTs8tHZ8FolrQahka/H
koBu0PhxVfdvlQbjr9KTJBC1ue1pWwiPbfb8oA/dYVWSwmrvKdhw/52VN01TPmT8cgxQ30W1JfZW
wGUGZx3Zt2jGXT28dNJOsKvugIXiwpxiy1wjPasSVflJ148vlenunWp8z9Mcli79oeEkMiCtJXfS
1RmjXusOqs+R9rdzR69EOiBoNWv3N/bk2PBxLepIis26K3ToE4S8aOvG/eqqZ5DXnaPoT50gE1d1
kKnB0hgRsWiAFXcqZBFUSOHRCcUkxifb85N+kaHkIx2CozEpBLP8CMJ0buz16HOZbqU+xYFqVdin
+tNcin5fDjgLntmsp3Hgfu8U+blbBJtHSkBnUhawj7TxNXtb5smaz/esbA2Fqu61pYJxQenIt+vc
5kjybnfqXDZx+eUd8LSZ/sNAvmdTS6jfQMW2HPbCT5N0hEKWWNiU5BMAKyLcwpNbwHNVzlFuw52b
bg8mOTtsjDONhOeuth5MJrdoZIHHHPzSGRkCnR8W04CFmh/pvlnCqlEJHvgYUgS2RnSd3UjWHQf7
PQLp1fHl/Vzrx8FZ7+nkOKO5x7P0HwTFh0m6Uh1LyJQgstbspDaeKGs5GWBONkoHJwR3qDzx8u4c
NC2BiKC/mO362BXd39pvz0M1PZYVgq6Y7ujreAKgfST/XYZ6iiXft2BrfEzPee1fPUgqJo/92Jbb
RZbDR+VJFQVAWZJXlS47KkdYl23IC9tkicO0xt3cN3e1bQXhovKrsJr7qf/lho3UW70RPP3/X+5S
sz5UDOZ9lelPQzFF5TZ+tou+azfjWHrFUw7haDoF06oJjYA2aMZa7rRhquxnbRSfKzJMbDDZEEEs
r71B9qXJ9B0YK1uzVuGFVQ6MXA1evUO13pKcnGEdDlQ1ADSkDBPDFntpKi852QyO//lZWfzXnpB3
oyk5YdiwkCwkEO87rfu2zFwlZcc8d0sUnsgo5yfh6fWRmqXhZBvEf0ajfraAWRK3lnEvuue61k8q
nfiDSsySunnoUGtCb3EvDn4/Cybnd05RPykqnfOntN/71XleDFHGHVJ0XGZK7qsNzD1YlrtxXE8w
go/90nJ+OEUyLnWSadmuM0WH89DtNLjjfVBsHPemuOpF/SItfIQCDHTw8ksmt88ZvJ0UFo4MO3p+
+8pBr7JAevPGlT/sy+jgsp2rCvzs0KcQFwBf827qCTVXdfZVBP5jUax/HENmNPbeuS6HByJi34yN
L+NsHFBQYeX0X3LROYfYEHd9enUAmOcaDnpo9oWFomN5yruIsRAhY1JJkrmt5XVzFi1s1+rf4HoP
w9B+GVI+TJa394fyslbNvh/GeCzdyHS1b8MDaJa+A+M57kDRs1sgj70yk7HuSEf3x3bjBxg061dx
4X+knNi4AR0dYHH/PA/r/EQbgnZHMZ5OnNCEEKvUfIeMuAHZVWUem703Xbmcz3vcHSTQ3Bq/S8Kq
1/TWnNW3tL7b00zyYO7O0LxPZRfAR9rQIbapaMhG0NlVjT3yNMwn15veR6skcW7zWiHc9KTbxXNV
tGyhIozUbv7vzKRo56Qig6AodgwgD7O4oTzjuh/s/soFyg17koT4gMOOgfmIhq5C5OVjjSuwN3yD
rjVJIrXlbRhNdT5S5dobYac7sSE7eqMWWOY6lwa5RC+LyCYUkYFLB+q0uGRI3bNv9lvM63LHeKUS
Hd6Y8cPDgbWeCl8+ePjFoldVIuX0UYOVrX1HRMO23lc/L+JlGLRTW1EzWA97sHArqgFQoqnLseyD
CoOt8EZio8t0Le0Uio9D55YUiTxwOpvHA1k/os6rCi1ZP09efmhzl+JbklNWD3ypT0OZMLba4U0v
rywHBkE76HP56pblb6V3OyH1BdIRh9cugvt5IBnbEBawbaM6WMMaZTXTN8pHUk6OTAZfzKHrbD/m
wKRkWMheqlZ/Xj2da1F+z1X7n54p74FQ9jcKox/aavkY+2ndsZbnK8WhJB8YO/nw6rKfr0TO3heq
rj+HyoHEKMuG+Ch7bRyNG3QE2sVYuxiUg0VpO4/vNtn/R0w6IONBS++byTPfa1eVR2cw+a6wo5am
xmZ97peRIZ39ElbMWhj7scOEOpFBmgHMgnRmgxmkD9jvrO9tYWKDSvDSV5Ot1s+3rtsdxLx+zDE2
SF4vkxaWMnBUVBI1eHYb3nWuRNCkORXITXl+dy5clCifTyoajdx/Rsi0963iG2WNeR5Vg/Er5m16
tuWijqpO4b7GtBDJkArxUjYOiappmIYXUeqrGfo0tnxPdQmizO6mOR42NyNGyKuAu3JAHrVDZVtJ
AP8JaqxIlGnr1O63vE/v+zLI/gVFszrx2vXVLt90kxOWpvYWtOVnE5tzHZvcS6Dpef9LppCUjjEt
IvFjvCrZZi9pYel3QYaPEHpbvSKey9ZZ2G7uSew9YK8djuP0XDDC3ue5TnYCUdS7uvNWxLyGtb3K
TI85sFV07WJWH1RjkA+uCjxWt64Sl3jvtZqR1EP0pL/Jm/4tutFxCLi37l+PW/mYzWgn64bys7U5
eUf2qe5n0VeJKHm6csHY4ZbTcC1HQ+0duwFstbOUFEj9xst9CH1CRv+Q0Z2w55a166kWaCIbh+tH
aqI/DDdzGQjavbX+MFa04jYBuO16Rj8bQt201YNHZfCeUvFxl5Lsi1wI/fvJSTHAtRjT1rq4Q1Bc
kDfWpwA45oVPDB4RLy+ZbCbpoei+Ny68ZELpiSYcMj/mmTIuzCzlvpTtsAdM1L4VfwGOiXJ5yop8
2Ke5YSUBk9LHwKN/msBHjwIw5KkUXOhsVxvGA7371YXNwuW1bg0RNd0EZItr+psplnfFVteXxEcn
h//Q+v8chIMLpkX9qk12CvqhbeYTXSl+XFvSJhtpGftUdzgqrWwyvhT0966fFvaaVb75LzU2J7Yc
F+BT2d6OKNBbdpM3WatkvGqWImmNpQKLSVoMavAw1sFx08RJzjTtFZqZGJ13MXWXmzdDeqF2blbe
eRvTkp1V9GiWsrpWxa0uxMg7Zhpnhi/xRoB96LbabAYePxUkcwqMR25WZ8Atj6z4QH+UHl98xyOf
DI8eNhRIh6YvXgAZNOr9ND2yWN4XBflt/3Wz/LdBegN3ozeKllR3EPse7lqdDo+LW/uxYIUCb+yZ
BPzC3b/i7QsBll2J/kyXeun5aRp4WnNrHhqLkj9DP5oD/VsoOjACnva46t19q+p3ZD+YzgxfGMpE
hIIFE6sur2Tsr7oDCGO6h9KmaMEjld+M2i3Xu/aPbuoOMVkkVoWY27fsln9DLs45qpxlcfP0R1Tw
YkXJ6m2vjKVbX3VPynjk3IxMM783Vf9VZUA3FL68zwArL/TxrKGceifS+vIjz9bfOZXXdjGKU9ou
t43m7KTEX8t5P5t26NnK/+vL+TVH4gg7Y5zjUjUbkm/9bFb+wuxVdlf4rpnMpnqp7amOdJ2b/iwB
16uNiZTlLi+lyoKwX0DfpaFEVA/bL3ksyDiL6AFiVx5XntEkXrNlkYOqEpdued1m+xOPj7FjxdeY
xx3a7rLDFaIohiqZu85UeWL11crEgVJebrnN18JTR+FLn9+BsvIUk13XtUTWIsZfi29fLnf0+kNl
t/V+nueX7cbk2gyOIZfnlNfCqCKD8Hec++6rbeSXgEWdIWG17pTa3DLdDsm+6aoXAkzag23Vj0O6
OrSWgOgHLUidSqvE2jZY2rQ8b4TMo82oyA+pmJbwRB/NHSFalEfxUhD2D2Xn/Scqk+b7Of/sJ4Y5
TNqTRnQ19v1uu0tbzoRUHzHWi/OcKiMMBvu91Hw3Ide8PFhe95e683wE1bsL7IWInDW+AEg4CI6O
j/eU5TW+FVX0lnVrWpXGpZTyMVhoNvHa6Uc6Hhsy6AaB31yOGoGcyCvcXdpk2o40x1tTUFvHCRmE
+eg5SEGqOpnW9mk78ttAOj2x7y6HB8PeB0u/HwQwUUmzhr68T6X9JjKNRYi5u1wq5fCPIL7Ezrxt
jwX1FtdaJw1JAvG0rcVr1sAYS3qc0P4owu5YKHOiLvNK0eWEp5qPF3L/tHDwU/DT8ffsuYZ7B7GW
74M+xgLlKBPrgVPwxVPVbgZhEYLYpklokczknubZ05TlbylxNSpWXmUg7D2WrHkCpC3g7LqbRylP
/lY1sTv3IlTwJau//HNzFxOisD69tXqYS+ML1iBu3Tk4QI6dpLa8a2b2CrGIbzrz/AUWL4wRUnpf
rf7r4m3XPOB5973nxu9+dDf7TBHnGbxWbrOltkR9YalY5jaZTVdsu9rlZq6yiRhO77/zL2sPvSa+
hAg4Y/Onljsrys300krjaLbGhYana+cNjyiTd43bP6EeHnkcf3wTy9rhGxAKf/pQQb7f+p76gaaB
MVPXxelemlyLPC19xwE7lExd6AlAAXX7kpobz1RaFg9M/Dav36CIbdFjFDnOf3QJFYTAWkSyec6T
rsiqeFoIJWHCNfHQFjxcY4Gj4RZ7cxB9ZPmj+yjtPjvbemFHDn2hQWXi9wWM9Fsl2ogKKkov8CBC
a1YB/pQ3Pa3UWoXmZjwKxzD2i0HKaOIfi5q5IIPmtQ9u6ZPDHEee8mq9ZhN4Yts9SEUIWkjSUrL0
rxu7Mo3BOJtGnriG9s+ctzpaaTOwFg6IFXoDJk0l3VySKyFJHeR3utlPkY44gVHD5YOz7LPN1mef
dxRrlGziNUFDXKh3f3rTe7ELe0efEPGYyWH872kzGuv5NjUbn4vy/3E67irN+OtG48OHMgztpn9s
Cy/S2/GhtmegutyMAApe2QJ0KSSXdDRs9qE8ZnjxeyffbvsPDBwd2+0TTvN1H9xOE2uufye9m99V
Rjp6bfDpVrbLxake8K6BUsh1SlOy9N0W7JtK2y2IjG3zI4AU966dzepOuR1/T9v5Xlr/HkTz3dVZ
76x7gLxocW9VYEVpav3XL5Cx3FSF5jGOs8K+9McsIgFxYUrCKMsJmwtsVH4WUiTbcZsND+OjeKpX
SjiYFBdnvfg1W2UwN7K5jdseuUdw4snlWEnnGavfwEgz9WTAwEqmCrZlrNsHaRB2BPW+95fgWtXB
B6/SNDSV+89yylcMQgtcSHur5Xo3baIistFZSRVAd5j4YprPQ1ROpyzNk1aNx6leTuZYnoJGw+8B
2Jv816G2PET6+a7jO8vPpOdJ4w/3rR3wEObJVmWJ5s8fsqbHsFk+7Fy8M9kWR9/iWhQgTREARijV
25U0IU0zILRdzaWDLdyFR2ajH+17Y7KuvE0I/pE+SFSe/0py/XHuLEuMwPPKfoj/gpJDetO7NfIG
1SXbLYtolel7k9UftTG8AaCd6Qx6cmlx20ubvOUEvZCbSL0jHd0RtDf90xNrYLv5lmry+sR2tsPU
BF+tsM51YN1PtChxq30eyxHmcuSp7VYAgvnMhQMNhdH1Og7yG1K5OHewaiGulXvQqLyK7ZGGOUX6
MjMy3Bt8I8njMCmLb2v9zJ3/U5udS+U5JECtNkYVRx1FxbznLqjf6y0pTqPWXAKavCI4v+lU6R2M
DcoKkp7E810htOVB1xhblY6vVGrq7DRGvHrtR2Hb3dklussta0BVpJL2By8Bs7bQwaAcl2ByE/mb
kFGVbuppJD3GJoOpeOZeUEUD94nd7APuD5U3731Pnk1YXvbh9M8e49we+ABKryWAE8zIqWWFujz2
yIyTZvb7TdAz1jvtMdXd+4naFhSzvIvarvzNlRzonav3qIDz0TC6hxItLx5s+UKpHuFIUbxCJS4E
uwLrmZPbOdmF/tJ24jVVwwVW5JkenbM7ALsaovVu5y+TjQ5/oGxed61eAMKhnGvU8kSl5b5zAYCw
Fv54ci1gFGtbSq7k2pQ06/K86SVtAAQpuiElsxE8Mot+4STsnSl7IsmQmJ39NULwiCXYrY33YNjc
6FdZ79VcnMC2ItSaN0kGrh0pOAvW+QECTjH6VHvEs4Sc056dQQ+jGbzbhfwYFu+b7T6JpVKivtQw
jJyyZvAyDctj23bJXLNsr+oA+LoxzoP0xS+cN0/MJElrpz+Inrq2vApu8qY9HIXn76GBGK1Gf0kq
mSsqpWsVSq5i6ZA+GLN7gUfc69J1d11R9ngo3r5rjFA4ZF9ny1/Q86GDdGqqxKy9zv56Xpvyydyc
z7Ws/0PyBNta9KMPxBqN8LGFLv+U5bwvGCEhJ+l/ygA3ZGlTohNRIZcA8IAXHhrD9tFO+SF39Z2Z
6y9jSQ2MPtJfaJNcZSndpx0QTaowuxE/zxxNHI25f2I/eUPzB2UCpgIB9BUag6DnjBk3xmBNckqO
Kru6YipeYfGwA2wqwRaXsqXme5ggw9yBrwGVn2+0/8crx6Zab1vLvEsjsiujpRk2fvCKDv6dKneF
piqfA9C2paITB6jv9ih3YTrq/1LF6qFhs2RcAG8p+jbJRZVcCgyLVhnK8igpD3tr+XbHcQdSeKOv
1/qwTAH9Ip34yxi0Rbc+FJTzsLgwM2K/BZGtq3NnL1QGKHL4NhvforVafxdJ+xTk7m5B4b0JQRcw
oY3rWMu3m/k6yulAo+it/jcuVfABNtOd+tKhV7Eqiazni0ecfXoc5p7iHb2Bg5rqB+6j5NaQHoKh
fYN9QOZSzYOGqtVp3m2ho5+j9HuPVVF9WEi5SxcAicv5spInzWsKImSrvtjoyRb19kzOlrji/FyV
vYzNAlnPHLzDWmk9N4ViQ/Mrvmxf/WQ+B/7S1vyP9O95MhjZmVdLhnQSdTodKtcRfdnSF9BR74kX
wz5jtmRNNsG26ZjZsqK6i/TtVrlJr8xzuU163DbzyR8+uQMRi+oTQg9RDXCcVj8G2zCpPZnv+AXD
fO7PgtJAO9cfXNxUt+bRNd4LrqqFs1EilF2DdaS6g5e/dEOz/im27lo126FV9s5j4ysMzkEqpq4g
FgQTink9b2199FuNnlpzt830sDlQ02X/6Wl4RLzfm3w7NUX1kLP9w0O6HUt/53YUiWKiuDmmR+bz
3WDcktsf67T3Tb0myKoXdbseQQakT9tWn5zFevfXbm/fcFnmAkeLcWNa3HwvmVt+7y0IorHWEsPK
H732E+wC8VeFdFuG6/RPCD6ZFrXeF5+e4PaFtfQ2ZemXidqVF+Rf1p1Pa2ffvWRsRM298W0eN0Kb
cLbzm5d1e5MBsibTVsHSLWZxCJy7lBRFS6W6Lf/5E1ktyz4G8qaHYp2Z05DY62uazgf+dk+aHzyX
nve7tNu+rLcPkYPqZSKlZIdyn7p4gfHgpcyGVHvgZ272wv3IpHXSLe9ia5fe4KExz4KSI06PiCrV
RDOnc18trH3S42mjGjb7SyfqLJD3LCrx6tu21fW9bVaNBAhTq8vvWIhoIiFoIkkUQ3fR6vGz9LID
7UV4FQvG6xZxQd+tqzw7gu7Iot33SIp++d1OznWy3TMVqXmBPUnVGKDZLWK71603axxCa+TpRQWc
8oHuA/HZ5dVj5lDouI3kAMudCevP+yrSZ8wh6w8IAneKmBYlBeJLpp/jmidVxYLFfDnDaZA49d/y
0o1zL4B77C+OUXG3HPFFdpZfHtBNN0GGZkWxAKovoAMVPh9KNDzHsbfZNEPa2YO4Ve4hxdRgqwDm
a76fupmysnHvCOO+Ud7Odu4bQ1LdBwP/pffvBf3VjvYvWIvoRh6w+jdElqGBASagfBMa1wLjPm8E
RI2VWFT+Oi6fMGVv7iIJ5KEq8MCtN6e3+Cu7z7r56OflfdP+glt8nTd3f0szlz7jNLNuAB2Q8eDJ
aFTEmIr33PmT2W89D4fOrCPqAhNWY+2dW3nCdSb3i92m0n/KzOKh+sn5Tf2fqf7Pc45VRacfKtFM
sqLN2qQ04mnem/pOLIcAXcfU4k2oR4bImaa81aWnaP6H13FuZ4eJ14pvlqKHv2vB443k5Ehd7wOS
0l79kDk6vCXOHk/qattRPi4nwyaDMxcvG+0K6CmAnpxk1V5Xzyp9lAgMPdBP9r3lvy6VQhRzHDpB
UqeDaMv+MmRt1RO+JMEm9St9nXxs3qlZXjvnC6czXvy/LZs4CZ29bXOzbLnuNe+Te+K7aAf+bmCi
8vXgUK0qtkEkCUckLgoLycZnNdn72jaO9fBHE0ok03wnKW77H0fntdw4rkXRL2IVmEDyVVmWZMs5
vLDssZs5AEwgv/4u3bep6Zlut0QCJ+y9dlDVm7BHCBom+yzauQpRyBTdh7dPNEeYVgVXrSNoWPcj
mAzEd+vA/sjSH0Pj6XUvdf9ku4yanZdbSH1XfoUQ7LIJ4yeQcCO3UHBplUCHo76kd1DC4kW2oBlR
4zA+pwY/KdBLRLPiVqv2YWijhK7F1gg0kzIPfrtF7GejzwNgTRlwvgJbDge+vPTFn17lcOr6lIFB
uxGjvouS4JLZDG5CfP/Ra0qdpu38xL03rFvinJknvqkgOAXecIjguokJj5lKrmqubhIMlVB/3wwt
OMXZOqmrP7hsUbnMWdG9YcwmOrS67wvnCD32kOSTZH8rP12WF7eCmt6Whn4uGGCE5sl1keOE43yU
dnMeEvXLEfyZVILnWou9TX12m/U8NaG4ODqHLDKBZIC9gtTnhKjwPBnRbf0O8+Aw2K+xnk9QXRls
VuUv08ByXyLWX0u/3CSQv3J3OPSZPnghB4fHid620y6ylx+kyC8984J9os07Cmlqe6ZzfI/iLrJw
4uX90S3EgE5FnqQJt6EXoDNEs/7FIoy7zm5e+zx4D9L8bsD7wKKblnxczoEdnuYAY84scf1ho22q
Q999VzeV0OgF99U8vtQ5sqE6viJnRrWs6S9LZwtHaQs8e1cNpl5NQ3ZJu/g+0lzklLCvLedx3zp3
mI4Osw+PEBRxYS0H0Wdn42LpxBKAgqnYahA1G4F+Nd9AB8GoC0LaPSG1tD9hgN3kU8mYjZTGLEru
cOYX8DjQWMIacJCUryLJVJNhPd+gyQyrjmxkKlO5mchWkHhrPBaD8v8tuZutK8t6GWzGgs38MGYM
M2T2MhEdO2T6S/TJ2Y6nTemGa3sWd7IkPiRPj4s3b2qT/7I7+60StoM26s6Qk8t1V9BVQPZZ5SsG
vy3cWobb1alZGA4xj0IE86Kb/luWKO8Gj1mj+h40Ci672wG+3YzGx46ODRDwjsWnS3UL23t3yx5g
fsYxEsnyhA732CjGlr3gXUS6mca7ycpPU4Ob0bTbPo1+6ny6pkN3jOFKr5davoasIBNP49jJAL8A
vfFYEZfjfWXwQfX8lYR7Ju39vmTMj7zhUDjuEQNesg/IUbndoYU30qK7P73Ij9OYXS1NxZ0muD2G
nWVVq5AXo+rjh7CsMZVPVyP8B9V5waqp/YOBfxr6DE1j/wVJGTJQtRkC6+Kr/G72oHW6+b88AnGE
d+VRM5cEP821jMICmOMd2R8r1Gg7UTLOV+YbnBqi++isM2sXaEUTGT54MbqQIBD3rTYMmkDhrxv7
1jeAAYI8ZqP3VFAz6XGogyLHKZHwYevYZBIpIePg49wtB639K0O2Qz/jOzL5Lo2ZTiW0Kwz2TjOh
uo5DsEw9/zTV8ADf5rHoxn5btqCQMvTRbPmw8W4wDe6QgKPQSZcXxtjUIcN4Xza4g9sk/peWJTTX
ghI8FuJdZM4I5S/8rcdi5/f8JZDbvZIdRexVj3iaP5kRhRopgLHB7HMTfsWcOhkqs3oIf8PqRrko
QD9EH0414g3t8n+gZxClVus2YCZosolbPFVsovBeoTR5DL34CHN2t5j6pZHwR+waiRRKzhMDnkPl
lf/VqXltYJbhBn+VdFe1PdTH2aH+GbShJekvhcAfqEMX3KXynhdU+KvKKt9RNaNjalBkW4x52Bz3
3WuXWQgDDAoBxBWUS8L+GeykPLkeuiWHMULTsikNvHEv7ckGac5eQGrxqfv6ORHTg14Y0kYLYsSb
I5j9Gp7UIUke5DydnYXf0Y31dxII+rY+Ozn097SQTbP3WvrBZkBTHo5cvljP8DnUj4kJ3ac2zt6y
MKZsZyq/dggsWllhqg4iLZBXR+A3edd48986Ff4l0M8zj0xTY10SZ9mi4D8kFTp7XywbLDqbZsh3
NlS1ZYzO4cAUKyF6JzNsAuDunRIIObVuxUMqwm8Xqz9LBETMfYsnYBxGhnz5k9P7z7rAThrGzGAC
jm7tiQ0xSv/Nkl2eWzA8Zb+7nUtxTKHo1KHlrYDAPWnL77eQG/odzr+D8W+UN2SXUM5Meh1tHCwm
t+5MWqiD4pJKCdtBSRqxYKxtrmfwnpQYdAJlnn8HobUVVYw8yu43MFEgiVcgGJFLPwFXBGqQ+veO
O0CzySqUasWB8QGMt+m/Ip8HFgHusV70dvLGXcG23APGQAdf4Jru3qAEvibQ9HAfna1R3bW2eO/F
iH103FM2xesxYIBkmaesnG1KeD4EF9P/Kuiq3aSDN4f6dSnnTYb6mLkXkFvfP1LYrgurinH2UIEa
5KyuZn2FKdhFB+w+OskMb4PlDn0Jwi5hg8WiWMRQXZ7CiZbAw/HC0sx7DKfsXyOrE9VnQNZXtrBR
qPqtyCZ73Yj6QcwJfTJqn7Yy+4YIK5ihfsdoowkhkKtwr1Q2bMoov43Pnfcy6ECQdN49A1IaMo9z
zVNsd8kBoAYtENfxwa9M772jS/wM5PhFV37FtPiQLX1xsqNJry0f6FDl5O5Whc1XXfp/2GUN+cTU
Lk3ZVDiDyyc9tRUDOPfeHUAaza1KDrcYx22Qp19e0Fu0qrSYftndKyGfbYE2dPL7r3oMigNr6m5T
GaM2yRIwlVt2Vkobl5RfaJWaVV44F9nzFs/sGq0s+jGi+W0HEHlcvbulMtQ3N1DD7HvbkTOCea24
hvUs1rYdpfu4D36Zb9BhSVBPjDRleypsRva6Y0VRpv3W46Ziz7pvl/KxNOWayueSG9sggAUWw9zq
Neia4bKE47RzrAQan1OHaGywGyEZ5iiyEY/85BDor3VVJycSOXDnEZOwnWL7d8YHe9ASGoFWcu/a
N8mQ7SrqA8X3kFCqzsG4RhYSc0qmLyzBz1ih/2H4oT1ZQggdDBRM0oPKGnE05vBJtFWFqy727tNC
xpDNose+9rK9nlz2vEZPx9BXRyDt9pVdhn0PTPMPLYe7G5Vwj/yxQKGheXTt8DPRN5c2FxP/4aOv
E3frh9Ftsjth1nAm0KSXatYU+H2R5eQN5Ag8GLmh8NhhMBjkBr+LErsOkigDmpK9zqpa0vm1NSL1
7rxJR6ha5TBHtBo2Apo+jKhL3db4rMDimrUBipr0mLmtV+7R9oAP1Hzy/Xmx7dH5Ey27iKwyqXsI
ep1RqDOb8rZt75bvnZ/plu2g5/4obsdmVc9D/iIT6Xar1LVHfRZm0ucsjJDe8TScbIIwB+adAO4Z
jAxMCP2i779DTvmb+0XBU82g2YyDwBk55RL/Aj6WC+aMHCmBRM1kiWp88C0IcFx8Hb0K+26WUnV5
p+Z4fAj8UF6s6EaExDGxko0Qe1wBC35pzneT6XELhkRukJr54L11RyAcGuKRHEg6DqYoqzDHujYP
MzO+Stri24xtBvu3tpnz8xF7CSeGLTDx+OGyYhHnOJtxiRq1IUjAi7fJ3OubbD4sXocuH09VqyMS
xKwIHkntxP+xzO33RQsDZMw6AaN7Lv8CAcLSjvKvqkPnSBi83kU1XNWumOudxGr0QkMNU9bnM19D
91ymS6jSZFo3Y6MvnTsrfNpoyS/FOFi8dml0iZCNrGWSj0c41SmSdTF9qihsN6bPqhfiR7wDM8Pu
3mkZ1KgJUl7es2bqhirdNtb0q/n23v1+bNj41ZXYTyoQgNMQzieUoI/k34SgFqbWeZaYmQ5N3aq9
59K25S4IP+bGHMEKwCrQN3UjCCT4hIuxVm/8R4C9fISf2dkGf9CvW1iK0DFCVH11D9UGtAzL/IXQ
T6Su1kH3rt4oX8ldimntUAxJjU3Ob7PPuE3Kq4/Se6+y0l13frLsebysd+j/y30SuOF9TC26l0VA
b9ra1wrz+hHn4vjj5kuJ6NBrh4tlOvEAAnJ6nLqypNcoxBV38JywZPJhplA7Z9y9rvVeB9rdhG28
9IfF/b/QPCJyHEs97oi+B5kEYLleIWRyq42as+XZjcY6ZNnbIB0YBg9sE5JnhBlGsGceerEl237E
51BFmy7P/nPCHgcu2D9kDPR88CnxI1ZUEoEjfpwgvu8cI37isvW2MvHTY525wQ9LkuQ1h9KFijQ3
3oauBizG7EjnmASZ2Nqc34r1SwFuADVQtGymbFHAZbvqHC1Oc9QRz4cSiDwmoRpgFO7cfXPCDVvk
tObcJejISUhimgPDGiW+xC2XLBWqHz5JlK4oUF+QwBbv2oHEpPsCd57bhHtQuOzipySxLmQNTRR3
LsOPwmE76Dh2/mSlDgKuJr323sItW7nHfii/+rRHG9/wDYdphzTLgOaIUG/beSovvUnuWY9yhKW0
MKVxNiBX7+wWD6GV3NAuPkSbshPZuQ0NPlZdTRs/EdcEMTRtI/86646Suq3PuUD62AzbarAe8ekx
BhhqVN4SAE6PTJIFWe1hEMHP52zVVD81MSHsg2TWJF8YIf9XRfiCV5krQduNwHqXPv0gVOEZjTNe
guDWt2X9A77+x3LGy9DM3ZsMs2/LUI9ixqoOTjR9M90WDJKicyPjV8sevE1jSUZYLfAJGyXDq/Aq
PDC4mbetz6BLEc6GGyRElt4Mw8EAzm5dNniz6s7CLveUIV+xHfxjXxtDHQ5TLCeKBAgxEpLSUPnA
REUPPAKeE56TP7jsD1ik/ERW9lSAgMdVtUG1zL6emtdG07AaivgPWetTJJOvBMphb2Ed6vn/CRlD
8iPBxwy64gYho7uS/gk3f4qqPGH+FpaHqDQ7LMb7ATUSGXoPYY8rZFpeq5BtJjtxCoKsPTRzXO59
g7lAlcGzWnwUHIz8G3Qskxi5u3Dms3xHHRgRCGwxI4Q9coD9wYJM2/PKrvDtW2Ec3A+V6NYIdgFK
sca6kzYgLBFQ83RzhmyOqItTN2I0abz//MHfo5aod25srbh+8i1Kd7HpgPbsOi2s//BEifrK9TX9
RMjstoDyQJC0Yy48xque3MgCjO+C5Aseixefy9rXX3VceP+i5jaGFxoqRsb8CoBzlq0QUTk75aT2
4f/9TYfR8XVMGm5B0YS7JIlrkPJLyybB7o6tezNdZdNXFelXQTTXQ+4wVNeA545F5BeUax4SU7IR
qn2hI2B2FDgvGsL8vkP7cvQcAiMKOyj+0qjBk8xulxllISCqVgntXD7eO3njHCNnbrda6nQXk/NB
1Bbi1+Gmi5zCVn5HY5Xevqpgwz7I3g1JUV5NgugYRXXXnCyWu49jT3udciSuLDtUT8TSB6jRR/uE
1VhxuXeoI/lameVC4hPlazgt//RsAfPsCvcnlqm/oF+V7LbzxX9dSJoPUVQM4pTGjvsO8nz4KOum
ux8CFZcHKQhUsi1s5orMgQcNOv/UMpZ+lxNScVGj0nZbNlZ0/9muUtn44oJqpeIFvT1WjYq2TSqS
nUVMEhN9ZJhqnbD79XdBlTBTW+QQnL3RcdH+NfaV0IFx5xZdTHiZjxp5RPNKrY5tIe6Ud4W/ET0M
dO5vUTGRCFVNut9Uc+mcUYqHeLEEohZCBHacr1wg7ezeeTIMj345Zn8Tp/RLPA3yp06y4Bx6fnBs
2Ruec6f9UE48Z5spcrtNELVU6or8FnJ/ENraxGLjwtDqtLTgM7atYfQKf8O5K2s3wA/ByifM2A8u
TeunG7fuKwPqXlPqq6p/i2pcbezVkJtLn4LfpqbduhVAPZ0R8rMCTmejLKWuJ0sk+Bkka5RVaTUL
XHhAnz+53bIdRG/EJCX3xWYKXGD7Ls0dLBVA91PWFgh0OJ7ZA1CG/wGo/CqIIFlPzDB2XTxmR8wH
f9wN1t8QTf2/LptbjIBOu++DQp8mKVh7EIc6o/mU2a0gyf3PCVLyfczRck4QAR8C16WR9G/nR5WG
y1nOhXkLYiAQOmp/6yx5Y8jJ0iDuqqe+NdlWoDQ6TZGpyE6pu6ymRSmzJ9MWMlqPmaF86fTyBeBa
HaRbDZ/TVELdHhI466tSOiAfF93sW9gKxU7V1TDc8f4F6wrVfwFGnkU/Gz1uuApU4oHCpnrMK7e+
jk1J08o7Zj+xGig/lgqNJiu9nLF94x5Hw5olTwjKsrphzyLKPrmWF65brT58B1qaNm36DNAl3jT8
4k4HZD2FIHxu0G+6db/7HOyoeaimGaF27le7pEOEj7p8PJaMktcB2EmqfRI1rMEUa9tLxaWcF/PK
0NLiigejxxQ7Xnl2V2y8OLcuuG7aNVINBuZpzePDt0H6IDvJBlPozCIUw69Xv0cZKUE30Up678s6
f6gQZT6LXpP/5rTxFsJNTXvHnhQdP4YscD+Li/qqDIK/id9438uq2Q+pX/0VMevEiVisA4756Z3g
QshBPSqFFjLRh+/J8pM882FXaIQkKi0f2ybud8hIiPzuoj9YzhY+qsA6dpGNWrLHGlgrgFGgGtvr
SKVzjBK7uwSSVxshiELwXE5e9psMGLyAUgAgxNhbArKE2QDxmI2egQYcDcnODrCWzmOIAXook2eE
NhhnCtPNG2wb1ZHx/093MxuM3TBtuHO2Q0aKaTAR57wY9yeNp3btsUb4YHiJqa7ONuxE1L+6673t
1CwPjZs8DGyP1sCn2gdCjLxDkFty7VOMr0WFt7Gd1BaPD4lDVeMfQ0s8dHNQX5RVAfBcAMVmNr6D
olYnF9bE1kl86rqF/ahKUnNPKlPE9CfCSFPOyDeZc6xHuViPbluciaRyTvSUZjNXdoye04PBPIKO
i4ZqWmeLzf4lxsVXEFWGdU3S3djFNyrL/zqvfImlwy0yFHTtZf6jowmDYXUAQgUSLCovYcA5thTy
opxyOFtREDykIAd3huzk+whIE6BIapgsr8K156VnN2ez6lYxA4qgjHjDUJKUVuqu63iY79I5Y5Rc
wqCyHRa75MH+ZMymNqWPsioXgJMWPOBmQv2NNo4HpELi7iAoSoAFz8NL3gxvQvhvk5N+I+i9r9oW
u5gFNhpxEzFLcfwRhlSuNZtYvj33YV48osQi73ms5vRQS0bgoYRUbOGNIDnBPQEwkBuqTmdtcfWt
+976Cuzh38KJBBMAm2wgu2LvAhtDW2kTnQWNh7F0UI13ypHBJwY68U3kSM1Igkd76L6SMFH7RMKP
XY1G5+fUin7p4mL+lt3yV0VyZBXcPwcgFtZi0D038Mj+umj0d4+Qdp1SQ2HaTN9qRoubKE8gdTVD
tfXH/irkhKWMcsHgjEBhCaewrWk05LyoPYuaPzNXv5zMNWmD6l4m/YeWzlea1c+Wb/9B8DjXefZZ
wkYjCO9r7FGGxUtCc2z1+4xEBBW1VATT8mZN/tVVeEgU9SFqnpMS+OCHlrvAm6DPyCh7LW7uzSoo
4JffoPp15q/D1pzmeSLaw8M95KkawYJgnqkcIAMBeU3zTd04WN/CYv3UinEvVPRC2Ki3KiKB9Fvx
xJct5rd2sL5MFiPZFdcgD9BNNIjlrZm/muwjlgWWRifnj0yvswYRfqTgFbv66kElQjLvpYeYlPQ7
35aMC+BwxhBJ1cMAdnTbjwO0kgI63uxQcCclmy/lopsbXK6TUrnMH1P2r4xv1H/g2F6srvxvrJvx
vyk1+uA76WdYFQ9gCMx/wWg52Ga1Qd0dzRRwyfgXTPHn4k/2hj7M+2Ew8GhJWTbM+4PpYFvL45RW
0VVlFsGs0vJeYswHH65WvCjZ5NzfTO4ru4Bkj7USx1mNyaYYQibq8RTiRtcJvNo0/Lu1gRtRkRAz
Gmc+z2FdP7W9YfxWY11LGgjhpn4LgwJ7rZbNjmfn10zBcxxB3ArgevqDd40KVuApSJWrJ9jF0cqz
qk4nOBHmkvIQHJqAHWNQgu4JS5amFlEUrZV/FEH3GSy296mz5YbPQxVoCOosbXa6VJD+GoRKsJtb
0eC8yXpaM+6VVWYVwdXvzLBrAbvsmkhgZglU+dTY5jHXWOYcdmP4oPpdnbDa1poYKL9PIQtIjOuD
BD2Hk0PvUmyeDNMjNBgObh5Ek9P8bk/KuSa2QlfLe7UaZVHyFTBSx1N6bhfRk/mq6j2qLmxKOrhz
ZfoNK/YJWOtZWrVmwxPGO2xZEx//cN/M/SXqXGwk/vzZew1oAgIWVQQ3u1Ym2tZBnD0EpIOyBZ7d
NSOxcCes1N64lv3cwYbf4XmkF7WwKTCBO8wG97AJbh7vePqrxVwBXFX0FHD4W/p9ik7BlMsuJwgO
ZHqfu0Xf9xEEmnKquJmwX0grJUuCe8UqkxBxBvVZ6ev+kNEs8Xh5D8QVZ+vegalC+5jz9mbUv3jk
mJzXr20wsBwK9cWqMSIgYK5BFDBd89j9bvObN5OQx5e59Ki98hDIeVPIR7fxu21my/Toh36zIXWA
68P4z75DNdl6XG+ysy6OP0EqGwj+rS0QDe1EngMFPjzSGQc6to1XwnMQKZVjuzLSo43QC3dpQ+DL
TQLDzbb1mMRvMzhya+XO6Ibb21IyXrI7gPKs+KgL1jqt5oMuk0MWBjwmfWtjO7rZ+fz0fUlCuetU
ihnWomDY+zO7+sKov6Sn/4okKDriHPMnF5HjzlG634434AcuhC9FJN3dYLVqLVUL5D2BiNWTrgBO
eVk3KJ1Vww+UIoW/8ydGlwhGz0GRG9h3zZ3fc1eBmXoKW/sbQQq/CYmXAGs7FMCu153sej5AXlZU
mPVbnWlNKER2FJ04GOztPiks+yZp8Rm4zDmbEhRKTPZB7PpgLRT75kVi2fdyU2502funqR7+VRIr
KYiuXVH5GIS7H1taWET9WqIWDcL1IMJmV0KzYElVYF9QPfoCQSveTx76IeFib8X181iCMzyxyH1N
G0ttEzukLyp7ILYxidnauXoNt7XoCxLOSR1gzDSHIG+NRXYCsS3+YqwfebvF/DJm0V6QxBcxlUPC
VXY/2VhwKLfkiLX0Tn5tTet+RI/hmSXcFTV+v2I2w6aJeF0Bud1rpHK7wSTOYzQRTFMiLvgOBZlT
CU9zitrRA0dgmeAUhoyJXC3EpnZGs9fkXFOWo81cRuwFiz0hNIyr8pnVLU2pi0sdMwpDMiK07XsL
PPcZRB7D/yr66tT4mcQ50Uh+8hkYcohs6Iaio/mob+jRua0WhjUTEkEy5U8CywgJfMNLWo0x5UUi
34KW+1st+NjykrDx8bb9g2+5jxx210VWfdRRidFWwyrx8HGibQTHYp7LMpJ7PkNkaX77Ho8DtRMk
W4c42002u/isMJUA7MmDwzC13pPlutadM+T1R9dAenO9BwxLP61AVxngLW8Hz7qjJ/N37mi/Ef/5
3AHWv0LgJColt5pnFRHprqrgV3vWrxkyB92Vj53Tb/aYN8wRLvdeCG1tOy9uthYVzs09FB1yT7rI
AJ1yA3aK9aObB2tHkB+G9zddY/qHauNYTFIkk65R2Q8zrqRLTCAlBewIXiaSBA12+VuP5H+d5iDe
GTwRO9IT8TgEAJbyNOXLjXLyyr34VcT4nsECH25Sj80CYYGJZv7a+FCQksYG/dfFX9XswOEb8w8X
zi155pjR0rJ+nrR5dmIcDGX6zDVYPwRJ+d47DvkeCQOhqr7zQKExmp4+yTGEVAAwh2g9ND0PrvNB
+ujBqjv0EwThqQKUClBeDJYCplqwIJNY3C97gHNUqGMETr5LCfRD5qOYdpOFtU7IPan4AWdmsn6m
KEcNYkv2vKj8y/AtDtTjRMJkhHo3BdqQZWi6kc8wWXkupuJ+JPGgb/w7JlZ3U2OfDHFG+MH2vArw
IpedBImP4V/Bnmjb6ZYot+qJwzRErbLYWdFpstJGIsILOtr4+MrGvHrZIDhsm5eujk5zwg86+Kj7
MBD7wjmIIr1zW7wZwGtPYLmuc7i89LiGLX8+hGHyo2jrCZzKruSfX33HO6TMgHIEjQtR9CT+XjwS
oYe+z0+B/WRzALu08TYvc1y9DO7TYo8vWA6P2hX/iaz5Tjt73yXk6XrlmvZ4l0EhR4/d+DfDjcUQ
WOBFR1NX4HcK0x2KjDV4yZVJUKPj9NFpe4Vrtp7FuZsQ37gh+nEPCfO8Elj2XfPISn81tXyZ/XgX
u+LBrykdUnnSdkJ0DL0RIoE6QOKJg92+qQXJPoK1snH1oxXWewftawQMIuMLa/0ZayT7OsPzHT7P
ZNniUV9B/t6U+q/iuxtQtY4kd48LWKbAvg6Vs3MTZk9esgaiho6yu6OGPPj+c80vjUhLy8Chaaox
0iJmrqEWs0eKNyJFwVmnh9T6G2fvh6i1d80jvdJlfERwjPr3ltlTFvvI7++QaH2zcUKXMxGsFVL/
GNZK9Ln4rvGlbRwHGlfUXOFCo/m/kWYF+B01pZvMZUEWYMWL8AwmyI2jd0J9WH6aq3R+ZIcf1F4u
onaQ8zxqEmxyq7zTcXaMbP+BmINz0bYP49xumGutktJ/TxY+wsgkT3PlPKuYo18H80XMy1tHRkKB
e3qDMVSv8PFjGCQTmYB2Rnnmp8mhMLM18JvdQjnlJ5BgsE07EROlkhHd9N/Ewy19/9cYEpn/r4RW
wVulo21P+LdmYtuNDy5WDIijZIrJ8y02gR3VzkqcLTahnQgaCCAlhmuXxiZKLtPy3LJ1UIYPZWEs
PAeocZhR5TXc0nTr0dsnDTh6lITw5nYpTr6w/s7HjHox2rcdW1LEvZnMoS+RLM/QTgO+8Au9iSru
DoPvsUxeZn5tsr3LnPBTSi7v5gc/GP16eqiy5hKQfGVydiqG453GEhXPtJ7DL+lbO90lOyIY+J7T
9c0PwDRl41ne0ZlsPMI4IQIsUQ6DG3R3HAZjWf/govuQvuDoJ5oxwPs5zNU+G58JzPrUmEn8W+KQ
/wHMn3fVe2D4ck+aBTCFf3X8QXijSw7qzfRvD0fQ68e61aesn/tt2xEekaIzh1F59iYYADkb7sac
Uhuxk9OHT0P2ViJoXdzxR3rNCQgIy8ywkdulRbxYC5Yh6aFVJfGRKYKqaC+CFJdFtiYUqSJKqvgw
fYysGsU867fPTjprJ4Ihocwe09jenYo3gko/wjh6S73835DLbjvh+18sh4Oeni8uDfd4cR0zFAtJ
6Ow6stc9Nf5yGJwqEi6tBdhc/JtLdFAkYTIh3Sg2daPQO021oZv/v793i9KHuMdQXdYfngrUD0bQ
78h3t12CmzfS3bPvd49+V92iOziowEzk4XoZUCt3PnsDAgkIGtwyUN3ntzYluQn6mkc79ZjKFndV
iO+sSMaDpfHkO/ZWT0+tAJZC3bo1LFO7CivflB6xuW7bqgb/IzcaI1bZFHvCv2yuW9S2qGTSfn6B
YQ7jxrrMgffPFHDFwKyPGXCycfG3tgh3gyKiM5nvRID3cOiax2pSaESoN/gyfffZj94t9luwkLb9
IC5aP828kZXxMG/jb9R+sFYSNN/sXgL+vDa33mDuIkjXwaYhAQ9r6zlCS1b52WXhgmOhsO47gAue
vV9K79ihgGDV3z1WAcwXqZajr+ufbDAXJUNFzs50tjx8N2HzYxB0bR0Lu0utvlVRnPuBZVMQKrZ4
UY0+cDjidjerlA1o5qQAXwmeD4gVlvrdxNKsG+J9BXtzNAnHwrffu6W+mKl9b3NuVGE9pmV3Ecb8
WHF1yHAKhpyNPaGpokkeKkRVc1lc7WLmwqnxYrj7YHHuTVh9DL68xqm6Og053U5IhmfxnOMbaXKk
4bn97WTNkZEthOuU54hy7D4ahxMbsp/BBO2mHmti8Yrg1c7JVElIrZOD9I4q98qN25T/+iE8BX2/
iXzczxY+js6DGNdmcp/KblzXpjhU4FDtNP8uFnbgVoNsYcCoqmsJGMoZb5L7HVZPxm2EdqP8m5Zd
QyCDlxNYLR1z1re1dBylC2+L/+pW8pjyEQRD90aO0B8Eeg48piiJ6l5ydrNtFhzYZ2+US/iYWU5U
V+mqdJE4pH5wF43c6L0rDrEv/U02EgVtrF/0hJRYWJkTbvDFv6EnW1YzjvXPMbgmssS+j+flGAoO
BIZfOTLS2MtfaJjFOsJBnuKkJ7EAPXbWvY1NcuS0+oZdi2CG13jES9pYFc3M1BxxUBwZa+7hb7/3
GThMBu96LaNYrkO0E53v/oUFKq4qfjai2nbVslMk2QauRLYGXHsZaxYF+a+HmnaV58SEFemQU4Vb
j2qsetyTloeu19DEN8F+mognSSSsTthEiPXsYs1rBB2ov5uk9yMQDaw9l6e3tbllgU9TcTl7M0/d
BqDtf54X7noADaz6xq3T6YtLQPMmKutXiCQvXscUak7PJALskSvIbWeyX6QoKLj84Mv2vTO5N9Z6
iZxPPP/2aloE9Z65KxqmL6LsrhAO+IfcQSan75ak5igsht0URNArW30kavV1oh9bdar7cgeoc3bz
aUfBp8zbw/84OrOtxpEtiH6R1tKQSqVePY9gDJjhRQso0DxLqeHre7vva93upoylzBMnYodbzQf8
qvxSQn75o7BeSru+jU61hE4DX8K7x2IVXA1KHAFeZgZ9gqE6NpOpFn3H3t9JtbsYU65r9EPJjYQL
clI+IEKvpa86Nv8cagAQ+VdDziojyzZ1W/wRC3vtbLonJv8tHgzSG1S3uW2JnuMg61HWkSbtcZS8
tzzv6nQC5uY9TaOOpWuv5qH7JBN+HgNiDW3eF/QfUdCkwscuV1vX8FZ1jZE7FA+FVjfIcZ9N3D8N
HgsnMzV+GdDeg+zuBZTtVjTVHqQT3CvvCK74ixnVWY54zZd9lb2xq5hQWWcWZmAZ0zFcjln/nYMD
R8hchKPxiERZPkmfJsi7y7hHjeLyNvD2HApz00hrmfnksZVxpAqLL0S5mmbrXU75YWiHw5hyn4w/
aM79SESwpIZqZ5MvD4D++yPmC8UKAhsBrXJPIvntOOmpSuc3PdLBDOnAL758dhWJUJ9tyw5mLsVf
WQpomOLeCXmtJiAPgKwB+B8afCMxds1mEsu8VieF7cPGirMChr+jJ421d/hdWFxb+u6Ud8k6Fhh2
hmk9cIdQMaksA6xMwosH+gqbDI6E4K5RwpIz8vDVisKDH083VcLUpx0uDn+5IT4mU3gQtPzITPy0
0JxsEx9XxeORUzbQ47go0pDJNtgkVkRdQEW3grL2RaQO+VgOG6pjMM2yZ1TZRpndsXPsS895oCTW
mZHrWYXotU76/KdqqmfHDv/lnvXXuDQnVAa5ZtX3L/R0rK0UT67h5i+Fsual602XsSs3Tpb9ijmm
0L6zDonhPvqZodeuNz9OHji6qO3fPaNpdwpg5gJy0skYoi9ftM/eVL+h3PxqzyNgW043PzTdZUSY
QfYOLAn5ACPxamQ2RClAYosc4/pCk3hE4xKb0gRAyXHlHsxUwPkwaEHVru1u0jRUy7wzmbj0oxUP
uNui+y+SqSfvg2dE9iP7sJMwY2a58I1wKiKSyjNSrc1TphivPJW98+FBOW0pEXYrn5HWd4nz+j/F
GO8o9jj3aXPrsDTVY44po3M/of8ANrf4axrWT+5m9koZxokGjzdQXzF51+ZB6Il+auwiIIyfktB9
FIQjkW/XRW8dAx2toBEeG0oBV2jmrK4llqZ+foeQ1TGUU+InwRVkafhKzdq0AnIdbpIAw1VoNsAn
1VGFhItUsgOq/wCyZS8CRDbZAsJjIzNO6YpI+befz3+Mj7/1FJ3bgshV0nJAqkCfi0K/4jvoFgMP
8EJ7yt316dRiOUXKweIkNMYPpXe1g+cJ7ptd6s8uyw5G4IBnTDFC3/19rrv3qbk2JnKBLPJQAI3d
VBfPDcAivAOfTUrvn2NwacIsJfFWtTfbqtZ5UX4BrVv59kUiyDVtgLAoSdqgKC1MNY5bVgJL0Xer
ts/OLG9PKXH9NEuea23/Ba0kIU/+I0i3Nh5IkjPgWbAsaJSjKN8mkQ3TSp4dU6+FtOhjIWhVlfPV
jfUTTWncsrB8Dfjr4gcWmBsDdVHWBPkIDw0Bn17gAVjQamsZBKBQ4Ra6MjccX19eHhPAaoGbcvHL
A7nz+YV0OT2KSfWM7vI4RazMFRC+tNqE7KciG3MTQI+gz1cwSxhZo4HQx0/jwX7Nyk2o1KrifUZn
Cu0l+Knr2PwqPLXT99mWt5g3qz3r5YzKyeY9uus7LTM70tZC5hdYD9u2GBe2qHexNXOGtruOSsCw
IL/GNFvY/Xfg2RfWC9xG+DBwWkddv68i3BVEVkrFtq4P1jN5mDicv5OgxjxUMGz1q4AqKlbUDyU/
YST0OYeEyA581bi8XupZX6mCulqVNS4G2nA7B7I9cEunZjNsE14V2LGQghKTKzvcon3pFzhDXURE
QwGQmF6sBJOCCEM2xKScrTH9set+I+QIjFqtesCMoclUj4/PhyqIX3Sdz3gcgUey7YVfY0S/teSj
wA3C4zk8ULt01LPEmYl/Ei8zDT7FWlQxRaveek7bRxszK6fdazMIDs6KrrQMJoPx3FP9gb+HD5LI
KGE7OjbGInnVfL5lCDm/zB66AFdMqhZJlax9o2dr0AznWbogMforlpQVTtitVvpE/xDTbLTzW/VL
xHfctar4QDB+tOHSJVb4E3vxfVF7F3bmJATbPbzHlvkuvOQGMjBdVE4ml8hDK5VUlyK1T2kcvbQB
l4iEpc1ZyOmAjAyhYrhUytj3ZXQsDAKaxbCqoeTwgSYf0qOifFYT3bFZjHfGQmvsMOtNo/9PlwMh
F4tjL0r1u4njSzZ9dsx1dmtsbsFByPKRiPbBBcVnRsMbL1r4OKE4OYIPxkoQKSNlvJQoukspBc9i
8zJHxsl1i1Xe5GdL4ClI6l3i3uM4fgOLnN13bqdvc2C+hQ4G1thoZhh45DfKyT4PNQ+o3ZusmGaS
CCN7CzeIk4vvNLc2JqsoSvFsx51YDWR+GiN4Eswpui445T3lr2eseuepKj4A9uFfkf4jVQA3YiTb
aEC7w7h6b1AGMm34+6KYA+KKyRF3FeSgyd+CmXhs/Pxfz3PHD8A5B+iHO0HaPuiqfe0qZrWkHIZF
5teMXERYFGVIeY0iA0RhIw1+eBMNZnTm16byX+eyfo5cWOy1e3fFcvUxW5pEaEZadbJeUsIrlmXC
OqwrXJ4QjQqSQQk6ubVVr7uI99BkXUiW7cPcu+K1SnncG82xQV+R06lnQuTHyjTfbXbpg8RVwn1r
KYkmOY7JetupR6YZ/5300f2xs16HNvq1O+ubBaqL+ABbX7pQQYnwY5wcoeNnU0H3WVjsUoUNbxiD
vzRG9otg4/OWQXIPfHm0qeqLK+eioT2mCHyRcn8L2uxZPl2mloYwod3+5HOzCTAjZ010mYPmNTZ6
ijn5QUSHkKP98aqkenBjHEew6SdshcnZKvKHQcLIyPNgHzgUOQDFtScjX8JP/8f4fMdtB/f2r/ni
cVup52o5jPOnxzFAJvTBUuo8xs7eTKr30swQw4f4BefasgjDJ6scIB/aYP4s981wvWcRGuvRyuGq
+kc3awCvWtWTr+yH8v7s1DG3ZNzW+Jli1uV+48aI0cHdvL1JJu85Yie/Cqf0ea75LUaZ9TgEXF78
7ElMdFE4dE4jgLvsn1eEsvGA/h9Gy+Sn5XO+j6ly1mYKFMtEOB8NOqc6ECJhM7GUs8JL0vkvk+re
827ihV8dx748hrP4qsHSQW6eF5kSXxIYCYtMVvdOv7cDvaFhdEeTxHpyAa0a0+Ok3CeHPx+JI/ux
WhdlesUFdEdBEreYFCUW4atnxYd4GFetk/yGNmITwyeIiwh+buThXMps+6rGod/0Ar6wcrGwGD9k
Jt4Ub6aFmKXaNOVwpUwSJ7/B6WbSR4NCIl8JK3wIM/j0U/Hdp8U/1TYPDa80lqWk7mbhhxu8puvZ
Dl8KeFBQMyWngumdIslEr9zqnDU9bTvkMTO3eNEG/kbo6BRg0ujsPGX9AC3ZqbFudaS/tHEMuVgq
9nqm7iCk6JMMxYpc0ikNxNqrnIPblc8BruFlrdHh7f7kRdOz39Ula4TmnT3aBAx3epBDjtfZTraV
KkisIE3m1I2w86ZHrFLo54M2l1WNtCv0PuqrbyvEfZHa4pGiPRTuAFKCR2NkEMTGqiBzUhCsHvJx
h/2EYZPMPWP9DxDTF3eiOUlDt2KV1DwnVM9QWMw9e2qgLM/++Ma7/iO1YxeFiThl05QPUQFJcMpf
SghcAKCI3RvgjrXX/vT3KKkt85udUr9hmStHA9FwZ7is1g3m5ZvMRxI645HEFd7d5msC7rfMPXVw
PJv4MR+Web902DYnlIc0Krzsofahp1dcP+ouJPTcuW/iPntElvpnFN5D16U7u6BXK5MWPovxqTHi
m9mKl8gszvJeTjpZzZ8/pduuJTutTBrHZG2DG2DVTOwggqVNbcfAcR40W7NzxLbJ4YP4w8zFmyfW
rle6Gvs7q3acXqkF/3bc/LFq53E5J/a4Ms2et7QzHmOZnqLEXpLuubpIpcjxLZTkKdiX2rr5eXU/
AA8Agc6FUF+lRjrHFL+MA5QdIzw3NaNSlt9KOGq8X29GG+/socToNL5i8/yYu+Gnm6NbE8CdigXN
HkDi8n7Yt1xyFgQvXaQBOMLd1J+Bu71HYQ1tTHxqGZ2iOn6AckNEmk1z04dHFi9fVLytCpzCVsxx
Dvh0bQk8BoC8z9QNb2G7HQZHb2FEnGdz2mPr+q7RDilksUHMDb8h4xG7FPdIT+upDZpfxQWnvKtW
kTm/x/X416Bu3mnKPreJONGgGXhK5iBdgZjfNM3w1HcUMHB3yehQjfCFupfOSx4y0YMfqA74BjaD
hWwmJnQvRlQ7Nh9CaoioSMb70foch+bD2NOAkpXrIBjWmVkujNk7Jla5G+6d3XO+D2rxUgneWQJp
s20oeaMOe84aumh5Xfs1a8x+Gyqwnga32D1EhnXe+Z8QAk5ZwLUtd8i9cRUOMb10yNQwNYeBR77p
2FgO2tuFpvUXlibldt7WSO11ZMjDVOAepqY+oVZ5lvUPusAWrNPevvfSp0WMFdfhR0k8NkfDgLZv
YHVc1lM5nIcmRK0YYDscDNrnf9qmxiCvi6o6NVGSLOHoT7vBh7SkxxOY9mUp8h+MrCuzGm/0EU07
X46PNBsQWMQsUJNQysvpwNC3kl61xxkL/rM4tQZpCqPL+qPWJDEjx6xXqujfJI8QkxKJGNbx6AwO
ryqI7avi7oOdwfOyPMEK09loCRqPO35lKrQBnzkPtIzssryPnqdofvWwyWtZkW13zAe7CbAgyQIu
LxqEP1nXhGgBVUpUB5Q7CtyjVeLUBvcZJQ/+SJ1hov330SoqAm737of5yRjs93IobniB4Er5wwUP
foetIH6Oe7xGhTEtx9obsYUaTOpYVUy6h1r41WGuYAR7a9LlKwrquxVBkJ1phBefTDPtgTS3YLWo
aVeKoTUW88FW1q4buuc49ZaGn3H74zpk5i8j8CDRJ9/cglnByY0N4jHo+oqgDJ9xF//fqcBXLAzd
RepNDwVgfrC4LYhQrlA6efIS7gaj/RxIsGCt2NQOlYMpMcuYUGlKOIB9J/kSCvoqK9nWM9y4oP+m
E2sz+OFJl+l5xAXHM3Mcp+QfMKSUQbh9MJVzRnZ9J195TnoK/+a60wiV2lzxrWIsJ97gV80TmYTD
0AxHQ5KibZpxL/9fKml0HtnBPoUjaRtZcCIg9l5TG7zkLQgyg2gKhbDvOYVK1YDTB+3qDUbsWzAx
WhX8b0kWAedIP30NPZupDu1O4KKX4Vri8kiB53U1kUt8ExvLRKCQwxPVg3sZkfYZCwvjRf/PtehS
i7LRW/pdT+Qp0tGWN8fZ4gH3q+JYUB8fVwBmVc554xQtiW/dfs9u/e/+YFg9/AORpADvjOyZOy9b
wbZ8YGnAOlfY3SMFezDT6yE7JDk8LRe62hHuUbJJzIDAud9iRjWNQzO61Gj57gtOC3CUlYNhbCyP
E6WkHBg1pOSB2lUJrEmT2RzfdEK4RQ34dhPevphCK9R82elnZafg/APchlczNDw+6oyXOQuNF2Vx
UJPoBijhgAcmgPOWlXeDS0M9DtIyP8JiijGQjl1fvtR2K7bhhB01aUZYPAHRPADXC0xgcCVIYRK8
TXfCYdNge96htgTGCN5LPPEYZVpm9br0mmXRsbArTcgb1NVe7RaekVnWW7Ox0rVCAWd8IN8fci2Z
+OdGQd9pkJ1w435WRnh0gvggTPvWmulKK9owqaDJ7eAy2XoZiWKRGsFO3b+6jRxOvML2IitfVSLK
ZQU5AUfX0cgBSOBg9ivzB+35GmA7LUKxywLKgyC4JgvfU/8m7DU+cbBVMkcfRP2g4Vjf9QjuIpmI
0Ardn4RRowRHhLcbMkj8/z0KCVxjTmgFYPAwQ/mpFSCR0Wb2ElX3VKUuKkNIb1ZxdNxwTWseq3FL
sCunty/WVs8+Q33pwj3C1D65cYafxsKUC9/7MdBMsYZ3JvxzMKzuiw3HosC7tYg1B4OopycK9vjk
m+al1SQB6Ajek2K9Yuqh/xzIS58ZT7ruMcp1rOwiZp8qqmqSfwWTa/RR2Pa/Efb/IrGjX7MJfqfZ
PYJOW6dZ81pngGDLtmVu0sPOLH06nzS2ugqSzKDVF96im1sjY0/zKscevaAzGUgKRUKtPGAUxTvI
U+J00zG4QyySjtYEyZ4FSIdN2heykxj0R1+VEDIxLxES29b9SLkEzbzgFjdRZgCx4CKxFrl378o0
ACMkF0PgA/Xmel62XEShxhVnJKGJtaPCsFETgJ36+Mlx422AIZdj6Nq22WPWJHyF5pexH/FjFviu
pKZ06Iu2HcxU3mMFXrLP0Yih0xMMZlSys70q9NHAHL0A1PLhR91fruiQ61g3NvqNixlvH+s1cauT
JEhN53qyqN3s02jZTWeyhZOXb0bNIKDa8dT6xYddY2sjrwJypdqmLjd9rwJ92yv96mMkxeQ1PPOL
fbKzDik7ts510nVblLMzFcJ/Zj2+52b8l4T5AXjiMQxHgUjq7gXVqYsmqq9GC5Gk6kHfBZywW7uR
n6ZIby3NisTd1alt3F8XiYLP1IQabPIqDeOdyLNbZFr4Q1FCvKE7RjaztclXcJbFkWfs2Q09GExM
XK1d7vwh9RZUuZULhaVz4H2tnOBbVrSaxiIxlpK9EYUQR5JEb5Ut/ph1R2xMyEOsEJdW4O0dD+A5
6Yg9xg3jN44GQXNGTbPSTDoB+Nt759nfhgie+Ra+TyWPiqPLd/qllyBP8Qc76quoih0PwrtVkbuR
wBMoibTZtCeUH1Cxu5BDZK7hQMAXbbp/rArmZ6IvW6r84nWY4NrhDZ0tRyNqd3Jq3qq6Z9zDgDx1
KGl+iqXWBl/Lr6c6or2cmG22I/+WpdfzN2wK/Wf4BBLsgIsjB+pZWcTAw7uCLQxn1XaYK4n+cjD3
eAkipzLWnh+9Tabx6xFTxUcOU8hssn1iWCgLY/7hkWfl1Xf/5htEux28s+NgZU8YKCYISbydY9tw
zrLkxh01w4Z/1bzW3C5Zh/EL86SxcOPoTuOXGHdZiS0DGJjItsJeNUzovCaNZJWMdskmp7k0NtvK
UXoHk7qttZVRoiBqRdSSuLQvAY954jCo4tDYc7OvW4zOk5E6W6vW+2IMmiPB4Uc8eZRk8E7EiaP+
iqz40d29/4KLlvY5hsIEtSPHKCfr6U86wc0MNDvD3ujORlDt25xOT7sAZBdtCQE9MV4G+yHjQgIJ
fnoKY8ZjMvw2s7frsHqoB5rK03YzKvMjHFFfZ/q4M5pOT8S29i15CuQTlon2hAHPp6GF/1TKUwT+
bGpQ92inclH2S5vHci42UG2/Whxer4EX04IjcIrEAo4iYalB5o9G3ODKLNHmdEmVhT0eQzArWWb/
SIef2QGFAzv5FeHt5nU8SIBi/QWlNU+9i8CXWji7O/+cO8NjZk/MjcORsvkHQ1v72XFfFFt1JPgw
olSOt2ozq2+U92bRUWi1ZAlecy9vN7mGX+T1018jk7eRKw3GNeetNuEearDP3AfIDENvoIE4PZgG
KcTWz270lLMBG4uZfEFMy1MTqyfh+3xm7osuxqsbBi/UEb8jQx074c/7Jq+heeltXlSXavStPbKc
CYgP42HbhzkBlSTY2HNpr4Cm2Gupu3c5B89cUsXSVKTeMdFHW4ATZyUp8TDKFIdizFRdsUFZEqnC
XDIjGkJ1/2gD77Ub4zcVcRsa+u5q0fFMXrk7lyHQKVw0wAMmWKhJO4E0xebrMLtTzAsdMMAjxAe7
dWT7EXrNZzwmf5kz/TSWcy6xguhAH2WW1Serif85Ubp1A1IDljKehY6Ys6YXI536lWH6r9qgBQGm
MScieWBMEc4p6vy9IatDaRUIXZ53KygmDGNggCrlC8C+saji91bxKNVO9anq7knDNA8wqDeZteyN
iO3XoLHoG+z9nJYPxPoBBbPJGiOFqKuqHYFyHFG87PcV7XScyHjBGmfCwVz4SChAmfzuHCQasaME
aMpumxWNuSc2+92NvlxMaUmOv2dXXU4eogUSBjcFxv+5lVhmNGTlwb/NDIKFD/8R2BnoovjOh8gt
SOhW/48FAGT4tHnNs/hLCmPXkDHBreqdIObQ9mQecCHxmQ0Wdo9WncPR3uawWDt+FbhkYPCG7ryP
IL/WTcvx0l/sWV6yO5Ujj+fPsZsPQ8T7r/IuEbdwFU3Nij3a9xiU35NuHomQv/jpuOwH49QM1bXt
5C3Nok2VTxeDd0BRBe9Zlz/ULQyaVqyIfvtAR8E7QSjM7kp5Kr1r508Hr/doGvMw88JtsjDcBRN3
y2aod1Y0PnZyfE9b8REjGesC5E+Z2F8yt89jnq8c2hvDtL7FmALC0L4MJLKQcZ5Yej4SkmcaNo9c
75946s4pztPQn08q7a+DN16a3v0X43bwk/KYmMyjPmV7qdk+CeFCvQwug4GFgu8s2mlmEmSACeaO
X0RQoC3kZFXC6T1usx26H72wHdFTYOk6osJmJPExZmo7IKufhiZ/T9Lsx7KTcxT2FNPkBFkB+mAS
uQS4tIh6I1mXgNkJkz6kFqRxJoFuWbrWRnnlPgviJ2y9/oYsHKHCOX6MGp/rtPnX5XLby/ycJPPB
dey9AuiyFgE8IXKD0dqUU7IGaXSGurYaB4JMU+ThQoGss1QxmWnA7/0pVJwbmIXEs6Tm/JJXY3nK
izTe33sUTLN8tl3Tf1SiOORxv53ZAW2BpmBQAoW+GMrmX9H2X4OBpYBS0ueyLMGGJa2Po88YV66q
1doquydcedCaTe/qT32zD2v5yENChk1934MjVK1TOzNdzD68ZR5VFYV4T63kTCz1Eec7aevmDVTK
ms65Syv1zRbsIuz5ORzL6i6y3ZFnoE+s2OZLPZrEWYkbSOEdOevVvnA4XSg5jA92YJxVAbva5CQh
fMqMWUzrCkePQTHgrq6rfB3AKV64qXeij/0ZZA5MBevDuI8WdVF+DijbCDtLyn4P9SjBMt3xKMRG
yLRB/Wlh20kveJtTlaDcYbdX4hZEPj5frgp34Ygj6EgA6XnuwFPpnrHEYYQzY3jj+QTc077mgduv
wzsog1XKXrQ8YyU1cA+MOfk2StpHbkHhLgl9LvnEpyPp3FK2ZwwoQBQaNO2e4saNrt1fkQ83Tqef
KDTPdQbRq8ozlPa5/HRYiy1Gt33AVNUREYelFoY8OwP0mlpKufZqawujNUN1hHISiWsYWy5aUPzl
IyZaZTVuAe9369nqQS0YJTOeQd1ix3fVzUtxJbWONzAJ/K1rYvGJccfMhMru+Gp/4cykmnvKIDG6
6FM3299ocmtVmv98/vhgjuzt3aR8ZGl+reJhDzThbRDJvlXdv0Gkr2nSnYLa22sctbPuv5IJu5Eq
C+jFOEGXIcXu64qaRsK/e8Npd5pXNIEgPO95HBxxfd4so37vezZBoFJiIgakMAROjwVC0VOlu22t
HRKRagxXlO/lkH/iixXyVRa1g3kZczhYjb0zYPnLanmVttdxtCKM+yH7fqMqfwxK/UoTo3HDbgBb
gsMgPGBt06bC7UHzzbYuvBUNB6exJVCWWvjwyWzwupYoWc4Dx/OzHMixIKchzvbmD4M/hgsY/Stf
aoxfnGQGWftlKuu/uGVmhdTkcXZhIyZi52IXRry5D+ixVZ4dL4ENOSQCcIX+DuviUcF1G7LsStUg
cMnJAWHQgPitbRDOU7uCqbA0kmGPnvM8xeY/Wzj7nqMErPsnZJ+d0xuPaT5sqKg8I8TuLSKmnjca
y0mX30OgSCK4NhhrEEHhDEKsbdqzsKJzPGXX6F7z4ErjdHe4h+CV1EyPjj0fHR4jRtrdQPbDHP1H
EbP9K5Ozg32qxo03htNalrxI7Cj6xBm3d1X+4OlmoP1K3+pcPFObg+WIhQIaGB/VtWdsbub0FBTt
3Yjd3/1T5StSFZjNrL5wq73ERgDmhujbRDeNDf2VfhWAtYm9n9H6hDSfUqYnHfjeKqZPIAjVEyWA
5S7I5S3MJv4CVGTkAQD+fJXPLwkiPa4AAj1cw1O9N7BTwYcnd4LNYT0MIZdPQfYoMbGHFS415IK6
awvxkHuCxKwe403KmanjvluPJr0+Qfrg1d2tDYq3BABzYZoPbeIT1avOZmyC+3IuQ1oCMUMGkunw
nXnpG/raY5L7T+MIsA3taCRvCjeS/+xZe3VLj5k5nWMxc1DeZ1bfPwDaXNvs8OF5jOvUcQ5xWZHa
LcYdAz87w8r9IjF7heSO37Zi4k4A7uryw3b4DiY9v/ACedBza4xsHDIDviKqWVt29sVws6Luta7n
jTMl7/YsdqZZbBi3dprkTuVW1I3JcSUswbkMvTUBihr6TBEN6Nop884TGGqdjeaCSjhu0bpn4WSw
65jC6KXW1QuUiEUy8kYr2XtDZec6CpV3pAkH99gp7tg0WV1PrTsXqyVL+3d3rLAQ4PQO+JZHgKL9
gDDfMEUDmE+ST2NHj1NEYRiY9WrrupQQgCpyfZODv9hmNqD7gGN1Ev068ebfPktfagGBlZvD6xBP
a8Kyv+yicCCb7CIz5xs6TovxIfoxVPbX5BT4hePIYkqYmEJlwozd3T1HJO7sBvGl9QIur/3nnPhP
FIZQY2DCFIq9ek95wIvnmNSZ2veVJCYF+zLBogtAwkDjnY5eWP60cubNXBvDpmYx5Rju2zjHM9xN
byubmjoGxsEHlgyPMiKaAxrT2NPjAyULXhPZSoTM0eJ6EHbNVXYBSNsQgO9k1QR4uw/sapeqw5bp
4XNZBKX57TV4rQJX/FaGT0F9Fvwb88pfxy1bYovWuW2Amo2Fv+LXIl8rYHvMdGrfJ/PHNGN41NWu
HdqNBS64cRsU8+oYi+wtrbIrvqebCUwQlXnljFm3S7UJOJ/3qklVvQRVkcaxu0p0tJOG908NgB4s
pbft3YMy9ulbg1eGrydO3dQnsJNaDMSNucKIdfHJU9AQuuKUOMhKk/wfjyleg64YV340oI0AIAG8
huZxsOf7Hac+TRMGLCC121RGx6yT76ju6P18l1dGY/0mpv6FNhksLQfi2+zZB7xZ7Aik/zvfmyp6
7T7IiqtSpgCwh2JMFzruqUhCgNygHWNWEGa2DufwO7CyH/uec3BD9ysh/YKz35lXnkXWSYzeObGN
nU69DxauvKQUF8hp1+I41uyayWL0ZwMs0zodWFYW9f1sfS8RAk52X79GWfIxClKJdXbx0haxpDXp
yEakP3BX3rph+uKS4CuH6iPPXRyi7fOk86PDwmEq+tewj+6aw9GPo13iJxt/EhtO6XVoluegvXCd
4eZJgQ1U0KXlkc1xsxkyXGw/j4k4NPB6HUkTAjlYwnE+DVKUBsFpWfAJ8UiTAUl7imA9bxuM4swf
EMQK9gbIXy9DCNATkx6VzvmG3W6yEBL8kzl4z7QhbaUR3BLf/Kpn7L4Di7LBRbhVOeKPthifdfCK
c+CVxc+lGYzFWOk3xlp6dtK5WdqZHa/9+9um9948u710I53HeVyQL2r2Ti8LEjDGIbxLZ51BpkGw
snVkZe+Q5/u1KPHEWxkXKXqXOfYNkIZzNO7GWOKzbakz9X1zBYzo0801c2cdXouED7BUE16ubJtC
f8dcjd++uZSRfrVm+6pN90JjRr8IipmCihmXHti0pUnIn2QCbGbT+QKwRyvahCHRiTr7DBnurwxs
tL8xzc8IqLc6AEoNORbBF8mYcRjrjkzmS9DVXMySeOfo4tOfAQZGUwQLKkyHpemNNnclmtxAT57b
GfaVjuxdHAOZHaJfY2o/wUZibnL30vEgy8OH4G30GfXmtxL5qso46Wkch3TOewNtgWQ6APOOl2GR
5diBRtbZDVmpLmChOwcqWo9pqv5gkeIen63Ipekbt/8QWuvQLcA5dSShCPLqeFG1tY9bdTKOLba5
mAi3YIPYthaXRsiK8VOYV+kfJha2+sRZ5jeJyIBpJp8/szgPGK7cnNsqV1JqRAbzR0YiPPfQgBYt
IJSKSKLR7KwJ5YdMaEq4JhPrzKDPsNBld8qkCdyovXeUdtmjbEZ7Y2I+QRpp3atKB36Zd/IyrWTW
3nPc91bg2yapmu61mRhfBsDhLfRBRKkQQadytfPoJtTXM4/JdRgP/yCCWe8kO38pEidiZoa0QUdR
cp0EOXpC4vdu8waNytUGrCyOzcal9mpSKd7FnPUqkWPSQgwGzsIN7PTSmE3KQVPyBUx7Y5cWAadz
4MgadUL268Hv/MtcotWmRvM99JH5kBISnY/CcuGa821fIr80565Fw1gqmrKaZT16Pn67LCaClFTi
QLKPRge6rO2jwGq48gyu9nw5fWgKyrJ3k/b+XIzZ2q2vTIbkXgzRs1oNHhwghaTT+nyDBEsnaejq
/zg6j+XIcS2IfhEjQE9sVd6pZEtSbRhSa0TvCRp8/Tt8y4np1oyqSOCazJPBF6rkJ0S7Yp2BrlpZ
rrdaQnKpquF25viyDSl/khLKYjsjN0AOWPIxNcND3SA4ckz+hW/ZNt6ERYRq88RIWXwHnXuEyIGj
Ix3CraQ8As+20o46l6EJx9fxv+wg/UxUeqzj8C0zxB3W2gYZzZo0k28WOVRlY/Do5fIfWqsnD5kW
4rzkTBTpo/a9lyDF2zuHO0BVZy5osfYbpmHCTN7nonkqu+i9scj6wbVqwtDRHVwGyvzEiG4zmcir
KjHjjeG4JyMXpMGLnE2ff3VyRHcGR1do0uqPGG6HAr6jGNsrFNdrRoMHWUZkSP8df5OK4iezjJH0
LXnJQ5fVEOmS26qud2h9UHqjwSvsZ+FygjY5aLRhKoeVQabIBRtpiYeR8G9ZsS9wm9C+wH7b8z9j
7zOI/YCpD70tEyS9kgJIwcNJVmVOA5wjJmO2QOUignfGOsyTiYIC4AOaqd0YbkwwCBEoJ1nZ8/Ns
meY2tKprmjtHBvx3I56Mc2+yJrBShxjirDafI98l/DKc5IdS9QuEcVTveuFwt/xKPPJMWaiiIOSQ
6dgJEina6nNyykvuujOuoArCrLr5k/lk4m2wZGM+FuX8RLzjdSQrp0iNE7c4FnabrUfq30Pt39nG
r7sWna1T1hsZkuNm+DTtaXdUrXW3c3GH7IjOy+8JYkSFNLUx0/2aqrcTBGfmMfpda/7QzbIRK/XF
GQmvchkoruk0qSmtrTWhpWxLHN/dBGiPv/voG8XPkjCRJGWxlZ397JXFZ2gw6Mwz8ie8fJlJ2fFT
p1FrlZzdFAxYFkbzyemGXyITMaHbzAmJpg2HHesXFp5EeUZdyJHqmw+IWw5hPrwJ1MuL1zL3JKL3
DC2sYZ6n6q1uZlBI6Kt7mk8PUGbXHDvt4CRNzsBwdyLRf/UwnxKt9k7bHNiXHEonfiHW9K9VJC2S
rpc73TovCFvFujjX/+q02KARwTwS0iJGuwJFLTlwkHp1k15qGWwmgtR6KoZ8wK4ZQQwoSDyqiXmm
h9mMixutgyaviGOhtmCH6CTnDEnSUTTWb99S+SO6I5YlMytNgUpKi+78gvm5oudx1l3UGLus9+kA
x+HVGJCAxtElZov9UGUcuDqOeRCzDHdsCkGkm98QL54rIi5J46ZtwDO0MtyWgNgFQur398KsXLLt
8f+4gOORKhMQkIL/6ZJ0p92RKMiyxbmcjwAU62WDk0mAmCrH+rHYhKk/grUZEd0QU03vGjvLaUDk
J+IutkjdlrHbjt4Ju6f7MSzo1lAMLOtHd1eCdUZRM7+ao7ih4933Gle955H742LU6TcxBAU1x4Sh
uliHMUBVC2ZD8sYNBAH1uEOtE9jmZ0b0d98j5SIY6QmYZVQuU0T8X6ghAcrgsk8mDk4hBSQ0aKTG
lL2ZCAIYRciLPRKDxgyfX+Pal/LH6YIrFfc3sxRr03sZSv7K/ZUdiBWIKV9uBWAG2X1MoCehkaWJ
XrLpriMfR8mKXcTDzrXUt9lweefGkwn4ZJPI6J894HmKGQQI5yVvcpbsPYp2hbUWL1PNfdtRwvj6
GC+Y0jl4bhXIceFjAGlwzBT1DrHtFuGY3DAEbm92Et1Z7ZBAOGh/X7ASzWXxRDRSta1Sc9Nb0aZP
IEUCN/lMO15JFNm/BArgDlZzs3F82tapr79xYGyjuofZarK0k0G2rav57tfZC/TybRgABaEAMVuK
V1xSr23lD5yp3Zr9zcnwZ9xOA6ZU7T0mZrcjQv6E2/yxnocXs4A/iitxSrhjS3DAQ3EZO+NILMN3
DZ6HbLP3iKRHsyV3hIFZGvRXltCAWiLCcyqq9c7zEOW2APLyyENqJT46mDZz6HxgHSpWzuQceqO4
xoUHdmNJF/L5ZdZJN91nhndwVkJzkxdOx54H87MHLpvyEKZtDkPjxPARTIQLfCPHb/CAhvZDpRTy
jPN34ezfczd+MSZGvK2+USCGxzbGDBrC0QQBlZYbtyYV2jb9jwTW2TYyyCDQyr2UxpLfw+dSFGZ9
EAlmYBf+EaGsCaaEer5LoA4rJqYbLjdQ0zIhAil9gmSDu2QKXoJQXU2SwgLELTwqkBhqdU6j5BvC
YHLpKodk7X7OsP2bLxNltEokzuqIQUT6fxHxshnlQwkfB9P9ds2FYzXyGDuW8WqUBYk8OVF+gPvW
icHbLZzkOxVTSHwCgkjUL19FxvEjzGk4hDr/jTCXclDXxa5veX/CIo0RweNS6pFHslbmTdCyPiIM
v1GGd9tmbNcmKy+/9PadM7wunqmxs89c1pSeREgGfbDViksJwSBK7a5aUkEHrLsAXlhfKnsNGCpZ
hSB/Ht2KlNbMC9DRBhhCRsvFSyH7YtX0PdWC7xJ9O5FmwVL05ngZvMQ2LteE1ilm4IHgHEzlqhiZ
r/HZtQ9eJ3FeleXPnMDwiJz5nuf1BRVqTxQKCRO5+ZTl07J3jVxGmEjrut9I0y65/osaeMjDJuN/
pXV5LNJ6FXrhQVt8qa6MPxOWb1Bb9DZ3kIHGPFOkC0EKxKhFTDwtIDwXh/3MUymiF2SVb7Ny3uTk
Ax+qjLeRKrGNEWwMgDJYFEF/Roq+GnV5HiC1rfwymbcycghxEtwbFpu3cWYCSpsDx2CCackWw2zn
e23b11wxL3cFgXeoRMmZmJiFyHB24FjA3Z8BLhSRhIkIQEM47cZUy/a51ljFx+8iNz+IQ9mDJzwl
wFWSmJ8rYehJNAaaYC2PurowAzyRDoo0JCxhEPxX+8JGbw+fzxpLZ8sufUCTTMKQG9XNjvziu0Q6
sBIzqIGeLMmVFYc12qRwG7pkZZlQdzAQWQfBdcx491PaSN6XjbDcm2FiY4CU3homQP9u4EJ+UbHz
6iAudGgBkV1O4baDdY0SFJWamuZT4BrONuQj31auunUkdqH7RPafKiPbzKUcN4qiFPb1lrjjH35u
yJLOSo7BvKQcaPEubR/Q6KI4MeKZToT8H01yxiognRZRGRIeh3UXrCieInMgJ3CYNR8qLGnHUX+x
QFmb8VujQKB5KnAXgVLFQKcYZc9PeLa2osnePeU+Bw2gBMt+1g2qKcygDJtdqsdhvPSymfYiDX7j
npV6Gc8/vHAvKSpQwVjrJS1K6x/P5rAxUrT4ydR/Jjp/NZCQVEl0tbvwLDrNCWwb2wQ17H4si+TS
Fwip4g652rzATMIQPyXbD7K62OqtAB6S1lYzGZfjWYsgZpui9VYF2WfntS9JXQ4bhXucXWhzz/iI
Hmx8Q2xestfOLN8LK7oGKtuPsfOHKu+90PIWtea76Id9ZNFuT/Hgr7vE+dSLAxJM5VPGaJMdMSGH
Yog3WSZ4Ryd5a53xnHKKbgPshjwGbCOT0WGtAwPEUMyvhxzsJ5k+2xbvrWKTNkBkGNu5AM+VbSqz
563qwNpo43vM259ECjJSbOYtXdsffN87RG54nTJnb8EVsw0u18D+ERL7A2gX1wd0NmTFvJo1WVA6
25S2fYMPcENWZ/F1gd1p4ADXvbhGeXVS2NNKx0B0WzwnQ/wZjBD6+Os7GZV3EYUHxXA9nATSJYJz
hkawEGCsI7vfUSbXwQEeHRnup6onYCdccP54czLq87ANT3FZ4j6Lhy2rgAatxEyBFKt3S2E24CW+
N1JveoeFRkcBq4PundnYhb3yua9zfyMA76LrpWgx/H1nwjsFsHkraZt3ORN6DBzYwPTeq0kec4nu
yuKBzg9TXUsYJYok5aJQWZYGTDy5Ev6/3s6mHzuqy0eE9PY6QcSPUGyHDh4sHLuaA/a3vaY7e+iV
/d5BFWxzH54FwZNu1y9Zkg0KtMLut4Bz2ldpM4BuY3MX986HjVuQgD7shh6gH8rX8Br1xCBkaJTo
dJOVY0dfpQzbI7gZd6t4LSAafxKuglzAz3Zphq/LqN7Yj+4VufVok5vogOL0SAoBsIf4JckWPwi4
jYeR+RLylRN7jy8sxHs0KTvP6/EWwW+jW7rFhXMYiYVbk6VbQLkK5m2Y5L9JqKGzsAoJoNlvB8i/
OxXOb+xhUINH+bYQ4BOSigUn72SOdbuhgt94hsgWQck7aGiW3V1rbWWT3EYzIVq0Qn+SyJuaFMFF
WT1v02rYlJ3xI7GgPlT0ZFLbH+7Y4hOsP8xGXQ0M/HJmodR7xcbmFg4nUNydgRkrMo89ds9GIzfz
Ihjp5B/RzuSSPAOuzOiCgYIwP6v4NJJua7nxNzr6I8kKm0zxXan6EmUTu4cpOvVz+qPsgiC+YFvy
WpRGuS3CmPtI/I0yuNtybB5a179RTEYb9Bfuw4DR/zkzbK6NhnPKLbrXGkcvRD4GV9RLQ/tT6Pko
U1LEnGyZohwJw96ppv/qUn9jQqcLeDZNpIdVwUB0dr/wGJBWGYwnTcCLQIBuTjTuRYXjvYQIH29L
TAm91+K5LS16jUGvyqQ8BZW84I6YVkMVk/Xlhg9e0J3NasJr5lzQl+P9IAH+gdLwTDDnkz0GT4B4
BYa1CLcFXJ1Nrym/qsz5BKjKQBp6Q9cW/01e+9VBvIbSpp6RQ2qMIc5jatdvQ1qflMq3US+OVmW8
NpCV00Cc6yb4KyR/I6gsvGDJD/RIJjYFh4UI31RB7x4QHQxfSAf2MQ5xNODe8nEjQTtoXhNWaAyR
WNEGDpFbjXeLTZJpXInHGqjmIti1nmJf/Wap7a98Z9iTn/JmyQJssD8zLQKtnARLWJ3Q7Vchq47c
2sFZ94JA2liZr4JZ8dqZ42dP9QGzXPMoMTAVNYfpmFRsMRmnAY/pcJ42H6qGmdkYrBTCNH9Grbar
mYevQkvszSb4dpg/Pgyj89WZ6F0SbIzm4isxbAg21lOumaP2eCiRQSESs48pR+4G8yNbKrMkWsVk
Y5hZ7nvrYQIJkSyYkUHPXSHNSVxMdQ2A8nE0L4MBjCGXsoVH2r9Xvetu8rBJfw2PEHn+FNLMcK8G
78dl97drKpIsezxf+ySq2500rA/Pi/7GMUuXeOFr5af457V842cMXNkLpyE236eEZ7yITlAfI1KY
GxuhbE1cZA+Rqw/QtEtPlivRiHntJT4Mz2i4jnGON63diFF5Zz0Bq7ACoLEAE8Bs+QT79Fa2cRdJ
i5/m20QZh2kylohAceEGg/Q+9/OeQ2rPOp7uNY8feYJwj7Z+9WAxjYUHXt3iLGcKPo8XvwrVpp2X
3FYONaIBgl+naG6D4zJDySRLhEp9Rx6jjzqsr4at5ucqAjo54cg8DuzqP/IxT/5lIOlQBrnvQYFK
ea65pNvBfIynbt+AzVrZYvLX7HiprvPwK+/IjZrUcsVFkfdsMOV58JoEgHhf4GzS82mI5cFVKCz4
Oo62Uf8H8xmiFtS/FZ/bV4jAxc2qRxIs710SV7vCBn+JElTQlcXnzs9YFsYUpyagWfIQO3Ojy+Lm
LVlwToEBBr2Qmdjc5Yb9Vc8BOIrO/3UVSnkA8MGTXUxc0h5iUT9yP7hG/O2okYBPtX+JA/Tc5Rh9
xyKBRysgyQ+j9+t3AM8BQjrcHyTmyMSq9zqgfktal32CZ4yXPIsZO9UpYjF96LTL2LyGV1XQ1/Xu
uC9cJnhxeteG+jVEeslz9SmSmgM4Oeuhf8QXdlYB8tvc7V8R9EOwH73HKcn2MoCEvZBmFABaP4eJ
h2/wQXElr6yivSrM7DU6Igr4qt6YS1qzUBVF3NCeYzc8ZoSM9+Sx0cgTaGPF752R72zDvjr1eAp6
qIxDVicbE9Hrih5hLUsTpphNmnJd9UQUleVBaqRzMikeUt999hH0cx8F1iow3RN6+/DV8ccvIi0y
QKgFC2vBPBl590NFh2vE1CE54EmMN8naVdbOsIo3C9/Ouo178CQwiKCMsx6ZCnJQtaXu6GbNo4nU
HV6hedNqePV6xjpF2TcUb2gchw6rTNY2x9CMXqZyjB/sup9uOu4/jbGfoU7gTwka3JiJLcXO4CzL
K35knEMPqC9ImKGEsQUeYEvYni8sxhp+ci+lQIadZH8EPZ2LIfb5BQf/bIoQqXbKqyVbO+BJo6rw
Ct97nsvBZ7cJfus4Sx/ZIrVUTI4Sll3QyZBe/FxftGKzSoIuFPbIDn1s3pyjtQ8vrAiX8rXhGYJ3
pLZRRTJKpIkVYdW4Rr10qDtwIwDHP02/dTEQ2++ZK0n/i4sfMfY/sRGcWOZ/OJZzczA3ruqhhHQg
+LO25118/EkMNtqDrNRWV4iTmGVbuFVC4hnDnHQeO20Z49j/eRjrSQ+Zrl3H2y2VnmCdRVBAB+NQ
hBNl25z4D1PFAH9yom1iQOUoDWzvfKOI5sajjusvAfdSF+2fL8KfqFsEVvK5qgo23ZW9r736jVE2
PuyAoBpAS+lDGVjvSC9OU19+MWmBh4EsLPati9VPpzGRR0DIZ6Z0xarE5Q0hmJPN6penp7pnecGj
jzvhIeryH0r5bUkK2SqkjB2MgGF/LbAoRoDixAjmuqva6jJJtjZRSyAKl+NKL4N7q8oCthTexiu8
H54rgpDtwv3iaxkuqQ7j/5Sr++M8gdzLG7R3XYgzy80DjWh2AOYNUvSTdwn+KlcmIyg4FyzC0b3w
k+yWbbcuw2/aiMOwZIHHdf5csGor8vajdLTLSAM7VeOnr+MseY0QV+baeR+zeUXmyM1CRb4JU+uF
V+MWNvl5DPOLP1BX6t5+wwv10dvElySM7OOS+CH8h1hek+Y/GwQYkO2nqsJtr9yOzZaOGFjgSSAl
HRd2Zzw2VYBde9g5HTA2gWxG4YPczEF3n1R9bNk7UfZ49dqT2jvCZ0MqicWFSQw6KIxEKRWMZzLI
Hf0HZ4yMx0S35ib1QMMyefGQrmdM9AZ7PBQOyeiEsvePMrDLbeMDXAldn/ZMsZazVMIcncE/0hiy
Q5B+/04xoxss+8+DG37UbAHI1ThlFebVGM4Fd/EO1wyLGxzXMCjLZU8TLowDc0ZxbJv9S9Nn4apa
+Jt9RdA1vrV0XfeUOU2Z7kZiArnR4+gRrjZ58nmbHaaWkVkiW/NsYDpcV3n57cf1twUBxp2TvSgQ
KfjGfGzgys6xYucJh6mfgDIHrXttPB+Fntf8cLQzKAsXCZ2EL1el2cGcut+5ng+a+PKNjDEkGqV+
VKyqCIkEgjNX6X/thJ+0MJ6SjB002vO3Ebof74FhET1LiEdUos8adbOxRfRpOaRYRrb3X8tO5uy3
RXEKvYYsTTe5FxYsnKj9jpMAlbGPREhUCW9z1j5NC4l4NM867a8sgT4NkbOaXKrD3GLxDfp9F5vG
l4vQKywgs8JwLXFvoTSyjUdFfBKHRkezOYWME2y9jxXmVE/Tl0Of+gARZ6CxrC5jTa6M4WZ/fm/d
SsRHXItRs7PJW64seZMtuppklPQl6VXMEnEwOA1zaYqH1kFIABml7DZToy9uXB9tDbvSNQEcCA5v
8MGoWX2E7eGdnBnmS9F8D/zmG2HgqRhzsLVEDDeR95Vk5Zsce7ozsj8JRj0NE3bKuHoMsQevoqKc
gHQv08JW3YyBlCWWR51rnO0RC02pniMniE6eUCNJLCo/k9JzdX3xAgsBG3jGMKvRAJiH1HiirEOh
tfzSEY/Ehu3/zqZM2AXsuaZU/BLGWHEMoviIXD+HD+0e2ihiXjSjx4e48YDQ7ziEDp2I/YO9U7Cy
bZAYoq+d0vbaYsnBUfIcKXHs0VlSzl8Lw32bAg9kaWpISn71Nav8G74HiAfrOGb5Fy3GuPIR8K2R
4rA6xAtZow1tcspSX/9UIYL+0RwPuhPwV9jrerFgoumzNIn2bjjtzTJgPCQ+0pjNKtTVkyqD+MyK
eIQ0BMioCOVLJ5v/R/uenFweaN+qVQE3Cw/ceRKER8x6h4NsZ/kz81iV/k1dh618JHXDMirE9iNB
fJQFEZwGvDYQ1oh3qYip8Bu5ai07uTlRkO3w+Ykd7gcmQ4sbvLOHdpdXaGJDpq5RXG8Ds+Jdxku7
1n0jT5rsqkvR9H9TaHzxAryHSqENwmytKSiupQsO0O/6D8TMwGR6Ovwhs/8xz6C0UTQnHKKPQaSO
o6MJafa3FtXbKhznb3fI/pAKrFVUkfDejA/ubCQb9HTWnq5yEUOLrUrmRYqIy4aoFvo9lmc1TcOq
CowS4avLQWn3SL4HXDO1ibjUK1gtJfA/2/xFKohNln6Gy1GT8gubV3iMuQwr8w6CSOeY3m2TWMGb
oT3koH0EQs+30Q4l8wOf7THy2n0MoiIK/d8wru4FhHPcMwSINL7CEhR+WiPSYZcKsmGIt2Y0tBvo
BprMWTeLP2HZg+VJda40Rh6FZywwkWJNRECyZO5ORk9MX9KCRSr0p/TErjc4cdWSwlSaUEStmx2Y
awJwgfwXklcZMS8sTKIqgiRLH0TsPkMuv4HR+vVLwoC5Nngb1V9O7sYWyA3zd7y/feuxNxrWRQie
ZPDcSyBZ/SpYapqMZBR906aPQfb4oxJrq0o+p8AxDpXtmA9AIN8SZLWJMv8Mf/iy8vpfloDqD/V8
bwNj3zjRL++Vt0sVHu2om/7zYV1siqEuX1y7OEZpsBprIJpdXnHzkuilS/6gmKF56ZIwc02kpk6b
YWURN4WWgWBCwr1J/zLtYeuSxYXQA+t1rRdTBrbEErnNeppmokugwJFtWefmds5zQPYOXVdhASBS
gDmRKrXvczRaD4SiMt5C2uukKSI796lK+lNARs8xCYAdFB2qGNsIiCZrXgJY1Cu3SkAbj6DDHMfZ
UEswsZ3H21jy5RdFh+17xl+kAWFry0l3pgW6vrNH+7tWoDTG7nWqjV07EenHth8lpCvY3VneI6vM
a0i1HLXVRkhksKVELW7HWORsRin1B4aQ/1vRfkMXUwWosIeSjnrfxvmlz3AFtVTNfHGtL3Z1i9Sv
dHx9TuGwImXrHYDQKFfkrJl8OF9TxhISXbBugw/W99dxChImrsZw4fPcQMN5sZrkox2sZQ0Z3c1E
HAYTeJ3pMmPGgb4ifm18CCaWTe0SPlel9WPmDY+dohnxBezAYGZr6AQdNV9iXVIKkvUUE8Lqu+HO
obzLo5pFdmA1WwrV/+KEr72VIlz/352o2oQAezx6bt785GbyOlXZfwPKy5XsJlgD6U8epOht8liR
EzX8zqmiKfXC21yiA8JD/ZwnpF4ag3cn//bLlcG0jqE+bhEznQoXPtXIS2kz+t9YNiueFBNKwbJx
8ILDGLE/Iqrl2KDdmIKZtTrRitDcUd712bHLip9Y+4iSCHow2vE4pPpfou075Zy/cdCmrqCG8rAT
H7Sr0+bH8U1/mxAksXJ79VkoOi7XAW3Fwn0nKvTMFvX0MKFNFUY2bgLsp5DRLYI5ptusaHfzvHRe
q35i9yw/CfO7CJdiyhbeW9bUX6rEqRRkzIdGe0zXg5VnL10F18qbBrqtlNVy7D+3KWoRn0y1ByNr
kO9oD1GSYsXr9le7ITikAHqIXvHSRt4h7MMdXMT5kPcojCrokxRoL800vgVFjz2YtCLyFp6YHZ0E
RpE6rc+KMzdM5UEAAo4SDx1D1L9F+Gd6BcCulc5TV8+wkSrYmqaYAPpMt3rG1KMsf60EWSWuzh8H
Kx0fPN9+lrPNaLGGRcWaYd6I3H2z0X86LkysXkFQcyL1MzS8/lXyBC8D7Ti59Bivv7L6zyzbw1z0
z9ksD15mXhswK4wExn7jBx6/sVgPJS4BbR9tZuTuIL8yg/jQmMGVap1LTBheNU+vrJeZzAFUcty0
wF7lX7XBaoP035umSWTNy2dc+yeYVxdSrdLljNPrTMRfvD7OoRxpGStL3bjkCPeaoOPQ2nCylgGS
BU26beXtotTaCa/ZZU0Pc3TOgbDU80oo76X1pmDLUuFmohRbj8EILjSdNoocPqNGegC/+qSS4r0R
ziVwkJdyYoHsRQmVT/ZBVEuryiS2pjr3imWj6xH8kkKItP3wQsQ1Xg8SrUxkBo1b3OoIBhr+yDXJ
nyvyEse1MyJRrowPEh0v+BAhd+NRI0nWJbuga9Hpl+OJfCJ3lWpvL4vmIpX9i+A83Rna3uY8ZevZ
kz7yWzkzpyY5yxidMzOYNzfvyAes7dekTrMN4eUSEDxNb2lF1BceCQMPemorGIK1Gd4VJ9MZy9e5
zhfSjzUWb9xRjBo42Fepg1clrIfqKbJ4YMwMSDRrHx/jqdI7XsPytw580Nx27VwiNYGMJTT4X++Y
9T/aVOtUKjf96u2A588qSu5+XDD5MRsG/zINFWCZFGrSJp7iDg7GbJesy/32EmFzeqJoyD8b30Wr
z2FVoIK2/JUTNWrnKFQeNegXIreWrR3NC3yjgETCOuAUNlaM6cSKUxNDRCteqiDgqLHQNAa3JsZ/
wuuIFHL87HsHq8SIal/W3z0QlnYGsxnE9XUmgIgZDk91GsCegHS91DZWz5y2x7OMvPsZHvw+MKe/
kPS51CxfOzUh4aOL4wO02pFjG5EUphWfLZSFWZA1r3Ex0mHm265Zq/i8lxjpkpXNkPWBP7b1gIFK
X1wRxwCQFf1Ly3KNOlEjaCR3nHi7Hr0XCdVt2RTHOkFMCRLIeqHRjwl4Mh31KM1C7UxHqFPDg7kP
YBJsbNp3jBKA8hka0i/HfTNSjqID2ljaQt/gpLQdCbzWq8Ts4HUq61a1j3wAo46fHBXyS28DjtYY
H7QjsnsID3lXJM74meP32nXKAuGImeOm00VL3wTSfy0S0Ctm67ErdzPjVPVpR4HTuO0/rbOveJbD
3XEN4EszW+pD0Ai02sNISvqmK2eUXa7nbyMIR29VA0UFZQCw7tDy70aG22L0m3hvpwzgGXh5p0IU
+Vegve5MZGrBRYKhCdBF550HgynnOiOO4i8mvxOry6J5JxlyKfZC7PWRopViO7Ij/V1BT82Y7RmR
ql8rEiMhxpQjy4PEd+SO2aH1yAF8n3U7CiiXc8t3isvope0GipukcrILE0/2JomrxqemNTgz8B9A
gR0aP9n5Xbx4NkXzmFnlnBAa7jJ6jzImRpP1nhLkwzR1zuqjB/Rlo7Aho5olt0hajOu4veQz89h4
1xOICKcAieSBf+YxnyqQoYBxSZaa8ApxtzCWjUWFJo19IqS2hNM8Gmdmda0Vt3s/F55cKxrYJ78R
0XOBUnmHbDx9VBhk15kbNDtjzuTjpCNnW0rL/KAxhIE7aYmtLavinQVF9ysas/hWsR94tUfEnkKW
Ha8bdkCYe21wsJRWn1WUNXu/by22oKrZC4h5OypH+ka8mIvdhG0SxJBMrnqbC7vsECZNQ0ohw9gd
dqsLWrsGWpGJzqJZAoRcQrllURlRvU6xWpstyKy+agesWqhRQ9V3/4IsFm/xoOXKtSNnQ2ZedS1J
ptgya0ouremXzzb4HgZhtURpXsT/DVHjv7fgmU9cnXCWq/SUk328jpGsPBfe0L34Rp/ekzruDmNh
js94U4MnMfQMnWCwv+hRgt5tcKsYkahJ2sLPltlF+V5GLTPG3gKeE3fdvoA0+SzdUK5NghEwezSE
fTNlONhch+vRZfU1zr7xiOu5+1fXTk0Vi7krMW36P1iUB6gH1clJZn6AnpLLYHngY4K22CxI+O0I
VO+/tuNx3cTJgMVALDlrlXT1fxTR7t7sYpLSurCCQlfJXdEhPg8Tab4hsAB1mlm22rVe1/9mhgfP
0J2ybcn3cogY1J2yIGaW2nsjfGUjjd78mf/aQ5GGzr0QQwC52J7/7NkGFdoi8TsIp0IJhpZEohzu
7ZsPwZcIK5fO1lqIb7yT/cugsP042LKGIUvoj9jLrabCCF6cxtHX1MnMI6Bwfe1GbI/+FI5bK+ty
rmKmJcAYzezWD0LfKrJmkJp04YnYWOJtcfU8zmkZYAOoE2xdI4heY9mMwkhgj1AW3m7qafula5ZP
Xpq5O9tsYcMRs4u53yEAYhgH8yHNlg5aMt0CVaSZ+OliV3cutATMsGBZNar/QgsQOglli3aVAzC5
dtcx2L/DiAts5TSZ3BdEw11wJTNhdQewUKYMG9ZDcXklutrdkKosn8zCL56539yPZbZA0lVnNdBK
PHGYAPyduTpoISNrQhXVjhw8BDUJlur495NyoHOeSbBbSwx5q4Yp93PbJv1q6l1ipxrH3eJ0Aj5k
C+LtAPusW+wQEHlwHu9FJJ19mypx8NCmsNFR+RtkaO8t7JAHBnU0PCeojtYY6t6csBgIFh7+6jhH
DJdWWJEVi8RV7cX2nlzvamNi1qTpr8uNiCC7sLvIQOpa4cmkYMZHPbS/Kq7ZJTmDdbDg72wzzwt4
HgErkqBl3CyeUzxASblzC4GTE7pCum9QRr2rvGH6abn4jwbcWkjSA0wxCXGUH1EdV8ex4F+x+Jof
wbDk+7AEwZzwmp2wXcdvZG2O99mZ5manZVBeJ9/r/2HN9OG0RdF5TKW9GlwDFy8ihg+qoWLnOOOf
7mihJi8K14UFzXRVkYR28Ea2fuAffSZt9Yzxh4asX05W2+rVQ9na/ivcPzYnIMnQ+QkNd4f2mJWC
s5W1zP9H0XktN64kQfSLEAFvXulJUZS3LwhJI8F1wzQaQANfP4dvG7F7d+ZKJFBVmXmSquwgPoAb
WBU6iFaznSZfccaRtWzYJTQRMLkuidKtU59LcjQ1DayXhQIcyI08M9Q4bdUwGMoa8ew9uIw6Gz5C
1b9I+ea7zTKF0/jK+ZqqZfzn+1gF8BqMR00ImGhuLncTHoy/PnDr9VBFzcmqcKiShQZM2mqqmxOP
KXU0tT5SJUIhC+zX8tVtfAuUt1HWlT2+fIWOhxxY9WBBEjF2Rz2AnIqz+GqZ8OeNjjXnED309hN1
Unrnuri1eLjFwy6UeCBNOYc7spXhTTWU0XmQ8W9Wiu/KC+1LO7C+9K7K7/CSB5zSEcSH1H6JW076
kF3ijSQns401oPLWj9pdMlTDqRqq4lEl8R09f1fIWJ8cvXIaqBepxYmeBodLjVvfZnUwPaQ9DLIJ
SWSroml6xG4Bt2BZxlWfQkkEs84uawXlm5v29rdMZPaYG7S+sINTzXOLFg7fVx9ZG3LWi+uoOra+
46SrEk1tN6WGuznrJ4QhmSIeDKjvj9WAtkJ6N10VYdBuddph7nNalOMhcdQa/b4/IFBY98ZpkepG
CffZHjnNtAkwX7Ju85mUSwyJGrMZn44s/CWNLbE7UAIjOuwwvQz0nxcMXM/zpaNz2NpF/CTAskfA
hUY76uiftEbzCzqbTJ1lD4R8R6l2/DsPlwKIwhq4fglmsoFHuE34pZPPnxoqZDsfejFmPDsU871V
xg3gxLyENeZw4NzRDzY8GVXTFpOCy7HYup5x46ltRoXuZ61jVokmrR/iYtLnlsakfYvutGzCIEOM
Cmh+KYIUg0VdhDctkddDK5larJLgAn1WwXZgLSbtI4sHkfP79MSM5FM1MAPtpT1OUxsdHXuGWs4/
Uj2HsWtvMhVTaDQu9cM4Em6KuSc9xBMQqIl9j/oOmXE+SHkAAqfgZhXSEH1I7MVao+JjZTKRg6t2
LCNg3LazfI1YvlYWFTjvjUdDK44cfkA+kwdt4VXwoc2kDrZDC/XeEkHyYfQc7NpFRf9KseidPTgf
ZRv9TCUPHyeErbpStu7PjIYUvfBiucuLiWBXnFNGkNMF58BxOwQcam/yKrxm12k6LackvQnm0bkL
bGG+E0iRr23P8TixpohsaPehMwiDwTzck8/tb7Bf6buEzxq2r0ZuI2mqfezn2a4b5yvmKotTbo5W
fIQw1b3WHb02apyLx6kYcYk5QVhQ6mbKm5KOFn4Kfq3vcPxTOUjzUbN2nc6lw4TwGIoZuZMME38R
TcCTsyi/oLlnj5rjN1oQAW6CZiklVKJ76tFIsUFbnNQM6DJ/42WleZziIDzHgxruR438uZX2goXD
cmik4wjJz6iaHBuKkfQvw1TQRzv5Fs42bzY3Y1R4a5ssODViyvpJ6MwEwVCgPIM98Nz9YM3WhVpz
pm3ptdSVZVP84hsF6zL06GXGLXbDcODdtW7nbBZmlbUjwbYaBo9t01f48wjHWdsEpDvF20u+bwd1
ReoK/hHjeccE59aB8xgmvNpLie6q1Dd41tMp/wxZ/fD8XeOGUIg+lswTCzeupbmZwLHz8XMoCeJ9
2V2yRFpPs7cwtrUuny8SH81lnkhPya6d/jlGIzoTNzvOQ4rm2GTI1bPJfqUpHHFQQcZKO2SAM1aN
wx4fduF8iysFk62XXd8AqfVZtWnOUSWLx7XidPyOdy/7B0pzDlZp7k300i8hLWtjSVhGdZin7T42
3n7AM+1xVZTDB7hU+csGT+pPldPVXq7TBa8efcNPCcr/15L66sFYw3LRk82HKIM+vBV5hnWvXKyT
Y0fxIRtoUncm7Zy1TijLxE3YvRczpdATAURSHJH/QuzDfq9pHbqLFfb4wiEPAlo7ZbcArsQdV8Jf
tRte7hbyO33eTFla3ib28BN2c/KYZAFjrE1FlQ6K6Z2rNuwu0mLWZa7x283JwvdatwmV30E00ZWo
LcwXfQE7ozEuzGRm5syLrZ2d4zepeESSMS3b7GO5Jj0KRvW1iTJ7B27OMNHbLzmD2UZXRm0DqShj
jdhvYIWbjXbTrw5Y/bHB2f+YOO5wu1RV/gc498qMVA2lydlIF0NfXpfTbGzku+tY1WnABHfr9Pa4
CZF+ju2QwLROk+XHgvYDwgB6ZOdP5f0U5+VLBO927RWuwnN5DTFMMWaUkus3KshidiaViNC8pZ5K
RQtk488hjXTc55l5UHa8wTsskSMiDDA9zqqR2SZGG+IEbLlnrkTJbTx5+J/Bzzzip552SJrTq16q
4GDNnbf1rVFeySDFN14sfx83AVOwieQXSfbyI6+C/mXwhDnyfeVujNscEWnsPtu04sblw28c/C53
r6MQHCavoT66rLqTJWp9GQJ60brEin9tdN1tKWAZT0qKu4KdxmaZ95dblSL7ovRFn1Ftfbg6Dzc8
lDm5LCMupcYtASU3dX4k2me+Mbl0N6Ep7MMMCmE1dYO1idkqcWM0Mds/zPhWFH8mu4K1qjg7LjGI
3S70+BUlIymRkqEYm7x9kqLNTkXO5oxtFOygIt+FDuc8NAM4b28ozQp8PwIfR8OzcCMgK9kcbZTA
ucS9gFiKFfSoWHL4baEpR0S2MbKnIRUCFbL1psbGsin7NF4TM7i2BjWcrBs6w+HK+6dgqbp97Xjn
2k0hpoc64EGMjgf2le9dxEAxtxOafspzKSiDW050ZjVzieZ4SrjN4vu6Uq3dv3AtzRAmY/8ZoUns
XNqiD0wu3lZ4dfLKMk/60o2RYsd/dV3GOHma5YUl6ndBxuM8wWt8Zsm+Kez5ZWK/2MBlWLad4+SI
4/QEeTlZKlqNpr1ZUv3V8IWQGgNohUUTr1NJZakeCdTG1N4+lHAUdsYWMXcMANoDwaUpDhOmFnQs
BUNmA63g4sceiEFn1Dep5f7JPLzXETJGjHVxpTvy043BdUENTHwKw+QwKcc+AvSQGIVYrGIPbO3Y
6ZfZhmPtRFjxud21Jy1m2udI+pPlItSwJrQN5ckrm1+up9lTKVr5icZh3Q0ZwQpTZYw4SHyY2o6R
xvHUsn2g3EtuMK5y1+Ck4AlL95VSCcwCVf0Htjfdd2VAxxAixYHX4cMENHLdepjYi9kHCui54r0q
m+KVuS88Zy6Mh7If8W1Y4KSWkugR/XkTh2ErO2ORY1D1a3+d1N4lVUuCvYDh12Wo2HWB/cbf+lMu
+i1LBt6zLOAHPbjT3r0KQCaUFnXYOtu3fuk95HkFTSuWyS4weXxCxKG9adDtPrOh2aAPeduFfNbF
qrSz4g/RVEp43EojLBAtCJjNmIB5jCS0TcqonnOia9ynUn63+CfCh5w7wz4egwnABxeARdsBqJNO
AkWqiNeYBiu2VaQnkSARwGcqeIbMDaYbinX+1bQMbnGaPHM1DEnVWBGRxtnmTw9D7zyOiXsUBiTK
Kp0ifvgkdqE+Z+XPUlFtB66L61wZwCAgoh59+S3bfzfTxRaMTr23mFHWGA89aH+OulftUGxR7cbt
MtvjgVexoRmDAiszEUletDVT4Ju/eqHKDjNW35vaorJR9YRfvWwCqjDF/c6rIJ4VSThiLuwxJ3g8
NdB4kxsiiygaHa66WAc3Y9A/LiU8qGLwMUUkwjDKk31Y9doP1wIPxV3A8oFmlKp2n1xbz9QMdpoq
nW91HWGVkzNy6Uk+9MyRLONzkt3QcZCfh47Gn6CRzXHQsvoyhUnZB7ETgQ3svEcdGXAKoy1PqAzy
aVoQKiqgltvIL+NnmycOnjECeYHrq2+LGM6R7bo4jiWxm8o35h2SZkMRgzO8jB1HI+DYoAamcTrJ
nG4KXpms8w0vvZeIgpub1HX03eSzQA8gEeFr2c49HEd2yIXCAK1tte0H7XI5zk+umG9LFckN/qfx
VPT2cKf44BEL9Kg1KtPwFj4kKO8QjENNFm3jdulfbbntK2DU9szHwGWpA5BUL5WhF4krZ8J9grKa
zt/ZRFDv+LSPELtbeYxQx2Ib2HjLar2JJmEze5XdKRA243FYBGR4U6aaPeQgPHidTZ6mZDu3kwFM
sTOmD04wlzhIppLkNwXtVlXN97Fqz3abQFq0o7/Gx21eqeLWLStvV4RjcQR5b9GeZxe71m2bm15r
NEmPJ/EVfervABL0KOHaOgTKuDfK6l7aKB83Pbf4Fb9cmq+C+WWg3u2IlYe/plvf9E0fk8bX6aVO
RgIMhJsxY0X8VyvtaHcDVTHZDY1YTrY9mk0YURMLFpC0T0hMQmHFe6oFjtWaqCKH1DDk+UlEWdUD
P01FvPDABUGuW5V/gKX91qKMqWqTX4UTEUDiaEQNBKZOyb/ADoR2efbZ5Tk9ETHxamSFLKXvAhLV
1xIOPV0uXUrhMQIht62S7jRR3NEIWOH68EHT13QNa507u2Lukl0dOv/8OC75aaqcyo+Zs0gyf425
5d6FQflLfjhFLUAEF/wdNmElvyxU1CjKYty6HnfG3nmVOL0vaSMp6kYCvMGyy7uoiL+TFO1B2G77
HBQWq2tQlResMMgPS/49Y0J9nGhNA9qFKwY22PV8Rguritr+rVIGFFVFjiUbip+wT1H9xYx/Ci/0
wHZSRx/8cHyWVP2T+cDJBTCQfQpZ/wnMLXemGefVYFvqKSsUkl+K2ltXFTSwa8+5RXrkgPJV3vv1
9c9plmfbUWfMeqS1ualvx4iCPA2kbmtwXaxbvu6Vst4T4jN7i/8Z/jaoqaqfSK4sndiPA+zK2O+6
U4TrfDW6+Zt7/f2zW/l7WZp2g+UP61vEnJBgtyyA5a4jUNUbPRt5j+CZbrOccuexEssu8Vw4UWMe
EhaMMr5iWUS7T6O7aism9oGCm8hBVST+ylSUZ9N5t+HiNpgzx/whGsd4l8N5QH1K8XSaadgT7njN
3UhvOdW+t0FEXZPvF7eWB7+9cZySVjhlIwUoPPdefJfxA9nPLlTgvOyuw6NQh4Qb7c0MLQbEonpu
vfIptEZEQCnOLqfgHUcA0ogwVNZNQ1E6EiLTSRTekO3Ddp+n9p2zWMc+A1VVL0SyrPy9XK7w0Rgy
dpQMDdFWelFTx/2lZROjin+t22gWJE1CpbctvLttoqZHtk1wj84Qoxj1mGjHSaz4xVZ4uoQ4e6X3
r5xThKu26beqbIO1WLALaBdIZBRBoKHlImLhwJ2SDuVwS3CsO9rdEn0woMNUtw0pjHnQb0m35L9I
azQKRHG0k4k5Wk4FdbolxebaiKxGBRHZ6nQ6+B3felPQRZMMpsEPb/iw0Vp+EyVc2fxAlzsOLArQ
BQjokycrDk2aM6ZnX62ymFEgjgm2HW/BRhvg11xTwmDt+ikiDosbHUDEVG25BtHy0orgEnHLOAIa
i5ht0Qewdz/SRwVLkEMDlxVgGmbqvsD7hO9DPwRbOYTUC9ZUeFUJPgZ/1vRuzGVwsdVA9gvW/DJn
JXdLYK9T4/9TDntCDhlxk451+I0jBGa+L8wNKR98u7p3b+c5fJt6YGKh04ZvPIWnDT5ktYlos8ds
lT5xMiWD05NnX9Wmk+jm6KG2YwU8FMVwWzcW5/IqgnITTDkHZI42J1y13BZUjh7PBugfBPyJcwgI
lkX76r51qW31QN2cyekS7E1V985nBeKiKVJ9IuOQjKsGZPYKwNx4a8Ez2sbDNP8LR9d7rV0+iEkW
GbkPIxo0gAXZl84igJdWifVUWmRtWsvv/nVDMm9IA4ZrflPBmcoblO+FAt+fmEqN45y1jBCe4AYl
iXFRdIbo1DmpfwgWOVxcSQK8n9EZeeK7T12ns6NbCvnm+sLD1xJjndCyuytLBZ8+KyMK59M05qvj
ksBi+Zs5cNkzcqCmZdKGQLoyQTzehYWsnppySL9MFrAdgy7Vq5ZkKKeI1DxR7FXc2LG4vqLLbk1G
Wd7GS4VNMWyu7idrSC6RdqN/XJm8T/CHeosnDI9uRmrJnfEKFWnZoojqeRfYPPyFnXt/wklrhBl4
TYoDKBsmnRzM07Ig0U6Rwey8d9Xk3dIvzzGJMPVxqlVnTp5jpcMxoRiW9FIB0bwng+ZLdIrEA/EU
Zam8bfgibirRy/ukb7ttNNQ/uRr58llYnj2/RJiPq+TFcFjYdFW4K1uYKy3fkJ0f5vHREiwnRd+U
r6moKAmwutnv1jpT3RsmkKtwssht4/FpK4den4gu9jwsCfcDDNG8lNCot3HhxRDDI5rf0cx5uQX0
JNdTT6Ik56n72GuPiaUj2+2EvveogmTYa0onLjk+fT4chmyg5q244vw/0MKQjJsG5OVWd/K1Kqvw
I1PsqTXmdrYIXAZu43zVQ1wSgWjGu77jfbrUM478PH0wWFEISWCTpMmHeyNl2YoEF95fnQRrOepg
rfoMGX4anIPHm2IVjh3v23aM3hcTJFx9JkPwLfrJB4idOOzmoQaRVo7EW4LGgNIbFd/GPTyvyX+u
9IwLL4XkXZbda+sMhmNRvJypUeo+EgieWKO44M2h85cHDiKMPw77tGXE5MBmOGxnzqWuGmJ1Ux1f
mmTJuezRYw1T4QCm4k3E3YMYIbdlWbU8VRGMK35KGZN9HJV/vk6qd8KKPqqJTciTb2DfHpA16w3d
TvYh0UW9nrj2clwo3yaZuZeu4i4RaF+e5CJbrqMUUPtbO2CNhluGLI/nyW3OkUxqNjpb+8ArmmLL
pSXZJtIpqbKpxTEKl/Ay9yMctaYOPytOD7iN+rOVFpeaSbAz4o6tg+yU42A+dmqbygICPPsMVOtZ
Lp29aXrDDxjGr1gFLgUwFePNbVta5jRb80+slvw1rcN5X+SOwUOGG48rP6Uok2+ODAN025Lj2XBB
xyXUF0yxcD52enR/wIlkxzgln8WZCRS1TVEWK8XfUODP9YzhlZhmv5w1xJZaMloniMFsagff+9yR
EytG54lJ/zeJ+3QDystaoc7QqQtqHkFj+rHdHjxtlf4bZOu/ABzFvmWyZS11fc9NS9/79giJaBGk
0BBdeScMdseSnoQeuNw+zBMaaG2BI89ZhM1LvCPMBJeGv6XorehZ9lb1MLOOoPKQVvpaQIKRlWyC
UG/bUfGrrXmxEQ0NCMxtCB26b0HL4sksJ6ih8SaOOg8uZ6PrXCn1OxUALSeqUAXiRD2GbF/5sxua
iTxnuvBw5gFLuQ2JZs6g2VZWUfzP7Yb5NXDEV+Q2P4mASzDXacAHU7bYPwlI1tb47U6MuNe4JOxq
x4NvCReuduFzAKOfSIR18d6TBN2ygmrvZMCd2it1xs3ovHsFmkHcxOFb507hbyEHOMM5Pvk9Jg6D
3zc2jNZVKW/xBJKJZBAP4e5cfShxpciCRn0U7clVWe9sdfPFVzaZoYHHwDhAFYxtxzkFHG8fbDuU
BGknQCNES2+H6xi/TEv04ruxs50clW1ES99FSJknNnRLPlA0T4wScvMHyL9iQ/1NfMrx6G8yWuSZ
6Gl582aRfhq2Kn6DPWtCS9Und5mhvFOi8M7Cn1reUb56tbyyP6rS9rbSyeZfNy2sb/h1zmVpFNFd
37e2diuJ7AIV3zWcv9q1w9iKzSaq5Tbx+uo2wzb0FkxZf7Ea0dxlVYFFrh2o9ejoHEvXsxvbZudE
7vCM8QnkLrdee2fDrOTWkkb9Y2Axf/N/wDxqIsPL0C1u4qLzNyaO+/dyKv1Xu7LtpxgX+11Ll8o2
CgsuFGPs22uaTJiFec4tCM+T9wtER+7ikANlMznkiRsBZnmIzCvszpxfRdWsEpsFZUX/U7xRfoMG
mKcYHbBTlcygNYa5iclqDPsrQsIBT2O7z1XY8pCZOry06fSTVREgQJfsRkpwZAyWZhtA1cGnFfn7
zgI07YOwo0Ipy7EUTA4BYEQxjhvdPoKOfeG8w9XTsUnMA/Z3Ev/kpfyGF7lgk4lriXJUsoN5Ds/4
Vh26KXkNfHNyrmgz3h20xdaGJWqxH2C4cC3yPDZdgDZN131MY/fiGZ+b3MKYXTUj3/DASQifYAhP
rAyIspujVwmoS4ZmS+5PDfkfq/1wQmYmvdCols9+zyt8Sle1jW+6nIc7Oy7d34qSF0DnxeNsIWB6
y/BNCRNxAK99xznanBrSKhWHPZx58h5dGZc9yuTKKpoX1UtzDVE6634u/iFS3HZdYlbDoJiLgKVg
dNLDNaQlqkOVzi+9VG8eZhumOCflG+CYZzwRv0kOJXROkrsxpqgrjplacWQVu0CHxHw7PJE58MRV
Wy97YDLHqs7pE0fHXZvMeOtUD5ywRfAT9PH4UOPkX4W+5oEn8LSF4+Rt2qnzsVc3CW25QFpzgjTw
mEF56dq7jxeh38DQJGLHrF/ui0WW/mqyrY5a6zz4dTUxRE9psWt14IPiw7CcAw15GEJNkUXc6c+0
ib8XL22uSUfKgoqCZBhBd8bRkPFefRCnWtaJhAFRSWxLcItxv3ZjfMUCXOtym2WrsoXmVqqWyAOV
bE1XdjqOAEK8oAf9XVGjArUo3ZtIe+ykLghJxc1iZVMbs+kil3xex8Ipqjg8YEiDajWCSqTPy14P
uYAzgJMWfhggPOPCGSvk3zLWlKmR2taOFZ1IRjNMqPLqWpIPsl+o/qBBYc+t4k0a65520g8eQZhI
tSR/H4Q/jCLLRiP3nscEVPdQshfGXQ9rl7cUR/Qar1r7gMmq3cT9fJIJil6mke9j79Mts0eG026d
NOKVYxdBPNVcwDbTddM5j43K7/Gf4ahvZ0I8yZsYbBhgSFgm4M6AtrjHIhCswgynqzW62yYVzh5x
5dXE/BaWgQ0wq5mgjMBVavXiM/QLd8OsVIFGHhXHAPWldPkuEms/OtTeNx0GNCvVt2mQ4LZKCMXN
LC126T1PMfg7N2aQaxfPWZFTuJ+GSR7SK94RcQs+EsSHHgQ4Sxxv64U9yvLUP12ALGDYpe29Hv5B
Mdcn0ITU4yTXg5DZV4NRREHZcT0oRKeBJuRLKbAAtXwSUkGEBJ/SiWqU34IMAOKI/HOY8nYD11mI
eDNNh0ANjooP2L2UqGqO1X9NTbUcaru11i7JixsqIXwwp9j6nRI9SDVxBlkAOXiVB3b9Icqo2DAD
cv7ySReIKLiTSwtLujMoelUS7ZdBf+OwPPJLE2cEDTT5nGYYR8Yl1ZN42Ipq4sDugZIN/JZ8HKpZ
ZtnftWOORHXCkyXt6TCj/+4WP+oOMMD9A3ESwWafgMTmcfZszddqjpn+d7z6cfHiEzj8s2O2Zz25
ciciuzn2iqUqLyE/Z/2I9w0lHuYMFzR/4BHup35GTig/q6EKjiIARmKRa6Ff4tpibdKQm4t367eI
DVXevy7aXOaFIgDtIv65YcP1L7c2JKi9nVPGfHZ0z/3T8cRLPtnmponxAikPwPIcaJSS5i7OURCt
ZQp3BIH6be7NfCfh26wzyzX7EEkQEi75LF8H77Fpm71J6wl2xvSEy+oFA3J3kHHfH2WniOAuGpnJ
D39SQQFen1YZBY34A9ihaRbx8va251iw9UNqCwRJTh4dcF50lTePmozFmRUo2pWZVr+iFHAQ/Gre
uK5M17kz630bVO82MxnzMIXywtxGUfQw9oWAJtJHaDGce8paPKDP8QYCYz30iHIgJnimxqneF22D
KFg+RJFz30wBECHeWQSLe7yUA7UpPaQ50CnqhO0YUpB/JbfwrsNH/RYZznCLI+1N4fWXql7u4rLx
d2W3mKclQPDMfH2lltGDPtigTbpRUb3M/XIzLUGy5pw7HVrgTmsQwPde1fpUG8lffmH8h5GsuMzb
X2+OL7SCYXXBrL6yQx4ayLkvFFVclOnvFx/CURYPd7kXir0DRgE7+ouee5zJusSc4Se3yyRGmMPZ
tK2tki01Fc/8nNgVBC5Ec20KiCJfMwoO1yaupsZ3F4xf7hXAmiMOURTsp6dorn76BO2JG3l8YAGu
78eJYrfW1e0ZlwmPocX0hAW68VjoOFnXLpzHMRqTdXGF8swePU0RpbFw+ymljaziasYYMkoz0/IL
90CPWb9JHthqyE5ZTn4dh6MbCxzrzVxx/rNnUHsMg7q7H+CaR0pibMaqykmzwszK0E9vJrt5DsSw
Gmv1I2aY5A0ewJV/BTMNS+P9VRZnyq0LDJ3XgofiEg3BL11BrzmU4x2GkmejymfdpgcK02dSp+LY
s7H4+1RIUC9W7/+L07Je1zKnFFQXd50cv6mOvBCPhcyJkwz3kSSv1hM59QGJLiFnaVlVByxoiFOx
dW0OLCHJRg6h+SX741uNGafL6F0yvGQUhrTIwxAr+0tRc50iAIVFwJacocu9Alcw++0/gh37aKrh
ansoKMKiHulaW1tG3LA6NmcX8/ky5t+1pT6plWKanigL6NyR9heS6WLqv6m5ZrZr8fvIDje5lVC5
XUUZ8kZ+VZH5pdwkINwoXKouaeITgiTcBGoSo8iU4SeBIx/V65D3nAjJ4iOJF8UHtgsS1z1hT1wx
fL98c04qvmNjoq1NZhKbGKJVHLuxvq2m5m6hoxYxQqwbD1KwwK3Zy3E60vhiexzbA5dBjoIKrIwv
hgxNFGaCv/tya7fhz2Jowgz76ey0lNoUdC+aeboUHI/PjIzihrYq8DrKp5knHiD/affLgoixmoyK
npqUM2BRT2Bm4tzGH8GBBE/qN1Yf3H1ZV67moXlMMZYjqBHpQTZlMo2gkQxFwPdjUGQPvaqAADDf
DLZrDraZsrVfh+72ijPhwFTjHQH2gfeH9WxZnkMp3ulgZoRyrD+Z9ndQyBVsjCstNVM1DeGi2Sdy
5ieLFo/BcXRUvO7dFPl1Tl6578qTY+YzdBjcinTl9FWuyN+l2FMqDqSNtWmNfiD2IDeM5wSmyuvO
MDENA3MkoMH7nZzsI77an8V2qOgisndiveE7lVClqQztWnPFeAoBmpm9ePWD8S/CzgpaTrhrv5l+
OYjyLgyxQlTOFbQ5+A9FwIEltMl0NMO191bzjmgAGuyQCOf1VICHtnq0N8zJf3aWc9qZ/yYvNgf8
Tt726r5a+WpimxAYNtI+FwcDmG0LhqaBGeI2u6XFh+Wr+lbpat5FKnvIQfHyrOBJXfBhYBkB++/M
47sXdPQhI85vzdL/41FDfNHzCVGjim/aQSyHsmX6hETgw0hc2S79F9jfYNyMzXoQ9uPY+uwx8U/U
A3zzig4CLNEkPtmyJkspJc3SDSbY6U8KCw2egJ4rbHam6FNq2Nx9E5PemF+4euLpG98ZRG/6tN+R
7f0OOOKEGnfmmLPe9AuXmbGXn6ZNuS3zbuHvieZdYGbpVU0AakB/yXPS15A8NtiXqGaDxnloLSy0
8grPpUjkByPuhdfxQzfSc1uE+mwIwSbeonZiCT8z1NM1Dm+xG53pFUv5Z3otOnGX0eX2DMAhcRgM
Qj/KdlObgegdbjXD7AkVC8hHbaiU8f65LnKkGK5I2Sm4xA0762DcV9eYHRM0UwdPHJmrHaMgC1Pq
NGt0Ic5J/ArtcemB3DUfmTe9dJT5jKX9mY3ee9hwtlYzvzWiQd/KHd87EDR2ifagWKbWdTp99XPw
LNoAKlX82XblV2r1m3SRpxFXgIPJt639Qyf0S1823xVdWqtwiGoclqHCF0ozm6vtc8NwCxwixUxK
a0HVgvZljv/z6X2Jyuo25E9mie1eF4+XUkueCJQOpmhqbBjqZw4CwUG4KefNYsTaLxUlYsk1pIK/
xox1eeogLwz42tbh7MDFC7qU+hbva/bAcSaReKrzmNZMf2Qxtef7yiZXZERxg7b2YqRIVjyXMWRN
4ytFYsUaoOMPHFbqWkti0KGcTzB+rzZvxzBjioijMA0sI/5LSSB4vaSZR7EP+4R0Ar0b9PiHwwQ/
5WgwDuGLsBf91JDXvF203otsubSefhEWWhF9ohf20N+eFjmEH+6oTgc+2Qx9t3byIYYKv7w5oXdP
2eShEQ7sfRngGmirZc/L6jdU14xIV77SD8AebgN7FT3s8b7dgTE+9LpUx7DDbJ0nGZwRXBYRkHQ2
ejpnLPnUuuJYw34EX5e+NiO4cuqInx2iEkwgfOxhlTR/dLs/dkHA6OW35fVwP5BVxJrMEzHRD1Ep
j+21Qj0ltVWnVA/4MP2vzkuFwtN+Fg0tmyXMBg7L+ypPFbUuZpPWtAJFgoJTVWF4yMXVDWguVUbH
aDoGP6PKdguCwSZ3OrXVZXvri4H/jZc8N1L+9WKG4N+AThvtuwyEAq5/OmKd1H1yDYyugnv7bGgR
yik9wav2xKEW4QzwxmoAfQMMkBP+1D25YIDHIFKH2q9fhXbC1xnS/Jpo8FuV2c/uWNmwJcb6kM84
gmEeLHNvbt2cJj1DJ+BK5+zCU+A3sLKoFMcZhrOL0D1FcKscOCgQN7/aSV/eWkP1I4oFEiUWfDUG
7zzNdwWrxYpY57WTlQGsASzYJe4Z1vnJE4QCpY1rvwF+0cUjKYiW2YDy0eFQl+qG+t/5wx66Xa0C
+loHyJxgTAJq2I623TanfLTPgRe8hAlpHlrPAh6RXkdb2bLQvjn7zsPih08lShHrDu+J2cq3/ljd
WEV4hujwORuiOkGb/VXQiqwufspoteYc95+zM1mSFMm27a+U1PgiF1BUgSfvvoFbb+bmfT9BPDwi
6Puer3+LGmWYm7hL3MpZZUoQBopy9Jy9104h/cCxSiNY48AuD4RpU0ikvzTfiNdtX8tt38Bc1mj6
5J5+7xeEDqmRwOHKi+2VtCgSVZg9ksR20yilLsvELFdp5Tyi+2WI6GZbamsPJuaE00tHhgWRhnA7
Vvn8mHtQrmAg4CpnbWuhAoqumKxhnRXN0pP6HUO7+tmzejhfHdpR9mEp4HBkyJajavgRhuZVQIgP
8QNe/mTV2C8t8tWC/1Qm46PPLJyitcyWaT5k68oiyGbWbRftFQf5o955d3pRE4thiStTUg0xEUvW
nKOv3AykVl3GN4HQ800VkFnGgeq6T6enVjHnbTEtLJM0eS688BeTCFTlePZJ7Wv3U9H2Rz+hJRCG
QofeG18BGUGGO2LoDmEaM2q9LmJwsipKNzL0sE9oxVVAmgpqy5m1PoUHw7VR/dVQgFrE0hdIHe6M
bkKoqTzCVCPgE35m/UKAd0BjcSX16IUeOef0DnhXjsYw7t8kc6+LrtDek4RYykbk1wDBXmXbXg3K
fZ6xfIGNgkCfxEYPAVxFXbYKdPUmmdMv9d6lt+UTr6r47yrvHUrLBng6n23LusxF+2FWxrXq24/W
N9hJk/SdiOQ5KYqgWAYy1Q3ymG2VaABcnfaCUFdGPbH9m5CnatEWzTvGO0pvUkIY8YxvSNHW0YBb
L9K9Y96zKdlp+15E/UOXFksyEdqFEhiFC1Vd1VizlsA20IcGGfBz/zENght3zEn9QQ4PdZTwvh5L
VOz8LCIeQxnXiLqLBy1IrjE32PuMkA/ah5jwzcy8Mcy+O1YMfiLquX2GYhrpXVcSMZA+FGWbLloz
La481e/DARFKxdif0lTug94FhUqDmVyXIL8A2nhZ6RElPzeeJ0GwpN7dke15jSGn4FBTX49pfsyS
KEXJSfcs93aI++BC1tGrNdCNU43axW3B7B4+/aDlgNjTOyuZzEs3Dx6Y6D40Tn/HDA9YUCOowDVJ
Fa/VZs3RZhCHFC0NRSLEQTijP1CHqaWpmWTqFeMRaHGLCsO4BvADMUKUr3VARJJXPSJXf8kx0140
YXXMEybLfQWkU+kkEDfTbRZQ6RZDgCwu8W6rTL0wZ33ORlvfDymKBTBhcFHbGZY5EStjiwcDVO1S
M+mOVKkxXDKsfsLUcEPWDUdz6IhLjQlo0rvbVpaEFcACuuhgUg2+91NvmmsQzsmsjwELQZTPc2EB
8mgYlyzsBme2tJlp8X9hPJe4WBIb3YzttA0gAbyK1CnetqpwuWvpOC1zywR5bYBxaHvjPupc9TR4
JvZt0n/dAOAltqCP1LOJBceKezG4o7vBzsMgOCu2xhDfIpRBqCg5qfidlNQTgDuDPHcXiTbet6X7
YOYlRC0rfDYbgEyoB26kwqDsFT9sOaxBk2srSACYynwmjiZqjtGKyU9ObvTSfw19Jgm9xVtasW8s
ppTos4Qvb27pNAeohxGhz+jdJv4x5cYlSnhnFRno2UMPZWjoefWmMQKChwuBVM/1HsepbnEqEMXT
RnR1OJ4DHG/bn62PdcFcpyVzciOy3/2oxAhoSDhUHuqrbLCOcz9jQ8N63yfpvHqn3aAT/zPBi3OZ
2ro18PNmqqylHBlYc/o+1gnD+REODS/7/RD6JkNM492RHVMKR97ARZlhDtxWQzPkk4yCA8MB+vOR
45H0DoMqNsKPwtX9Rw7o4UXZw3fniDQu51oJGnn0iMBw2iZWh4Cf+ffVKA3SzEqXTXDo30zcWoy+
sC1Ug7uOq5oC1/J/tBMJKXmiiQ1vA0CRJCEkSl9WUf5Iu3rnEWKwIc9qWABid9aGMrd1BAENFwA7
tMoNdyMz8RMd+nMxKRvjWQjnxADFjqyUqUBiD4y5aFte9eb0Sv9drEqsXoTzAbppgaywfIduiyWN
BEkG5e9VPj4FtHI2DYiFTevMGjNoOWZlya0urWOrU+YhFx2ZNeI9Hy3vQuooHjTHkgtZMBiVcdD/
JGFnVTv0E1pPi4ESO48+rSHqo6K7iGthrbC2sZ3Ofa2xbUGITP5A8cZsNphmagbTY5IRqX2JoHwm
34YA6kwSqTCOfB/t+CqcVaYW6FjOx0mxpj1ITdrM8kKfIt3MqwdSc+JV3Vv6peN7N8TUJixonNn8
uPw6sEiprx2n2DSZdaO3TfOgoTvnQFbt+g72j1v2H0OlPM4aU3vvuXKbN7GgoEB84zjBtmLgf2tn
SCnDxM5Rr+khTSgfd0E46Sap4R6xMzbRDh5TzNWo68C4sl49tDWDNT1ICf8YnP5tUqQ0ooZhJEas
G176yVpUNjEYjeel+yzUHtj5xYVuG9ZqlMm9JdNux1DF2hCSS6igweK1QYtvSuZNRIBWzZIgFvp7
RvtqIkxfjho3su1m4gYXKtu3IukBWfawyaoSM7Ny8MxUnF9S4mOZB9OC15GV6jGPLnI7sVEIt7c4
WBAB4yV2jPF3OtrWfZPr4V0UBHI59tqd/5+M1Sx/7g2vX6YJO3CpaT529Nwh7bklI6Npiq2v6vTO
aev5VAQIxm7vGyO6zbp0a4WWvTSRp0J9m7inreEuqU+StYHGdtOZxk/hgVjpBvGTaaCaZxPTJkkk
BAnxgxIXraFbJrdJDtk5URQbfGm0TR9b+cJCq3mA5wccP5MCIjmBQ1MxakyQsmQRobO9B7nAbKeo
56EhkgJ30K46GmLL3LGukFyW1IHjg1O53cqA93SR1+keOz2qmJxypMjVPWa2Gejeo4/TnmGpj9s+
oTawFd8wN6TFXlQmkRhZ82gP2cb1YufCdtUdcKVHLCflgX7ie4vN3quyda6D+kgJr+1C9rLGguEF
QQqp7Wwksu5sR+OYwZF1EUf2piyBtOTNnnyDD9SXR90jGT7jumhTON9kmXffg9/3Fccf3U/fYoYL
jC9C8HkVCQLYc3eOVf+sOrzvmGPvW60MCAXCiOJWOC5S1DhrvDsEcxURncKYXJG8apsDUqB3n+Tm
CyXgU3c9HLcwzY1FqtNwiUt7Y4g5+RfoC5RLgfTKYOiJRL8pt1NbdwtVSGS/dnyEu+avx0bcdNBQ
Fkj/QPgRubewilnoRDLRr7qi5VN0BHKKeNgzIkS1bWbxY9W3WOw5K3ObyKjTmCyUKW4ueAILx/Ld
2SLP2Les4+UUw/FzyqDilbZZ81r8YJIQQfFL26ETlYL/hkIHqKe2Ssv8JkPLeJAtM1gPwQQftfQG
knjIiiXvkT5FC+Z8gBZKuNVbGrKjN3H+EtqJsxxi2l6TLeU+1XLFOasQ9baZM9BsvL8XBIFBH3D8
Y1er3zRbKlA/BXZ2z97SYrQvmFiBBa+qdlGE+nMRyXKt5cGIVKZmBhYYFxXhmGuUJziZOiNZo8m+
gn/TLW2vegFQzBPT+sdw5v/Qxph2FYPeHf7zcEVlRkeNk9rKtdFAVtFQX9s6fXroHVcVM+FjWJUg
OA3ogWkf7+rQfCYehtAwB3pX7KTPYd9Ua18Oc4iS+1PXjR91B9zRTxs+tLMGF23EgHvDBSXWFM4m
n21UMd1Tru0DCJhvfMvXNbTFSw3n7UGD0H2BcovjvuSgjKwq24W+uJq8qL9qS61cdqqakXaivmFh
GG+FrMrr1g2RkNgYjy+MzMR6Wo0jfLpgZw9g8kKrWwZOcm9o2saXKTIbOlDLeAazprrxy5V9BzWE
BPq0eonrAb6hQ+vS6Qam0ZLhVRHfG8qLdsE8462TkjVvtesgjJJ9ZekbGBTjioS+q6Cu861yDXfP
wvjtdA1lbQlKWvopclj7sR/sN9HLehNq8S5V2pOeBeImqQpKp546gId5jz71rrRMrkPCe+engNFt
nenxkDi39I512lagwfL41Yb5Sf1Vir0J6jyNsRoivTpoPd8ctycAlrxvppitO6dNQRGzMnc95CHP
L+5AfrgC8f4MU7QnElcb99qlT7eOG3rBduQeRKDd1D5pgNInzcAZMCKbwtKWUZHfAlpsNmaevZCX
Y6/03jiqIv7RJgrDeooiJzCcW38+Mw629VGABITeDGotmEVOEJP5ZfMRHmkRgyXyPKmc93aW7YWL
DA2xXb1NwiI96C04IoZv6MU0nTcH0s8lKlyiwGi0lG0J3aLl857V4y+PcnKFXOOAUvS9jTI+AKV5
sJ083KrW2xtt9Zpxxjz2no/nvB7qdWf1PwMNSEFYO2jCXYLMhT6WOy0GlUOv5QcjzTszFXskZM95
UGFjQBPkhC2kvCpBiE2ex/CoNTiIkqb/iHtiQ8B9Taho4StrE884Tx3EhLTfluE4RdcCaDHK2uB2
oqQg9AQJP4gx8PO+RsWv0uDG94nXqPuuwGVfpdcj3rr7xDXaG5ErMFRaIBnTY6S9EOmIgNj1/HFh
Kkl0uqiksRiRl6+z0NMY1cnBvZPdFN2VjnVvE06LkynWFmE8zNJO+BhYHjAiGYzP9SLmlBw+TAko
8AiX4o4OU7fpdMHJ3ugVR0mvLG9NjzB7ellyDZySprzupZss6l71OYpdNeN1AceQ2qYV/CXJPMyB
hzw6ruOtNSH6jU6WEyN5ld8nhj9dephH5rfXuqlmRajtFDfkxHzouR6s2I2CFQi6FzoC2rUnEhJg
WHAriv1f+sC4l0PeE+J5vH4TcS+2nnTHMccPL2DJHXBZ2vuGbME9RsDLWDITx8mLo6Aiv9NQB4/A
Huqzx1ILDy6eCL733XvW04DLXU4jND/tQ2MweiCxyhxLCSoQmiwbOJ3r4iNwCdcRurxmbs9B1+0e
9c4gi8XnbJbIEI+PaeP1rYrf5AEh8qoB/NSBNBmMW6LZD6jpVmHQkVnHyG5lzZgrZvrzn50593oG
iphUKHOTN1RdnsQjx6yJs1VCa5WGCQP9wp+l8yVmdtRncGOZKFcFnHW/+6WiuZihYaJlKTPoDssm
XbvkGvMv/XKqpoWXKOMoMk6AqQyCdyOoCHnWkOcwSgp/JYFTgDNSTzzSG9fMj1GTkwkUTIdJZ0IC
9CZ7Ef2wziBwr21j1DjgaS/JWG/KOfHUR3quejZmaOdLryQTyOAoVgBfngMwkqWRCHLvaWCqJtZX
vmreMab2qzh0g23WaDggdXvXiuGppq1djc5lXbv5BXZfHEnRcMu3l+OvdG7iErRWiLjlkOrFdQA6
BhqHK9aq77tLm4OqrVOA0EhND5hFixXgS5viGT6oGuyR4sx+dIQbXbY5g8vRhE1gGtMrgodpxVYy
3kH1bxfk6qBiizPMEWmG7be10kuLd2MtXKUtDaXkk6NKdEAuyd9DA91uIJ4G1ZNTl0tzalqyjxIm
vB0049g1m72I4199GN/wzh45bJdbpwH5YeEc4iDrLjW4OZAIu4NI+Tvy5hIFhmZtUyLWAZuEGRht
CpRlYTK8VmDg4HiZL+k8hMTdAmekrq0lka7TyutMTmMWEFNi18mfZsJ7W5gqRnsKYGYyS2y9lnbd
4ARahQa+ODRH+k3Bts2gtyKXrzQwdSgidDtCx9BLcLZ34rS4brOppXcBxicF+L6AVrE30JxeAOBA
9B4x48pROwFDnDDAd/WiMtt+3/fGYzciKq87+E5KtmykuLgmu1WLNGPKrLzg96S7925KW2qOQfFb
ceumkbOJLRS4lUkPJVUomUY0Lsuu01A25GCyKWicZdMzV5QAOa6Ylc7H+SBzsVJW3l1qdG+hhv8k
lTTuE+EVAITwbga8pKsJWEzXQU/miPFkBfIoaNeudJ00H6flTUMzRVvWl3x5uioz13zkCDO1yX1m
ooF/iZignpFvVL2VExqGokQXEUV9tsob6EpF43xEI574yGuMwzjTsDW88jhUqn0zS41Io9PxxUzU
4cWImW/KccSx919OBEAf0mrcisn7TWYLAxwbpaiWIo/o+9bZ+4b6RWpmdVfb85em7bxFMSavKqmc
AxiRblk0Ncjnbry044wzPyC0A0ID8EhsKssaJAHzPL1ctsBjLEqYlP6WQVyV67ARxJIzjlUaggrC
bJ58CPS4wdBwupGLkgWLz4IdyD3QSbQ5aEXDc8kJIFo4yMiTxejG1kOhlPnCrlVso9Cr4EMV5taA
Orpq05aowylpV/RotNeoq7zHBPXeOyVhRTlQpB9eaU6H1OupP13bYzcIbVRpwo5W6JQjpp39pENL
0EuNFvxIh7bQzOlI80zcFsjieYN0+1G2Q3fLqDQPN/TI8xfsjLX73htoRNs2jRaFi6hahgUu1JiS
v0TwWVp3RjWEV7C583QDuKffkKmYvRUdEMKLuk29+6LNzTcnaMK3fqBxPJYWk3dZGtbBxYFKiTfG
8qpPa/JB6jGjGTDqqKtdNpDIbl7toKzZ5lo+KlTVeOkDK8b1kGtSbAt6R2vIhu0OFAHZOUmHdSHu
o+m1IcZwxa7D+41Jlch6UZErmkv3qgQ3cmOSz73uhR/8dNu6pr+lJfbCN/G14FMZ6R27PwdtQMRC
q+pYOFN5yf7mbTIJHgzXE6wUVSZX4EjbPZ5JdWGE7Kd1VVFnZtWL0qzsEPuNOcdtITyZo944Pf5U
GQBuXYpxXbWgj3r0dksC1Fl3ZXgYhjQgyhYK+NYOUzSThWuvmpp3lYSx/DHP+6Oe2P6jtOKfkVu5
FxgJMRvPRnDdQSwJSXBEGwIhLvTbGj8GMk8C/VqsNlmztGSuHWs50JXw0vFNnxhlUfYwWS4KAhwa
K+q3hNqZWCn4H0QDi3jzvBoWxdQRtZsF80ug9D3mPiJvqsS6ciHFLL3IincA0r1711PBfUQwBM4s
L/H3kHfca+riEjR4Ktcp9Qz8p4TjK1McaFwJxuBfWTYiAtKr+Lq2RVgvzTYrCJJwIpyu2CzrB7Mh
i4Emv+lcj6Moj7mHDYCJEzVa54QB1K9RezfsOuWUSQOabkb/UAdpSjsJDQA+u9IJXwUZThxmcBSA
ecLuBmpeUNFQ4tIugkq6C/PYuKqzPIDiH6nLqmu9pUZbmRIvxyPE0KcH4tN0V74m5HXb6v4mIKT4
yB/L7LT1jLWfUJE3k9EgSjDrK4H6VyffKIopbRg9DfQAF97UlowQDTACYcs3K5d5f1fmEzFaTWzf
6IGdHCUQHThFBTzJOg1zPKt2eBSRaO6ZQf2IBiLrlDTdXdlmdExkpxkXkNMcPsFtvvVlguWKcJGl
ZUBZaewmv9N6IT9qZZYL38HX687QLFO1jLQxtf+uHBfj5RCFH8y51KI37GpvZfrHaMekRdMunnPe
wCXBCxzYIRVtRVNjVENsIT56t+4fjYL1x+isfBycOr6aX4tb+KiQ1Wi23NMrRaSterGzQjd51XMm
CRdN2fYA/YhFWEnp8QWNVA1FdhpT/Y2zEHt9b9ZyifK/v48scriMqj0WftseopJgzCS0srcGru3a
DXOA88FIH9XhT1rEDhU4KBg6HLJ51sl8pfErNH1np917DDqaL0YKsZEkA5K0AmRLKxUy9Fm4Zu32
UAt6eVn5fodt0OIUCWzMEM+9Xu8bM99qoP8IHzN9TsQxWNPByncNvUa5xY1VPOJUMY595NMtYbaP
WG0Jt65c4QAy6RkN5rHWFHGNGfTFoQ/uu6Rzt9KN3SXUvuni3//67//3fz+G/+P/ghmTjH6e/Str
GciGWVP/z7+tf/8Lq8L8/+5+/s+/lbKUULothWUZjpK2EPz7j/e7MPP5j43/4k23JcYIf08EIwCY
SDewgWO5fv36MvaZy5iQHBxhWLpuyZPLYDTk30WDto0pzGKcQYPD0CHQD02VwdcMu+whyLJm/fVV
3c9XxWFsGUQBSH6fe3JVrCCmKnFPbm3zl0GAjP5iFcdgZo/9LHnLHc50X1/wzM+kVLA5jyjTNLid
f97NJO4YGqgh2zU1mn2kTxfUozvTs60LJxw2ZItsvr6g/PQL59vJDZ2vaVr6/O//8fgahjdu7Cfk
wObBZSLKZ9W5a9oxq68v83mVWDruGvpSTDdAgZ1cxo77lh5XEe/H3kq3Si/0y8LWgt3XVzE+3z6G
H6ZpApwCHyAd489fM7JEBzz8DShXiyrnqa/jtcY4W5rMB4AW+xh7bY34VcgOw6FE3Q3rbuFgWmXa
NnbdqjSTv36i3F0L6y/8FeU65rzE/nmD2whyX+7RwuPrZMDO8K8QU9Mb7PlqfvOSnHuYvI+6Y5L1
yrnm5FqjBonHHVN7l8Xmakxj/z5rK4S1OQ7lr+/0uStJ0+DdEMIQrnnyPDX2Zdlhw9tnI53k3vd/
O2VVvzO3+m5/MeYl/+cGw6oU0hSOaYKvd+dn/o8bSJ/HDmLNSPZDhZYLg15OYLQIl7oJ5gHEE1kx
NMwXddX2b7Q2LvMxW5pFsjIIo2OeWX7zy8+tZPJzeJIG68w5vcdJEUPK8ptmN3X6wVD6ZSSL669v
rmGe+8m20IVwKdJZPX/+5JzbIa1xDPcaDkaMRJHCXlG51ZXd182dLEWx7csRjTByHNQsseD8OINw
Sz7K/GZl7b/+C537zYpLujaqXZ3F9effJyjgwwKNxAVbivoVqx3pUsSQR8ny6+vM6/PkURumUIwE
MUxZ1um97QkbiGmP+jt4DPkWImwHSy/sN+ShMkiOHWdLXnt50Cu6NW7T6FdfX16duTy7vOkIyY/k
x/75M4EkKtsunHAH+XAdpEgaAWEG6XMaH7++0Jm3BxmupQO5tpFpnr494Ky1JkHbtqX/WL2iXXKC
5xY++FVtmM1w//XFzvwqFqpB1JMUtmS28Oevwo8GUXJI213iHe3mVRavAwSTwH/4X1wGfaEpDQv/
8+lr6vbOEELpbHc5BlyiPhc+zS+t8xHB3Hx9JfPMLm+yCE1bucpwPz0noBpeMMRTQtnvD/UyyAPs
ThKXIek1dogO0UlEj4g77csd60ljqtKGE3kEjbEj9prWFBKDrltmWOvCo3QzlPZeOsP0sMAF9Aiw
xbwUQzpcmdE8GiM+BP8MEXgfuoPjOhpzx6GgZ6/R0aDcq6GKb8ySBu03r8OZ187khaPAsnVdqNOa
p7PNDs2TxqElB5TeJ6C4Rj82vtnQzixGU5jO/FFWLu/4yarPQMkj4CT90wiCrTsUl573YxLm6uuH
du4qfAD5hyXP4PB0FYLaVVEmtF3heN5xaHrjha4mjaNC/S9qDYiZLmuQzdMU8uRSeNQ6LSP9cefl
aH7bdjt4xfbrX3NmoxI6+5OQhm5Yn6omFNd+TRCahmE5TzDrVGqVitYi3RgXAofP5NBh8lhRPpoM
vlmdX1/e+bxRCZ1ho2nyAw1hnXznpxLn4kwdx+OKEcJAhg2rBI9K67r6JT1FF9OOLDg4Rc3i6yuf
WZKsSKkkBaPDPj0/5n98jAEqeoSYF1BpKLKUBzArqDdfX+Lcj2PNs1WZBiX36UoxSwfeRtB3O5Gi
bEbeSPZtAKAlJx24JE+Lxsc3t/PM2hR4m5WDvlFxU09upwUaoM26qty5sbnOQQjiiLwttfH173+Y
qRMfwD+2K05PSiqCAxyYU4wZuLhKOq9eWcIZFyEQnVVTMndzx7q5HcC5fPPQzv0+ShXLZPc3bFs/
qYpbX/H2kfy1H9qmRL3CkN5oW3tdRQkK469/5Jm9WczPTZE3LnndT+5lN2RTh/0ZdqKXXRKH0NyS
jWnPesNEu0hUSG9ck9nz1xc9+wOpry0DDQ2O55OL0oHCetmSVZO36s7Lgp8avjcE2d+UQWcuw6fN
0l3pmq7NgfDPxS+LMPBrM+22RVhPFyGY3rKX2Oytb/b9M19sGHyumItravnTHbnrc2bUPo61lBC7
30UUORMM9LnDhD4yxfNXwXv+5ppn3jpOm9ScpvrP6316Cwdh4rIekn0Db4BRWKbIHLDb8MLWqw9h
zDG0kaVtRZx5v/724SlDmEoYWNhZOqdbik13wY4DZe8YPA23fWyUz61JPw+jdi7Hbw70nx8hF7PY
Mdm+KMBOj7tWUKrJrpS9LarsIASu+bKrl0Xgvvz9j+JsMFcnNo/xdEWODEITpCEuBiVzI7LqOjVp
PdXhN/fuzOFo7hPMxSpbJrX5yWMrgBz0TFimXQcBhIGoEWQ3NEzrB/a6jul52mW7Io1849JJ2hbn
RF/+pssYP6fCcdBLZBaiHLyqsMm/vgGf1/D8F3M5g/K34jQ+P4h/fChyW4fnAY1914zBupPF4wyj
CHvFYEH+dTWtTMtmJsjL72AgOblUVNDyh2Jib/Ow8u8wJxYb9gL8U6Izwm+2t8+vCdfiJ/Gj2Jw/
fZwwFTTMFH0SyoyntPxZwx+hfb6sfVw7yAOoJb/Zuz9/cBXb9vwwBNAE57QGjJLZRm4G/i7W8Ngj
3WFmqP/4+lmdeSnmfc1xoeoI+1PbwJRJ6JqTPe2mZNo5EwhCt9pl/ndVy5nLSJgXnK4EpxHu3p9L
oqdU8DtIMFu/VkeMD0zKydYT9Td37PxlHFu3cVVL4/RwVdfcs7lTv52YDmoNhmHro62+a4CcWd+S
SmEuUlyOjP95Mf+xviG+95j4QoTQeDqzamVDmZYWgxHtuyV37krAjjDZ6QolpzgpZ1UqgWeWIOBS
RNZwIiuB0ENcBpjrWiLqv1ngZ9ab5N20LUX3zGT7+vMhGQR1VS0fil3qOOI6xrBxx0xm3H294j5X
CbSK5xrIYQu29dMvXE24hAFBzd9PuvZeUWcv9copV37oePcg2t4s9s9vLnnuNnIaUCxznbPwac2c
jggfk8wNd2jhDYUcTl0CArmIHe2bO3hm/XHIQZhLJamYuJ/cQXcEyeiNmdjSIVmjYN+XtbWKIuOb
YuTMg6IbQ8sd+hLtxdNTDhquLO5jnowzIfeIjaUDVuDrp/R5syNRQ86tLjqYFr2PP9dC6/rEgkBi
3wG45fiZHGytRsSKFibGEgijy1pWfnr/9UU/3z7eJmc+iOp0YbiBJxetCMBwwKHv+ia4MzlTYUjb
tUzdv76MMf85f/aaHFI+8RuwH5nWpz4eE2gaTVkX7olbzFeECKV7KE/yCGL8lp1qXEgT/krZWNmK
27DIkzY6Vnnz9/13xzY5f0u2K9bKacdaNY6swCczt01wdUJqFUtPj4heGad+/fVPPnNnuacMFvhY
0jc53RgbF+VPo4p+V6kmXcYKcUXJseC2Jjjgm0/yp8XJFmLQ8uYnYZb+1HOSAis/csNkL43O+tBT
goVJU2uG4m/fNa7DSZjlSduJDvHJJ2UEktWD9CaydOyOXfOsZc6BPJ9vrvJp65ivQkIIuy8jmU/n
JwA+iBBtahlzmG1MrvxpTuXtOKMQrOLtLx/SfC2bBWHPBwzmTn8u/zwwWjolZjwDB8sdymfweXya
l1aXBpu/vxTv9UzV1y14gic3L49G9O3wo/e1nnX3OVaQhTsGwZ3dlMM3b9u5O8iOT1+QDyanp3lp
/uNrSTqFDh6ab7JeEACYICeG8XARgHvijfjuOH/2YjYffpuFzinqZNuKfIRG9ViO2yy1b9Nm/IAb
8dI45h2ZNH+7CfO0nLk/R4OV8dbpcUJ2GSXT5AQ7iQkEwVd9q6A/fP2Yzr1L7MG8UNy/uY37571D
XJ06vYfAkYib/kjKBFme1SS/+Tx+2hx4iaTFM56Xw+ftMC9wUmCb7dBlFKtinHB6olRBGPX1jzH0
020XpzpzI/pznDVRGJ0supIAg0GZOL3SvJfjsqiG8t3p2zq+cAtG/qhEKg27Y+bZGJsru3kDu1/n
GwIKgKZ8/Xc585Mp4dBhGIqxMv3VP29sXKreQhHg73AZbzHzWGPJfP+75suZ1chVeJuFMqkLTpsv
A2jyNM8Mf5/X+FXiiF/K+00IgQF5Q6904/brX3X2ejYNCtSFQirzZANJHdGZKRGLOxdr+8U0oghG
qD0EpYGc+7uS/szaZBbFqJVycT6DnrxqnNA7CNM+IcETLhlwPCFEkuHp61907jkhM5jH04Lmy+n7
rNqggoOtaTuNILdj34Y6DB29da7QDrKLfHOx/9ygPwoDVui80St2EIXL4+Q3ua3bDa2vpXxTvGiV
YJKr3FZH5V6WS8tX1kqxKa+TKNwh4H80w+mJiJl4EZBHv4wHyDxOXy1yN99Jl+w8H8+8wnveN8kF
efQ3bd7aq25A/eNkAtBEGGfbCbAgMqP6V2Il2cLPgxlO4v9q8b09lkn6IktbbuqqeCoM9SFH5xcV
1KNAoThgKQ+CcjcgXcVpYPUXfRDspdujWIbsjswPvCKq5TTI3zWCh/A7+rBxCrRaokOUkzqgiUx5
Ywt0Sk1XgspAG09nS5C+E8+pcoI5Zxz+zkLz3ar892QUycYpqofIUdU67VHNOnq10UYj+vCEeIw8
11gVTTuuwFk7iwlcHihpcoGx3pnlhvopWiByZy40AU9NbiKvu3EqpHgq+xVmLijJov1V48Gbc7TB
tTopuZDpngkPaJimv1FpzH1TTyyBS2AHANBQZ8d5vgn8cusJIlwDdKA6HKmcBhKdrE2kBQcm8KjB
iBNz4wj3jbVy0oBMiPSOoJcFEvSnobNevM6/nELzvjSLdxzKc+indkM0yQbM4QUU+k2rubegMn9y
r0BOwsiGkO0fgJ8fwN7ua5EfNWTtg5P8qDOcEVO79Yzg6IPhh4rMheKxvyQQGWtb/bv0CNswHoOY
gbYZXI9wU5tpuLQG4GWhDT4oI5Xa57RnRL+CTNxak31RkwCwgI/zI/LGW7hwTHoneddPORHAFfqN
klTY2NmLsHoIqm5pudFrWck7ozEWvaruGZoei8pew0LcAk6EzNCsgfDA2KqzdZgAuNbyXVx7x0kM
b2LUn/xg2hqR/tF16XVoFlsdIRrpXBuXMFHwy+sMEi9WhC2T+4Wn1K7BXygd77fdjfaCaQRKeKET
K9RsQed9kHW5yYZpoQh4ZkzibNB6Lsf0A3TqpTY6xIJ3WE2iEqgmsNTBLX4ARN40lXnXCe3AZHEV
OBiBIXXg5x5RLLtSEuWtH/oRiG0dQx+HtZwurTIdNpnga0ymq0HAXJEspxJVOG4SZPmlDiM/sB6j
rq2XlCrhCm6Lhvpa0EIzXURXWVEdojzlJzBBAtG7wO26sRtgaoVaqDzaJdpt7GB5tmyYVN1oWGtM
nfwnUbbx9Mm6EhoMz1wLHlLH/uB7jq2dgDrEqcNxSJ7HFPBu0MMvpJ87rD0foB1okVUT8gWsA/Jc
IRRkon6e4eUg3R7rZiihmtgPlub9HHxEcdAM/j9lZ9LcNhKs21+ECKAwbzmTIqnZkrxByLaMGVVA
oTD9+nt4V++6Hd3xetlhWxKFISvzy3NeoVYSCWjz5xoNRBWkZwfgyFx4j9ptq22ZuL+YkH7AcWV5
2BwonVlLYwXDFt/Hfvl0SgjBgf/cJmwusep/ooso7kXTQo9JXRSXBRi/ZahPicQTvECHGIzv3jsu
HwHm5g14qcdQKKL+1VqUxZ10vjues0Xa8knWRPDAjOAFz1wvjsaoHvf+tRujiwXpMIu9FyJsct25
JMbHNrvMQXw/Nd6LR1aOsNWe9pHZpI75rlnckWP7XC7yZYmLTebBRNfOA7f2ewIPpNHRFtwcUEcu
K284N/5X7izQm0vrUzriIK3uQyr/kpueyN50Vw7zb09mqBWy4nfYVS81VMmdB7mCKCe7B56WdPUt
sPqhR+DT3EMI2czJBEpmxJBCvq8NuesKg58kZmkuLoCSsuVjd7AP4uKL1nJ5yqyAK6Q6xw0hbeMf
e5E+dD2uyKLBr7Cg0nQrAs1uYj8sN+zMyGLV2vdBaQ+Vc79Y8gOfH4IJAah4kBuZACgz7dor1CHz
zZ0KWIW0Z/0GLuFg2cslDoZHbcBllQHbrfDbgJ59I4Ocs5si3ZXQ6cGfzG3JyD0y1HstYWUq4l25
H9UsAN16l7d7omZoH5c1YrJRfRbA9kE7w4xi/0AE/aazYAP4sXenp2ALTGoDmeY4spahDO+IMtw4
VvAFwB4WlZngBI7we+0kvSvDlty+L17SiVfaXF09tptItKU8bCiDtPysBfs0UTCfmsxcWWfv1ypU
LzoOtpGvj0LZyGHMbgrtexbUAbtM7bMfdE8llIlQkX8cCpZ17PYLOQ6YR0Bpy4QHqsHocWO5OSp+
cusEsK+f3BdtcQ7mELAMN32/3CVF+M1KrI0I5cZp80uWWOdwvAElxZH27zv2uV+sbu05/X1zVHC0
iETifEzXoT2tB1ui5LQgihR5t5IiPSDOfofsyBCvoOPYtqveM6yZD6+BBWKfJDGePb1xCGuuw4L1
XwXFfOMplw2GVnknmYmtScqz7kkudOUJzhprrUnzU/EKkIABN0vtAJwYeg4COMkJJQSnked8A6Jx
zj1Wu8udlDB4AivLn9w+ioCZq/8oLv/REaI2iqlXOOow1vhHbysZa0DwY9wfO7aUAAdufB0eFvRZ
jss2K/j8ufqPLNTfir+YsSXnLE4n3j/OCymTSydaclpA8Rrq6ttNMe/F1n+0uv45SAmJJjBpYmRB
L4jx8/89DGDHGmG4pBPEhXSt0y8iRmeHhRlgjkTiNxIyI0qBFhgijonGY104nT7+vfS8HX3+KDwD
Pt7b+Timcf1n4TlbrHMvkx0fWIS4iaUnXO7JnS3ZpBHzfWQjpSmM/ZWo/+r//zNvxg9P0oRWbMxp
9h8lr6NKNYX9vBzHgIrFzr/8Hq1FnKoL3t9rrPtt17U7rczjNAdsGNobO/mvoedfLi16swSIOEWT
vvqzlcO2xJiT40lPbtgS2Ezsmeon+IlqddjaVMiYUxxUujUrPv/+sf/lDBPwFb04ZlxHd+yPEymz
L6pi6AG0/1x+vS217GOzTEm6/fev85eDGREeFzQVww/O2X8czLIGvoet+/A4RySNhir21soKW6zT
1T0rB9P537/cX26cgHEOZ2yuKIa67v+9oNvQzvwRg/BhnGzKGjcpybwuE+pw2f5Hh+KfvVSGLQTZ
ooh1d7oIfzaKJ3ATcVo33lHK4Y7+I4+0D+NqIPYsYTXeXeZ8jKbeNCLdNub//wHBxRL6tBVi2jB/
3rhVNLfD4OjiaBSgT3zYI0Q1dt7+o4PFvyT+eX/+v1/pz18gZ01o5Eq46Ga8nvUA0HRF3afflRy6
t3mZ5gXtcCV+jHEHc5GTyD37bEuHLYWDEoObZgLuEaJOT3X7ki3BbAMMrNsHVrDiJ9BDFeHoQl4H
E2c7+pkcAZoGzlMEVUCRnyDLY1jT2I925R2TjL1Q6ZXxLpwFGuIcWfa7OwVnwzL2T1C2OLIc/lod
+P2rrgz7kq322fQFzmYd5RA7l94Ae1kKjiAA3VBhDB3vVILKIximOn+LadQsaus0kRw5sYE36F+6
FklsyCq83OaiZfU1jqT3HWuOBcMujqhg+8Smjpjlzomi7p1btnmWtpc4awjPo7PzZ7aNVgX74AZO
IVvVVFBdMKzwEkf5bijKma2/pe/irdJlFG6asXFq+KGT+V36KnhcIofFe9mr8cpmQk46oeWD5mPM
Ya54ePsaCoBC31l9h1yvtuxsP6dOaK1ZA9dXwZYUgF2ILodMJ+573NIVXFmcwx8Tq1ligBWLh8e3
rUjb+xT5m7mKg88hrtCAsr/v9oeaTFV21FOT7ItU+rcZo4g4NRei2LIiNdZ7b0q95wag01NkR/OB
ox9mypkXzlfCoyVdcVtK3JhVOd1pVYDTsca5+hHb7QCaYuSAGk8IAmgRFz8ZNUPZqjO/fw8aU15c
U/evFo2Cb7kR/RuSqRslqwGIBbgH4mWcxRDp24510gFuFV0SlSOyRhrPiyPvt3k6+TsWXUS3shCD
bOAIc8YYBphUE/RmIPQFGPzOdkFEgJdaYVX6lYghfq3DUj26ZrLfDKvPOx2q7OBNwdITrF/SX0mO
rWjrq57FH7sYunodsFkW7jITi591qIlUeqWr7nQa9ffVBOvVSqJlWKUArViEz77sFiwYe1JUX0Hm
AB6hCoJDFQf1YfAq77GDPfzdZAsFWghraaVCnb9Jf/HU1jVjCiHUaqqI9dGYzWSZ4gdfhXWXH9iU
lM+F0000GlWQQQUqiuvMwox8qooZgKbHtufG84r50tUZoOCSCeyuDbX/jYCi/8OT7Eq7DdCMVYG8
8N2Dx1avFrgxr0kiOtg9QrKo57PcY3PATCoS/iqAN9V3tXiAG1hHO6KUQ77qtRqq3VziboUkPVas
uXIPriu7KHZx2OijJbzxNZM9KrahdEK0rIH9y+Rh9EmKcQL3nOXLvJoGQ9qIboJO6W4E0TFtvQCT
U5SvZURh1LLO8QtAh7w4gZVs7NCkgHFYbOeUH6U7mw3dl6ovg70FL+AUclU+ZDKor8JV+hEGxHKk
xdS8NgrVrDfYxdvILP/Bb+LmMqrI3UJJALc2ZGI9TtqcuBvhu5maI0Ku5/dAL+HDBBOBksnC77D1
xw6o3tJ43D/CGt78anZ2ZHop5FVW73OpX7yazdXAngN2mQunhkPXK3MOaomVsLRi/eyy0MfPNeQ3
/cRYb9WoQV/ZQFkopGGWvRFyVPG5AGj6VcR5IO8SZwrfmziBrdWoSWNecqZLAOl8rRqayACkUIMD
UC9HOPRzcmPlcuS3ixlmRu+CbnPye5k6HyzlVxDbRRnvS5HWO9nQygWb5c7qVIiuO9kwocFJsza0
mby0fJridnqmPxlekA9HEKcdNzvTZ2EFz2s9AK6xBjhoZLr3w55lSB+u4o95UO2rZaS7hc4IHI5V
fYA3gjQnJ57xGUFdCJ8U8UNkhw0fUqvA7anIu4/TBM+aU1sJreWBNuPIPb3y/TR/aG+TFVm6KdBQ
jM4qrlk9B/KK4NRp22ittMl2bVRHV7tFz8ivarrUBmAQ7yh7EwTWbW8sbfdLbwWf8WCaDVOHAGm3
h0NeO+2ll/qtGsc3BNHTXac8nATYOObbBuNtUb7q9bCdM9s+0Qd6UJ430slpJKuVBkkaGlsAK05k
nZjT0MTEBcOa3hSwFUwDAgwq+PtEETjLh+dqVKDu8EAdy6Bx69eoLFk2ZL+Md6/E+ILCGrOvbPSZ
tGgOTI3Q/bl0xuqqoT8dev7v2Qw4EWe3KD/bxeu2jefke7VIOohxk3SrRQXxSvgZII8YtnVJ8+hU
6hAxhBz7I6uicOzoODmv1lSn40qlTbJVcMyIF/twsgSjzXGK6hczF/qpo/N+V/ZO956ifrAvlsdu
6yYDKscSYpKlv1udtXuNb4WDplHOWzeNONazIt7VUSn3S5P/bG2m3vOc+buQCxYobdpEm9md460M
g/61zBz2wT3aoD39KCDGdFGEfeQlnLECHc7xdXKd6mB3+bT2XHZ4ETL3wUqPhbVX2ku3k1tBIJeO
9zBU7Eph7Wk+B09fCjXx81nI99BQSr4FI7J3GTrZa2KxAL8V0YhDDHMUPWjjPPKVUVqFYtnDYEs3
vNPRtdg28p8EmIyWEyYbK+z3kxg19UPjFjvX6oLdGIn2nOuSSA7ac2cd1tL95PH8o/GbeY3vMeZu
SsKHrurR8+Lc2qRBQt6S9exbI6dJ+t0Iz+QxKROHCD8UhTzL4q+oMVBuVSAfFinc38uMUMRxEwc2
cGa3664ZzX2c5Q7xfvaxD0ztjjIcnBMwTsJbWaACZ1tajX1SLfq39SBhauAUDfYDNzOPWE+xAhsL
+g/hQnshXNoXxynLEzYdc265iChD8pkLKGZ9FZb8kI93mWXUuuUZ/1vNNnc04I8JwfJcgKuGvNO3
vJnb2svP8eQnsOWA258ykeiPgkgfD9ZFHYhnIO/NBusl0hS3deh6O/BJ4Sk2YEGZJoy0H20FcKvW
ahXhsPhoXG84BXlk3/TI7ASbsL8f29psixDTTCeNOEeMah4ZfkWsamNu4r0iSHw1zAusbs4eqpoa
2svZYA7gzKxzSwT1dmxNfgxK4AzknjrodGxNlCaLpx0LEPIMfJje9ugFzgGuVqwgNXNtU5ph297N
oV/97vIh6df0dupd6w39zo8UhQFzs0fTdezbW1rrn+2ox3ddqvSNa2fcTkbOwdoWifvCti4ID8pu
bzdRpFz8AMSKjYHZh2rBDnDZGbjtthlDXotWyPJfblPpjK1Oj9IKJpiY9q9i0S0eJfAqPlXtbgxl
urW5umFtVo6xV006j5s5B1qHVu176AC66JlaQHrhPr/w+3TL4xL0Lwas68WzTLkJCzU+mdpp0PPl
ZPapiRXbISmTaZw9YKa6oGx+1MFQneyp/JYZnQ9ouML4NfVEipCzFADp5xpWnz2Kx55WFDnfrmY6
KEZzds2NBNI2SBoGBQxF4aFdbCQl2qvKeevFgz4xYujRATXNV9q0ZptMXf+kC1LeNpAo2t3l7Tmc
iocA0TbPFHrbPObz51JluB99f770Fc9+6iizQwvffM6t032bEGJtLask6DDFPCC7BlcHWfUGkEjz
2Ze+3PGAXA5uPn4jXOXgqohbzAx2uiNAtqf9HO9aZX5E7KRtynz4kjV1dp/O/VXNqIxGlJxBUZin
NCS8NNZQGsC1lDv0ntAO29gqfmZRVL0lMk9eSw4jBiWEuRF6SjliFr0lPE2VdBeuou6c5LbaDw4g
S+OPbU89S44CD2NIYcTSPY1DX73mKq/vFLgnoKCL23HdhtAlKz97mB18F9znIS9hH9Lf9L+WQVWc
/EJbD74eA17H/Gvb0tHLvWpSgLtLXDEuzsurq9kCWjE96xBZTmIDXCcBAcK663qOQDhViy0PdVVg
Aa7ob8/a+goqz96F3lLsbMst9ZrhTMy6WeYgwKiYDfSAwi5u6XcHRuDLNcjxQG2kbECsd/SLi3lA
Fp3azw1cAo5muC7kNA1PvAzvBhN2a67Z6Zub2rjZk5T7w5ivSGIHp0K42jDvd7kHjjAcxn7Voyej
pMXKuCLQmG0jkA17ttM0S1I+xiJhhs1A7/TFgNimeJ385gRUYTgUSdp+5qGPfpIy9hCblqAYHx/k
3zx55js2exbKo+uCznaNmtr/ndSNc/Ss+K3FfCbLYNhABOnOGYj6tWDMfKlUqw8u/xxnDweI06jg
QTvexLiyRuVU+RV1RiAu9KuydQM99IxdoIZJQv7twVmE/zOU1PoJj8qH1qYKjNsYKjuLR/u0TB9y
xhp7dKzd9zwMl4eKupE0rT5pblvoErY7ohWK0lPKRwKNsCU5cntSBCJzFw4U4YNin+0b3Xb695VK
1hpIH7d7Mu3iomx2SvmMWtOIZzrp4a2pUmc9WXlBChvwuJvzPqY93hxry59OwdwC3jOJSfeO4NxQ
LZE4B6q/F1qPoDu1RAtnjb9gSKldGYIHXFSKWKzqThqcDt9o/ZVNCvBPLD7mhbBGnd2gNox4eE0V
2c7oHhj8TcXrgU29I0R4qWKeVyNmO3Qn07Kp8tzZGVRTqxhsHJ56DvDTOOu1YFckZuTDOVmmqnww
XoD8nI2r1YAe7o56xD+1pnqeM8JxkNXDZyVoaVFnN4+YqofjANkuXAIBU3CJWb/SPTOuutx6kUcB
rax5Ay2upk8Pd4YYz8PUMQXI5OAfyxjLQFQueut0rliLRfvb1nN5twqLeHvNwn/JhuaqroH4ESe+
MRRH+6oQJRPnx3it6WNsIgKsW2wB5RoPsjo5ftVv8FZZx8BMLIT7NTRzIx8T0U57r1miLc86zsxz
ka5jGjO8N8V7Ys3LapaFv5XAsnxYzVCUWGlk98Vnfs3IBRBNjo7Yf/QHCkEdGzRX/OKYbyyw7bI+
XuF6fkLnynFb8BH4LY8JbLYX24QMlZLmJRpza8++trcGVM+3HeHCmirJ/lEFuDMIuuQHrk1/000N
zj16BhBb0K9q6zag8Sybb14XL4XwaFtSip/sktsPSBbal0BPUF3HEsFUkv8EzNw9MZX5mttAnQn0
Fq/OWAfnoISgUok0P6XT8FH5NUPHfLlpRlgvZuQ8Mjxe5rzgUq9eu6Zjpsv+82kmTnYuMmiijLtu
R9mxfgdbM+ytIBEOaLewvDPDOOwz1/lOU728wM6gBZZm5A513Z/rnGH2Khhg/Ht9H5zzHuvkzD7Z
JmsZrQn2A9diTn5Zzuys6t7zz4VVcbS/Ue9Qib3RzKUaCxW8OJ33+oGA1K/FtmviZIX1iALhqek4
JTJ3tc5jviiOXox1GRh6F8IfPOBR8m5F5VMMqLLnhqulSu6hbAFgjyuOHpmWzzyYk2tE6uqrkBHd
mTJ1gaOOpBS8zhbEQCYHNB7XYVHR518PXaRXy8IPUsoQ2lAXQMVfLAQjIKzQQGO72afG1hs3XcoN
rfhHEyBUByv1k5TvuGVoJAEPS++CFRqf/eBq/MIxfu7VRJvhDAjoOIO+g0k/Qf5JZgG0NR2rTYNA
mnMh2GqflsjeTgiHD1m9rsbAf7O1QgqocYSueadUKGVJBfk3B5jlWzEtWaWOthfZwL+WhAKYV0bZ
Nh+W52S/2LqGLE3NbzL9RYDqK6XxcKQQ0sfINbyrKmfMAVeWr3GDimyIJ7HP2WGjCYSdlenp45DM
9W8Zust5GVvn2vd4xMOq31JcFRtPx9670xE/mEfEC8YTv6pUX6w4ld+SAj1TGhafuufDmr305gcC
Wj0uPueduaCV6vuHlohG7uLXmv2OcWUXTR4wK0+tu9lVF8FIA1Jp+pyDRnbCNL/k8TwctEtIwpUJ
6vERdoC4NTzHJj+6GX/c6/RRZ2I8tAJmkiFt96kRCHE+jce7MAfnu2Fx0dnjlXR3ShDmgjdmqGp7
28dUK+rn9H+fW+Q0PsVgcK3TB3aOxrPUPZxksXLL21LQAITCksC8+pLXF7vH0LRgvKzaHORgNnPg
YELyIxKp2GbGe6pYKT3WFVCv2r8Ro0ojmhd/Ig7op7e7bkLo1zd08G49gM0U1AlJn0RuqoiHWbhI
rrlCm02RBunaFDVQ5L4U96wFDpuY5dhTbZb5Q0Hi3GprZL8sZ/LsFcO8ieP5XfC3NrS2vE2gKsBk
xSJ/OAX66ltj8ruzND8iJg3A5grn3TCywZBV+fPWhXFMk6rDGlyisKIg6iVhHiz29KVrbFKZ3/5i
046CxOEnB187XkvpdxhVgmqnbUVndqxifCSRtV2I7uxGQrMrtrADdjTlbxTfPCirlDX9yu9tzgS5
vwpl5e/mHGYwS2DmrgItRCd6ZH7n6uKKBNx5HFrRXgN+K/sld8ReKD+6c7LIuS9xIW1c2c67McOj
0thWeylIdNyAsNbyWECg2pE/qnep1p8DncRzmqXiHnz7coMCd9kuyXL/sig9bWnAV1fQr9OGeV5D
VoVNZGsEmGe8Jjst7EVtREdeDPUNFOkBDVugqTsnosEbjqLj1VG9u3V7zOfFOIhN2GY3z5hpggNk
QcidjctkvRpvepIlj50DViX70Nw0PkngMisu4fC2Mbvi7lRld3KZ512RtcnR0dMvpH7uLqqW5kA4
CbyE72Z3bK2O1E1ezZkhX66FZk11TID4CTZFOdlwGD8mqd1dx0TNPiu5hGlKL+4uVhWjcUHOuDJ1
yB/Phn5rnNbdW/lYPjgDZpvAAZY1lQMnmklym4z5OD+Mt9HG0EYsSQuE8bZweHvN/baJgnxd5ou+
L9w223mF6Q9L05vdnJDHgZL5ZRqXA4yfyZ2YKamsZuIlPqXq3IqGUrfNg6szNZ9eQt/dtXinr0wP
nD5oOMVI/BOYxNOXeDY/LY7bW4R9ONcm67fuzSepi+REgeo++WUQr4eKPyVL+pkUIlzcAfXiZMUw
vNVtxtV7zjpY0vAubsyzU/MizOq8Xg+mfXWSjgOVP6KTwdmyXsLYbCMCTM95QRZjcoLp0rjYQorW
RUfU8NwcCt4RFnl2ckEUbhVff+X21m9yubdfcR0TKSQmUBvOzM5gerJT3QhZWOp172fzutHNuKpy
TEBGwNJX7tDfzei/UZcDxAYdRZhMy1c+EHud8PhYVbbz2g/DiEsbBSzzgmLDhHy5Gqcan3xgqlCh
K02+ROEyx5S4Q/jlbcO+edHW8iv1s+4uTfgmSSVQx9Y5XGuu6FWfGpQ7HtgSOeYzL1YLNF5Gp/fS
5W69UW5R7VNs4Gsr0O2+TzQ4MR1NiLoWd1UwOd0llb3jpufZIRmElVBQ4U56zn2UOB99317pvgPT
L/0QdVz4vAhqMpnxgNFRGG9DQ4nBFlF6xD6AC61c+KVa9LIKE7+iDznkEZCoBvPX6KHJijqGcEUz
UobW/nLfu+1zoEkftgt79cvCEILfdL4nTdki5gu+zEILNq6sV8ZSw5a9HII1N79Ua+GSm3wH83YR
fgiXpFphKbI188RBLReUyWSHflSTwXVNL+bOVYYmMPSuasrY/g6tx4ah4sWexuCJv5O/2vSBV1i2
KIlnVR2aiebH0FqP0G1I9TrxN69NXgt/+lQpR9dBoglARkc6zGj3oyjccRta8JVmizx6603qnWeL
/dSLaM+bwV5PpEF3UR+rb1jeac7Hy70janMtXS88wtR50Gwdbpw0R8JK2mE1BNFjY+FJ65PpZUyG
ZDvUmClyMLQ/ge3gWRflr6WM3sxyC6I1SPaqWQwrupj+TaKTr105WZ/tVBdftWApj7lS9GD783kM
ZLYd/XQCmg2Zg52q9sEuCWb1QIBftOtWa7tNKH9tOJ6BTRwjBvL/kucWEGVHvHpxMz0Ycpnsb2ie
Cfi87rNoie4UNd+G6yThn6tr9EVEYtt44W7kdMaw32sxbxVTfjuf/3SHqeBkgf0Uu7HZejmZj7m1
nRd4MxA8RferS0P5vUgs+3WoSrAwdDDfRI7UfHDlk+msg/Kc97T3uZST5StL7C8rsL2NG07u1vHt
bmMrO1+TlC1Pds0ox2r9EC61GbeRjB4GYchaANQJtVFPolmoQGp7glQavaQUx3RWk1/s9rvrjl/r
jcPTnuIOhQQsl+t4U7xNXp1ePLE8cwT8yfn2Y2mZ63Exs5foaADmppdnGSzxD9vu56OXRd8GIp0r
svghT/4+uhQxTzWbPZOj6Ae888kEZ7np9IcduVcqcuCuIYLljZ0386YXHGZEl81bswzJR4F1eFPZ
2c+Gh9naHW7QvXIc/ZNTwjTsGsd6zhe/OYS9g+lP1G/U4s1u0C2zCuiI7bBQPwZSnBHyoFMqUg5/
OET6G8OVbPVUqyNOveUboM839tJKnJwJkpeFPNSKXzTfZyleGK/Zq86FP1tm6TlKeE6QcDxA612I
XxKPqrI38hIuxEQg3u3ovODf5nTtWve8KyEk90twZLpX3FtDnmwd/DnkAK3uFYObe/W6WsOQGeI7
v5+qSy44UVjsfVCdF3Kf2nyBVsp+m3GrBEVrnUCXKrrWk30XlH10mueGUn4I+vQwOUxqTAcJOyvZ
KKpukvSlWYjfKbsu9/h1xNEWkTh0ZenufYt99X6M3UNQG7GxDKeW0uJtWnCIep2S1r5ot2A6YHdQ
D6oh3HK8Ss52lA5bYLG0FzFupWefuujF8Z1gC5x333LK24J6rA6wcbFgF8rRP4eyTHaLPTf7ypX2
noz9zKofs3rtYfCwHEjC0ySYSGbfQr/9rhxLPbcR52QJ1TpxQnmqbEoQri+kXs3I8JYF7DHFlJGB
pqbTz/SnXXhLo/Ms90Wtud+xkK6lZV08+oM8ctt4Vfj6yZ3kd0abzrZR3rKe5eDduzmRuwR73Vub
0IXvaU5J+sTURpO9mwm57IxlU+czOPRky/Rd0sMgtHFnxQkOHdGFB9Ejo8G7USPkNSgoMmLCC2D5
TT1zrjLgnl5VXHgnuE3lS8teG5qJXtx6pIR4fZSqdRyrfhPUXkjOuq8ZNYT595yBOh2ggcEsp9d1
BoLyp5jG33RGOZMEYfqUaJ/a55bhnFzEb2OdIJXqigQye6eCrRV68rfpcCiLPvgs4iA91FoE9x6w
xx1H/GmFhYwBc8b6g13Qf7OA6b2zIDjsI5F90wVmQiKt4N8mZLDoBxiFiVWL6G3TmbnbM6ip14zj
iDcDV6cV4tW/aTsX+ObwlXQkiICNJwNoXIuReDbu01ZOFPRWt52hOK0Zoqnd4Ie/Z6jSQDzIgdLh
+u3gfPxdBHG8EXP3GFnMQoNwmHZT4BdrS+c0w7p23IPNIHEeO8nKmZJvyFq/woAg+NQH+pNxlH8X
ZgXblh4t6N7NPkrmZpsWsR5csxtwU3Em14BZiLwECFoC7SDNRQw2LPK76yNLz0iQbDpJ3hxVApqm
eCjOVeeSfZHhA5xlsDh+O+8t4TL1TZrwng1nsXNUl5wZ432z+oh6GUHQrreb9hW/S7nzZoDMcIhZ
7veQAKeLcz9K5nyW5gAUqIZnTuGhnuKqQySHobRTy3KdkHitWPaJiU3b8o4AbLmFso3+wlFwz2mg
nSv6juReESHAPzPHImQK3vuWjaBtevRTt1tRsyWnYXIEUy+mF0Q8jpxCnV2elhfft4OGPQgzvN/a
aavSv9ne0w+VwPgPHMdmKhhUW4EDkZy0dyUFtBwGRLbYB3ymfaZpsnUyBv3PWYXeORwqeSbGMzNG
tVR872Pp2NcdrtMqte2j9nzi7b4OViHWsgCPG5+HkGVxqUeun2IAKT714rj0cRNuuCeHHYpfuF+w
Sz7kvAgsBAw4ogpL5sDOzHaamRBybczv/5svqDoG8FlaJ3dDZffdNuhxqjr4WVfKmwjKCKQNHPDK
nrZs4JrgW2XmhbV3unpNldWPM1PtI9OzHkJsXQ+81kX+zqrpzI6H8dEA6USeWXmarkniRIc4c+eD
XYf5M/CvuQHXMJAYWZagxV/vthvfrYZgHWW87utxtN4ZYAx4igp5lO5QsT7hlOMqZWl2I+pMWKs2
0jD6cxZ70QC17Z2ZHcQNlo6hdBqyLJtA09VYNXD8jgQ7C0yFfnAxWUZzu3KK4qFrh2RvMU38TZze
A8OMILOK4h3HhmE/5XZ56ifmlzS3pTwGFnXJKkdivy3DoFmDGcjW8BTsk6xp5fLUmhi4IzzPg4TX
/i2nt4JcAGB58Rh2AgY89AMrWrOs0kfdtfF9Z7rmCwQvM74kwIXq8yKilzrutY8pb44I2adKevQz
Yv9xSV322L1+vjZ5WW8mN3VfW0f2v2rPme+U15SkLAQmzSCLVkk+uVcTMiIQtUMCkGhYu5fwYrdV
O2VfQyXm4+ASNGghYV/E3NcH10OcMMtW7xh15s/ImK1TuDjTmqaC3ER983vKSNTQislvRO8BN8yt
CWV18lnKMCyuozdUe+XhwXInrlivH6kW01lND1FmzY8ZQ17Gfg5XsQQhleTIHIc2zjCYE/iZ07Ar
7+JqxtI12sNwReNFbq8vZh7TRUM8wWkUFrQhDR5RekUX3yrBUo2GBPe/hzb/khEFq+Df8posavv2
HxlRq5v0mFlddpwAHXfqkGfJuut3efgfOe6/rWFCL+G/kEYjoeM/4s5V1oBlF312quBjZ1tFHUSX
oImx9imRb5ghtSwk+IxZLNNb9gp7YqjW+H+8n//+E/8lfQt3hBYPcMnbRugfP3HjGxIuhQkPVWFt
29m8e0X7Hz/sXz5U0FDsh9u8p1kj/DPgywpm1OfCO3R9uwqoViz2s/6HszNZjhTpuu0TYUaPM40g
evW9coKlUpn04A5O+/R3Rd3JX0qZZPXNyqpKCkGA+/Fz9l7bduTGGA9fX8z5rn1QcKPdxgiB+FDg
XP6guW2mZvLcwfb3Ic1/pX/lnP1rbz80T+H08PVHfXZRdIMgBiAphoz64aLKyRo7mQQGaZ7OS2W0
3jHxF+shNIfiPklN63+4MpfWeMhVWdzGDx9XIA0sedehmS/3JY89CLjIH690qTZgib7xYH4iBQ9d
HPcCgJhto5n+t3R5cozBTdkNDl0yP6rUpXHn7MEA7G0vudfB+GNI0m/0/5+opQGOmgybPGYH9kds
mZUtTqlLXJDomCJh4UKqU8xQBo34//69ub7rwDzxsR1/hBXxbfpN3U/5IZPdpa7DowGZMsfnCG3v
7uuP+vQ2hh42YHiL4LU+vOPMkCvm0xp0UE53xibNaIUUk2xLegOtTcex+226+n+4kZ7JcxKc4R1/
qenJHUlbEk3hPJa2sTFyw/mpReKeapde9tfX99nbBsCD0yeqLtP6+JjYjArzoDadA6oMamQrDbJL
t3UISEAFM2fg0HWSRxJTpLf7+pM/WbSwr/OsgHkB5md9uLO57+einLphHxa1+hGjaryc0UB88ynn
d+rjahKgYjlzrewQN/K/XwNbcbAodT8d6gwX/Cuz8o0di33sQvOnJ1vq4Njb3/FIPr007x/cAK36
v2igjJU1yoyejAtG4qaId/NY/HdoAo/HPyxs4f3NQRwnt1TI7fpDQEOORGSj2EkHXfzX39FnbzQe
UCwXALT+Zgk3HJNt1dXVeViZ3Uq/J/ixIfabbqs8/dePsnj+CFtCtGjCgvjwRVUD246ol/zAExlN
qCua8dzNcr+5ok82bT4HEzzcH/rhf6HEJ1uXZuexV/p98BDMxXEqcjTrzcH19WY5qznzjH6YupgW
zglfX+Pfz4VlwuYDDQHIHALah0e+Q2QzBX5lHkYEErlCWy2sb97nv78xPgJoO7ot7uFfzzt8GC1o
kSQHz+93c0byl4wvluU7uvbfO6eFqC3wASdh5/jL6VURF1TmDWmNjkWU+Zt7Nioj3hs4ov3nW0aH
wnJClm6Xr+zDnjl2foHywOV6kNJiN49wvP7nbdmC987jfTYv4SX+8OS5jGLdLhXxXqX9syuMXTG4
W6aSdNWKF+kZ33xDn906gUgDGIlP1fixPO3wOQ7FPNNcz/eFxu5RNhFSmfOA5Otb98mj4KIVNc/8
RJ8i4ENVmBSmOysSk/YwHNdT3Ly0jrdOPOv564/55HqYizkuVdTZ9Sc+fIzoTED2TjUe8oTAdTpt
NWdL8mvx1XzzLHzySQJiIJu+iXUDAvK/1/IhsQY5mTwLYIT6zWyHqHQaqmvEUe22MEmY+frKPrmB
Z94r0Dj2RRhXH549uES0YoZ6PljTsGlIQUtRzs2d+80WdX7r/71F8cI6oF5dB5LKX2iOnMj3dhGZ
D8BhZBCl3PTYE1KKxzn8QejwSxvTIPj6yj67k/+gvwHVYEL9CGlfBIkmZg/ErVmAhiKSPUcq2vCY
n0uiAd5Ej9D5f7iZtPzASwm49ECt/v3lYeOuiUPuw0OKgXHnZoQb4wjKNvnIP319dZ+t8aFJSY/9
ntr3r73ExUybo26vjkltoSlx+oSbOdu30iRQ12uQ9BeZYzzkkIO31ULLTdCx++Z6P7nFvAsOXkiq
DwYuH67XLqEDOr6cwR9our2ZSPYWLeUILYsi5Kj5Lrbj089zqKZAapqUcx/2FoQAzGvIlONhtQDT
kyP/Zga4fLrviu+/K2ILg6vHJmqdHYsf33ctDIMoGxPeiJk+pW67qpnuT7Pe6TG76bx2kwTjN8XO
3y+ibfJhrDJnHiAE/g/PDg+OkqGUe0sHUYIGrizENmdg8PVz8/ct/PfHnK/8/wC2hiVDaddQgljT
KehwFSA4pE1p5rdff85nlwOqDq8lmydO5Q+Xo6x5tBO6qwegDChQ/dOkgxUCxm/Mq59djkdOzPnU
fgZrnf+M/3M5iGkyXMdeuG8VEXMjtgTMEwcjjxnMu/+5erNNnx3UB7FqUVp9uKS0Cvy04CBzCFuo
javcTvVPBH3ZXQWX78/Xt+/vKop3OgCByjZAWf+xJJiJsAh5n4ge73T9WutRLlG2APr/5g3+7HMo
RS2wkDzPlDn/vn+DzA07oIu7J9oHSWRGNa/uv76U823599JvO0DPKD7oq9jsnv/+iNzGoZVJzKRL
IuJNxyO9Ib/1fZj97GgHy3igvTw/fv2Zn1yWc461OWOq4Q98bHpk/oy8MBjyg5v7UFJmcewD9/nr
z/jkuigMz+gsvqO/k22aOXcGN1DNIQ2QXFcyKuZ9aEJnIW8NiW/+zSV98qS7nnn+NOHRpPq4JAVz
RbVtaOAcqEWeMOWcU+OYO6IXFzdNUzab/355HmFdQFBJ7/kr0coscadYXsexKIvpRAdYTn8vsSjv
hM2gL6KEmX/WiwEY6uvP/fQ6aVQ5vNLc14+wNUPm9mLaNCOw+Hs3OZ6LywRR+C43baISseF9c53/
vLYfnk8YCnQGLHQf3OIPm1g3OwyxzT4/IDKayOz0uqlaeaS/jmurTnV9LAZzFDQ2TWs7LiPmFRe1
mLFCRTzVCJ50eTUxjoQW00BaPQFwFc8yPOe6Yj1YvDWUDMN4/fomeec/6u8/OmQLPJMQ/nqpcKF5
VjqbyynyVj+a1bW7VisEJ6shMtfh6g1jyPr64eHuV7kiz3j1fHFxsRKr16ur9YVzrFdXP38+3sv1
bbk+nZ686Kn/79+hR7QW6AK6m+dN9N+vfNGz2GMezY8xgRdgi0j1QtdBHXsre8f8WQ3+8k3Ui/fJ
/QCwCIrNsjldf2xhIagUTm60/QF3OXoVf5gfwqy3MPLW+Td15ScfRfFBkSdg0Dusaf++uFlN5+Mn
5WpQi3Uu0l25tMwa9DfP5ecfI2xQgP4nFAgeSctvDPL44iEIznUrMSWY8A7hGQDz9dP0T7v5w9Mk
zvj8MzrlfBhw/n1JjV2bTMZY/cdh3vWFfTJTQopLlNYEfTeoMFded8r7+ZGIwnSFN3nnmMkxLaxv
dti/yy7QEOczAmWtzaP94bkRyFdD6wzkzPK53ZrE9xx7Qr0QwgHvfCB2kPhvPNnRErrL9ut78Mmy
Q9UOg5bkMNqEH/HpDMrLxZsCLPsBIt6WFHpaJXYAcEN983J89sUyyICfSY4IR6IP++FC31/kmjx6
UuZ3MTasyZq3OEL++wXRG3f5/QxL6LB+uJcy0BnuisE4DB5m5DYVwXEYO/vSJC1MDJ73+PX9A9r7
95rEJ/mU5WeaPzlEH+qjRfd+1iCYPwRGyajVhCglDWDFK9cKUzhPy6TySIdNrXe9Sq94EO0ThiNS
1Jul8BgOLsZZwTWvqX3CtbYSc1vkw3vuJPdZGeyUhzJA2kuOQmHOo96G29Tr4TmAHtwO3R32rTGS
S1rj+a7N2zZ0L1Pyz4owe0EgZmyXtpLgteUfQugYFSqsZap7X0j03iMih2xQ5ZwScb8jL1gqEw1Z
B+AglVO+RalZbrM0NEnHbUQ4EcOOuhgV55whf3JFhjvKQmebNWDQUuQ8j9M01z8WC1/HekzVdOiL
GHhYp4ydyIKujYZukLvYgz1IVQQHjRXtxpGdeYfNaDMNBcZa5IxLz+9PoExEsSeJNhUTODtAUqs6
y/kDGwfNTmQHk/XDtUx/P7NxHoLSbp5njVeKsX/ruVEwj8MVB1P7GJuGuUUMwsY2IPmbQnu4LmHj
R3ppsd8S6QQ/bslfraypn4BXpYAxBk6OyMJ+NISx44NWvwfUcrsyR4WV6ZcUdfPOTN3xJkfi9jPB
0JZylvAq4CRAviyiypgnxNlbn+TOymPaXayzYu6OizNXu6CA3IcjS93QpuZsjilh3C1E8SHFRscB
CaH9ictp2iHCLzYaY1TEy1s+efbYImwa98s8nhJqidukl79JkmciU6hrazTQiec9bXAjF9PGHsFz
9qW5YJca3Q7aQYEVfsLvsJGL8OVq0Uu37/BW78MADWwYAMlEg4VDpgF/GI+OsUK041+YvFL35TLI
Qx7yrNmt6b7IxkJ1gDV3HfYI3UIrLA9taweXo6u9VVF6NePRMdk6id286EbUe0gwzlNcGM7eNQaN
g8TQ+7lGPoADAfdy1ZrDdYLqZs1K1z1ZaChJqhmSh0nNt/NCh7CPAYzGjZvegf1AldpNz6Zq1B/P
7cfHMC4cZMozBMgAN5SPHHzNpHZAA+4Yjw2Gt3eEcxaR4U2ZvfEc+bsFxI3eDB1bKG8VocAbINaO
Q2B2DE0JWwsoCycewiPJmP0Do14wc4kR+le0K8N3egPGncp7eUCTgG5j6ouhXaWzN7+P0mpsMu3N
fD3afIOWv0yRJZLM33hlqP8EZqGeQryhjMzbZn60cesRco042G1ksasWZ3kWZZ3uJi+br5WKCXHu
jPYHVIxbHH98h9YYwpqPJ1SoHaHaRav8n0WHOIHUNZld4HfFPjEVzR/FznKvaelDsExHVEDOq54Q
9iw8Xpd1j7SsKpmk85R2DwNlbuSHcxmdq5jIcmCliWG81oYxrLDG9VfUM/ZFkdHYRDXun8zOrwCK
LiJK4lLu887Nf2XekKl1Hi72QzYXUzRqkV8KCuoI+bF8ZW4OFWNBCTFDAdoyJkL1lCftdaWWZ1S7
HqgSMMcALdLM3HhABvHKwENYZy2ytWrU5q8pgFdHg9A4gFystvxCDNdC6t9DUI1IKYOpfM3yYroK
Jo2L2ZdTunbMuMfS5tGdSorMN6MGnM613/Gb2qbNd9hwalhFdOwDM2wLTJyj2lbKqgkKzrEhtkqK
1yVJ+rUohbtzlF9c2FZVDxHaUzvyzNzZkS1eRRoxTnukWYPuu+Tlp0HledlKGHlXr4ywDIYN/c3m
tzB6dL8xGRMsp1azQFbp9LSRTa+Oc+5zhwlw91dF4s53dmOlW1jyJaCQFtePC2UiX1WSOdF+cdJu
x5PAq+Qkw0MZlkylknwxAyJXRHzC4aS2joWmfu6mX6zT8btbGDTEMoG7BlNsn/6ZeqWv4zStjyFH
bVSljjx2TmfyOsz86Wlc3Pc6tN4tPQ1bmavlLp1d+8kxUAyt0qBFE6wXq3prLA0cSBfQHuWA4Xwl
Ba4w0RPSbId6uAvgCkSW1buXc00eKbrI0N6g4M66XW+7XtR0I10ZULxeGFW8LTcsQ/l120LFR1GI
uwcjgCGOBL4Z1xCIpb9K8hpwUjpi2B5F7V4sHA/2VoqvMskNAJgi612MgKE37X3CF8Gg9u3PyR29
DIzpPF63dQrVENsYA4qXoEBnMw2+9T51S42z2x6vhqxtB3bwsr4icdp8yapJHtElZ+yBGPdEPe5q
oUy236BD2e6PkddCqkiBYa7nrD3Yon6fywp8Qs3vSYi7RhY1YZXB2msHFn4cGc8bA13BXiJqjQCF
tGjUEGYWlXsSSExbEsRXZV482a71o3bMdy0d/G5zemBqTHz7Yvko3MlCJ9F+XRtgFR3oV2VH88QR
f1rk7bs2NjFtyGJeG2kSb3h9MFeSi4Ruzeytt6Ag4QgKU3vVqZiFKMF9fjtaLao4AuJxrZpjpIe6
3cliSE9F0eMYxx+xQZRbHMogc4/jHLylynhRRHhTALa3YprETmbz61KnU9RrC9lcruQmqVifYVdY
5QaD93jSsCVWOm5gOrXgmfo8XX71aIFXgxXY2ykJqadkgAc2KeSmdd1uqyT5D0Xq6r0iG5xyInUJ
IR2SDaG/OPbiZtpkxPqiiob5hf33WHeFiY1ezdGUQ5CCs99FRdDejEVxOzUd+rkyi+rSCB6gl8z7
WAblJuswu3kL9GkAxrspF0d3nAAeo+78Pfhe8+AY/Xgxpj4qfVwIpw6bCBa7iTljj0Oz9RmqO00W
da5QgEOzOUqAkQ51MN2x9kwXXt/f1yMkJtFOP6pusHdz70N20hj/AFbIdeZp1ssZqpg7g/0ALL0m
UZ1/75JrXzYm+uweTEzWPYyivx8GT+28uLkEnJWBB0JZnlAM3btGsOzxyE5VlNs6izw8my+50Hds
uPM6GEsLNhpAcqvhrNo1iAF9GyzabJyzBA0/pJ0IA9i1refEbY4BRNJ96xM337OVnDBQWmj32zuO
VeONmGfjDnvguZBSySZfpn6bo8V8KTzvRw79aq9dvEsFR7F1Ec/OKiuN7LJf/O44BmmyK4Fv1YZx
g7YYIzm42jivqmdR8RQYsvxVFOf9XsNs7Wf9U6exBzG6JBg+SycOLcLf2XoqDkPsvcK8Roo7FMl6
phWxVp6s1hWRexsO3+G+D4bqYKtR8qoAesk8wpX8MrEjAuvoqg9XopDNjrIh3RKXekKgKqMED8IF
YKZkvRhwkfzWbC8sBQyJruLP2e/6n23HSbg02mVrKIwLOEMCLjz1T6Kn/deSaXicHBAr9AMZO8sS
gzHw1YveCrMrgz4URLPK4IGOgQuM4gaeluStY38olCMw8M7TH1gyzaNSxs1sL+7DWGJ3nnrP3nha
mdA/8htFTsUqS0EoWM740rTcnam0KabGINjKrJz5Yzwwh8LJ7un81FHlGCRn1FDEw75BZp454NAG
9Yt+z21S1y/aETtqSVzE/vi48CLvzF7z7Y3AzyqrJQpWZIqqiGtIZNU8WfDd18PsuM9LyPoIlWNc
hxqO1xkseaoLWrgazm6EqPsGebe9yrwkOMaGxEdUq5vJgrhkg2q7b/0QxWruzpuZhgMm/KDYe1Uf
Xi+sdxtDd2myGhmP3xTShXyCiU418nefTXhJfBTwXdVWWyM26RM22Z2btMGF14Z6rYbZ3TJrsO/Z
ufiPhjS3rEe/A74gSMTpdPJnw79Ihq57tqn1Vhll23UuANaPfXIPvPeQ5qism0RvPLv4CawhwfPg
3qrUqI66yuwH2cccnhuKgRiRdF6jpLRzBQedQLlTbHfPkwifjCZ9LmPpb8vF+o1vq9pj+O3Wg9Fa
m/YsswYgxUtZuA4PLmtQlvTuPrV9eMBc2SocfbwPDIEkRdVpivu7YDQ5usMl3LjlsFDrGHc6Ga1o
8YLxZCRgbmRQ1PdlmMIObW37YSiIh2YNTZCqL90pKAFoo88OYOnI4SVpms3oBMDQhLhMzyaQWc4n
hnrGKjbde7sf1KbIPKAYGX/yfQdWBeuJ30d+CyXM668q1f+xKveR/+kO+MEhY0knjVo5bMWJHP8g
1B2ifGiWfdk2MMHM3bljgGVSG1fg95eN4bg/FCLwVWxYivldkEcQ0nq8hGGzpmk5rVDy30KJLlY9
FKt1vcjHtpusc62Rs39O5p1bOhd64ZGSlYdE02K465qLAhp/5m/4Rrg2kolQ8NB91KkN3wOGOxCL
F/cM626mU164Gfq9fuZFzKCpaA++T1pXG5opv8MzwBzI0aYui1ul8narsRhcjfYcAEqXeMrCAPgB
xkpleOkPx6hc/lCmroNfz7f+yFJiZwk1hAFre8AjVK6tzqYWYp4Thp5Cl97gOZMM3yq+In8XFuN7
G1usHX7xZHnpawUyYK17zwQNne176T0uFsyLLp2vQQ09d2WufiYg5CJNvv0KfoF7r0Vg7A0h5iO+
H5PjAEpqo0Lt76QxVIelHE7WjIGn13P41lplv4f4G6wlC9RKgi19pDiPL4asOCZDGd/3MxYDNkRc
4kC7t1Vv+KdBjj9sjYs5aDMIdKo+JTb2Hw5xm6ztQAQG9i89dCU0Rus+LgJ3Uwx4XWDt+JGem73R
UhtvvVYnt40R9vu67nbmIK5ad/6TDPW1idF8r5fkuWT89HuyUEiVhlUDQFAYunkY2do7rBoL2AlL
lTe4POq9n4AaSXsY6xxa4uY0hmUXDTFfWlwD0hpyERmTszWKZNkHQBEBz6a/hJ7STdGGWWQVsmTL
wkygoQCvdTZmLGEhB5vYgljRNTy4lp9BWFru85bFOMASvqI9MGxb138AfPajqim4XNP95Q3pvaeg
syzebkxz2DK1qu9lWo5HGcstcRjZLs3S7k77fffQTt5P8BPZhoC7gFJWP3C38HzLuNnlE4gPDxfc
TjEs25Y1zILWNBvYy1gmNarCXUlz/tLMwIjD1qMtpctjFmDzHbr2oh2D//8Pwuufuta5HX3zRzZx
eO+GVyfXd3bHyzrnIfb/Qd7FlhnA3g68a4aLkFpbtwa7nDvVbnAWkDth2p09TT0co9JQ3Vo4Z05a
X4z+5TjN8VMp3YqlLe2e8GNTdBieexXM1mkqtUFF5IO4TGjYl15PbxWKmEir6nEWzrxFuYMVyWrd
HeBVDlsDHSxOdc8JfL9d0FULbm7rGDSLelG+2hltdyyW4raTffEY1PpBcmLaFNPwnCuOfqPA975U
5Ilgj2CkHd7iU8aM6+XP1kQuhynFcS4nep+c7ob+9XxnpnwieFVMwTq1pRV50rtthYBgPgXvqAva
CHse/1MrLnzw0SvZOm1EZ8dd96Kf1/BT2sixOOObdbdweErlqiRGFjg2GS3BjAHPK7zxgrq933uz
FRyMBmh4yx5xT762iAqfmipQOVVMZqsbJ0/i/bDU991i461uW29TW/JF2+WwdWyOdYKc3zUV/gM8
FoxiTagfOokITvnlo5oJ4xxDSU1qDnLTWA4FlVGngCNhquBxTfLXrgwSnOnLVcpMfquX8H0aOnOV
iumXmU7+ZZKIC7vx52gkE3oFzvFcomIZn2zRYEOv32DAV5DgY2O3SE9uxOBf68BzzoOCmyk24PAD
XjuwqQKfA1mCmgHsW1jbN1CNWgrQsIKo1GQ8zWQZlGIIwFobzyAnecsLgG4VLrWkmemxebR4NYvt
JOOV0889DBn/VJjn2I+uuQiSNDzZRpec92OEBWA0OF9UxjomFiMz6c4qWOa5yVlhLrFhx0ngHViV
4Vo4uAxJXARDik8KzBYVG0cuZHA0RPPiXidYelizQNKk73Rx2k0mBUYcRjFlVKEIhaRjPXt1R+iB
Dq9RAvPDSQz7UctsVRTNI76d16bvny2MDOtqhhLDfj3dGYYHaUMO0HNyQVaqk8q7cEzvTf7IDcuW
sRXe+F62Q/Gekw4ZCbrLByTw5caV7DK5PKNszPsRDccaC9e0VqP+HebgsNABJ1e9Xb2PolORMjEf
izLbwtm7bYsF5mU7Pndm9oafocR8Vy93g0WQzNl3v+ktdgFVplehSI+G7rGvCH/cmGLxf3tW9jsZ
xH1jk5S9Yo+etiOhz66LX9LmuHbM/eohrIgZsfwJW58eytWQiuLYCacBMGed0cpVdeBF++236jUk
mXefkCuyG8usvK1L9W4x0N5ayXI9czri14zLdd1zpa3bvhsKGVpAF+iqGOKftav6q7bynyewh7FR
TvR+EgxqqZo37djOa8dKXxVi8hgzb5TXUm/1SFpBnre/IVYdEirljXYT4oDi0TrZoG3R8pT7amSg
vhqqer5obee2j2FtcDCcS0ILuia7sazG2jRV4YMLJsmn1RrDtJciBhruzLEuLihZLYhJ3VUS67dx
7NP9uQttNuSctAlWS8tNOKiYfXoirklvZJw8DpnRUz3D8DFpQF/1UOaNtfbV09jm/gVGrpvZsexr
JLzOiU7+PXYLdRvLMlg7YZvua4lJlu4mKMfFESvmFnJTjEm4oS9w5zSY4Ou+/GX3WHsWp4HBAr9n
JAKreOBnEE6X8YtfcNKzazYcyx1u6y6hQ8lRdoVvyI7EYO7DIfWh0FsZN5DT0plkHjSze9sUSU0N
CvtXtB0p7n0JiS/hMLm4+nyYW3jYIazOeUBFNQKCGwaBaEoK55BXfbvvc//KgTmyjqfghfr8nQ7W
DYlCadS1kgURnM0NDWh4hBNUp67EZ5FkzQK+zePYCCVl72a2vhgWt1kTjBDeBTmwkmpoku1i5ECw
YQq9ocZTu8FbFvyH4dvUdSGdlKzCtFbB/J4QqFxh0XejxLGrqwqGxQqtZX1Aji0jNeExrlAj4Cak
O7zxRBbipRySeOvgUf1Bn/sPRS3FhJXex1Opjv3k9OampOa4h/rm7OnG3/ixuBwkRdGQlb/7XLgR
gxTn2Idg/nrTkXQjY1ij3fRjPheSY1b3p9EBE1BN45Mq6+nFZmWOShlahGScmQgYOrFwtidGmuA4
ZDdscZ7elGb1s9GuTlf0wcWFVfvtRqkzcZlNEu60kZvAH0qMX3UukrVIfEWXWB8RDFzNiZevNBz+
fNuTtfVKqxTqVjvwY7OnyJNqwf+WTV1s6pQVhLbJFfDEXaNanG0ZScwLtCcYdS4lA9RKQoLs51zb
9OrrS0uSqmPRh6coLqt1GGL7nc9gwlS1+yKgKzl1ISyx7D7rzP1cmvRmAtTViS3rOzNz/6Cc9yLD
DbwfZgmLlv0YepHMd5WF/Z9JgbpaVIddznLxXk4N+zeSX9pqZrCGneNGKhlevDw0t6XImQQhD1tD
eXQPvipirJLNU5qJ9M3EnbpNG1olnQWOBAO9eMXtCxjTT/tfSGHCzRxM06luaNZ0uWzOsNjwjkIw
3i1uX77qwbgZ/nEotzY2vtQrj6kljEPOMfe5GhbeHxkqOtB27O5NhZqXmca+VA1ReC2cx6Sn4wvj
dVnTeULt4E9s0gx0V61HzeH1DWg0UwOyDVR1mWsHsJFc9C87lkY0FMDcGCymOyccQGW1yfBILlBJ
39RPdiy6P5muzRuN9yui7hI4leRbkMJFd4L+DkDjNeUYnApVyW2tnekNCEIfCS/vb71APweOfq1L
Xx1SD6KiqfK7zAwVQwzM3JthSNWGTEtzy15aQUtraJxyQFhZJuSUzoXJgTiU9LJavWtAzoygZLPv
cfHuTE8m76pogCr56UxanP/Ieee3zoB6aum1N4nr0qaWQbsdtDqVtndu+DW0lqwhhZrGq4qmSzi/
rHG2IK4KtfUoS7azQUZbN8wrAuSYk3kQXQt+Yt26Xb9VXUn1yrF9NYx1sk/KkEaXMQZHydlvtbAW
5SFhWAn9zUjn7NFenZ2aTP5WYfw24QuN2JauGBYaazscj0YvTFoFtI8sKNQRIN2RQUY9bYI+PklB
YFQuxbswy+mBn8suaCVbe40qCLtHSDBny5mJzmW/U8VQYTfvCt4OCx9ySGCAqDk1FSjPtokBizwD
OQb/3zEIDcu7ShDj2dtrLzCrw5BJuNZ+fwf3nFU+I5NPzi7HZocsZPYSFrwwcG6LtkM549MyZBZ9
bAthMY5YWKhiswBvt/gRQ4D57Mq9cN04qpWpdy4NMrZUsArBee8rm+kha2BbKzNokQAXA5dalFRY
I0D5M7U/4S8opBlwooZCq+n42ZoYrAqF+bZIFGhUxr6HuvC728LI5g1pJ9T+tg1TInETCr6Qtngu
WoqDOosPdurfa6MjKk8n/g4D/nhMelHdjJNZwnD0vZPnwMxZseG+G/H4ItwWw2vvtCQ2yOuFt7cf
053LnxV1Sj0knoQLr8hesM0KSK5lwtlhRjYGiXFtOyPztJbpVhxeDV53pYvZ3+E27yMGzA27g52q
k3eu3+iENBdOZ8VEwBnjVZwwxJ4a9dCa8rYLUEvFsmkhcmCNCgyAt9a4TTRdd9hDZ9RIO1z2QWWf
CtfO9l3li0i1NHA6s33v8nne0c3YWwCIViSXcPgfvbfKxLVszkGMVrd6JazAWflTQRgBiHwrBTo0
9w9mThih51L7ucyv1kBBXtyhe5+DdsTxL9/SYn6ZrOXSX9jpaCSRd1Y0twRg0f3PBaGDScyIl3Ef
yYfEV2Ts8L4ynxlDA9iNOSilw60rx9+LcJZ1t4Qg7d3pPa2ZxXs9pEKRkhwahATKdaik0cnvq9zH
r+AoOAhlboEfNKnimaqJB7sbC6Dy05g92c2gkD4s42uBtAIlN1kCh14vkB9jQG0gox8J3YaFVPtb
rTtj7YbzEz9pPJh279FC667iwnzkUTMiMCOMRoSq92ArQGXoaVsVwaHEQ3aeQY3r0vH0C2G1wy4z
WDFwZxsbqJs3cikfXLuYAbMGJLopDXnAo4InOLJ9g+YAhxHT2batAmODuhk0zuIRH7nId+D2A0EP
YL2TLNd07+yQHDC8AK3vjyvP4CyYlUUJu7hxVlXOnKdX2W2rg3t8iehGBntfwGHbTAtjtDbogQzl
7btugn3myzcOHfWW/8xHBOy3Ice5MwFwhNDcPHsc/AFgK5pggYGiqZ8i0pHURhQsEaHTr3MNKzCH
Ug/0ebwtz8FxHKF+9UvZMGqkxp6KY1Faz74JBskE+cSLX6hN5kA/PWviN3oG7gXROtkGarmoyanb
V4bVRiBDyd0jVuG5kfI2Rq1HTBILt+2cCayNrLeKjJgtuDD/Ii3Fk6SDc8tkPuf9pkUjFusmzNpb
2PssFBD/DiOsjbUXt9beiyvNRc2X5FVg3s/U26w8QjoD5jAeXITINqwiquoiOfi2PWzQqNE3CcVy
qQqiDrxupHlgFzTNqzhElDJW5crs2MHzDNRb1sQv0uxjYDNJvZFBl5wyN/ylZPB7bGaxRe0KdhQu
znrMGVMOdvVY+oV8J/EN2FEF8nb2/h9pZ7YcKbJt2y/CjN7hNXpCfZNSKl+w7Iq+cXr4+jPIc+/Z
EgqLsKxt23a9VJk8AMdxX2vOMekkXlAXzQq09wo1gOmO6qpI49H+o5paaIvcoFJZRR2kS1pZP0M4
Q2MwRHn/5KRChVdeYajTwQ3dIYQo9FVht9MXNy7dl7mJ/DZBo47WXWi6/QX/0VJovPxdCzm9wKLL
XUxn65azxwu1tSb3gsR9KYpbDrHQi7XjqAeIttzDOEg208POiOTeDifCNK3+tRnUa86ul5wdF65L
n9OZ3+nq2Up0KiBqvsDJ+I8S6NBTJr7C55/qUgm3uLKlTDRTggw5qCIOZpBzXI/JSoEmremXhPtL
bd88DsJQnHyuikts6bZvlMkl5U8fvGTOypuK8SEO0nidGM1XXHm/zl/UqTv3R7uM3F2on3wcFDhS
vl5YX8Yuaz1jiApqnPn4l+q++ZLej7KYd2PQt/o4ReIQBgHNguk6hZQ5ZvGDW1iP/+aCHGsWSOPX
Xuqjp071hREbAARg8/CKd7p14zZCj/5SFzkHsePCtVjfkFIb1kKEatKlqCA00b6ciI8EGqhyqDLD
w/mrWc65eRRX4OBXUQvjl17IIlFku+aQ1NJLQ3R0Whn+RlcPgtFvvp4f6I/A8v2StRxp/iXvXqGk
wjoqxmbwbJcbt3Yz1XxDPqsZ38madfJtLXmrt4Xix8VTG0wuzJW4EcWe0E7UP/B/wJKmWdA9BeWM
e7ecNHnz9cSOviayi+D4pDKA0TairwCgNLB9VWGvZocJBNdVYmst4aC9TwooZcCKjn9SdgNbje4g
/CDYd4XauTutawfaYIBu1jm6K2MTgdsrZg/gRGSHObQ2rNxEH7dlkNTA9ycfkHITROUTKLUs2OvK
YI6ePtWUOdLBqXZBiw6IQq3o3xTB1vzOsHPtHzsw3SuN+J9nY4iT3zqt++JgIHrrPbvSiKVWsorv
VDe56n1FIi7VSTYJ1jqkiVBsRGJT5Savs07Q+bgD4pLGldXz+ed1YmLYjsXMwO4wW28WX5jRz/g+
m+3oxUrdHfkk66/TYAEzNcY0+fupjr6Z0RB3z+b5xSS08zCbUSO+lyhhcaSvjopUmvWt7Pq/dbIx
CxEAM5aLa85CtvdxFo58MNj0WonHEeUWr8hedPZ2KK3XhNNWFZQ/lTZ+OX8n5w/Sx4kPtMJRuY/Y
/9xP32qEhHo8GkipOe4PRxUu6UppgQYhP84OsWbQgp6M5gUYNscGJUwuLMDzg1oMPz/B2dDKBWtL
KwDtXHperSq81mHzXRBPNwtjaR0pvjk9a2wy7whNZ/9w/qo/zx8DNg2WFazviG2XlqNGjtQM00l4
0ZymYJhhez/1MJ7SvLnkrj41lKWrDIIzYAaEfHymCNzY9qMRQDFKdE4YHAaHAw7su9e/vyT0QizG
ePlZLxc7j4ECODsr/HRDEiqPPnQsUJeD8tpQ37xw9/T5Ny+fGiQQ7X9DKFmiP15TyW4YTTlixqKp
6GrE7dR+wQVJZLCvDvVT3DOlVmGVgl6GZ8t6hYK+fU360X9wrb5n1yk78gFDejvOqk4oFKysmNhb
7PoGwX8EHQ0aiI/G/eqwD0zoc9RMSSXmMAx//HvQEux54ZpOPCbcGzphtLgT+G4uHtPUGSjIRvJC
y1p21/TQrQ3eKbE1Ra5d2COeGooGCuYJXrrZBvPx7rVpYohRbQNvEr1YDSp9B2pelM51I9qcnxTL
7ajAJw4qgytiU4VFazEpQJOPMZEU8RHDfPYtkrI6WlUJho1yIAfwukoQkQicdzW0638xtGsZnAMw
RX6yhmE3JuSC6D7PSczsGhiZf8ti3W/QjRJGlocUi/uiPwQuqt3zIy93kFw0D9ElE4wtg/Upt5Sz
uFP3bd6hiwx+Ud44tilda0slkFK7xIw58SzNGZxhm7glzU9XiXfVKFwf8M/U05wcxmNpW7sYT+H5
S7o0zHzJ77YnhZHB67WqyCvIWEfZue86eYiwmf53wyzea7pOjdP5BqVo3yw3riAMcmUhfMcCIp3n
82MtVn4+3XRQXcBd87rI1F6MlQfNUEyGnRxJ5NgZfVniFsqpqYOypC5qm6uIzs3+/JiL2/hnTFxD
0Pvw8c1+m4+3kVTUzuFjExxxTuDdBonyNQPDu4YlPz6cH8rkT71bIv8MRW0bp6INFeeT+53k0iYn
1kp6o2/nOx059Kav8urvlpL/HcXmzdZR7oMuWqxaLf+BlSaKe+ha641wjKfIHZ7Ci0CSxRs1DzP7
SjkkAWb6jKjRBtOAZO6anq51BpVcQ1LLI5LwZ53oVB/NrnKqC1Px5JAQYzRoU+y+xGJ6kDMAlT8P
Y0/EJpTNEZkISvsHGY23DRLCv35YuKpZMNjl8aVeLv4ObCSZt0KgUlDusHQ8q9307fwQi5V4voXC
wggsuH8kGixpQopGG18hKdbjXUBmYie3aKjgC2N25rTWtuJHRX3iwhqs6Z9n4YdRF+vGRNO1VQOU
wRky0wHtVgUdkYDK5BZcI9gHtali+aw6dTaX6gGur/JULR5Aa8/sIcw0d+QijtGFWXvpXiyfrZpH
48jredADDQCuVnmaiF/g8W67MLqbBoI6XXmpSHLi3f9wK+Yf9W4JRYCm90SjiYMWJdiBDMReOAiD
Y2yU9YXbvthTf3rWi6+uQllTa9Dbe27dUcKzkyeBvLGPU0TnWrVSAx+Xj/2jKsTr+Ul2YtERUGHY
ZLrsLD5ZeXt7YI9Poo2XFdJciSRK97bpxhfgF9q8TC7WNlR9FjATYgppVi6eXxooY0p1kYplOpD3
QypM08tjadZ4maqdkbWbqm+OTVHskaSCFSUX6fx1nnqWbNZYVfnmsjAtfoDiWsmol4Zy6MPSsxu5
1RT3F2fQCz7lU7fz/TCLKQP0zqyUErN5D0XIlITuZeqFz8TpK7FBEzjspj/t2mlIqIlWFOGxSRAv
ohB7MhNhvEo60Tfn79npi/m/kcSiSGgUUBKdeHQ9OWHogdVtAAANRN51FxbT+eYvZ4fNcef/XZJY
fmQ7tR8yhCIHmy2mNv7OUCh0YKA7cgCIOf4XV8WReWbazIboxUxIikT0pik6j47+fdcjeXL18ILR
+eQzoghlQ13EErjcRKP/alu1N+JjYTaY4RoN1FMU6IfMrS7xDf5UUT/dPF4phPIqOAxncfMqUhK1
1NRTT7SVfNCNGGSDr4UDjWc6TO0qos+cIrpLffe6qFQbF1wTIynuNPSg+2RU7nW0+S9ui1jYLJ3s
O2lFhrqXIqvlWpKNZG8GX8di6dujzLdBWNXNXvZ69v38czm5RtjvLmT+Mr1bbsmzoIWfo77CfPnL
Taxnp3Tbm1BNR6jkCKSTUdA8hfKwtvQg3PAr0analw7fp740kIFmtgGbMDbpH38FqQBIrZETe1br
v7lZ9+Bo/QMBP1gTUUGyjflGhlp2YXU6sXWZOXSGEOhN+N4vNmWJG3MQd0lfK22zvZ58VANhSMfO
iLJm52bOj/O3+uQ1shAC72FL/ekwrhbjfNCaphmlngsczqzJQ9K0d9iltK0vYqKTUZIdi8Asd+eH
Pvmqvxt6sUBGDbbiPjdVr2H7SEooquZydEMUb6RfIns1MWqiyT0/6MmF7N2gi69rqZUVGZi99NSy
+Fk1+i+4MpcOQicfoaM59lwf4pSyeA19vIi1rGLAbmH1qyQdET2FWA/dtyJTfp2/nJOP791Qixel
ToK2MqU+yyHAU3Qm9BQn6v1dN/YktGTMrx1+B23duIFx4U6eXNjgk7Or54huLt+OEsvywEHcJTyN
9NqEA7LWlyiadP3CjuHSQIttKML8hoRTI/caJUUxHm0RFjybeft2/lZeGmbxMYhtLZJFL1Mv8uN1
ReLJkFTrEe//+WFOTo53t20x68dIwEJHXneMoGY+ISZMt23MJjJOWvKMVSxJ58e7dFmLCe+SmVlg
2nAOcAF3dsDBfNAOWnUJTHtqGAGPhb8CAYq16+NaOXZkrDRKRwvErjFLDmsfD23luxfWDH2e0MtP
3PtxFpNBUd2AUj3BybSEUQzEGEYfhqpvfxP0N1Dro2B57WSBnV6LKrDR1mT6t3p0ycCqcONQHTSQ
f65qQ2CKadIuszeSsuq061pH3ld02Mnx9Feu2Q0paHNrZM3lX2UI5QAtXHiDbOPU60uhHieEY5Lu
sDynWsgVZV1m4TGxtIkkBXNAQF9m3V7NB2rpopTdi9XnKJoCJa2i9YiQ4SoFJXuLRqf5Hpemsulx
pW3pTQf5Pqut+DHxQUf0TpwQh1sSiMIZWZBNoQYH3a5RqU3VeC8bqa3iXm3foPo0D1iA5MGpHXsX
qgERTGWO0r3HEX8UvQ/nyKCHRRHaWsc4wA9Fnalfyjgt7gpLaRBzOJMqyefs4g2W+d5fkaigveK7
1p6CkewWRanUbVahkyF590eJFXOLX1TcmGVj7ehEuTusgvxFoG8oMnL34OQi+l6Y9YjvhgBhk2Da
rUNwxJyK0yv3Ju4ir0mBp/q51egbNa3dF2HXzUub1KWKTM4XytqJ/Pwax+mTE2dynVc+yQ4c27wi
jgQVUyTkRUP1Y93PoAo9kBW2SiLNVpnjKE+2O6nxRuD3XSGEKmlgYeQXJQCWFUokBCe6gd42Eq5X
xpO9byAgrYJuRPYeIAt+o3mAwLcivXYtChcrVNnY4RfDdpBOzgAGQ3b3dNr1bU2e+gpji/oC5t/F
eNpmzxpmoKNpT9yzoO721TjvgJvaeoqMeiTkWk7kC7NV1TCavZo1aom1rravDoEra7PtBKpuvz8Q
wzMcagv7InY7f41xSP2liILHXo7Jj6A3+6e0Q4TTIsy74wVEVBa6iJ0xxeH2IQjrAJbc3Jpm4z+m
QaTTJmsUwst9a00eEQwFsF7rQSXnzA9dlq9aEGrK3Tf32LL9Zys11K10zPi6jLMvFsgAYtqxfhVm
QM5pOFn40sJE4L8UaXREWZtdd5CjiAxzlC+qWplXA15aJPUJ5o1VT4dzx8fN3ZNlPq3DQl79iTNS
3Dp8tIPB3RpK/jqF2XM4VuGPQbY1eWelSTagFjw2+JnQ2mScKCuCZMiewDeGqgIAL9okEm7qah0X
irUeM0LsghT7A5XZbmX1RrlPQg0Wu5HbX7umJb4mtBF0hrBjdl1uIwVjLfIEwuhtlWGRKe2ccpMm
5ywXprBo35TeSFa80sOV0xTTXermz6Ms+xs7S81XIyvynw2iD31vsBW6a2wJTb+O25tMELysA7z7
kjdgS2oN/FuqqSQJqm1+cEZymFf6WLf+2hFTjU+w1ernVMK1KMhY6hHuXtdJrh/0cAofcCD5+wAc
2r2vN9ZLMxrFvrAKH+89B8XEsh/tHk0rYWooyMZBf+HsTpALKTG7dkIeqrlK603E2a2EQnZ5LUuy
8ZycRNaWSQsdrnlBTQVwoQs7dYM2vPpq9SWuICvJekELsraSDa83ttLY7AtrhUq4upeRhtePBYd/
xkLt34SecPcGJ5VfgIxatzGWQEKomsZe+WFMEqLpxFc2vAfS61qSAeENBTwPpJqRkVr3WmmNO16P
gGtr3V2SxQ6+IAVf1roTI6GWdZwNhxAW7SEcDKOFGhCbb9z2ap9r0hrXbR6HN7UYyqfe6Uj5Kx15
5cwhbD6a1esogifDnkDURHSmRXYHRGG4IplIX7cKamzFrvR7nrN/GNkRPgRTEf3I/Ey5E1Gtbcnv
M78TZ4oYUiNEuQE+g6kE/WNXj82tUQAwSBSbkNAcFSSoD1Pd1Fg5rmNDT2/0VlFuI3C2Hkkj+qvt
dOkVCTrNOu417ZcS9hrOs0DZF6bV72kcqS8I6bttgoYb85wa/9QTpvgkdQ0dLzF2GIFtJPQxa4WV
qtWe5il0Ox78KsZegWx+HOtNgwZvFfD3SfFTn0kRbb7bKkyBNs3kjox5d+u2xALNqWzZTZi7OAs7
9H4IzxW8xXow+PuO27wxVaVaF3Qdrm0lorakSqfeEitrHUeqQGsrcZCkIVl7JqilPgawN/auKOK3
1u+JL3QaVsuBSHW6ehjcqcJ21xq5VK95J/xraY/5g6l1qWfFMcYGmQoOqGVyFZZR43HA1J6xlbkb
i5b/uG5QyCIidwtAAgTak52jhBNkg4k2oiF9a98llfFomSnNO3fqnrqU9OVt5xrVq6yj6qXJY+Pn
gLV/4xT0lMmeT5JNzvrwxm+ziH70SwwCgdO+oSz34UQRU3k3ER5hrqSemuaKEC/tVrU0u9yQAWWT
Y5lF66mts72VRVGzzirihaLe1LexO5K+bjqI/0hkT1bCTsWzlZT9S6AgDasRi6xHG4kxSU329ex/
39cI8vZo10miaRzH8824ulVTpd8GThrYa5fP9yHM/Pg7EV24ilLenb70mz2vE/GHBjnZuinY5wB1
J0PRMJB3Um3MSpwYuBqJqCIaZ8QRqsQbJVXSX0rjRteKFnyvqfduEcZpt7Xpp0c+j+POVqHYKFab
sXQ1ZrTy9alb2bKTX6QxJLd+0XZHUQb6Q4M/8dbNJO55pwqerCDhv0Nx+KBFVoKzZ+rBzSTmw9gZ
X3Ul766trFNgnAVlEK1VsyZRMDegICmJtmf9yLCpCfyT2DeDHcbAlvxd7IgO7J81q269Nv3K5xPf
IK20a/lI4tt0S4gbK5OEjH00zAgBb8BW46pq7W/8xWmvkCN/g83ewqU+Gi+uZmWYcKJBv6kKOz5E
zaQ/9m3SHnE5lyu8yAXmkrZ7Ki3pH/sS3xBWPeSdaWjuW1GOu6pNyT1PzfxnmJU49ct+8jLihj2d
JetLwSTYUSWq7gCE58cUYfVe0FVg7SX1borILMjTOhO7hg3tnozrEleZSe52Hjq7jNw0SfLeKLzK
zdI1artk02cszSRL/1M1Ut/kcR2S92GE11aHg3fVtJV7lGOn7zKE69dh2LPc2gU1HpXAOOK1IEU0
JmsoRe8Q5WkRPzWFkr4pVvbdBpKyTaNSeRKiw8VvjG/SnHMUVakRVhniwBgs+F1J+yjMAOuCOpF+
COLE4ktc1lSiRp2UaL0xWVLcwTbWttrzTz3H8uxZLo22VUT4Og1+VR17iCADGeIuTISynpR9oFjd
daeL4JA3KC9iJXDvK8v+ERAYwKxNE/yPOfwgMnAL8DcEbHkZReF1i2SM/SooNxSmKIqxRh41GMa7
1gSpvcbH6G7L0FX2VRMru4F0q4POJnwd5EivpbSGdGWz/Vxb7YhwTYZh+hoO5k+bBCUwUCPS3Clz
VwBCsFdMVfRoW0pOEzTPDy5s95UyqB3WfNPf8kFr8Oeb2OpCZNRRDJYNI2G6YX0pKEqSEEY2DXHM
sAlu6khqm0JKY5ODNFgZg/WlHWW44Q4X9w4WyWNNNYeYJiE3TdHXX1HI97thcNvrOSSUAED7F2mw
kFHGqDsCYX8gORI4dIPrDecVxKEKU+UILi+mSwYoa5dl2S9C4PCOTWmCmL6JD5WW914lcinWTZWS
/VhHZnChKnvyUEQN02F9dk4IgNMRcBG5X15U3acAw3o/uu/W89K9Zk93oTx76jguUDegN3Z0uoWL
43FQ5rQDWBU8vpUHqBZfslhTCCcdXnI73P79UVxQBiZ+h/4KvdCPZ+TEIpZhImiC5LaBfI5wW0wY
n3Prwhn55CXRDZhTw8DwL7U8BumtKi6LyQPAyIwb4DUVVwb+FUW3LhQXTlXT5k4RASTU0OmofLwi
jl+DrFHYH0Kj6g1qeAL/WdTLKdz//a0D+U21iXQdBFGL8gKQIx0Vg2N5bAfxWuojICkpU8zRTo/d
898MBrDMpg1BX3xxVbhLA/AHaXLMdZDzwsKlJaJu2tXSHZ/PD3XqWc1S2/8/1KIaBBswE6huMxYm
YiODqyC+N6NvXXWhF3WqOuP8eUp8xOlVL25fnWEnjmO067htV12lXSdWci1ld3f+ai4NM1/tu7J9
ANIMaINmHvgA3VlOfjW5LrK1aNQvVU5OVIF4aZnjJC/Q6li8tWy9BJYg+OxROGbhCp5of5s16oMe
OpDN+sb4NzNCQ4AHvxSY63JG5LY99nXp6F5J/aPSx8c/5AjjUkX85GzgVIf+2oamvEylC8eJuHvV
IGRBlQ9DyrfOj1KiRjF5T8Xrv3hW/xnLWnT0MiWl1kgvxwv75C5KhkenwK1mh/bD+XFOreasrEjy
kWpa1MM/zgnIe3Ua4VA5ZmISb0NhGr8kgYIrsAfQ1ixYptSP/Z2T+pcmycnZaPDMZjuJzhL/ceSU
7WJUIp/0mia8Bn1xBaHx2Gf61wsXOF/BsiSJSo0SHpkBKl2+j+P0mCz1pIs1jziUHr5DSWp7RA5x
RBW0KyWJFTQZ49eBtO1hXdlG+Y19i74LYgE3hqVavw06VeXokGjs0W1C1sFM4An/Usehhum7pR/P
4TXP7mMlb36ge3RMwj7T8UkHb8uJIIqsNYUFTgxk5AlSantjogBr28rNoNf1jYkF6Hvot2O8MsWg
frfdwv9nypTkpVTa6akugOdCCsn9YLY/qiSYuh1ER9B1xsEGkDOn6HJ8X4k+MoEKVYGZbHAV46qN
pa37W7+PxhdO/Rj7McLpsNhqo7Fgokzmq19TPDwokKcyz2+D/hCNcdvigNYbjX1SoN1Foe4GWOIN
7G74KZxvODYyvKVEdD26IUTdrbTiHCRumSu/sdziWs5CE2iTKVNo/JjW5dpstO52gMQFDqRRk5rS
nZ78qCI12ttp2l6ZWTVpqFPwWYHsiJ23oefHUAauwnql2xkAQ7+p7V+A90AOtVHm29vzs0SfZ9uZ
WWIsZmOC2arSizaFFKKKfFPy9bLXeBexm47g6ABilI1UdmafOz9VEgA6zo9aFRw1rHDfIMD26bpN
VJhtVuFUxg2AVhVYrpU9c0BsXqtkAMI7aGLId8Ctm/paAvUfLlzE/OE7dw2LDQy1OuLXCxvVxKxC
lnH/UCK/69PmHypGXzV/fDp/0+Y359x4czPg3feEaDOefBSX3jDkW7BdavtTgTsnikdbznW8I2qE
Cyv9ySUYKjk7DQ3i4lKdkllFDput4NsfpxhTpJXcYAh8ECRcr2UNAuX8FZ68o++GW3z/o0QatUF5
yjPVG6tIN234FOTXpK7ux+73+aFOLocOSZ1c1qwlXzy8PopacKMQYAytxk3r1mBzFEuTu6kKmgsP
7tRddGkpW7OskMb5vGS+e3CyrPU0l+yqZftFSdaVoh+bmPw7GvbnL+rUBhS90uy/FJy8lxES5UTJ
p3EKqJxFhKkT3turMU6XemgnlXDvh1lsbGrEpg0BwKY3aeXeYinxm3bbOv+U4kro7EmfsuibL4Gn
2GBWonF//iJPTZL3o8///t3d1PMxV/RCWp6d55j6YTw4zcGojAwglqTqsIkoilCBHEVUXtD9LLOn
/qjRyK418Tro7LaWYikLKkAwukV2LMJAkStZVPYtUSCAKpycMJdDn0lVP1DW55yPWl/9MUZJeRcP
A4/9/F04tRi8/yWLV0WLq8gl8Sc9Fhw5Vwlm6rSDAJ+l/cOIvgbLuU11Fa7SczTZl0R5Jye0bSCW
VV1WhqW3pjdBQVVskIhzfM7Kq8YlFIQoiCG4sPycvMh34ywe9ZS2kZjiHHRqp+qJN1eqJo8A4eBb
QMX9zXL0/Ahu1rZXdAijaV1ak3IpjuLEdHNouNGVpJurastHDkyaywWZc3BUOjPHqWjWFqqQHKRY
fUHXemJNQs+qzu8vWz0G/Diz64Y8JMqhrRcVIty1qhOs4IRahzZQlQt39uRV2URkznYllUCPj0OJ
wbEHN04kEtp2ncXRWtTyOAQICpKvfvfr/Fw9eV22ZVOnJ9/iU/CDQpu0dtIQxDGlLr2zsOlTtazN
9PX8OCemCztPNFnkIjrIdxbThS5RqPnBAHNiHNl11XSL/H1mTvtuepP2F54iDP709/lBT6y5nPSJ
LeT/c6Dv4k5WErqlmXSTJ9Nqkzb2I33lC1WZE4eGeTftcEXMDns5L2DxjVqMN4UQRmFle9Ms6JgN
xVjui1yz2PsBb4+2mVFAtRFa5F+YlqeGJ9vPEBwc5iDyxeeLzrGv1vP715IukGVkEdCpseOfpmTf
BfCXrPDzt/TE8uJQ1dBNHQ05zsT5Ob9b4VNHCoqWtL7VyLPCH87w1QewqP6LLQAyNpVOH5o251Ox
Sw3ZqWcBln3TGPeT1YPbqF+dvLlwNadmP9OC/RNCK6pQi1mZwnAF4VlJrzc6sFs+mIToS1Aml+JV
Tt01fNfkIpmoNHm3P941mvhhT5IECls4BRMtirT8GVbXqR5v/v7xCD6B8+7JJvFk8XiECf2Lty86
1gpsK9GP8PBFJVYFhMiVlmfG39dRWKZwR+t4OjW2UR8vrNIJkh7LzvQ0hSCqALC+/pQP3YWX7NRj
ovbEjLAJd/78HtdTm3TQv7xxLCKE5SDGfkucXtU6jLpRvXAPT62/DttBQyc0Bn3QYlJk0BIa2WqY
kKyvfh6uhu6fyHBgkw00fH6cf16n3t/3Yy22CqoK8tuw6DaGSHe8ABbxQ+4rE6oKojMplcttHbhU
yTucKOdHPrU2vh95MVNyJ3BiIhpUz7ZqNOwl6UnO38vhcJr83420FwdJ2UykVqTSprxrPxW5NXqR
BkB9SHzlX7zHzjzh2ffNk3/xyDiHK8NYY6DXauutCJPfRalD3vcvPK1Tr/H7YRZPy67LtPEzp/Km
CC6bu9Umjb31jd1dCss+OeFtoc9LBfu45SZOkmaBdonypDlpARjKLh2SrbStEOocC0zknZ8LJ6/r
3XDzXHm3qLsW4LXA9rGZq79owV1HRDGjMlLGSzbCk5Pu3UCL5QJLh41tyCA8Xa2DvYwVyOp18Jcp
U/NJgLXiP3dvvtx3l4PNKhgjNfUPSUX+vC7ilvaiA6pK0EAKRf3zv7t7i8nXpNInB0KLj1mth3dF
o7/VtaKv0SvIe0Dm1YW5fnLJEOq83s55vkujNbsKqYD6B/VsyeSmR1230gkoXKW9Uj/plUVxxe+o
WDXWpaPFyVn5buTFNOksIW0xmJOnmDZoxOoAQWhtJJfW30vDLCbJEA2TjTIZ92IuyscgtuSP1ECv
W7dD/S8+X+yabAObD4nBy0pDYA99wEzvvKS0rnqLTk1Z7+lXXnhkp67o/TD6xwmpVfjAZacFxxZe
+t2EmXbdU272EqRJm/OTkb4jf2xRiuI9Io9ztnezNTQ+DtYpkdZHQ+t4NS2HR3Lc/AgBUkuH0qE3
sNFS5koVFNoeJm7RXw1Wjt/CiElcsOqq2iidQC84KhsRZMO1YbWg0X1LuSeR4HcIcGMD5iUAVRxN
lkeACJwzvsYrkSGcmnr9SwNDYpOaHCQU1w9e4tFyV9MYGG9OFj/m1QCKqa6zbqPV0t6WOjo18sNH
JEpVuWr5mbPDAxJkrrerhG3vLknIsWlVUlp62G9rFIdyXdgGgPZpVKE5Y+CDXmeFq7pDlGfR/V61
5CtuocW1my6ybBp+BOVQk/E3XQWPtIxsuav0RG50mvdbOyDgpDYLFTMu+wlj5GsbYnuBhgduqtJg
rnVtaaKDSu6LAE0ZZySKGS1s9smylF0d2MqhdXqVO5KQ7iPGcqtm3SOo8Haf9E2waSOjf8D5OWyN
2sm2QPaGG7MnRUDtMYTkk0ZuxGRom6FOxBf2Wqh7MM0TEKG2D+lgfOeEJnbFNJYbB503F0oV2ks6
S91ocQJW3w307aCLl6kalG04giocWnhtE/InT9Zu9GJxPqHW40e/h1T5VrYV2RUqgbfoCozvRWhH
P8uudD0+r3KvS53KvzRdKua2nX5j49ccO6hpBL7X1VspTUJsnCKs1zGoyE1N7fsHaOf6W4mOaw0S
pdpgTlI8oGTmEX5CvtJCxeRvWRmHhBilciky3CnquJL4Sm6pbldvFBLk1jC1Ys8/hoNmx7knqiTd
ldC+noxJWtcAdJqrkeDCYB1EU70fnVJhHrgGDE6CoTit3Kdp+NwI6PIjRnb0m0mWPycNeBYQ8F8H
p/wpteaXVduk3QW9vkdYJraSOhzEzTAsd0rqQLtXbbkdqMw8Bmb0bKSEgwhYoquKhQL9pUbRjBZo
8I0kGUisbvsK8A5J80jMiANcpszivUWS2tpJMnd7/sU+9Y12BSQPHDdsuJe70jBsMmm3fUYE7XgE
PHzrmMWmCa0VfegL2+0TG2CWDgtKBKdK9RMJBtEau1Lhi4MS5K8Q/lYye8mS1nOmeKdqxYVd4snR
aLhR6nAgYTmL5b7DJQXP0yg8lpAHxTdI1m3vwCHu9Kq6N/X8gin39HCu4ej8zwTd9nF5jMzQtApE
YMemgzaaZENyVSI2vZv03l6TbNCtNSJY/v7hsbWZyywwKvjHYlC9KcD4NI5ObqphrYAuZU9TDz2N
drC4J+0tu/AET0yWmSpGZxa/N6aXxT01mqax7C5TPNevumONNe5VVyvlqsxpwPWak76dn5wn9nV8
cuATzUQuTmmLwwQIACcYZKN6oT0mBYvl3OpyB6tNd+cHmn/44uPG9cCggJxmGp8O0kGBCLNzoD3T
YEK9VrE51iUi6YGY9f35oU7dw9mVr1pMFvTy80R6t4s0RDzFha1lXphYe9KA1r7rezHmbdS1/2J6
vB9qca6gj9+Cei3Mg09+FyB0bSbr+4cmuT9/SSfvHqcktAE4Xz6JEYahRcPuVLkXmr/08h+VoIEA
9u1/NcifOv27+waF39BGO5vDQMACuvoViUQ3hC4+nh9mnlKfZsJ/ruWPMfPdMDINehe8ke5lbrPL
zewVbd5VlBm/S23wJKEBmpJ/j6Pgwmp1clZw6ygY4Zr7VGDxM21QVZob3mD0s9F0w3f6R1SXfFTU
Cx0NysunrhFFAMIe6oscBD9OQTuNLCWYYT3VKPIfrmqKByrh43roK0wxVU5+lVKL3dgVbySxRVvZ
9P4VCJrhBo9NOuPYie6MccE2jY4+eBjgCgEx33Va525y3rJ/XBMWG8g244Ai9tUg1GYPJjnbjrZe
ais1M14jDBJ4X5TfcVGbm4wPBvuQDjNN5UTavquUJ6lXw7YFTLyyszn8IZDBAwJ1eYO6LHoO9CRB
LMSvVmVZbnWCvFaYfoEbC8IlUtUv1hXM8a1IsSYMNeLFUh+zjdpkJLVIDnFxSWRoFtdvpIKRnd24
as0nvo22URvYWyck/CcXmAzyCbZQ2I3+vgwjPsFG8yUOpoikBhS2RdCTQoUVlw0d2LEGBSTiWWyr
Vk4AR6GRHuoQx4dtqSt3g8ZTJt+y+IY4ugEnP4U/9aqPYY3nBFNmYXOczAzUZTfFt5SGIjq+sYYp
QzNIbgp+6GwwVrIZ9wmetk2kZYQpFbG+q/169q00ar6pSfLZVlV6TUCRurVDiNK+brEzj9Iqht2e
5ET29jV68IZtrEqUpu+P8a3bBM6qnIUL6pTrV7108HmoLYpsHb76c4iCZf0/pJ3HjtxI066viAC9
2ZZne3Wr5TaERoZk0ntz9f9DnTMzVWyiiOkPmF0PFJXJNJERrynT3NyLBJM6Q4s+xmrcHTOM8OAU
Jb+aAbpUOxTeqZAFsG0H7kZD/QGyQhi/GqWZltu+R+jAJKMEtJ+NR9/x9mj2YwRWxQNgYFPZNgDn
d2RaoNxbflkXdxHucajEWWloH3pa/+j0mdlnb+jyDXu6cbMBA9ghS1/ZVV811ePZr/W4G9vhdxyO
vstSrAFxF94hBNP4qdJxtQiQjTiaqDxutRTN/LpD3R5ESv7kUavYJcFYvYDwNF07FHAVqA4a+6Id
cU8Qg/IrCqG4jEPy1THL+iXOrPh3iwkdcvDDNy/VqqembsVWHZ0Y/VwUkZtEMR5xUBxPo5p9h/Rk
sD06+CSxHB3QtpIZfekfaXHJm0JDyDa07O57bohPthTq95Uj924my+wYKfwLHir+KSH5cI4ccFTD
BqvGENxzYzjYYjjNrTpSYW6bMHD58ckuzXm6WKHMLkqdH42GNdOALYdZ2dIGahvuhbnxFJJVgCEJ
FdzExCet07r71oqip4KT4+iN6H1jCBBtA6X+6kW6+FSFifzTB7fLAikB/yZ2Ox47YYPjz4DH86J2
NlqWlS9mW0MgC6XPTq+Dds7jr5VWWY9VF5vHwo7NHXj8TyYe2C5URHx4HMx6HT3eR3zdexwOxE4I
URyawbsPU9LiQM/sbTWYwQFOXAM6APB/iM3OXhRgqtMYeeAilt3MRNnRVwLXSXqEjhtOlGzih9RD
Ib36odYf0hK3DNukllELSDVVyItoYxrNX1nHo6PQhmfjD9XOrnC4bLRHx45B4CSS+T0D+YGK5Zia
O2SG1UNdxHdVbvzKRqHcDJUX0gZO01eASs0pbDgkUYD55utofGpqdF+V8pMp4FrLPq/1sEBoe4zj
L4081q/mKGG2UeG4cQ+ivNo4Tng7jJ6Hceb4V9HnnJwoq3+1OkW6dbwu3dZYe0SbwOn0XWkYVIV6
u/+KgVi7xyfhSYWpsR1LLKCGBAlpL7c/eVk83qC07+2CIOPlVE9eMUmOW0ibtk+m1FX3Zse/NuAV
8J6Mh24ZuQ4iIm+0iFTyqjTALOUGall2SnwpO7ScbDeekpU7We6SlUxh6QpX6aVSgJk02+YiEBgG
d0akdtbJFh5eQ0+deMigYOjBL61SN375FU2Dd+SPSOAiWkDHk1LxrDjSocpmRRnnjx2LdhvhNcCr
prceKeIZ368nKH96b/MM5TzWrFzWm4XXWZ7WurLfou0uw2/1sGpHFVDCPNh8cFp1S2F/H/vRVnAc
Bf6XoR9WyvyLc4xM9VTeAtE9fzbmopagOHW+qzeVD4qxPqHDDhUAiyLcr79livGg+Qh8h4O2xh9f
KFTSEAL1OknGAY+fzTVQSq8cFJDQtgH6AKNgb5uFHn1Kim6ha9WJv+/hKm+gosUrVbC5cuNUAp4w
PaA4VbC3tBEvM6dalSC5KgVo5cop5JOEOMVtOo5g0JoWX0/Thg8Vgl5Mw3HYx6PW3NmhLYt9jzwu
9abIS39johR81ks5CnddjtI4MuZeBqV4WqJeV403HVfUsHOyygzcqJAxRm1041ZXJn/T60tpKW+H
sW5PDXo2y7zJHNSQNdsIwr+BYWDFfYIH6jYuVnrJSy9j6mA8d6YWIRnu5Zz1tZfLgS77N3k4Wb7R
7rM8N1VQfcejsfJoWra1c/R1s1qDDS2NDxyHCryc9UBn+TJylmqZgof44DZme9Oo6me9EydDUCu8
Po9LmwEuMPh/UncbpN9lnFAO0jjPoVYnQLW3vTkEh6nqtwm8PN/kFiiVUqTdrmnt7qBkvNSvh196
O/A8tiYt1j8qtJfhY+QNh65FRDGX7mX9pQuSbdMd8lU5tKXpJAQLRWbbyfNhTigWNDmz2A3saiP3
goQNDx4KWNeHszSb52Gm4Z69wBze6E0ymkiJYkXMcwsPB65cjBwsjXs+63NQsnGfP5pZkuzRPPRX
3kdL00l5A16RPnUZ56+jwaoNTSjCJGf7aecPPqZidfXDsj9dH+bSbKLYCxXWMlQIOLNjDCdSIbVG
GdGOCELAqtCKCq3WTy2Fg/31UEtqQg6uKbTA0OdD03Oa8rMpJbolC+4ntwc5dbJqs/7ddTLiBAOu
VnFNH7/1jbtiohQWWmI/+lZn7zQMmlf6Im/rOZwzyCCqSEhOmIXZ74jAVsPPp2GBQ1gj75CYiOJj
jWDGf290XgSaI9/LFmRE1OM5Usmmi6HNsWmxu1U/X5/XxeFMwsQTzwjo5exksx1s7uFZ6m5ZKuot
JKPuJi6H9nA9ytv1OB3O/0aZVXGiOiPDszOQd/Zj3uxTbzLe+W2hBfvf40xkEqyZOUze6HSZJs+m
xASy1epZfB9YZbALxRBvqxQzJNMX4TviIT0GzIjlb78pB0eomKRBgP2tpPyqho9Dae1Adfq8ca+P
6+1Gs2VsNDg2kJFGHHy20RqyQGjS07hSj4ZFndWPQZyGNwOqUsf/LdS0YM72GflQlttlPLqKZ1Jn
Hg6dbO5Nq3nHijgf0TTiszC44fkiR/bCraL4I8odyDEAZSbve1YMBASuj2lp+fGFWN6c79YbhfMA
Oi6E6YFuVEIxpP6YyLdq3dFl+nU9ztu0js+k6aTQMtqVb26XAhfbErc83W31X5WKASptrwDfnVT8
9Ao0sZR3bN7zeNO4zyYRaRLfwBnaPiEt+sHWUlzOi5Wi3rT/LzP1yyHNzoe01EWHuLHiBpYc3Gal
A7E1amEHog3kSwpMDXPIthrO6+bp+mQurvmzyZydGQAiPTpuXeCO9Ef/MgvF/6VK2m+Yx+PK8ljA
R0+DtGyKl+Dq3zQ+8EOAsOjUDZC6ULdv86adaAN9XiT7pnG6H0XVQkAXsa04rB8zQnugKUXzGGIV
sdKDWf4t5LNIPMCTBFJ7+U0zq1DVDoDhaYyosnhmJFcnKohpdyhsq/sROQk+dyGXsrELcan9gYtO
q2wsKnYrs7I4/2c/ZDb/QgYfjZdZ5nrhZx8DXMPv6VOuabK+zZSY+rMos+vUz3HIGBrwa5GCQKTm
1NjWhr6N5dJId7wpiTuZaaWpJO8tqi8rg1zcsWRKqo49iyLPnw8mnKa8HlOHh2iTC9QIjeKrruBv
u+/bNLnTJHLDvdb21Wc80Apz5RBcunyBo/8TfbZ/LYfs01Jy65TgoeNb1WQxvbKeFvfvWYjZcqoj
xN8jtVHcSv5qeK5evI79s4xCVW19ur5flweD1LxMr5JSyexE94a0GiIuJFev9B+q09MaToaV+3Yx
BlngdJij3z3/XJ6Ujm2VycJVjQLN/Bx3mseh4C5ZWRbLu/As0OzLsGRFm+J/7TaeZ+3NIRz3isB2
tS0FfWzDsz5LWYjwSaGHh7SXlO+9kTkrR+/yYGmk2NScgK7NPl3Fm9Kz5co50a//ptjJSxfrKwtQ
mcbx5njnYvw7xmyTU0JUgToiWGQ0RdUAw+5yrBpKJxqfJSQa5AfMYHGmxuQ6eLSk0sPNO9HrD7I2
4gXbRak0Po9mNhQHLYBtH7fxpOxkDGV3MOg3rEnlrv3a2WFR1UgZR51knlT5a2rcpQJFdWrAZZ2v
VBUWd40N03WSbgdNNsu3kqDLEA1qw5tR9PEtrDz5hOsnAhxjjm5EFlovlVn1K0EXnjichWdRpwVx
dp1jmpf6SalaJ7MExBOH/RFH8R00vVM5ZMeGAq2Rpy9OoGOfS64+lg/Xd/DiiX8Wf7aDTXzds7LO
HLcvnMgVqYfiljrW2S2er/LH67GWZxipUlr/f5Kyy7HGOHxNdphgEO3PsvOSTEaZ/tfANE8SJizX
Yy1uJJT5Jol83QLichmr0XKLcqcY3E5S2o/4rtQexWc1H/fX4yzP3z9x5i82H3VXHyWZ6CbWEStE
Mo8djL16FX9tM1uYK8tleQb/jTar42FC64etZQi3SSkMK+zg37Kg42DIaBStIVGWhmZAFJn4Kbyv
5vToUhPCScC5nUoQV2VZfSl1/UUe1ZXH9UJheKrHUmQHyGAgBDUbVCgFZS0b9UgdCHae62TWsJej
OIQ7n1fPqubFH6Nw0rrpyvbRjuTisVDy8NMAdft5cAblx0DS8uu/f9bz36ReLp8BGZywy8rgRq6b
8Sbpyv4o6UF1TLx6fMc3xYKO7I0XrEU99TKUbmPSbWudQKFbB5lrOl+UFImXythFhf298r3+dH1s
S/nPecDZkTN0CZLCcji6He4K3fAtl15j8VhiT6miThiZa8zctXjTOjs74kpLCseyMCXXkOEBRUmR
31sF+oZqF1puMkTJVsqHdJ/oar+7PtKlu4PznLxYx4pGmefVqlSlaiLX1skBnYCrxEka7x3lUUI9
6X8LNLtSE78MeMBroas4jzjobmr7q5V6G173K4tleUSQ0xSSA50axOVcoiqHcUlgYfTXyr65ySMF
QlwbmphlhHE3WPuuy9qVnGQt5my9WAP9w1YGEqkmCMPRsuz2EdInv0ucoUtSgLVG0bTf5/kJRbZ/
xjhbL1nvxOA7S+OETtsupDAQVPbWal4MSHFl9qPvjUerK3Ew8sDEri3WxUPvLPg0GWeLtZOasE0A
Cbh6Cp2x0jr5OBidtmtRXFz5louhuAh5hjpYucxXJ/J/basU0JB7PX1G0OO2aQDlA8J9x9oEJQl1
fCryz/Nnx6qGSk5t5JGzT9WAXczzmD9Z/q/rURYGg1Ej8OoJR/i2J2ONSimsQbVdq4jBL0dUntVQ
PJT1kK/0ZRYjGXQtWP5TTXZ2XYDgECB6A+dkOOLWy/yDqpfoU45i5RW1kEEoOqUjFH7oxVDfuVwJ
hp2gSitHozsBT4BA71SrWAmxNBSEUqhdkm9SuJ/+frbYbLTRqDU04U2KKE6wF4YXJbRGRXQ/9pyL
K4fU0oDOo82Wdq3II2oT7GNA2c0mrdqTafcf/vsymHI7uth0V8EmXo6oaSuU8toBkzO9etSy6KhE
4X1T9CtZ60IeNBGB/gkzO5K8tuobBTC3m/efzeiH4fRbCTUpupJmNK5cl4vTpjhUZygU0UaaDalL
QXfkNVRdLBj2Smm8pFF5uD5rS08yBfgXnQ6K2OArZ2s6AE5l0uxwXFtrR4xFJej7G09LdQSA8der
JwMIkP12U2Ju3rRl8Su0Oqjdsj2UHzlZVOU4JnGp3siF3+DvkfYgwyUlELe6PpprL+WFC0EhgZCn
+rdJe3I2Ixp9hTqF2o5gU4wfRhjboIer+Cilqb/tpChfWbiL8XQNsS06QZxgs1y+1uQ2RL7APCEd
uhmqVwXDvDR70qU1GaeFTEXhpPw70J8Kwdl+jItg9PLOQLA+Ejt//DYMCPx5zkYZhhNpxqlFvOz6
l19cyGcRZx/eHsBQYfAeu03iVNvYR+pYxLG+UTLQX5FZaYeotwv3etCV+fwjmnE2zHoYfJ9XMPoE
vW/syx7xwkDD6MTux6cIt8aVe25xA52NcbZcGr9pbCu3gxvVyeGPYFiJf4kd5OgJXx/X2mTOToWg
SyozjvrA1fAfMvxbxaHePwITy1zJ/HQ91oKePTpmEywAlDeMqTnVt/arfOwnokhpB8HO9LyTJEbE
ZXX5oUG3W9bN26HtbpBd3YZ688FovS+OVBz0qnqwhcbrvt5aeQB0Ex30orsNinjv2ckm8oqj1mrf
r//axU/Az+RM1k1+7ewuC8sK2OsgeaeyabUNmrZcmMJyVuZ/aV1NrhLsUlINeKeXh/9Ux3Dw8caQ
PLiNkFeWynDT9w9h+fn6aJauTZOHPbpuuLi+edsPge55TSmnbh9niEGbUEGfhb/W51uOwr8+YWYm
FNjlaFotaFH4V+2T0MQD9oI3mly+BHThrg9m6cxhJP+EmS3aynEqvRRl404pwDbzow8o6W993kLa
GJ4sPfvUSPbhesyljXIec5Z3FJKX9l2cotRaeWD5FTfSUH5v43twIo+Sk+6vh1ucSRRoHIcrzLbs
+fmdq0Waax12hWF20MoUWEnwXKRrAPHF5QfZH0IQ0IQ3rBIdVEAryUHkRqJ5zk1v6yCs3xTWTquS
lQmcfvHsiQJIj7QNVpDKdTHbT3oqgxLLZMmtqzqgMmd9AQ+rlpsQ+uAhpJv6GgJMvzdzJTqmvViz
YlucUGgLGLFhy/imSpzEfahnVV245hh8kSfd3iIXH/P8Pf0giBj/Bpq9a8cEaCuSAr7bN1yILT3h
HJuANdmJxeV4FmW2PopR7vLS7xU8GVqgePlurJH4Tn4Flr4Z89d3LEbTotoCWxjx2Nkh1Vbo1xbO
mLpmG9m7sqntfeEVzb43gONfD7U8rn9DqZcniGgms0Wl0k/CN5OfQYdrAfD32obLCXCi3vR5YJKI
cyWs1QkXtwLJKiIFSES8UV2NNIiPXSvTl3FiGbW+9rErsmET1vW3KniHUw1Xiw1QQaamymNmWq5n
+UTX+qWhpviXC83/4QRetvFj/UbTCn9lQqd/6M22c2zEcSeuCa+zy0B2oFtK4fUQdvpsZ0DwcH4m
7TtwF5NdJ48LfLXx950FCeqoVdBIEagYS69enOyGKL1VQ2+lqrK0OM7CzGUFEYFX6ZZEveulR0ef
8P4I8Jqu8IIdrswrKdiflHw+c+fRZqu+biJHIorltkIS+QadiuwhdJzuLzARobQB9Gt6t2oZVx+y
JgP6asDpyXZZWYynUKuB7gRyzgOk6IJG3zWJ6eR7FH46Z581aDB+KTW4P9vQElF732p6170WVqga
O60rsBuEgSUgCacOFjOZFmndnVU0DqwFHwDBEKE5h459j06f7lmqfCf3tdLjNYJvzgF0Tf6gxYX8
vSsD+YkEEp1OpZQViGG8eHDG45lYugFQBCS8y0G4slMA6pfsBrKtXIQi2mCT1hxFKQXG0et0J3ez
IJSKrQUppEe1O08+VUmW/0J91nxFgy/TtpJQ/bXDYKm9eL6utNlpkKNEFyogGW4MsJ2bpu6Tw2iJ
4CWJHee7HjvSg2Ulnas6cbWz1WaAvCzEp+sn0tK5YEEsBT1L1vpGJNFWax/F/U46IcnnODucynPM
HkL9W17GT2lrdOpKSri0Y88Dzi6QlN5wKvR+qsBG1ZMT2+ExG4L6bjRW3+mLoRTufYDOCkWb2RLP
2NB+XRQhRgb6a1dn6jM66vgo2p7FWrs+j0v5NBVlqrAkujZaa5cHUVNI9lA0CCU5nvkD82WQMaH9
roPoLMhswUhdZMixENF0iCuw8ju7u+1MXEcAB8YrWejiaYSpqs2YaKjOwekZ1PL/p8jUDg9yF2/q
zt9I1oOdwByvk5XZW/pSFFNoBE4c2Tcia6Vc1qZn58LVBv+nqrcHqqC/Lbn/eP0jLY2JzibD4Ruh
Zjn9jLNrSQkVzQsw8XT1rHi0G+/e1odtnCvYJPAM7fXu9Xq8pUUBJp1jFg18sGCzRTGieGuWEirx
kS31z4oTBQ8RROC1o3zhDpyk8KASYDL2RvxpwLg4jy2695HB3eGJDyJXXM8K1uDMylKOex5otvxQ
6Y5aiS4Gyomq/rk2jWOkqFRavRLLKGAYGarBYaCFt0EUdr8spffHTdWq/R1EoN7cB/mIo8Woavmd
GWnSLbiuqN8MaRSZN/0g0x2pCyGyrYnp0PXvsNRQ/KMW+PcUzV5uMvGSMKGapgTjcMo84Txq1Mtu
0IavwClnyc7AAucE7SzeetCCN14cmnedCgVPhluwSeFdrtz2i2vDRh+OUpwF8HaWVLRBHyu2Ba6j
iSHDDdWNXIXP14e99JCk4c1LlaeJxuF+udzjIrR6rLZCN5brFydN921sf60lE1dmaztE3+HDrZSv
l24TWLbAJUgzsQ2bzbOkJOhVawD4q0bDme0+qeM9FMQsWzN+Xgs0ze7ZTqYB4w1lHSSuwTmoFvWB
xE817yFortSVl+bQIa9ELkaeqhizEXUgjLzCApyFiep9hLpEoo0qLmDBvqvx2c20b4mnvgOpSiUD
y3ss+ywSjFnQMUHNWGeErtZZu6SK7pUxv+nHVzRT33Eiokcrc2khMPEGKg2VsLIzbWhd/MM2hfEh
8/luOKIX8l1arLW3lo5fR+d1CokG0vYcytRhAZSkWQ3x3fKD32rS+fepX9pUw0R7GvWxvg0GRTtc
3wSLK4X7a+qOmpzEs7nMfDvtjbZB9VZxquOoQBeuuIKOvVf3dykORNlKgrMYEFk8sIQ29YC51EMo
JaXRQ3x2nVHajv7RM4Odrf1UpNP1gS3dmdQZ/o5jzcXjJCoNnZoCGwyVg1HnR3B3DwBAV8IsZakq
SDeVFigogDcoqDD0vMIoOKhEFUHB7KriSydSfx+FmDFKNSlPbQTRDj9jc1P1cX+faQDjro91YReq
yIMo6JYBhQQUcrndo6Ywascqwxsc0vN91Zj1J+iZYkNmn+1aZQgPUuh96eCPr2z/hY9JYDoMdDAg
YM5Lfnkme4ANZXED8yV0W5KtreLHuSt4re8Dz1jThliKN4ltTvQn/a1tRFbLok7U0j7ZbYEfaIgR
p0A7/hbTFOkpbIw1ddaVeHOwUuT5rYLvT++2SXPbDNGjg3PEWO9a+x3YIaT6mEwebJTj5p8QT087
AUZuneRhuvAkKzn5plXtSaqt/X9fLSC4MbHhKnorDghgMxi8ss9cPU/u0Byg8aWOt3jGHhCEf6mC
6E4Wxa/rMRcnEmMMzlDEPkGQX65Qrajrshyo7NjSU6aPmzHRdnaeHkesqa5HWsjCELYDio6arsXC
nE7Zs6uvb7puRFy7do1W/R6axROd6DtYly5A/Du0u4+DFOHeWq7kKwuHN6YXLEl6fLBH5+doP8Q5
XuYJhEds7e70CmfTAToDSinILJHkWI+Tx+nKWBeD4rutgNbh5JmXd/wiURIh0sFt0VWTbDhlgfoQ
+sothwTP+Dh8x1dE1BSf+EkZ/M07RILGWkVDnrlhr9F8dz7XYf6hCNK7wsi21z/jdGTN6i8qeHMc
YtjnFI1n+V+d9vilNwD3qNaO+lZF7MB3fa0xvE1cxaL5cD3cgu49BjvkElTjoKZobwrUQsOTsFeJ
UWHaoZe/9QaPTU/+2GPWrnbKDzhFD3jjvbaG/mJ5ww8MIg7Xf8PikMFO0A6Cq/uGc0wlHiGMkHPU
arqNSsFlJP8fpTUywdJloTq0tFBJg8UxbzrFXu4wC6xPANq+K5VSsc8HzEEojRtbQPzVYz2k46Y3
Rb+yRxbvSvik0GcnTZo3PF3as2gYF3J8o+GbTGE1cY6BBqgNdYy2OYmR34HZrzDSDS1PI9vhqg0O
TcWGbo3WvjTXGjBX7pI/98n097NTAgt0vWlyKrCynu6QhnPwBa2xAb3+RZfAyup5mOlYPAsTtWbr
6daY3IQaknowuPKNYQflJkOobYsByl9GAuG1RiZ/g0doYW3KAkUqH+DJ8/Vfsjhe0G8wDxCg5cq+
/CENyiywdmibC90GkxHBlTQ3WqLtr4dZOpAgqrCTzAnYNIdOlQVw9maAIK2LWHvGea9qaEi02pOe
FsOIDF4hnjO1Q+TnetzliSYB4j+UTd88CQqDQx8vZedUGk7l72Q1gaKCYynKlA1u831mBw7b2HA6
LjsNUcS6h26M07P9V5VW+UpxaOHxqk4TjbkKQMo3z4Y47hwFfU7nlKDHNXCx9kLdXR/x4kwDJ9E5
+ym7zxWL/cxp4FvV5gnIAy6cT5b6mMvpJgz3jvfreqilu5vT4p9Q04Fytogl04GmXdemCzr0SY86
jkdECli+tnboTaVYGdlSOFOdhATQ8rXAyF2GCxqBbpsBvNczviDUuY2hM4vkFL/rK6EMjyk8vREE
NKcpPhtX4/uVcIQE1iHG9l6N9HQ/2EG7MpylD2WCw5lczigyzO9o/I50ABEonPv2g62UBzSxNjnu
nZx9ovh+/UutxJqnq01Q+l1iB1j66MiI9klY73223LbtMmvbRnm/0epyTaZj6Wg5G6Ax+17F6EX5
mMaqi4LPrhEyLnjy1rKr4/WxLd7Q53HUy88VyXqh+gaSHJR49fSJbFkNNlnGExBuC3JU2xh9n99A
Qp/byCz0vRJGWCqPkYSFckTicqeDGStXDp6lnU5+AuCBhNMCjX75o3o/zAPRi/jG0UJofxqyvAhk
8f9XKyfrWqDZJuQdiXW3mSOx7bR08lK3MeL3hACigygd4No3+h2Zk5V2oqqqa+GJ3qJJNKrBiq7k
0lohVZ1KDbRKuH0vp8vvLDuMqhpf0L7fhuMHUwCoN3+trJS3snfkjeDeOD7UqbY3i6LJRqApBs5W
HrLnx7qrUZsdeX7j9yq2ftQYbhhJrFHAD4DWMms/YuWzllBOhZN5Anv+I2YfTHTYNUIbw7krNuLP
TVaPX1J0tbutY6bRbZfUdXRKO3985Ek4fHNE63zjyRu81k3o/EpU41ftR/F79io1VQoVgDF4Hs3S
gIA/RZnSI19UBk+A9FwpSL4YRfFy/QsspZhnYea1lzSqHDSBKsel7tTvdTjK3xvsW2hUmq9ZHJd3
Zqygk5Xluvu/BZ6dRXWs6k000hQUDZp0cvmtYd/LIR57TfsSFOpXkf53RajpkfLPlFqzY2kItUzP
5Rz7uhYf8qL3+k1hm/4poMWw8kCY1u2bJWUg2WDjYsFrb1ar8/wKmZse5FNRx/fdYJ50s31Kq/En
FuuvNtpB1ydz6SKGXUPTie06cXsuN6ui+KQYOg3tukKNGcMp2X9NdF6X2E8bTznJ1RpKaC3ibM8E
tRfmsprLdAn73djb3h5N62pr9JpylyHLd318SyBioPeTKwhqphOi/HKAdmKmWK438amqvfJ7rkn9
Sy/q4ghIN7rpY4Tt9lmi9R+DwbS2qR5TYtKk5Lde6oj/pAFm3HkbUyRtil0ikG4ue1N7vf4bl479
8584W11WSafFsvH/60Xafswns+ONUfWoYV+Ps3AwUw2aQNs6haE3iJQK2RqG1RTYED2nCgZnjbZD
5nglysICvogyff+zjKsvyUOEPSbugIUD7YRwBzmHMmUfvSpSnNJmDNbcDtZCzhYxZ4/I8jiQToDf
Sfhl9Zse2/ctWH6/7Q82fsTvmEjAdA7vPpt293xNmQU6aZIoXDkOt3aDXn5fHPM1TNbCsuAd7dAq
oDtG92UexU7l1IqLwkXiUd+0bfE5KNOVQ3wxBp5lE3YHAbb5LcozDjKHM9gnbBSKB9VH5SRO7DUS
8VqU2ZZvYvpHRdFXrp/11rEcUhMYkaHtrn+VxSjOVKieJK0WuvVj0NFA710h2rvGMbd+pu//txDT
Tzhb22ML0qfQwNyXjR/u1ZzFzatjTZhucZ+eDWT6+1kURPM1r+0BolID27RWumE8pb32BFuKQt7E
TYPVrwNe8zJKo2hVqeVq70aeccgl40MVOIcUhM1/n7KzMM6sRUOZKNC1eAxdp2scJCzalyxrVkS+
FocC6QJ/Dp6UtJMvhyJsv/ULKSlcyVaijWmMX6TM/hj340onZC3ObB1Lg44IcE9+rnhyemj97ifg
JfVUtWW5MmtLkSBYyUhfQ4BhLVyOKPXh+oExtU6o0G/KIdoJ294YzVpteTkMxSv6ntbEU7sMg1p7
18hq1rqtBWInj6NJtXQrV+NKlrF0QFPpBQWPkidkktlwRNtwKY3p6AZVselCc+PEH3vwfFiH76zh
y/UVt1Qn0s6izV/IqpdZnM9lz3Jo7gRmWZPs6087/k57YgdTbzOJahrZsUvfgeG5iDw7sg0zpyXv
VMHNIOf2Qfcl+d6WUrErJAxNV0a58ADSeMGB6ZrQ4286yWNrgEAkX3PTElTNVnGKMdzGKjLjB2Gl
pFV21wh3xJHjt2kFECsG3UqKk+HXdbO9/lv+YFlnSatGIR/mIb3JyWn4ch1Fudmaeo7ck5RZapZt
lC5Gt7vHJM3ZSJHp/A7GQEaiotGlDFNgrcFYJK3rH1VlhDV5e4bLQqp56bDVhzjOdoFokx88Yqto
L8aC+lprp8Ake4f87YjaufI9L0szQ1S4KH+2joNMsV7ifv2KFnTxAJBeT2mm+5hyIEqW1aAsrdTc
+G0m+0fN6PRwVxX9b5QewwPsItsDoq435FsJXufJI8qeDr64KPuam6ANVfGsVZFmoz/h1f5hRPP4
S5+21gsyOBlky7oYR8ACKIGuHGtLFxrnsgalGfQ+yfnlrAadLewccRW3DWKk3CvPuEWDxHu9/vEW
zwDOfzRkwCu/fa5niR7J7UBV1U7vtLLYVkb/EMjV2hrhx75ZImdhZmdn0BthUKG57pp5nmHXrKgb
s15z9F4by/ycQe94UOu2O0k8jJ1NNDTqy6iZzUcUbH5fn7bFj/PveP7I8p9d0mVP5zbuOs3V6uGO
Z+BOypXD9RDqNCdX5mz+dgGeJQ1tIgMhR3BL32SJKpFIK63WYBo+qF8HELlolMiZWm8DE6/3A2Bw
blklS/qnUi0BshiekMDyD20qXjQ9LtKtnVpZAPvLLN2WTCw6dkUP5Lcl0R0f48qwbgy674hVt3ne
bFMFPDN6bW1N4SuTog8q1rM/tUDTpQ26KG21uz7mJZjadOGp9P4ptoHmu1z0PhBdrTT09MYKK0QJ
RF88ykHyNeujZ1ky2k2sJtv9KQhr+aEepGpTjAk2BfUQrZyvi1cWUEKYJHCq35DD9MYsk5HC7k2L
vvk+szB+SRtV3ua2X97mg2EfEelOT9dHv7R+OdQtjYOUw3R+jmLek2txV2IK3fbNvhvRmeWn6TuW
mrfSvlh4htO9+TfUbD8WeaiqdYMbYpJan+BamNsuN+JtHFQ/lQEPiOsDW4zGQUZF0KIkNRfvTcuk
b9RJrirVn/X4By8RV1O+yLV+fEecKc+YSEi0wGYXsDcAxlHTyr+J7bTY6Wn+nMnp8FmPKnWvVlW8
ktcsDussnHq5WONIl5reGWu3KFTrM/5zNTqAeT9uIqfCJ6yttKfr45tW//xEQE/xn/HNroQ4GfTa
x1rhlFijt0MZUN5g0HYQId4UIgnupSF5DDosdmxv5TBaXJqGDSwAcAdstVlkzIpJrsMY7IPXxtsm
kTAtazQn3JhRLX26Psqlc0+bEMoI6lJGnuMC6J7UonR6/6bKRP4cKVqtYh6XG8exHapt3WBXHvbY
eWtZ0rrvCA36GkdohVbqHB6d906nelzxQATuxPiSGsrejqyNkI8Cac40GVba5YvTOmkGYx9kO9a8
/tYETiYjFxy5Keyk7YRV3Q1JaFF6guX+nqH9G2q24yOh1XJlGTZpse3/1tDX+Sg5g/5aNFgBblJH
a6rT5JbxqpCuv6Mo/UdXEgAZ5HjQJZc7BdGSstXlOLjR8Q49KJFm7I3Stw5Biufe9XEu3cwaIPr/
H2rOV1edskdyLe1d3UbdynaesjJZycyWLofzELNjRvZ9tUqs0EM0AteIBJdBJN6xY0Ef3zlUYjJq
wa5l5XJYao6Bn3cQujIQxQTHcjmHeiaprTGQqcm2V+5LWfdPbS7wzEmS/+PsvHbkZnpufUUClMNp
Z/Ukj8f2a/tEcFQo5Sxd/f/Ie+Nzj1poweNTA8NWFYvFIhfX6qb6kO3mptFux1Hqt1XWevuhQ28F
+bDAlfJUfcMaAKIhlgOmoag421GvjJQkMEbpZAiIgR9kM0RtT0aew9pPdFzi4AeO8bsq7HQlOiwd
GUbaeG5A0wwhzmwZolBq7VLrp1e4GorDpEqDxmMQw2PeCjmVVq6uRXNQOkBIwgzNVQfZ6mv6SOgr
uQKtxDaBkgmG/0FS9re9dtEMk+gkPzTPrrBlEroyZa8ZEGpUxgfm8N5lvfakaUhL37azdDrAK0zo
Q9SyefO/dqJQCltniGJia+sF90xN+AyzIDPTrkSbRTugNOCIgdqOw/jajqxFgVLJmneSjTExd7on
SfYuAij+htPOUL1OLsNM9hXzutdBimbEInIzfbDf2UBxgL8kb4Btcd6ngwcYHeK32ddoo5IHNm12
8pcfevM+7oo9WoArWzP9kfnlfmFkPvw4ymXSQG9duvFAf0mUX7ve36vgauLyLMv1S5/fGc2X2+6w
aBNOTSjJmdFh3Pj1NiVyj/ZWEjqnoJbkl9AQ9k9Hz8f70mKgVEjRcLDF+LW3VX/neVqzsnlLcZSC
3f+sz/Inmg8IbFSyfWoy77NR9z+LqH6fmNI9WT1iY+naxOeSU17amzl/XQa174WUu1NNz9FVsceT
g1b2G47ypZXpV1w8DZuksXw7h2RbyZOTlgd3aDB/a0L1eHvrlrIk0Ag2NyqjJlfj9okRg9DqAb3q
DCtuRh36IoaQTl0KHWw7HECJvPfGNW3FpR2D3x34FFgIqsezg5AnzehEkY0kUiaIt3L5g7KTdOhC
fR/V3lE02cvtr1xKsS8MztvM4EAGFDEEw5mZ9Oy3+qkfx2/9aG3V1lq50Za8YyLHhBoPqDsVl9f7
Vo6GkiphErhKXkcPCeSmG4BZb2jwMun018r0wRfeMXiD59VQvJ/ywIj2HQD6HCBoHO+wl+81JsGO
smjfwH6MVdi0JlVHZghmnk8OG0fUX1rXYNgjMty40beG9dmSfmn2r9s7tuSXDixdfyR90IaYhZRo
VHSvivSQkad3VvJRSD8LY6/Rpg8RKatXHkQL1yYpAN2xaab/eoSMRImpayak0fCRsh8gLnxnlyA5
/S1tmEf89zsNQiOWj5F+YMvzu7ONfZri2TBN2nf/hbrqlrrx77HjlYlZ7BhraPW8KHVOMZtUJemJ
QY8X2zNWnh0Lrg6XEaWNP6t2VfiPvCx0ukgaXS8LjgxA78d6jaF6aWfgY2SGC7JUZoCm/7/wc67r
FmZg9HoKpuTftbn/K+/sZtuVXfV82+HUhRhBgZQ6+FStAYk5c24ULCuz0Wxxljyr/a23QYMsZK5X
CbrjjfKuzpXiY4hY5NcoCsVDj0TkN184+vfIU5wH0QBR3lB4sZNdHY+RBcYMzpZtBTHThxpm0xey
HI0nr6Y1X8JWNdOjlDviVwGNBZp4aIMnm5ysKt7lkWd/kIsgXvO7paVkGUG+0g6+Huboq7ILyX/G
U+MI6U6n2PVeUXvl6CPw8f32Wi6a+kPvN/nHVdMZ7EPTMZUZnBkSJS5RIjrD3pK4SqHWP2+bWkKK
A8MH7sfppcQ9Z8jwtc7jDZWHTEp676EM3joYq5pjog6U2e5iNdskevJJQAdy2/LCJQZNIgkwg/E2
E/CzCMXQ6RirnTW4PBQ/yTEqZ1J3Qv1zpwTpNo1WQtSSd1JaB77LSaCsMPNOhp9HoxWe5OrlmJ1Q
/mpMhM7U9BPTDo527PNaXQNELO3ipclZFHGGusiDIutdramFfV/nvv4ttDLb3ufxiNz87eVcyCFZ
TkdnvhYS66tOVI0gADSydXzuKItukK30DmWXmh/isov3uR1ahwIpmpMchPLJzLM17YCljzVBo3MC
6F7wG14HGjNDHp62o6Bd3h3a0tkUqeqO3fvbH7kUMUFh0M7XgX3TlHltxSrjPkUXcHBFWrlVXZ0c
f23Qbs3ErEBTQv0r9S0qofHYHIuueGG2bs31lxYL7p2p2wuLy9XjuRdmKUedxcRk8a7woBqvLEQz
sxWPWLJi8+ojtadLd9XvDcNU9nKq6iev+NTbAm3YRxka53/fEUbx6YHqqAJcNa4sSWK8o0IlVJWk
Y4sosedH+383AUMXciik2JTGZtluLYCZjFWouEMmZTAXW133ECHTEb7FDky00J1OdYZ52bptezRy
IyM5U4eHvDcxy/RzHJTi6z9/DiPcYApIi5jTm1/JRWcOhKgeyjG9/TIMybM6BiuJxcLOwwCGgBYc
FtOE0yy0So7ZZEY66YFKmvaYtvlY39u935oQb4qiP9z+oEVruDEIYEbjro6+U+dtk9sOuExFopOh
jeAYnaQ+WEr8hpBKwgj9EdQ5U6N0+ikX6QzjEbE1dIbkmlHR7quytz8h1Pe+rZtipc63+FGkTX/k
Q2jQzO4LnuCOHMqVfcpk89g4ztfc73dVaP26vXYLlyAQNryBYjdgqTkmIylKyyzHyHcRsf9gVuO9
4kMsrUYPAEXdUI6/3Ta3ENymCE3hDhqQiffy9fqpaZYKW229U9ZG+Z2XNoAFOn3tTby0dhQldRDs
XLdXHg5LKH3mDrnBioLgwfej7JjGmvklyYW3kkQsXOswXTLqSqcCYrL5mYUvKKjQqbApcKESne6D
CGqo5uj1K/u0tHAkK2TSJuUnnjivFy4fIGjRSk3i/kSzqxr1/ti22Vo1d83KbHsMBy7CDGUDt9RM
Mkwj2iS9udJyXEr4YCH636foE6Tl4gzZkCz5WcvwYx3AQ1ipz3WqVtuWjm6Ze+VGssvnTIYoUzd3
yhiuKRwtpClU7iZ+TOjYJrjDa+s6HP65rMWB29c055LCN1CP0vZpl3+Q6/Rd0KrjRjX7h4YRmtu+
v+SVl5YnV7r47pQpSRHFCZryAHBPVlhq30XZx3t5lNbadMtrTPGCW3cSk5on1dVge2NiV2AGig+B
pB20SN+HoXQM6FoX9rks+q2hte+yt4BiqV7/NTz7yDKHrjBW6QfoQkkOVREW7lj10NEhkXR8w3pe
mJrlYj1YbTgQQvgs/Cb8ICVCQeRSbjcoKvy+bWnxkHOPIXRJ8LpqyFP/UtumUjO3hVGvM9UJKLkt
xWO/qse6FI4Z3PyfpdkxT+10VCFwD90ysmPXszuGSPpEftfo4nsLv+chhf9t5aZZ+7rZoXeC3Fa6
rIPZwdEbddOmthi2mWFBURRESv2e0BNGh9srqq0YnQNnfDAXciaheA0jTpk+jLwcsi04yiB4GtI4
6R8LJcnrnZwPWXiu/ag1D1FbD9XO7KcixVD0gfk9V4zkgTvRhIjQ0lLvNBhm+6z2QfWUM3/0WVe7
1tjWjpaN+6zUMm9fAvMav/hDIHkfO1Se+x2Zlv+5znMj3MVIp2R7JYfcxt+QdxlqskHvOZfOo9UZ
3jGJh7Q4STCSO9tMCuic6l3Z/Mg6tVX2KMyab2CIm3IN2u1M8060G68jhk75rFQlG0mbDP2jWNmN
4wchf7+9FYsBkR9H0wRQJlKhr430MQlhWiBaq4uwzaDfZKwGJ6CGixO0Xb6RfEdpduiypx+hXc++
S5XsrdRcF0Pj398wx2rKpaSUrSqi8+CIGDWBwvCbrZqZ6feaJthaL2/R90hNyQ0YdgFg8/qLeaLb
aLqPE+Gjltlb3ZcLYxNYnsp4ba94yVZD8HCt6bCgM27TM/prVX1tFc74lN1sJXeE00Js/KowzyJM
7V912BY/OOnVJvOt+NjGg/6SVaG3kXvIB0iRoK63e5jqE57eyIqQV+8ipOmPWTdK90Y86kjhptk+
ldT8WHNStkHeGu/M1mBAM5HSlaO77C9/v2OWmDpG4dTMYhqu6bXBAPAEeWHouYNK2Sh24KFX6Gdy
cxyazK7OjWUJHsqmPg4rLrO0iZSmVPYQZaSr6YsiSmUzCnvhsuTfUaN4zoGLbbWSe05vPt0+IktY
Yh6wQJYmdCQZ+SxpMJ1KjhW1NVzeoTFEbZ80u9wF6cfaCtk0YDj+sHGsQN3UIh2PVPat59u/YPFr
p04t5WZN53X42nlUa+SOa0ffre0nAVdEL38Yw3Jjr7HgLN0/pg0zFdHGmoqpr+34sRVYcVONLpNI
sIkxC1JtwvJrkja7pP99+5uWDj3tRubpeLpNV95rW6WTQz4jQ1AQB86eavcXu7Kpq6y1jpbMTN6K
EONkbN7zSJwuUI1yCN0AqlOGit8Xo7KppTUO06UdgmtlKu9NwKF5NbEJm9TQyl5HnfBFao+tVe4S
5z1iyytZz9LxAykEJIomMWRMsx1C1YJypVS0p6Ywzp6tCQR8g9+daE9OJz7qCuJnYrQfzLFcC5uL
C/n/sBbAL6kcvN6vXBsiywr81LXD+mfQ64/Z0D3Z0C2u5MlTjjNrgBtUQCZMxx87s0CpeKk0LbB/
1pyg4t7jZfC5t2Pne5o2ZbK3QbmVO6nQIAwo1cpbq1otbiRMAQr9MTqAV5/Zp4kXAOw+KfZHw/8a
Wc2mV+G2aNfGLhYNTTVvbgVYfeYvfMkIrD6XW9t1Sq06qRHjcULpnI9DXjTnptLjFUrCpbNNLW6C
DiEZT1Lxev9ab0QysWAiu2mSvapnCPJ9jOJnrX8qzXAFErn0kLywNUdfmWOrOX6RCTcImwcR9SdZ
XiPhXFo+wD9A9OhCq+AEX39OxLPb0EI7cPM03w5tvm36Ryub5g2GlRLjkuNfWJpnJ7YcRnaaVQ2w
j1T5aQsf2TurC+MnJ0Wz+9/vNRhpiPOMoFCinYerEZnjrOtz6RSqXufv0L4Y9/C97Ry1GGFttiS/
//e9wiJP4QnVMt2mrxdy8JSql0YoQa2+z578ipFXI5ba/e1ov+B9r6xM23nx+nXMJG3BiEontR4O
rXqfKtWTilLRBg6ZY22vqXos7Nkrc9PPuTDHAEyRehJdfDEUe+Zj9gpyzZaRrXzVgp+/MjN7r/Ui
SdqioJCeFtm9HVnQviIjtRIQlyB/r6zMXD1srBrJDUW4iR4O4yk2B8tzRZDayVkrYvEDnkH1jo4x
KqlDAGves9KWD0OQvIhIMcaPxO1ujW5+6cOprNFphUlWvmIZsrM0CeRewA9WVA9e7HxEiOhw22MW
TQBzZlhZndjkZl9dVFIVDtaoIjJm781y2BbauFKnXoghJuh3CB0p517zcNYBiSOF+MGlNO0OqraX
au0/yTYORlaunLIlh2T2jXtThnKZYYLXDpkUI5Kneh64jDW8JyvfF0r9Ukn599uLtmxmop+Z+Oko
S742I+lh6vlGyGyqEj2KsHGVuHVRP1zx+2ntZ3c0LT5kuYAPAgOaZzu1XRqZETrWSc3qwN+iO8ck
uSBr+BgXXthvA83ofVg4fIYJ0TAd/K3pRcYb8HivfsUsU/AM+rrg5Tq3kvuw9TfIAffONi/DSD8U
daL57u3FXYphl189W9zBsrw00yTh0qPbO8MnzXjIDDL/Ekq17A06Fa8+bjoeFxHM73qFNxVQrlRt
iyPFrvRUJ/o3iDiDnRfq9koVaO3bZv4p57VVeSWdDTtvrZ09DO/LQHEOYyYpx1JP0wOgmmTlYlUW
vfWPOAaYJJBks5TSt+t8tOzIPzt61ZDNcfRgi6dnCO103v2G4MsGpwS4s35imCk0mFUy0/tECrLi
UPmJw2C0M5a/qjpLHiTDKZpdx5NixdcX4xCvFI7uNLw6f6cMbVI0Q6EjCTY0p9KKXlApebntWEvr
QKSjfQ7lInSLs9tqBCrt5L7TuJ4CqZAsdLEty1+ZvoaTWop3fIIKRRUoGZ4Qr32qDcLY9yjfnOwm
32VSsYs874fIhr1e9CtdxqVPgq4M7A/20I2Zba3VjHCItZXqZqN5NEbxDPBs00nZ8fbKLX0RiSaD
fJDd0ZqdfsbFKelQCukNK9VPQ/oohm+KmR+A7ZGxayu+uvAqoRBHJW6CqcD+O7uNKMK2vuhTGYiZ
eS+U/oOKMo1khU+UTOHfNaKgWLn2l1ZwQjLBa8T9dyVUU4RGH6pyoruKWeVnJVK0kwWlvAlp7O01
XHJwlEm5LyadZWPuFZ5Dsa/3hOxGvVMqh6CpK2nXa226AoFZ/qC/dmbJUjvKhe2Torv54Mcn5jKS
k5Vq5q4I9bUG9OIn/ZFsMEx7eoi8dguZaZoW0sLwHNSqeafYItg2HnSetxduyfko6jEjpE3eNz+2
VKtH3+y0iKrMR1EcHJ9+i9FtDCfY3Ta0uHKAaqj+UF240u9QoqGyClV2GAH1i3DXO4ofbBIrF/We
U2av9U+XfJ2SGs1nThazDtrr1YtGiUFLKzchbvHiTdOL9Mj3I7tpUxtGuIbJKyW38m0YIRpw+0uX
EgtnoliDdxasxZyKpC4Zco8qS5xrKsJnCbJnhteN4IRsZwhLKk3QTViY6objGD7YqpSsxJMlx6FM
NOnOIvlzJYwRc+J6iOZiQGHOp9hB0GdM35AJgnabOu4mGcp8dROjDnoPioCTVasy6VGs5eWp61Tf
PLbJUKRvSFouzU1ffBEhUWIUXoD0q6tE0mkI813bqPsEjWDenm5V1f/+fkX9FPEwVZmAg/O4Xw76
UALBoIOVFDvQK8+aL55Su2B63xlWmDim62qWhcKeygAQKGOFB/Ms+Ot+2kY9XMznATQ1DGSQ6Yal
HH9uNKvYaFpnIKhZFmszwQsuglUgR1RSHOSPZ7GlVyNzMPxQd3vPgjCY4/GeMmf6/vZBWDjy0Egq
kPFAGQ2n5Oy+oQvfDUzkh+ciH8KTDG/PYyQQjSTWqf8exiA2BLXHuUObZQ6cLeMo632UEU7x8C63
3kPasO2Vh5ya9u1PUhZXDtpjxhzR5wML+doVSzVpWpEEtgsBrvmoZ2mI1EIYmeE5b6yAWXM6GNus
s/NHpZX8O5/humLTGpn5xdJH6XFQipJ9hSu52sSe5K1VlBZiD8Mvf3/e7DnRiDKtKw0IYSehzoL3
hEGwjeSfibUXUrcNw2EfWysuvHCFgIUhrIMimRjTZxlZU+cohwcJiAu12PpBtBm8eOtXO4Ljv0fW
V5Zmt+9Qh5Wl+nbjRkGuHulpO0/FYH6y9Ih5esBB9J8ktQn2KanwJoMHTV7Z/iWP5jEN/RpMM7jA
7LTazOwX4AMYPhijfWSbu7wx32e1uoIvWTMzrfhFvKNWawSJ3UlMZYLrliqrOddSWaO2DSPxbYde
8meFhN2igkDeNC9BSghQRZDd2Kek9PN3Y51Ge2Fmyf62lcUPAl8EVnN6ac/rcwVi8YYJ7uyUsXlJ
qn1XMqo9VbbiH4ueeGFmtm6xnNS06aBPylX/5Dv3ZUuw0YpjD6b99gcthW0Kt//7oJnPA/0ZbUtS
xlOKMLmxKXKU1hy5jl/ywcwfGkMNf2i5ydzNbbNLXTwL+j8N54Mv9ArHOSDl0HVR47mhqUbDPsrK
tthIXZE3I1rDuVO/68pB++opffQeDrlWPWj5WMK03JSywmx07QTKylIseRBZHd0O4iEs+7OlsMw+
zxSDVwXZ0EH35IfeND7e/uyl1b40MTv3LUiOWsuBLEsoK3Xv0bfe6CYl0e9NHaw8JKY/Nb+PJyAu
eQ1C51dvpNpvAUhqFSA1Ktf1eCeYWw0Dt6BRKpeHUl9JpJbiNS9yDh89FCCSs8XjxVVJUh5apxG4
34epHHAvGGh/V6gSjAS9L4l3VCeNo+9k5segBiK64lFrP2C2tJ2aWAN4PO+kB7XyxePO+6GMhvZS
iExOtqAqFG2TSX5xEIaErDSKf8Ph9uYu+g9IStvW0NsG/fo62GmlZ4popA4H/eqhKaOPhZL++0Oe
nsBfE9NPuIinI3wzQRcyxxj5+RaE/TGO7DNT+yuxdCn8XJqZouCFmbC3SjTAEEJuPEk8eXmlbf02
sQ+pWma/mU5dm4BePBaEIPQJYFi9eiEGpj0omYR3JqEMGX+j/bas7rmPpLvctF/gtFg5G3+24upw
cEtQLQdHfvWGA+Soh74NziZNKoaHHMM7+ZpCHdjJDLfs7IKxOLpLufpFbYp4C7bDOrRp0uwT6IyO
WWOZx3/3HaalkUWAvp60Z5aNpYJxlCpuIBIwkidRD1+NqP5w28RSQLg0ob7eVDlNVL9JFQYNi+Ix
Nn1nYw2QWDm+Xx8yr1K+2XFg7/SwCFbSqkXDjPRA/uzASjAvaeSWYPah9wMqteou95tN3XwQ2kNS
6BsfLZrY+Xz7Q5e8ifkDSuHMZzHqPjuHEoVTS640w4U3JTnA5WpuLCXS7jwH6BlVTnkTJ535hpM5
tS4AhtEFvWLxLpqq1vAV+6SqR6tMIFY7N0a5u/1lSxFmIgWeGLYnMY+Zl+hI+ESRKlS3To1jrsKj
Z64BEJcSHHqPKK9OKJCrBEcvM6toB7jsc5B7gLIEtXQ0kvxTxxz/Wll98XugOZ6YlbE5LznLg6OL
SHRIHKI7UGrimSHzNxwsIvI0WzMVa+alQg/0dp3qtDqjTNqnInCNXFm5+pb8jYq5M9XO6Sf90TS+
iJZ640FGr9G4Esm+L5/GTG92WiO0bZe0XwLTecM0ApAMbYJaAcy8wipY0MV7TWqNJIfNM7n7pqjC
BBKyNVTXkrLmK0PT9l18GKEIghzHB/Np176/yx015TkSOnHKsYp0/7/E8QzaEj2ArKNOU3k411rh
DNuyhUdqm8gSospZrsq/7CAEwWrHUuLBPexASZ6i2uS2EzdIFtv5plSHepWdZcmXLxdqdo314TiG
RS3bbpDUlbGXkrEZtiOxANUmY6ykc2N6fbct0k4QlOQalHktjEw5dgbswZSvocl3EqkVlN2GUN2I
wtQ+obIbrmWeix4ECITSPFWoqxkJT461gRPJtKzV+rtJZ35TlYG1BwuZb+Mx+AaGcE3paensAUfn
EcONC5Xh9JsuNjeMvDZtzDg+R05vHDqTTprfV+Hz7Yi1uAUXVmZZGUpuVuxkOgj/rnZN+Nl13Z+K
mLu3mLH4ByqPYZxZgcbzEQDn+pLcKsr041CJetvFfvgSq324kuUtvlwm0pn/b2sOp2nDsVazAEIz
RwwMDFTxcAhkOd4lbWzsrVbXESSOlG3cD+iKZ/54RuBB/sQreE1ybSlLu/whs9tAtktQl0Ecu92Y
bAcp2EvpOZZKxGjWypZLuziRfzHRCWTpSujQgN0obVUut1EdvtZV90kN0v+SUvlyexeXPoiHO0zo
BgTYV0kQREVBW4Vw+lclD+BNMya6s8sMoYanuqavtCtD0zBW9nPN6CwtyoCa6l7XBueka8c7PTej
k9c20knEdrQbeusNfHhAe4CQcObgCJkjzfy8hiMSzLPLvfFgR8lLXht7EKB3STLGK2+ipW+jUwox
CINK10w8sp3oXQZrwknI/VbVxPvEMu6HWN62lvyGDhl5D5xpMATjlfNmAUpTWS9l6NEglVD534qx
NZPv3IziXo1rsRJWllJKSLJB6zFVM1FovA5ejZqEAqbs0a1lSMUbeQfec2MiWlYW+a7pg43e/Lrt
m0vPS9gMppedhUbSvARs+O1YBH4ou8jibQrtGZzWpsrufVVF8G9D4h4J7Q27R7OAvGhS23Xms6Ep
tMXIh0WpSxP1PdXijWbn91ltHcrIOd3+uqUL6NLU5EgXl0ExxCLXWqeD11Y9eOozSn/v4Ce9Gwfx
WMjjyvNrcfcuPmx29cR9M0B1xXS6r5vdqY7NEZCbKOmi2SpQ+8gY7W3pZcOpN/vvtz906dZDCJNh
RNInU5vX76yk9xWNuO3Gqf6QZs1TlLcrz50FE/SmIb2nRzihnOdf50EMb1MXdwOrOQRStq+Ltafc
wrmm8Q2j/oQM5xkwe+Hog2fAxNT5blR+AHpJndoH+PKp9deI+5Zm1+AHnSjQKCKR4c4uVj3ofcHc
nufqo9fs2kCzdkELM31Wpc+SUM0tCoLj1vaFepQ9JbqrRu8NysV8Kd1wItj0Xp+t54Qkz7SuTOmP
DQNznaYw9H3FhHnJc300401rdaW3v+0nSytMBYRiIKUsXg2zFe6SWIJwRrNPZR/shjDRt2GZPsZq
+j0sxL8D30juGCRgkpkO5NxhCji1naK1IleT9HEnOdXGa0Q0TemdAy//fPvDFq5ysKw0yRmdYEp2
fv3EI30FR0r9s+3U9QmuI/ke/sLkoIALWwnSy6bg/p947a5Zh2q570uPJNwt29T10bHI62QPbOP4
7180kR6SL/D2vnqxVsbgSWPJOIYSR1u9fbJq2pvmf/9uBKQJMl1UFjjcM38wJE9OStTIz1pt1Qel
kVBVLHoAs5YVrrjD0rJhZJqjoRx2hcPK81JqUrkO3TSeaNulnaK1zH31/54yM4xKpMIUz+N5syuw
dA9+MqRy7VZ8rGpAO1bk02lL32JnAjCQ6yiQN88iSKUPYEftYnQbQL9IQJpyv5GdD2/Ynr9G5pIW
8FyCbU/l1h3tcZe3YqfE+ilRcve2maWoYJKckfpPHJvzeWUVdBztZsNn3OrREsZOhuXfYrZDlceV
+LPkBBN71p9BJ4oXs1UbUc/pY6sPzh1ItJNIPbELEjM+kduvIY4WP4qKFeGODjf1hNd3fzJ6eZuM
pu7KUqv5G6seTcg7ysSQN5CUGyODw1GwBhVb/L4Lo9MlepFw1NZoQuIpVW7RwJNcKnqxbUvxLehj
fXt7z5YsUeHF03lbg2KZXR+RFNSaM/Sm6/MZe6XowneyXFWPXTrIb/BCxN2A4vIKta6GqMwyd5LE
HCI3zh7KZkpGfw7iDTokpPR/jczeK2oiJVXvMCuejubZT+3vWRseYd5byQiXl+2vmZlX9H7GRLBX
eCetkO/qDFNO8pzKa0jsaZ9nhfgpBlGDB+p2rVxb4ZGi8Ymhad0rJ8Uo1YMFMcX+tg9Me3xlBSeY
QIOKeYUaLZBQE3JUQqwxjnW56Qc49Dd5KhIOVWdQmEI3/PNIoiuv3E2L+ROvogk8NSE950jzQm1l
P1HD+AwrjjgUQOg3CCN+poxbn6S8FLB6asNdHnjpISrpJg9WsDJptLTC9L2BL/Mwu8Z+yo3WK3VV
MJlvFbW6Bz0njG2WSGIls15aY8ClTEczEQnQb3KoixNNPzw3LRRAXLUKt0Vf7nLxoE+x3lB2ol7J
sReN0dSEOtGEq3TeUoi9XgjaiY4ra7n9Yjh5IbaRGoan0GvrD0rnda4kF2sFl4WldGSanAzowKpF
wHz9iV0U5aC3nIhC2bCTGPkERbISraa4PvNUTCAvwlwr+uvzPMMG/BOjLB+eHSkwrJNf+7J1D1In
eihyqfoIjEf5rAZSLjaKKcn+pq/TYuWSWypw4bIygxEgXhlwnT2uSySdO7vLC1eM2l6O5Tu03J7t
PnihQ/7JHAKUWgxlo/m1BqSrOAVoya0cm4XtdXjfIFlOpkWZZLbQnjkWEVk5RC4e0jNxkKNPLg87
C1J2SCWfGylZw8Msbu2FxemSvPDeOraD2m5bttaojwaTjU3n/3tEpc4KoouBExDE83cMFcou0wI+
ClWAp0AfvjceKtVW/+9Z91RHZpCGYwhobRa4RSiMOiaMnJFG/GxqhfkcFJ2/DWW/XUEXLu7ShaVp
TS/WzDe1SEF3j/pEIj3XYXE0B8e1k36g5u9Jm1yJVzxzcZMuDM7cImNurY8rj6qPGVBQlYJtOIRr
muaLXwUe36bYSTVxXkrOdFg/Im7ZU5YHI8/b8aWWs0+yZ/wAXP+hytY0ABbSrykPUmj8gj276o4O
UDnovgFn8KAMu8LuNknYPadSs69Mf+UqWKi7YIqiGQAC+Jjml1E/BFEiB5bqakUZJxtjEAX8Oo2u
/4QPp3pCJhbl6izMq/6sdbIkVmKburR/3ERIjjDTfo0nDhUim1L24pxJktbt5NCq3yuwf3TbwIkt
a+N5VZPRgvFz52vm+d0jYar/Xme1r/LasqV2o8ZO9dxXLZplBoJCd22odZkLd6/9o6wGcTdqo/5i
t9KXmknGU+iHzWFMfR2ccpnSjTWFSIY3xCqyvUmFA8K7K5CyWlGn6ao2OXd1HW/hswapVRv1zoj7
qWgg0yLInbVH1eJKEhc1UidqyfOcvVEKqbdDJ3S1tL3v7eSAlPKKs0yHaX4TMdDLG5QhGNLn2S2Q
2aPRQy8RuJoXPmvFuKsY2U9l8YaoeGlmls5yzTbCEgxtBkmLfJG0ZWytNNeUFZfX6+/HzILiIPdN
V+hcaabT7anU3hemsuIHa+s1/YSLaChsKSuzTtTIhlRWt/HkPEEPQZRVukmUrCxWqgTqtDBX+0MF
XKY/wQj5HAugtCzcmCLlbLWtmW9Lykt3FtTc/TaV2rjYC90c6oc8LOvvDey7+S7Ngh7yc79oz6Pf
0es0VSa1Ipv7fqfGVt6fYDJwmkcqNI68obsz8hiEl8fYh7JRR1scruveVfaYvwsiX/18O0Vf3KE/
lYgpd7yu4sQhzG1SAWWo5H1OxPBCw/Bw28RSpJ3YLVg0xFWv0AZ9bYke0VOH8NfIPDNsxq6soPkx
SOmTWbZr7eelVI5eLqUcHVT8VZsevHpWWeCnzr2iJDsl0rNTOljA4kf6Nbsx7IaTFqbGp0GPLQJF
tja8vnSR/RlSUTSDxHwOg/GE3me2b9in3B6fHCX+ZY3pKSsrmiNojmmF/4YDcGlvdgD0MJah1DFD
N2l6twf1EKoMR3r5p9u7uHTOGIYB8w/Ilwm9adkvzpkmhQj9xoXsaqGzt4b0ycrK4xC/YXQC9k8d
ID5Im4k887UZI4HZwjYz38364ned1HdOPf5EXG5rSGvMUksbRd+MfHYCn1+xS/qphVJkWWinWvoq
J4+j9qRk2RZ8FgQ6mzcsHmSZExX8xDEwi4Oib7I69Zv4LAItjTZdJ5zvcjeOG0mp5JXrfum4aRe2
Zv4gGPqt4koL3UhJf1ccL0bLok3kaa4Sjm+4rP6oYDEGAjZqHgxhO/bM3m41txxTNzLrjVlGX5Vm
LQFd2qlLM7PLqk/8PleCOAK0PFT6QdKkNtmSg9B0Z3S2LB97NfH/Y9y6lldi11Lqdml5tnGKkUWi
YjrX1ZL06Ngnqzjqar9zKm8Xtbu+91c2b+mUXdqbbV7adClzlairFHp5aLT3TVxtoUJZccclF7m0
Mv2Ki7PcQD6ahXENIT0vvMqTTiUapaH8Q/PWcs+l64V6LQDlqR1xNQE7mOBCGj8LUKLG29GveI5b
e+VKXrMx8w5PDjzP7NDFgAcy2aaiNN0y9awPt4/wEgEFuebfT5m5gmAIzjNNqXOL1jgP/aPZ9rCR
GRspeQGwurNlf9v3yaYbfveBd8gjc3f7ByxumkIDldkTKLb+DBZdbJqdQmY22pytSrrPzX1jh0er
+GkExf62nUWXp8BD2w/yH3Ld186R6sJvDb8w3Ay5gmckXKonYAvaKen+j7Qva5IT17r9RUQwD6+Q
c422y1W2XxR2uy2EQAgQk379t6h745xMkkiifKJf3NHh3om0Je1h7bWofJFNbeFhdasTcSAqcNvy
ovOfWZ42+uwLXWFr0YDy9Gh53NsxH1cjaap03xR4vW+bWrxRzkzNTkDTKuaDzSw7DYqgRh00nkNi
KJqLT6EiotoXpgPayUJWemUyZ9FZMVUK/HPoXiOgM8xQZ3ZmRQdnRAIQh4MhxzizSbjGILX0hd6E
6QarB+p1V6kKwuIiZCbaWfWRZP+oVO77dFsMr26mVy7JpX07NzXbtzaFQoJQZn4yKrffazsXD0YQ
FTyhLM9XyixL3nlua7ZxI0kj5jQhPTInjO0hjCmdSspj7ICBmv3oQ7HiKYsfh8kTG4cBCzlfRyMX
qLVEjcLAdoB5GRxDzOEadOuNXb5SXV064YCbgBgaFOsQQJu29Mz/HerqQNUQ8FL+L3c42n66U/pn
12Yrj8zSGk4dQRPyowC4zOup2TgCX0UBZNW5GyUjh0y1K7JHM1JJ7UDX1SE/y2bNSZYcf8KGT4Mx
aLDNkfZh5dKWi5ahsyYVjcssLQ4Uwmt/8Ricm5k9BpAiYyCJsjzktYMLqru23zq6XxvyWXKKcyuz
O3IKHblFJxo4PTyZeQbsX3tyqzXluGuHQFF60toDUnSaQ5/F3CHGT7mDDPeQZea2oeSzi6msrgWm
LJCbD16I0/NsTSjAiR4QNbhL35NgGKWRERgHNfZBHPZl9MaJXz4RasmXOkTzPe1A633b6NX3zYzO
HT4b3Gw03fZgF1u353GhSr5VQ/7Dyqs1VNfVfTjZQlV9QvCjITmv8IM+LDIsg/h7CSLZg1vlJLEg
ubLRXkufqZemv7OMmisn+spPJqMo+oFGD5kv6BEuV9U3fKSoXQv+GsUT6QItHnwjYu1oXZ3nmZWZ
m6RdF4xUd+3BogV7U41w7iRmTDeG0OKxxxDrxigb67XNKrG9vYFLiwoZEAd5/YTPm39fTRqMERZQ
kUsxTx8U3zD8FpPu5PE/5aqY6dJXAqiDuaEIak1XdEtNWanasgFrEfrZd099+rtySSzJY4o5TfFh
zSasKeB/Fmj1AH+6UnJxSx+V0EIPR78TcajKuIXgeB59mA/90sy82odIQKQG2BAOAHv5u7Es7Y0b
sRK9f3+N9N1bcEb0qfAtgOEBUjYvQ5fcUq7Vh/QUgFH+SWPQ9FeK9/IN84NU7kcwu2DQvAW52s4u
nKHZFmHmWMnQTKwuGSukFRMjYxmQCqMKY/A3BI+2CLLfwigK6Jmh3tvFUL+hBQbToXoDpxtCMw7B
5ftvPnYdu8MAucTgJdYVQwGN7l4tcFpjylw57WOuhtEHr2/h010d1nm78QzuPVjCCV4JUup0w7x0
yJKwHksB0g2LvVQsKh5RSwPem3EW/AO8t2dvU2CkQ5yzTJYxJNwJpIo1gf6ZzLMKu6hyEcRdo0MT
f8nIyx0ZJGYsFOC6UTx0VSSSLkzHPC7RY+Nx39T5g0PNei08u6pSQdD9fDNmZ9YUitQtKTq02iDN
kPDUasXGY55zN3JGvuNmjIrYLQB9fXB8IUlcFe7HSR0n4mAHAQeIODCUN7/0vTBvmTXW9hGSRklo
NfdBJO9lXR9v3xLX3fjJzvSsTGOqIECb3fON1mZrBF4LDu/G848FVGRf3WEYuqQaPftoijD6N+V5
/QtdDP5kQDTyjZWrrLHWwnNz/jPmh43YDR/cNu0PIMQg3xrm9kjXKiPiT0OVN2acDY17hwKd9daa
VvPitoZ6a7t+cJIcgs2vPWAYeZxCOfqTKesA4jRWWLpxluXM/ChLEBYMHUv0NSK8WVejTQYp60Hk
Rnv0LfakHO/UgXS9i/jKBNWCEwIuMxkAejzCXObl8wStxSELhhrVhqEzk5JHOJ1WvgcBixnXUTGN
HikPz4gZxkqiVHDbLZa2AyEHLqMA+SPqtZfWU4zVGdIw0hNmgukTeJ5cDAMBvRDWUOGrRnONemPh
sQqnwiWQnpiyA7PNpb3e4zJy0NM+QUZNn6zGfRGEhYmg6T9OZ4ItEOie3e1PvAp63+cFgV8HihZk
OvMDVlqtKQUK78BI6haYq7rel8S3D7etLJ0vgDJAlfIO9btCzXKjNSvk6eMhDT8HebAH32MChuwE
JIBxQBXEoB3ox/0Yc2clgFtwIGDzARkAGfMCJXdTD6DI0mjfY1rrCxNd4vdtFUOsKwElWRabdX2i
dnQgztpeLvgO2vlAg6ClsMCbbbRd5WKgIjuiU5IExW6UZuLZ+yr6fntpF97MqQwNfgtMSaN5OvMZ
kFkbtK4LCzeXe9A02EP1Y5OWwUoctegnZ2am2Ocs8/NSIRhOCD2pgpvmtrOIb2wNq1/LjtY+Z3bk
DG5WriNc8wh9ui1D8Yq7xs7oor/6HLg7CKRNqIXMVq1FEbwjfgAmMCr2Fgse6pR8mIEIRwuNRaST
UE8DXmZmgzSOm6lIQiIu08MeTJvZrkOm9/X2/i9tDEJ3SJ0iLwJYfFrQs43JO5VhRF6qI3RCg03d
u2GSjtEarGrJmwFdnMa0McgKpNyllQoZ9xA1bnDIXRZ3JhgJ5YaA1Tx3V/KRa4wRVu3M0lxDWNbU
lQKw3aOJ+/XeNgmYqdvOd3fK7vQfLUl2yJgcdnRAxtfinfxes57miZu63Zqk3OJXT2FHBOjadXZb
2Vnatz64uO3mnvDftuxjVz+CvGLlklpy+ndFb2Q6IBmaZ37KD3sg9DKgmkywCcbaN+UfF5QgYcxb
0rKVV23yu4v+MCZEwMMIVALQRihzzBJpb/Al1XXDToMJnKOBgHhDgpTHEjjHLe09c5sCtL1S9bj6
xHejIXCOQDlZYJa6dCBkX5lioQAPeAVZDb8g3/vQ2brDh/W838dfMOk5CXguBAyW9JTuZHCQ1j9l
KBLeFpvAXnPSaYlmS4gEHcBhB8RmeDhnxwH7NZrdOKijEQyblt8xCKFUjMWkrL60EXBxtgU9PTMJ
ZXY3hgxurLduulacuB7DRqvz7Ge8v7pnZ99vQbdnKoyYGSnmwYEPsuoUQ2/KPABNFj3WuIF0DOKK
CsgTu7O/Rtx1n4ds6GUSMYPIg6xMULfmZUkeIPAmvA1wmg5SPa8pVDKymtb7JrAqMN6HawKaV2dr
9ttnDjH0o63HscqPTs+Twt43VBwMTHrl5efbF+RVVg5D0wkGl9XEATUfogFmC4NQVpAeRTRsTdtO
8rq+97i57xs/Svw0f6py1MduG70+Y/ALJGQYDAH39tXkDqtBpREaBAi4SO+5GLYR79uY2/nWKpt7
A0p+t+1dvQKIG8/tzZ5nMoKFG42C4mREEEZI8pZbIG2rKmetMXd9ji8NzTw/HevQAdmLc6TZl4r5
iV8UsSPWNDan/8vl+Tq3grvv8rYYitq1S5eRQ8CLxO6/O82zYZxc+tWDqoonf0K2YGXDbi8gWo+X
FiFD7XissN1jmBnGm0Tc38elMjBsfHujbjsGMFSXdhTR0tG234PfbTgU/F/HqjHR2Md++rkN17i0
bm8WpDoujTVtBvYoJjBh47XbyOObesAwVLWmKXydtsL7QO0YQtodIzBXkzyCEg6e9GA4QjKwcY9U
GxmwwE0DqmSzzI0h1hJCc9uOyyGEanSvQxp3sqI+JmTtmr51TkXMDZQoGvYweCS192UGYaI4JarN
NlYfdeH+9jYsbffZL56PBZmaCxeyYyCA8EX5MKKQE5eMrwn8LbnxlD8ie0UOAFjK5foDkAIObGJD
/SgHxCyBsDIR20C3ThNnARu6Q++z1thpDPD8alVEy5cuC1Tz0VT9fXf++ytmd4Mo67HoZWoetBjK
HaNj98nH8w8JVgPkcX+xroAUoSSJsBeqA5dfzHxQYJiYjz/ZEh8puAzuw6ZvXv83K9PbcvbuuYGb
G81EzWTqnB+lDwXtuEzTj2vpTCtnu6g8AYBjB/MJNTG4KaWDFx5D7nyFImaAMSQaHAwbzCe3v2jp
pKIMjykJZMlI5Gbr5gpW1kzV4QG6EGPsphjsy0VKt1EPAt+/MIWkFEkJiLLB83i5eJSAZwCHD3g6
S0MA/JNGN0WLD3fKp6U7szK756KAcEVJyE4muvLuZhiNKNv1JoilcdDGVZX4xfU7Mze76QpcKRl0
Fppjblv3aa/vZOPvbe6vlKMWzWCgfqKsQu1rHsXq3HMRSojo2DBMEhIdN5l8Gon6dHuLFm+nicoe
hxa/el6UqewhckeR8aPb5y+6GrbS//CY3bQ/Zyamn3B2hIxWRx7FMNmhyv+kQ4QmdRZH3hoaeWm9
QESExhK4hidV1UsrleuJjIQjOfgT1dK92wSi3nXGaNMNH8O/yGzQ5zkzN3M6uw9sXVHtgYy6HTdp
U1lPY8dFUtpWv6u1Lw80R/H/9mZdB7KXRmeuh7lYlwK7lyEX6AHzhiaQGiGNgIlQEffZGm3Okmsg
28dbglEqjPnP4q/atBsjCBB/Zb7ekJCfqBIrd9GiiQn+8c5ocZWNgq9chiX3OFrHgBFhJMXRH24b
w/tQlUOrE2BXYD9mDyNaqm3rKsC6KvtldL7hTzHY2OIo/3V7b+ylcGvqxIFPBUJ5V+3NsvNqxiSa
xl2RO+0dzfv+tS0xognyJLM2MIhpmp98s0LjJa1zCDihmFfruw4nI4/huzQ9ZBa10m3nVc2LR6Jg
QHbsV3zfEIs9SK2bQ+5weQ8xiP4R+UA6xNwTRXQqc27UdykETx9qMCgMz2UX1o8A8DQq7q2iXguZ
F3cN44TguIUW6RWaxiqoysKxqo4pR3pXcjSLQvrj9nIu2oBboE0CS1e1xj4CxIxRywbVSXiH3PgF
2I3NbRNLIdME/EChAJ8C3oPLGyMEvEoUeY4eqvWHVtGhH8ibj7KtBTIJIzNiMBsl5fBhNuLJH8+s
zgIKGtScQb4ERadGVnHgAE4TO3yixMlM83j7CxfvizNbM98H/IOhwa6doxHS4gm+JDadqp0naZTl
c+oq59//zd4s/AObGnSDRxEcVPNSDTJxwNbdpvsB+Nvbhq5Ld9Mqgp4AxwxTB+DJvdy7KI1U6lkV
NJryKGRbT0f+VlFwhm/aIhuj0+CV/N4KSX5f5CnfOz0DMgrETc5dJDlf45JZWueJKHwKQ0GcOS+q
tQEmIA0X488Y1wJBjo65YSWtOmBMeuXDl44FCmo2tAIQ96IYe/nddtdnhmoN79gAVddh0kdDkt0F
6neNY/qamh0rfG5p9sCpkHUicvr85LGsf0116r8KoJ5pgkRTPErd2+SL77Q9i01R9tG2AP1YeTBL
W/4YuANlIEDjh+GoSa3uSww+r1FHoH6Ib51l7qimQ6bEcdC0vRr2rdCJayQXxtHqUby37Po5NBvz
BbgE/qqbNm8ThvT3i+PmtRnrsIswYz0qIz96oi0fU9DIfAvd2spjN+K4XGTQWPnG70JtJrrMICGd
Aiv+VlY9eS7rzI/iwi40uuDE5NmGUsPLY6uuTbk1WxPsYF6eAtVLlJV/8gonbQ5tEKF1PuQ13Qt7
4P1+hHzzL8/IGjf2tQqhuE5HjM8KoEmauKU98GfKMKNPBnPbDu0/MdogX6dWlwzGCF4M3ysajYJm
T9s9b3lbx7nXszsvDfNik1e8r2NfQaOVilbEwIqCWH1QMtumLQVgj9eo+baNfR+JDkNikmU1j/F3
bQzPUuit2E3WS2TDmjcb4quoeqDlYNGHzm/CH1WRVj9F1rZPBm+BuULgCtwapiDQTIMMqHHqkYKL
TeZJyVAfZ8zbQ8DVzRMHzftvLfiPASuQqvxTgfb0JfWVqja6GEzrgCl4eRpdo+i2/oAZbZsWTpno
QZC3bKBFHQvHZX1isGocNzxT2Bc/l0LFhI2mvTE7Ffw2cSaO2BGrjMHi23g7qxrArNS5QY5xdyko
+hRNVGxxSjWw6toWPyVFNpZUmd+Z8RAahYDSm0WOgwj6ciNojznIKBM8R2ULRfjYY2J8s/JpzaWB
FYnBg1HyOBjLMUyqejD/mL2n97WozX0mJPuFZ8eqNm2o8Qa3csBcWZpxTPkzP42+3r4MF24fnAMk
c6CUslCBnEWFGKm31OD6eCorBwrAfp/HNOSJhsyS1t7v28YWohwYA1cu7iAMfc2HHJoi7MTEHnck
KQXMFEh58FMa6l4R0CeI5LaxxS/DPYRRLLRErpJikuHsNEPbHidOkHps4rQsMGrwAyXHlVhg4V7F
+iEStRHrXhMUcJWVTm2lIaL24RMfo5datCtX99LKgfUBdFlIUlCymF3dbRcUvW17YEyVwwmSNYcB
Y9joPz6OmZc0ab1GWbWQEIG557/2Zhe4kZKe10D2HdCXQLVs3A2Gf9+aa4qJzoIddDWnIgyU/xDa
TP/9LL2zqk7SIi+yUxMOAPVlflo+DYC2JJTCAx2ZmTENBg7Z+DEQeSxb6TgJZgeKU8CgdHGwqzoc
IUErrT+4/ZF0JF2Rju7GbluB+VyQZtjTFWmk8TCkGISWHn/1q0D9ZoNbe3uwVg8YIJa2C2haSIBu
tWSXy4e0AOJqI8dweM1EYXwfaiWOZtflyZiHgHS0ka/TBII+KPuFgRhX8uqF3QZwFLiy94Y8guTL
VQFuE78usPTR8UHa6lfGXd1m+9wLdnaan8JuTa1v4ahgIM2eBMmxCYCtXtqreeV1tj+wqX/Y+F84
bxOCfqWzlk4t7DaUb8FJhj7z1HKYfVdaun3NQfmJOhWm36p9JYyDS8jKKNU78dPsbYciDA4jaIes
a3nzbNBeP2BG9hiYdYlrHTw3xSevHy3/0YgKlOR7i8k/rM1HuqGRajB7WkJAGjS6ldtC8J21Kjbb
yEZsPeYuNgBVCDAkml362RQuuH5pE2b2x0s2gJBjD0Cgjun2eec6jCqV52VmgBOZGL9cow8Ss2jA
3FvZ4RpeaOHCmuDqoNXEYDQqEbNTFzSsjRxEMwflVM0dZn7oAYuxxqe54MWIMzHiCNjuu4jDpVfZ
sjZHW6GqHDhV0mDGxSJ303UlVRun1l8sH1wY5U/Ag65BDI3BncY1wPZDyRRndcxroUOoU+tf6Xl1
uFJLWXJkROqAkmMYF7Q0swxCk7RspAlKMGLxHcbLE2zcoW3XwPFLK4gC3vRSQnL+ClVmaBdyEFaH
oNMSR1GIY8CabyWUe+uO7jrG/b/4LMAKUXIFE4CLBv/ljilZd31OVHXsff1lDKyXysggKWZ6fz78
NIMzHZSBKNoAyzVnbiPCoqKUBfgNSPOsiPPQ2mIPAaeHXpKVh3PB1SOQG0DgPsIaoq96+UlBkHEl
CwHYUW1BtTkAy3e3YmLh9rwwMUtcAeI1IaM3+oeueujatzBKY8HAdrM2Abhox5l0vMEtjNt69in5
UKW5JwfrWFr5nWmNP5ti+AkOsKSz+5XZqpkpzCYDQDOVdd+nq/Bvl6tm0JKq0C+Cg8v5ppR8p1W9
GfVvq1t56RYMwcT0FiD9xWzGzFAYEYDeYA3Yox+jLmOblAfW3nWqWYkGZyd2+qJJwxj1MIwPXKPQ
YT0zvBAyeWNXPXEKwV0ikZShRrliaOZw/8+QjzBt4h0CS8jsi3QB5ruGBOERksn8sbbH4K7uQcl8
+wStWJn3BXvbk0xxBXExIC0H2n4yyw9SZv//D4HAFlTcJjKn2WM9piYpQuX6hxD9njhiwx+Td892
bqw810suANg5Rkqh5DUFnZe+JsacQR9bj0fbKO8oGcFLmH6zqRkrPX65vWqLprD9qGrBFVDsvjSl
Czwg3Qh0WMmb2B4nJrMmBnoZeh7/3LbkTp3/sxjkffVA5O5FoNGdJMpmhzUzurJFqxTqpIyAsz+g
TH4FMh8YkhEAqiJxi3CALIvo0j9dFrXb2uw52ZojmSCYhmt+D73e7x8s6I85mJbIW3qvHSci+7aD
0ummVhVSJ4D8nTzmZurWG8gy5tZmbEo3ePIZSgtJR4Ne/fCK1mCb2iSpm3DMklj71u6H/t7NZWOe
nAL7khCSM7oJOJDb+Zj/JKJ5KnU9ggWtN9wHw+1R//J9VrzZBXd+oldnNknj1nqN5W7JqxGRIJGa
JEhQWr3cH9zUGoGJlx77zksAnNpwf638PB2/q32Bkga6/yC0uCYNtc0s0JbKTr41RMGmt2pigbiR
FM4uGFBKSWoouyG76oovyJdriJGnPPh82zkW3RCxPVCw6Nde5dzUcOo6sjg/8vytK7y4j/4ljUi8
aqUMvnTnQfoU2Tvgo9cky5Jbrmr9kp1oGUVJDtTIkwPyhDgDFdH+w58EJh/0hREQgfNznse5Zp2C
GaRMT6Tsy31BUOSA+EZ1dMq+e2wim68wdy18GogmPBChIL4H1HN2aYBIoBZM5MVJS2+4bysWxlYB
tNKQsbWkZcEpcf8hBrNxPQEZPnPKNvJSNxhbMO8wZsQ8FY9FpFYupnlJerouHKQrYFpx4f5XxQot
U1FUJvoIftChuaPSKkmBRAFH9Aa0j1C1c8sfBdEJLX+OtNihuLi5vYHvudfsYJz/gvmLgoZkC+gs
saC2ZrjjFp1q10ro0AOlbU8Om0DOw04PBCFpTFJUEeOM8lHEXqkLDBPlPVDyGIliYjOiSqdWft4U
Q936dbP9NpASl2mI5FeFWXofWlomQOdm0AAXoryXXqWerBwEe5y0xkosNN3UV6ZRmQdTAJRGQJt7
eSnRioajaME4klaAiAC/4emvdVPyf4qoFkOSaWk8czC9rIWVi36H2xex0eR983fRojUnNhMowUAb
IVE9fS1D39jd3valc4Qz9B8jszoPyJWiDO2d8NDoQ5u+UeefQf9F6AVKTWuSOp/AvPO5b8x8c5Ix
NJ6Z7e8rXqDYHW4CsoYyXfwU7A9ATEujUXwAA5GRyfBQ4uESNXg79Zj09PvHFwz3KWoziMJR7pvu
9rOClcuk2fLRQOriuH2Clxuz+ZyPGzejq2OGC453bmoWQri8aTzOAU3pIaNw1yDFTiGZbSrIxvry
7W8+ywdkHrUZtLpnTm7iQmnyThenZqzqPyIbzEeDDCqWJsaWbptaeP0cPBGABEzoboCfL1ewHDvX
qzvElcT63ls/zBrzkTYQvSxPbhtaOkCYbMFQFICZgI/P1s8e2rzGnKV9KKDLFYZdusm18lZS5sV7
89zKLPvjZQoJ4gwohFSdyj77Yo57YX0CMPm5T+tdlr/pDKJabguGk/C1x4DkKnhgyfGhuBwAO+B5
oOidLShrU7wrdRQdXKX5sQJzbYyQWn4dB5usVFmW9g4jZnAQKIxeo+OtkqGNU+Yppukg5tEc4aAg
3ngr5Aq0Y95AfH8PJ30i5GVTQX3eKRhYV5dl6uYncKI7n8ymM1C/D8CXxbL2tyktE7yWxN9KbbKd
b+l+EyqoKyslx40SoX40ysCPbTfq/8Knzn/X7L5scsRZrWGCIYfU5l0ocIv5kV7LIZeeHIDAQQ1s
24in5vXfgtRAzGQgSQplUII6HyJMXysOZdmYUyG+i0xBbNUhEnJtHz8ykKoAug8FIKR8syPjpmA/
C7NBHFNC7x2UIFW7Ruq25ELnJmbnxW2lbzCp2SlvWCh3tHGcL6IXmIwpDGJHz8Dyu2tXztJNgBYD
Kid4KhFeOZdXDjNaJ2AKGP66D6EI2h9bVayMWiwcwiBAX2YKgCEWMc+WqQkFPYzsgTCxk7GTpyCr
/rdDv/T2/iyEQZP0EuoyQAqhfjYLg8oOMiXWaDsASjeJAXltPk2eRWJLBrEtxj8pWr+3LS59F+gW
ALJCELzwePc5JlqFkR47Om5N1sTaMD8h3Nr9hRloKSMSsSKUtmY7lCHbBARCRqC39LwNck1yHyCp
3thorr182BReOXg3OMWRfM3jucA0SgLRsepI8y80Gh9rSrcaTLy3rSwc4Qsr0zE4ixPQRcc722TA
B9HnJi+3ovvtRegWZ2BKND7YrZtuy2nWDeS7KDdgjmPaxDNj4RANfV8AJNkEstw6Q+rE4GHH3KNw
rBV/WPDAC1Oz78LoLxkVeOdPnVeQHfpkBRK9/DPQwCAly4om6VH+2oiwX6P0WXBElD0x9wIVMPBq
z2vGkCKCKpHZgWUYatAVpBajUe3DYm0Od83M7HqyLZTZa9VrqKe1XwG/r7eRKSD7IdTaU7JwEeKD
8Jii/Y6hn/lZpmM02CpA4AAylQ0PjGeQ8yKgLA4qClecceH+uzA1e7WcOmr7bJD8qLPq2Ghjwwy+
ve3va18zO8BlVYnIFz49EpRtRjBKRQYY3sd6x8e1acelo3W+cNPXnnk7g+RmVbdmesTyxTamNiJH
g8x9gIiUEVPng7jZ98OFYUdAFqBshP7o7E1sIJVTi9QGi1TFkkJ3oGXJ74GmjTuwSt1exEXnQxUP
/oDyMeK5yy+r6woibS7TB9kpEG1AwwWhRS179q3KxurPbWOLy/hfY/OE389a0CK0EfQxaPYStcFe
pPJuBMAPtctYZf7htrlFB5nYmNHlDxA+zpYxr0vlO6z3D7r/0npfagXSx3LvrpLbLPr6mZ3ZAUZb
DjgbOPwRhAg7UjQHN1oT0Vnepv98ij87Tu0ALj0x4ipyx8JObJMasUobvnFduRYJLppCMD29vkAH
z5MlBiEIWokGUYsed5VsniWhn3rprsQVi5uDiigUdNCNu2IfqojDahmK/kggcMVKdsda+m0o+StR
5trLuPhJkN3FUC8yQByqSyePdD6YDIDlY5Wp+8IkGydzfzWoP9z2tyUzLt4JtE7R50a7+9KM25Yk
7Ty7ODk0IC5ktcKQbhrtMLT/RaOs7W1zSyt4bm7mdh6x+qyLkBjUKJuRyNz0AA44FttNPD+3TS0V
C8F+jztpYtuF1u7s06IBYR5qKcZx7JwOku9M5XqrPcG++aiBnjg4g7qDMaBICtUtLgAPLFKQYJth
xl5rSNXIv/n2s98z+/ahLAoPk+85KqRAJYPr6R9FdYueRwNpO8P8fPvzFzcWLWo8AQgVr1ihw4p3
lSgDdoR+5n3PIT0qIB7tBWCWum1ocUvPDM3emaFReSqgIQnlNyfW3h/Mg2wBSM6cL7ftLN1YYFMD
CBWZHmgYZtspwR2DyqwfHgYeJlx5h4q2K+d70UQAHAYqicBZzc+cQdraAAIDNBKeSlLQw2Rqjd1x
2uRZmRQ0nOhOQzxnwsTPUhPfbHRlE+h9FU7THkCxp3bhELifOh2wQzAqG0MmKZi7Bcl3f7F+72U/
6F3gAyeHOYsHoLsIViaPQL3cTx9GKEgWwfDxdsP70OhU94AA1xzvAQ69phgtjMxw+S+436EC94K3
ecXflhwbZPiAX6Dmgc7x7DuoGqTXpBqEppz8ySL1LMbwS+k6Xz++XIgvTKwKYKTQdrhcLkmGgXAH
ynKV7bAJkLrP62zF35aOzrkN+9JGynlpDNBHA5tN1R8GsxoI6MScoAT/U5T6B8yZVJ9uf9bi6oEV
KwQRObALcy+w6ZjLlMKk7ecvIwNGm5v3hTv8uW1m6cuQ4k/NAJTbruavdU6rqROaHSW0DQe/3Y3B
XlpHOqrtbUNL5+nc0GwJW6Smgwipexy4GQehE6P6FUetjktUhLpySJRfrzjg0i1xbnL2MhPlYyDM
A+7eGKAJXGd7IdakZacIdn5LnJuY3amhKLXAmBFAuQD593b6GFpHiBVBkhVjfUa/FZpumV57Mdc+
bHayBuEIsyG1cQhpAMVqjfqo83Z7u9ZMTH5zdgnRMhch5K/1EXIUh7IB9rRd081b84jZO9E1AYN2
J89ONbX4P2UbiT0o8FWsqeu9eH7zO/UnkiCUPXb/27fN3negx2vVVKM6diw7oOf3iRneWrNjMag5
94xZ7sMaTStijcXJVE539HWnEj8akrI36gqQwRG8IZ6Svy0U9Adg7KMedIdWBqDqUBWb2987Jyh/
T/nOfsucr8Tze7uRUQO22Ki+B53isff8jdsNDxatvrd1vskK6GaWoNFvIn1yxv7NEdHP2z9iebcj
F88X0ERXmgpZ3VIEsD47SUb7dlMCrhGTXmRFHPIiius0+iIst4y7rl2jA1i849CjAbcFWKfcORSV
SV6NaVe4x4bgoIY/QN9yYmBlCPpvt79x8tir2wCkI5AonpRc3dmFk/Oq0SlxyCFTJ1BBFe0/rXVX
cpJ43RpT89LzgDzgP6ZmF89QQ4U6bZl7gMrf57RqEl943xu7XTkqi7uG0V6kUgAdXoEFQoylyNCn
9RGKLGl1COwSdfoyHvVzaIi4DdfKLoufBRgJ3nOQzKPLdXntFGNeCbCh6TsQXQfjawTiULNZiU8X
d+nMxuwlQorRVSbrXDSIxZdaG7sGowiJ5OOTx2so7AzdSvSweJeeGZy5BQMHe9CVQHMYOtsRaLoD
H7uyT2vrNnOHaLBKjcfUQGRq/+yC6p4ZxoOu12Yol5YOrTn88y65O0/fld/1oQ1qnaNvnph9MAp6
J9rPKMUlSO2S24dpadUmWWwvDE1wT8/b7FENQhKVoQMhZZaUfv95ZMPKeV16vdF+QKHaBZsmdA0v
vQ1dqbGkVlQcgX2MrbY61YaMG0PFojVjO7yT4ZNWa4ovS7fRudHZVgEAVBk9w0VoEv65qfuYgnA6
83KIsAwrS7jkFaCYhMZqAAw5mgOX3yf9CjXYXmZHr4l20sy/IgrcoRe50t1c2KkIMvDAQ0yk1Veh
aqgQ/FeYyjt6RvUZY2G7QOcrR2jhS4CknLgMPLAnXKuF1AI8EyWjx5r+skqeTMOEbff6QY/DV7z3
UPBWovM8D7kj6tjab2x1DL3u0JTis6ydw20TV98xMzE5x1lYBfKZ0Oh96KtIb8wPNu8xagl100PO
i9VX/8q7Z7Zm8dVgFgELJ9GAngvpHbLG7DE85Bde8Zl5KLjEXeaY/R5yCan7mmWoO+1E5o/jAw1t
5zmtsjCPMUvMnwW02nqM6sgKE4A54feklQDg2YSiwk9ApVOB+9Ybh5Xm/NVlM/1+gPbhvsDiQafz
cq0kZ1Gkw5QcXFPtg9xCnWuXdwFYmwP88aM+PBlDCS/EWAJgMPOrgNOampHGYlmFhQ511uQbxzTk
yvZfnRRYQZcTvMom7jVcOZef1Ak2+BiFiY5QVQiajed2rbuvLJX/e9vNlpbOxrAKpLJQVId47aWd
0gQaNq9AgwYgHpB3fmfHKGFhCshM9/9H2pU1yYkz219EBAKxvUJtVG/u9taeF8IrAolVSCy//h58
47OraaKI6QlH+GXCkyWRSqUyT54jRnJMqmEDm7m6sguLC8fmhWaJwhmNda/UXepmw04EhrUR0Fas
IIGbB6HQ0seE3WJduaWsVpsqj8smv89N50ORJumGjd8f4UUWN0eaCyOLpYC+xXUHE3xazmiPBOMC
xBjPJR4qcl8B+unuy8ZndQjCN93cjE1eGKG0+6CNOrsq7chS6AqEfKqaYDc66XRILVVOe2nq+lM6
EOacMnPg7gksXda7DqWTp8ll/fhVKR70D1blgsCp71WZRTMWlkbwW8+IalZDLBGT++m3kmbpXWkH
g3uYzM7TO9tSpgwbT5sfXbdlbHfdmdY2HQPnyDUx4wKo+SInG123HoWsCgy/O/Wz36RNs5vR0ltQ
5pXYCC5dMFDMqggYp13Y4SItCQOfUIyPQ3Z4SHQYnsaMd1cFW0/PldD4wtQiBZTpNGHw0QzitKSn
DNquYGjzmwhYo/pBAb1/qkXyTY06+Zymzufr27m+TMyigOkFVe9l7XLKMOrXzvqaugvu03yIWz+I
g9w4vsEMRhBgA8wQqPa9DAF2AUQitXMzBonrrpKg5fHc29G3D9fNvEY2wSFwIP9nx1lQBoJuJTO1
UeBdB9BkKEwH87t18D2xaH9wPQaE8dgOu7SuBkhB5MGptSyFuQDMsoucDBFAjfre8jq2cXms7jIg
jUDJgBXtVcIAQcnEHkRXxbYkYRtMUDJ9h0raRoVpDgXLUAGFC3xMdPEhp7SI54MJ9WM1jikUFo1j
5t1mzk+8/yKDbAWllYCO+/evofmMXuQNkFYGZiofM8DhNEOD2NnTzozsynrqpLljxZYI7O+SwKuV
AXqKcx/gSlxCMPpaJ6RoyvScBIUVjg7h73QOiY1hcIt9k/P0NjNReGrMoMagv7AiTJKX9cb2rn5E
1LpdAMiB+VvO8RLel0HWdwJ6wgkkozi641+tKdmwsvYR8bqFZ6JjiJi6iDv9WKAGk5I8DiqAPlhu
gMXDbGKPBW3oodOwYW5tUYDeYy7WgVGyPJjUkwCV97U4j9Ygbk3SmI9l7r+vg3pLQn3VEqRKnN96
AQBmvHSaRrq5IC1lMTiSniu/PSetc5v3wUZu/rrUhRCA0aBZQQejb69YpTQdodAw5vzsJhAEj7Qd
cLASFP5T3wv7OCi0z7GjmDbGoIANKomCjjeF1QLyHjR8i9N57bYCkzXAQ5DkQvdhPkkXJwXCHhYv
tZ2fe+2Sz12m630Nwbj4ethb3doLK3Pd5MJKYWIiqW16HXuJ+KLH6lRo+tSlzUa+uGVmEcRZy9yg
Tgcj7mhbRr5b+nvUmGhcDNbWC2v1FPxdkb+I4y2fQJo8JbMgUYAwDvnAIKT5P+BC28ivVtcE4Akc
00W3c5lOmKSiMjNwzdOx2TdQ2sVcAKBWWxFz1Q9mkjNc9KBcXLaFJLjJ7YqAsE2MQ/GeWaKaIt03
uKPe4AkXdqyXnpB6KW1VA/6vxK6GUOHFFWJmcgzHCpQ4102tXQKIgn+WtDjPKYYSanOA8hDvvxKU
3/B4Ixh/cqbzzM1y3daqO1zYWlw46eii5ILe1jkrVPbRwjCPCNvMZkGUzh2P0JuS/td1k2uOgfY/
hvjx4IN3LE5u5xii9lN7in3TKPcTpcauNAFsKPui3103tZb/XZpaHN98aKo2aJEc2ZkjdpBZipWE
GEVd/SMp32kHuncZM49ghv23jVeEykvDiwPt1rU7ddlYx5jhvret4ij74WDz7nh9fatbiYIWMPSY
F3hV2JpmqbsuF0FsmKlzI1lnn3ypwRptNFtCJmuOgsHDP6YWjuJpTbTN8+zMpxktMRauewO0d/ZE
puGTHVRbg12rS4O6A8X71nRfYcpAtmyqERyGJ6hMU+ALiXukTPDQVpi3v76LsxcscyDA1v5naoko
K7SsLS7zIC44xaBq3pBQK9cNE45Ykldp8H7MlNqBwS4/XLe8vkgPDQvMdc4P+ZdBBa0jXs4UWrE1
8kfXrfZt3r4vnGF/3czqAoHUACPk/BxalnNNt69oBUGw2PQxpWfiyYpz7ToH2onvIgV0qm8FwJXd
tBWcV9c38+0CW463w7IwmaduXxeoLZ2aMXjA+/J5LMyHoNqSl1pd34WZ2XcvbumA16nV9VV6lhwR
bM+6mss9Tcf2s5m5OHhgprfBhGdW+WNbDfnXN+zuhfVFPEtT7eaTKEU8Fkd7+DmpX15Sx715M1iY
RxyajQrW+mKpD8YQB6ybSwbHxEmLIbEG/1S4zfPQtWifgigKXGN4t3d7zAt94eaWasj6d8QjAbUs
iKUv60xEkl6YXQmIh6GOPSDNobKHvQ6KL9e3cjXIAIzzPzuLD+law2gyA3Mco6LfOaniBgxf3Gvu
DUSajZtv7ZZFIvrH1uKzNXmauWXgpWdzghJwmAU5vVdD6oclaDifCqDdI0OOW92O30f6VbC5MDt/
3gtfndB+I5YW4jxhWPsLJp27uFezuAQvSRcOVWq8G0G0rELCUmVFypu6PkTjJL8rm5TepKgoeKEH
ZoZfDgcpQGjXNag7ObiijnmS1d9zASavZ+m6jRO6uZec3bSxv1//TKvuAOQSigEOlIyXyC8j7ax8
tAABh5jeY21OaSgl+9VVW+Ly9is2AlyjKBLN2mDgdsHb++VmZV6qJmLjOTqCRTy7Y01jZZErU/cj
oIoTCx3IeWqQio5cniGfU5mALvodNDla0vxwc8xtRC5KcSDJGrqsC52hUf9U4BJ+39mpqkLeuWDZ
U740zJ2JIr0Zsoz5PmSe2JTvCmY46a6E/KoDv/cnKCEWeXevx/kF14yqe5yq2i13jTvV6S4BkOfX
v99mjG/PY+IoN6KFs1h9VpZNWxRB3PnTgdPsDOK+sAvERkBZLe1g2h7VI0zKoP6+yDcT3OUZgvQY
d9D9YT3bubzb96QEeUYe2WBqKMfm1ux1qBy2Y637JI3HvGuOTLy7vuC1XH4WsEHyi+cbVv5ywYgp
TR1QPsUgQT2bAzt1tbVx6tdcF1g4NH7wWDadZalBqLHs7Z4MMeE0DMDPn1gMYM+31FIpnj0YhoM2
GoDxL1fioPI4AGkHeWCvvrVq9329OXq0ulmoniKG4Q9Ss5cmhgTVusDpPVCyl+RpaNIu29UN+OOO
1z/KWkzGyBLQaSCMAvJuYYd2Q2oIgwQnQD33VsNPuCBS8G2ksddCMv26sbXL7dLYIsvEw81svbbO
z3gWiB1Pax3WlBT7MWM8yqqyvilqi0FuB1NDH/+b6cUnq4xmpsyAnJhlP0tJjqwuvhIPXbWyfwhq
5wmwidN1i6s7iw2dNxZRf1khDkCTJX28T+LBGO4VG5NQlb574Cytw2RCL+e6ubULDypmOOAgj8Vh
X5wu7Q9jBrrsICadJaFvnzlp1HFQxfuYZYx4TmgEqpYtPOCam85JA0aFZtKLZXDRtUGUVxp1PDnd
TZ34X1rRbTAdrJ1plB3x/Ed5Gg/LZZwE86HZj1UBvIX1ickOY3EVeLPG/fX9WzeD40aIhQm8ZTIr
Et1beQYq3TL5p3EbEFjLUKRbQjlrTgGqJyAHEDwwGLc4bolXuhbU5T1IozcnJF33YIp/CLIMtKpb
T6xVU5idwFLAM/ZKFENS3QH136ax3zpfkW0em64+Fb29c4i5EUTW9g4vfjAXz6zjAP28DFaWxW2h
OShdcmHLo+AgBAJdNCb9ps2ez6opoKJAE4hX4yuy1mxgo13hkjl1U1IcC1l3Ry7qfo/Jfnd33SPm
E7PM5fCZ/piyXq7K1xJiaLVfnMtiAvkwSYoUE0gGSI/L2jubpO6iDkT3uxZJyL6zAH69bn/1A17Y
X/hKwWjO/AaE4HqQ/EYaZQP462ChV8/5fkow0Hjd3lp0hqN4AIkBMI/35Mv1TgY0MzwQhZ1pCaJv
KsBjUqBWvBPcpaCodYu7zJ1GPJRRDr5uef2j/rW8uBfwIsHICAScYwwdnCowE2hMUbJNpaX1D/rX
zPwzLpLztuwmBWJpeir5eKsIRgGhMvqhy+s70lZH7QVHS9sPrm/8aww9Et3LnZ2/9IXhwqaFW3Vm
FufmMO47OtKwtoUZAdO4hZJc38qZtNZy5pmHxTWQgA1aDjmeq0Z915Q8ZIJGbbs1VrHqmgAKgbAM
syGYjn65oBFkoIQjHpwYlOGk+maSGzCHgclwi11w1ScvDC3PYOoOCSY0vFNvDHGaqF9EGmFFQTHu
ZOmegguAafntDd6IoRSwvmN9KKa/XByEkCStdWrGeWHtiY2aUemUoUCB5T/ZWRamDANyppbb5rGw
vxXJT9N7yki1EUPW3MFDMQGiThiweSUq0EOao6emkcW17kOmfk2qC/nw/d8vBMKRc1Ebz0ZvicyF
BoNlkEGiSS35vqraQxC86+otcOSaK1xYWUqb4kGIirLZqjiQx2b4atVPs/AJ01/98q5TzsbGrbZO
f+sFeCZYtDEQ/dILiCECVdgeOyu/rqLaqdN9YjAS5j0hRzyZ7J2dEbUzqFNDuUDW4JFtzffXN3Yt
p8NMHZ5tSEiQmdgvfwNnCUFVewxODv3W0l+2Nvd8Kvd0ZPveeEOrHQ8NPMNRdLIhVvvSlmVMddV4
c1sCWJyepfFEh5i69RvMgCwBYl142mCmeBE5/BrRVbHEi+1gqvcgxTZmqkB/zMPcAgnT9f0ja+5/
aW0RPjAf5bZ+TjCV1wjVHKmT9j14zCr74KZVGAxl2+/KHgzd+74zhq+TpP2p9xqG4kFhT9AEsAWY
epyWg0FfomL9za+GfgsOtfoj8SqeGY6AVllmntZUZz6RLj/nQyVuod7iHYnb90e0otKNi3bNoVAJ
/mNqcRG1/dzWqCHxNHppftP6BrurWEMOk3KzAzfML4Ey+o2TtHZuAzT+8cikYHBZji0w1dutFtQ5
dXTYdeZT0p0JamEGuXcsfnC5u7/+0VfWOJPVYUYBfMGvGfbLluYizZIE5QVz78FSUVqHAvUM+mjU
WzDgVWPAU4HgYp68Xma+TY+akTMj67m8dZW374anAgWpSj2rZEsoZeXSnVEwaIcjnIOpeBGRenCE
yKwt3RPeSedkiDMgOwsNtsh269Zd8UhAKcCCBVYlpNjLG7BmNqhIcxT2p4FEHh3uqKfeIbXf8IyV
x+OlmeUFSCsjG7Mk1yedeOmJQDlpH1RJt2FlbdsuFhMsIo7djgFmuzEb5+Cpn5DglnKQBWqe7Xu7
frzue+sbh29jA+wCKMoiYDcTuCXooNw4Qy1yB/BNHgmz4fsctP4by9oytciZZQ6dJ6c3IEyUiWkX
lNMBj2gemYb4+IY1gd0kQJ0Lf7/K9Yqplp2bQwATSN7bOnfyKupHZX5OJm+Lw2CpyYxHJLhULowt
AnbmQaHcHagfg9o5/1oFRQ6NBO6W39qm62+hxOQ8Iyq6mJUDzcY3JNY6e+xM033vpDluEqBazMee
SuMrRFuCEydMn+oWMvLRqJLp1CeJ8z6AbPLT9S1adeQZCAwFAVQflzOyRjbLRDAtzoZTJu/cbmA3
Dhk/vcHILFCCujaiwPJQVpi9VaOjgTTs2nNe9gcHJNvXTayEaoQXC1gjVJHAwj9Hu4t3CnjPc5CW
Oi1apWRv+1nocOuoTPOIXbVzdQimdGPn1g7npcX5F11YrHMfOfDYNnFmG0UETNGTLHURTUGf7WVn
eBsLfD1DB/+6tLeIoVXWjW1ujZAGwpSsHzZ9ln8oBur+g2IvfYYIhP9V1BwCu1kh5K+pJA0LEXa5
FQKpR91D3+hxo0C/sQW/OZsvtsAdO7CUZmCemFgpjMhu+BSEOSBa1XFopWAhukHW1oTWa4LA3xsB
TCkuC5SjlhdXJ9BKVVIlJ12VNx2t91bO93ysDo207jgjd63wbs3Sv3eZjM1uOuTMufEQq9/icX9/
xuK8V1zjN1TtiIQkwfw/eKCTINm7hhF1nhkB9CpDMCttnKT1Hf9rdBGlR6KhJAVmDIxv5KGvaTia
XZSVj3W1ETpXDUHKCx8LA5OojL30bgO5T54aip8TUYk0rGopOeSjevGxHRrvQ9/ZEAC6vqFroQjd
gj8mFxtKvd5hkJnoY+F1e1KPsSGrf/9uBULQsXzccaDKXOYhU5/nlQfcXFzaLCrsO6+4SYpi46Su
XW8XRpavvQmV7BRMfP4pgYQvSKnCTB0R8DZ2a/UD/V2Kt/hALHFr0EEULDYM+snnUAz26kchIXIy
9F///YfBZAqIoUGNgnRxEXlEOQaJ6Cd1IoZ/2xYUM37i+J9M/O63XkSSAipdo81QG+0nDP5i1IF8
p4SL/XUraynvxULsxZ4JCVblmgOT7UqocIh8N4gHkxpobEAQud9Y0paxhTsPIKWw846lZ6C22a4b
e/sEspynNpl9oXcbeSq8Um8Jqay5xeUSFwHCzwbQNTkc8r6BZR2crP0Z2ImDhqJl7aiJVsT1HV3z
9Utzi1Ru6j05Aifkn6xA7Wq3jgX0LVlW/funN/rofzzwt+rVhXs4vMGaaJ6cAuGn3wc6pxEpY+6u
0bU77q6vaS2VuDQ2b/GFMemTMaclsU9eOcVMP0s7CKv0vnZm9p/H4V/TUuM6w7AP/nbBf4x2+ktz
Wo6TW9TAmNOm/FEEbogk/MP1Fa1FVrSY0M1zZlm15TO9cphZj2QElQdkboRrPkKp/Q33BSQgQKOJ
pwPGtWdHudi0waFGRa2OnzW6v5/sRounlAC3ifs4ami2BXpdPVwX5hbfqEEmrmXHIeRjNPTkVibb
V46RnqzUATG/q9Q+HTAjfn0bV8/WhdH5R12s0TczQ7I+B6+Q/+B7N8b0Lcn/mdJf162sf6y/O7nI
Kztpj06WDFOMKa6j47e7odhyufXdg46GC3/DdN4iDrpIWJH09xCJMwJ5xzUDE0LZ4LIqnfFhLKo8
HnO9BQmd/XjRk4KMFFpfc1/Pe1WlywKPJUkvFZrKKGzwNrTYrwmomQBgXun8MhoVynQL7rC60guj
Cz/RQP8NBpSTT3jd7jOvB+XFs8ggPjYm0y5zyPMbvt2FuYWHVCnU0SpSCMg0sF3V2efCUU/XTaxG
3AsTC/eggpZYVIPeqBDdQUuibpsiGe8qWm8xC2+ZWkSmWlukUMTmcc2pvim9ltxTiFvfeukmH9Tq
0UKjF1JtCFKvOJSqYfTTtnT42UgqM2INgINVQH8EVlkdlB8Un69v4uoZuzC3uJv7IcO4xEwukzW+
d1CVTvYdr95SYcNyZtYPJJzgu3wZL2yOEKRLxtEF7UNZHmTxyRi6nUlvJ0NtQIVXV/TX1jKBUg1F
U4u4HK8R8tFu2iPtaXx901a/EUB8eHFB4e4VAKCDQmMFDSMDaUw+hYoA+AgSwNMoDB6hWb/h52vW
ZqVxYA3AhAfO7pebJ0sjSZWLYj4n5AGK6u9bDTHKSgDiI8d6q5C9Zg2lZVRdKSBtr6D/ZQtgLmr5
0GaqbHDg6bgX/jfhdJ8ax9p4NK+dKhSV8XiFBgZm9hYZWi8JUdnIVDxN7a3ly1vA8T85hrXh4isr
QkdkVqJFEwjY6kWMH+0BtX/SBXibZ8kRY7k/UCTrd2ObNYeUTkN43TlW/A82QCCI2iGK9Mupp4a0
ozBlBpCSqGNqG2ikBRsmVjbuhYlF5NMAPY69kDoGm/Cu6M0PWc8OSHZ+XF/JlpmF4/GAo1RtOBma
w8a9bOlNkbX3QZZs8JuvfZ95MgjM5qj5v2LtTHJ4GZEOFL2VPYZTXWS3tZH/BE+stTdbZ0sJatUc
lHtR6IfWHbSLXh6nqea9Kjp0o21SjqEsSrYr3LE5qxb3rkY//HB9F+ddWtz2s2I5+gsAMsMh5l2+
yJVA4W/3jeqgQ2f/rPW5qKNEQArUvKf8jmWPOu02vGNtgWCzRivDRTfjFV0ihCmnUpionNpMnZ2U
/jOYhykHdWib9Rum1nwdox9kZmbEvOaytymSwZpSM5nixifnrG93vtV8ub59a054aWL+CRfbl4lZ
rz3t07iBqFlrciBeZZiOW1Dz+cgsvxIywPkBAnXKV3QQrMicUaUljwVFuaos6zjx2L41IJtk2XcM
IpnWJtnvqs3fYiUB+BNekbXgE0LbkxKU7yA2HokePA2G+qZKdd+a7MNQ9IeEl1ufbG0/gST+rVs9
o0sWhxrPRo93nc7OmdfYGAnP+Pi+cwT9MOQoS1//dmvuAYJ/XCK4I9GUXtgyzBx1aMPt4qDzo2LU
B1SdTv/JxLL9ZEuPtkBxyTi3/VubWU8BYRsmVjJn9AT+rGLZe6qJ5I4xQFYiAd4VTdZ3QMXh/oWW
+VGByOWgimQLkbn2kTBQBSUBkN+8xibLxk66ZGq80zyWPOnIY4hUciPurhrBKDvUjC0Am+zZPS9O
lt9D10JqzBUaojLvgsBwb5hds9AdS2t//SuthSQgJoFbRxaIuLRwBKqRxrcgt4w9/w6CjBD/qnaJ
8TXbog1aXRLwK7jugT8HaPflkqBDVxPBazMuwBoTggppRybzOWXi2/X1bNlZbJ1bGX2CQdPi3AF6
fQuaJOPBTWj2nVrQa7puanXrgOYD0AIKo6+iuZPZwmhtNDvqjN60Tua+x6sR6gQFpmBGX2487FcX
Bm+HO6BF9Sqg18ArVoU90FNaTfuOlIC1aqgIiA048FpgwIn6Y2YR1I0h452uakQ+EewHsGKRmmwk
l2undibcALAN0zruEkOH/kubJ4EwY6qoD2CKLbM9Irz7U/nlA5eTubeGTLy//rFWt++v0SUDR6kS
DL3n7hSToaQHTEZNh3oWuwwM5W/4xexiywsLsz2gH8egBOjbF2nMKEu3tTQrzoCTi2Nf+sZ7+Mmn
vircM3EBezG1R8OhAFr9+hpXv92FYevlGatL1xhQ6TRRcMqfe9rduOVWdXp9G/+ubfEwyDqnqA1w
C51ncbc72XpWyHr098a0yY/XVzNHntfbCKaJ391Yezm+1BeuFibGyc7m2CehmRbNwS5A+s0UeT+U
GOmquYZAIemNe4OyjWOw6qNoN0MS2UcGtfyGHQ80wwgMZujKH+DwGzgJh2FCHeiTMrbYYVb39MLW
4rMFGa+KYEyruKv8u9yHXF6eRLgwozfsp2+D6D+A1A5Sw5fe0fhTjgY9yLv8TFLrjAK4iQFuJPg/
uiKo0Yg1AqFDy5t5MvtWNuTsuGW1lc2tLtYHFYyF3igSuoUDpc6AYUvUu04ew7EvRse65WgG76Rq
+7fEmQtTi1A2BagkG74uzomtrWicHChWQkr7oOw02DskSUDX28in67u8eilg6AxzS1Aag9LBy10G
+bkB3lqaxpkSoay+e3116ngfIXKH1y2t7iTuHWseXwemcLGTRUY8B72ZmW2GJBEgfuwOg4429NDy
bCOirQUWNOjRZ8U4OZ5miyTBFMwWHnjYoS9Q3mCo8kQZ219fzdpp9zAbAlW9mYpxWf63AbDVtkox
mOvpMsSzIla++ZAM9oPtjaey9B8tnuEd2m/YXYMsQCgXXHOgfyTgEV+sjVau6JmBki9NbrXbAM0t
Dt1U3HdWEBXKu8kGiG1l7nlIkjMkviNmtBt+uvYhL37BMlE2GVQ/p8xJ4qZrQatTWdnPbvD1O4PZ
6cYNseadl6YWMUDn/ihVnVfg+2hiMzvpNjsQXEZN9ob4eWloEdOQhwtPTYWKedVGpb3T7XsnaSBq
94FVG2tau24vTS3OgaFNmesEDIiOEnuZPpjNs9sAW2Of+mzce+NW63z1MGCaFhg0cCC+akxMWV97
HZRZY793dBCDACmvj2q0oRN8/Uis3UEIlPO8JVjnUYd5GUqQlSsn0KaNZgSBsvLY6nBoxHuOAcyz
AxWf0MDU3calu2VzETMtq+gMrjSNg9FsxLFxE0PHWZrUt2mRTc0e3L9U7zsHnDHR9dWSVd+c+y64
cJHjLmuOaGY60iRpEANBpYAoxfQ4hlamaBwBDzLSqYmoGHnU6JyjThMM+wkzESDrqMso7Zxx5zWg
wO1b17o3ilqfyla1Gz9x9ctf/MLF5ogyMCXRLDsXZSp/JGPgHCoi2UY4WGOKmke9/mzEHC8uXn8m
N3WS4vqAWKIadk4izJ2l5Vcwynzuzbr+3vi9dZSl578DR4x/y0f7uakgvXL9e6xGpYtfMX+ui18x
DOAnzwXIm2SNSR6zwVxWpW1MMW9Rfa1NUL9Y7+LKTHNbeznRybFDFgmF6QFtliigZnlWpO9OQaIC
FjFV12e8y81Hr/CniKWMPrm2preYpB/3g04wiw6RiSC+vgvrTukDXITJyPmZ/HIXOBIEJnvUZKSD
zmpUgyj4C6+a8X6yen7bKMxrvOnU/7G4fKjURSUMyxPeqbIh+ZAWYUM/l5BWS8Gal396w+pAfAMm
SRBKvuL/K0XmWrV0jZPiCT2ryjAPtmPUR1q08qYwtvGnq9sJoqmZkAAg3uVl20HSVVeOKWLGW6jj
elC2dHakSdoR8Tr386hI2Pgdj7XBjaesausnz23GjwXNArLvGanzA+b6/Q9mWpoN0iv8k50/WpMf
uu3kbr2nVnOSv792eTFDV1Fw3B9APXj9PjD8A6pCRuSS9pGp4rYVVRnmRvIoKmuLWGr18OH1MQsD
zYWmRQhofW62iayy2OmsETpjQx0CnPs85fb3N3iAi16Iiw4WZGcXCUHbDYDqpYg1iRJjPXM8FIe0
rZodoP/pJwao+unfG8RwCq411B0xs7BY2WD0woCgsI4n21E7jlJNOHn+9GXU2gAnQhF8vm5vLWZf
2luEMYE+jMZcIvQzrDa94cKr9j1ec0/XraxmkT6wP2ANAE4VhOwv44R0wGWhuCfOqVtn0ILV8ygT
ykJ2FTSH3JXjw4Shk1AXzIuqdlCxbRc87HqJnGiwtkZN19zn8tcsLipb1Zin8EHWiLT96Kc3Acg5
+u7X9TWvGsFsIqaMgA571SPsGpUVrj/5IFrzrGOpPC8aWQv1dRH4j9dNrWUlvo83K6bUofKzHBZL
8AIaKvQ6YjXZ1oF6gMJZuAUBFnPyPfEtAxy4ZbC/bnQNwwtZoT9Wl5M1nLRM1qWVgY0oS0JRZAez
hWKNwcufLkZ1wzIZd5C3iEraHSuZvWu4tw9IGquh22icO6teDHZ/ECUh8cTgzUv3okNbDl49D4PW
CbnHOGDvR7gch3pvOAOj4F9hILppOeU/2iJDscIfJg1ZGtoWT03QlD9B5i3cUNPGB5GLkvm3rCdm
E6HdQj+WaT/cMxPCjLI3Mf5fB6gFgPIKhXv1DZosBzMrIgsKx+Bobj4ZwvLykEzNkO4cWxcWQgXN
H9wucLOQpMz4XLCc3Zi1TW4me6TBbupNPz0OskAqi5ExD/xngZL/9E4PTncWFF1+cHF/f6pVYH/j
45jgd/kKxHa23+p6V4gOJFtllqJRJoqh6m+ckTjq3pOqek5424474XKZfqzMFtfGdSdY2/jA9tH8
BJ8yOFUW51oJjlEodA9j5gUJKKe7TH4QkHI4XDez5uCodNEZt4Cb8VUY5hnmTcoZTyX4ripAGlO2
kP0uQgpei83CyNotjNIEpi49C3+W3lSCctxGXmPHugReVpGQ0uaI8fQbJwg23oGrpgDighrG/Pcy
f2JadyUzyyQuKelpWLS0cqIRLnryk5H8wISo/5YvFgSYGQPbngWcxMujgmiQaz4ieRxNnd346FDe
BhUUwK9/sPV1/bUy//eL7FimdHArZRmnIvPKnd/XJJI4pQ9ZD/+shnar2LNlb5Ej9xrPS9NWZQxh
oDtDUAz2aYVmK25qrd8QbjGeDU7QecgdaPeFMe7JDvvmm3GZlZ8zSBBV7nAPQdqD7z/Z8sv1nZxD
16LM+8LY/Ly/2EnlUK7GOgUtglOk1a7gjspDId0GUP6WWvmpElWCuiRTw68MsyRdWBfa/3H9R6xs
L34EFAPnmXRUghYrniDjJUCJ4Z1M9tgVz4J8cKcDM/XGm2rlmL8ws1grlklljdHQM5iUNegJcn1s
e9f6UJBEPxUlyqCen209KOb/6esN/ru2+QNcbPAAtlXlFbI4B6qxIjJCHIJYipw8uxqjNoFSaal0
tzel/YYOMDqKoObBjQ1+zSWEkwaNBk5Y4Eb07ePojfeiqDdolVeSEJhAGxsfzYbK2eLDVVOrbQlo
LYhlvxiQWA+mf5j1hsb8CyOLz6Zy1OcTk6exhfnmSOVpGg8WngSWy7ZKDFvrWXwsUEhPdKoYykqV
6MBhbng/DAp+xtAqyjfQrEIXdCZhgNf7iM4vHWNqJz4mc5Y4CIgNku94cIQsyHfXj9aq++GGpCAN
R6t0mRn3ULeGbghgAC2XZVTVaJ8Ij9N9kLTBseh7fiiF4x3AUbUlsWrNl/Mrz78wPV/uF57vdzIV
JdOY/Dbqpo+6rCJnMQAME/agbT+wRrj7wPeyB0b0gFMB+eD8Z9aX7H1HmL3r5ESPOfTNH2qPVCxS
BQcotxjy5kYlZo0+ud3zfduLdudMSqud7RTMgdhpAXCPW+ut5+iqb6Cg4KP7C2jAsifFG0gwTEUK
DSSto1aWz03RxI3pveVIXZhZlG791Oyh7IHJV4CUdplMd0LxPZNb9DurqwFVnYU+KYFe0SKzciaR
94NyQFGbB/eZgxqT8HUT4g2wMZex6oAXhhZeUDlFBRpENM4ncHZrd9+kVlTRJzt/N4rbUsXX3X3t
OkPPF2AyfKf5afTS59opHXkiGXiufOOWtfaTa1V7Vepzx5uPzC6/SE0OQROc/pPZV/NcoL3NcHYx
aeWSQzr0xwpVfWNoPmgKEVZTnuU0fSKF/Hjd7NreXqx2OeBlsrIXnKOAJC2Z/oIoXf2eyLw3jl3u
SDBTC5P1kZULw96ZhjU5G6XSLfMLV209jCI3AHrECM6hrH9ZioaT9ZACmd3Uz6z6en21ay5LfkP3
PABHkBi9/LaTBdkYUpjBqTA1+lRQ/K52XGyJFq4vagYI/r+Vpb+KJm9aCaEAAAQ6O8pZZgIs4ydG
H4okoBDzlqBAUCPGBEPUDyZ5uL7KtSTlcpXzLlxEzanNoEPigVgPWiiHIO3+8RP+f6R92Y7cNtft
EwnQPNxKVd2l6sHdnjr2jeAp1ERS1ECKfPp/KTgnrlYLJcRfEOQiDrKLFLlJ7r2GF6Z/+takD0Bm
fL0ebuvqBagTXiGLVxFUbl6Hm4hpeq779lxxBceegfCj0wLmXsKHMusqtscH3hweIKao6wGB8qZB
K0cpTNHg5i7joH0/lWYC3lhPd6IZglQkibypImPvPIM2vymCQXAyBK1zbd7eNHEzcAvaEiWFo6mZ
b0MypGZSWQvBsUh7adVHt38wrxchl5908RmtwZvnCsWAvKz5jXKKA2sAeDbxCy4DOyfG5pRehFp9
QrfsByzSKj4FuryHzqVlf4tdN+W9fezHL9eHtRMrXERvL4YFl6deBIHEDUy99FaRwpIkm4Eoa3GA
R+WevtPm4gSAFoAJ3ADd9fXSs9u+DLo+PuFN9Kn1u2c+JwowPHUH+MCeouAyTevrCuxr/g22+mKU
dXVbWEV7VpYL3VOJFxCbAueTU1flDYc6wqnBJSmlgaczGDbTncbDklfehIeLNmD/gBcCKvV6ZsPW
ixn6GRrtPnpQA54mpT5d/3ibCfQixDLdFx+PhvPMcIuKQM7Vj1UD07yBPIciyq+H2RwJEjQ8l2yI
LazzNO0ppKToJPJBRVXGnfkXvPl2SpKbH+sixipLQ1yMu7YO9Kmv6vIgwqF8Clphjh4BWLP1SXvs
CgmXi7geHqepL47Xh7g5kxfhVx9LVJVfRBTcwmnw0l7+3bdVavTeUbQ9kRAfRaUIAiVrUAYeq6VW
vWa5hPwo653Md8ReaXNr1UGw+P+HWC2JGW5mjgzt6jxHdXVb2Kp/KWoX9UPPaqedFb65my9iLbnl
YvkV6F9yUHSTE56rw6kjJEqNaQhoSMpd5Mb2dtT2R/o9ttWGBhM9pGNAGlhl0qzCrp3bcyN/XV8J
mwkRAH9AugBIftPBCSah6yga2jP3ZvZokYlkstLRXawgSae8GLZQKKhcj7k1ke4iT4gmNWxu17yd
KXFa4RKUKynXqaJjOnZtNowfibtz49pagJeBVhc8E7TETEXh5vHk3E5K3DnentvkVvt5wYU6foz2
AvpSq1sdraMuaIAazq2+KXGI9C7tfykbDMaPwCLFRdb2hUBlgQ6juLHmyXNBdIByCUyG2PjBS0Yf
di+F11kpofBGTgcon+yh5jYn/OI3rrKNMAwWW5RVZ0WFk9nUcw+11eMd25c2GhJqz1pjM17oL3ek
APiT9ZxUEczsuxboFktB4XYeCnqEnjsUSkao6hPABW+vL6itneKiuQFtHxvyyuvHIB7PneY9tBqZ
xgOtrcGy9b7D/eLlfwuzmkZYlcIrBy6si2rH34lbsLSk1nh2K8e8vx5p2drrwxQ8H7hBQpDbhfHL
KtXUvMbO5AYldgCQ4rC9i/3pQB3vCU0bkgLsAv05ll0PujWLi7QgVOCg3Yu75uugzC0Vj+MqzJlq
mg8DwDxPve3qz4De76XtrY15GWo1kzWrsfLC0s7hAZk5bXJGOee/kyBAS/09mmW0F9maSR0w26fe
ya9zVABTuLmnzbTn7rK10iFpAPUtaF9DfWA1Z7yL+2myuTx5o0K1J0CTIvFnCBRCS/8AC5u9Qv7m
xGGRo+IBiir0+l+PKuRNOSQG/k0QQ7qlhJ1Ki++svc0hBehLLULYixLk6xAApsq2B8b/NFnxLSCF
R095PK3H6R2ANTsJeisWpPrRyse7GPINyzXp4iPNxBNQtsRVK0Qt9FCZWqKMZoYsKAGHY7rbWeGb
4SARAUFA8G0B93kdrsWtSzrwjcjjrixvB78es6LmEAVofJ7JIt6zQN36WtjA/8ZbnT+QCXN82ZYU
LeDkWJg4G+s9XsfW+X0ZYrUgJtfVUCyXyWnQCRJDVT1bhp1Ux/Ikbg/QtDxeTxLOlgjckpX+HdR6
7yoeEC5jK68LLcWtVMXwqwFrlmR8Hu0kC3tJVepXcWieQX3ub8KS8jv0iqL4Y2Ux2txyPfg0q+fG
3LnR4AdQkoKIcOpxGUxZFfVA6us+fGKxC98L3rJGHMaynB9VOUK/jRd42aOfH37Unjs9+XUXPbvc
Di2ofDsW7sx4mX+qfS8uUhVYzrOmpCrT3p5r69COE7uLGhFIeJUmBo1oeAh/lMNs/Q1l3P5F+E7t
p5BUSKa0g3/uT+ZHzM3wcIpV6oylYqmuZE2OOFC9bxNvu+joDDP5FpuePySQ2U+JrOBI0oe1CFNR
tC18u9FpD1OacPoEdjnKLvAVsV7QMjbviSDlkJGoc8MDrDO9OePMn4ejFXk9T31npMAmUBdytrXb
z002QVVQp62cQBGPOE8+iDF0ISMNCLxAH8amc+51EaP3GKzpj3bDm+icdPMIoS6TQIa3GhwXMIOu
hfT7DHhe8VCyCXPf9j0nx7KNB/vE3aFrssDhw0ew8MansO6/m3B+RqW1jdCDbYKv1hw5VdrHow1g
M0yRM16An3XunYFNWRHXBiZFbjVyuNN6IeYs6cBQDVntfnHKxHvqSKDuXdLZPoTLYi3Q44egfOqO
yRDjMsihJ+CpHm5VGLTMug41hxRN9vheBGP31Ev4h2e0GeAe0peJ83fkMOjnSwHpw5oa/+f1Fb+Z
NMDSTwBxA4x23dyzRtzD4XTb5yMbDtSeIKfFDtyeD7iI3FwPtQVi9f2LWOsrP5BipaVJeNIwigQe
AlbsYDiBHDbdkPfQCe+B8w4y0depV5KsnjryCV64TXOnlfGsA8SfHJV6kYQil8tI/90qVfjp+m/c
zGnJIpQFTi1QAKscKugodVcnFhiMydG1+EGLaacgtHURgcThvyFWabMzks8zzCVzox+nHqVZ3qUV
gGz/20BWmRN7PqxiEULqi5TxgXVoYsId93A9yN5QVslSwR8ZGxpqbB3cW1LjNYcKnmghmT/+SRzg
V3EHCUP84/XJ5oUTZX43mzthsYIZWMxRLr5apXT7T62q9sBbW3sCQiaAtMIeCWSVZdgX5zYaWsGc
VJ1/0lVwhlc6ihfViVnWHR+8nevIFp4Z9xwc2ADRuqA1r75T1zPZzCZhZ8tKaJkJdA2ewn8W38C8
H3inwlA4KQ2SwTTb/VcrgTVBNqjeB4rfuNLae/H5y/JbX84XBSgY6cK1CeDX14MHVq8FBygAFxAn
jToOEiL3KXTQgC0IhljBPcwfiJV2JHZ/FlyHQBY36FBlNmv8Fyjm42yReBiVRxccozILKzkXaTxQ
+m72nTKNOrj28hayZr3iA6CU4I5bqcNaNQDGgDZ26hYjRGwbGKgl6RzWZErp5FXioLWs7waObmTa
eGWt0ghQLZXGZTR26dQChHcEK50x2PpMTpwOym8zBT1OJ4U/R9WnQS+LZ09oWWZux+OnsBpLCbPm
hng7e29z/Sy8VzSPodawvjZ3sLIDbkSg5DtDwTPC89ifMofcEEfvFPO2NiDWDCCGeBzCb2W1MWBw
KiC6h3YE5z/byMrcwNzsmlhu5cTLIKu03Q7KGyD/ys4O7j7eoYH6FNCZsKDaQ9VvvQsX8SAwqfA3
hGpeLz27CQ24/XzOk7a8IZG+jYGrSQt0HSTB9S9sggdPlXtixlvDu4y6Gt441B3pKTr9XeBknpU8
t7Pz+Xr+2hwYtjfwZFBzAejj9cCadurNTIiXR6OTBtFXGxCoAfqfkfnqN++caE9De3NIF/FWQ6LQ
iiudKURxom8/1KS/bZM/kAfBAx6ebiCHQftk/VSzq8brJ7uL8mioD3Y0oIbnDGNGGkcc2pk/Fv04
ZBVhdw0svo5/Mp2/Yy/Dv8jPjjE6aeIE/s91CZx8O5DMYgGeBTFcY6TzwbLjM0v23Mq29hqSImj6
EE+CCNrqahCqlpZQKxQ59WHKYAXJz86FK4+Jpp3G7Vb6QOsNXEJUD9HzWx8JdUTCghVDHmOPuFgl
0cCgEwvpaheICwNDQuaQ0d5JJVtrJvbwIl4A4XgAr6LyMah8OHb3ubLkqYDFO+whdxp9eyHW3w29
FUhQWXh7T3OM+oGktxKr+HB9dexFWR1gOLgjV81JkTeT4x6sWol3Cpfznena2tKX07V8xIs1WErw
Q7zYcqF1W391SPxLcfvZaP6jXpiDyrlL2LyTRbYWYAzGN0rK/xQVVlnEa0U1mRoc5aKShwliPNL9
qitn5/DajoIuLJQggd5d18kaV4YtryaeQ7rtCLHVB6K8bPDcHeDJ5lcCPdeOF70QcENez1+gJk8q
y/Fz1YBymc1xV3ytnVjtXLa39lJ8EWb1mQrtiZ5b/ZyHDS70KiL0vgMo7oBGVJD58ER+ub74tuMt
TmSQ0UQPfVXyEbMKhc0Auojib3L+BTIUiFcf2vjv62G2Zw/STDbQNFBLXy2FZm5gxtrRAg02ffRb
CY91sbPAnc0VDm/QOAK/EnFW+Y7Nqk+A52rOURkU9QEW6tMnORb+X+AcTz98y6Du0No9er/oBwBY
o+3KfpntgeOSF1bNALIwyufHUMfV17Hp9ZeJkAr9F00jXB9dWbEUGFu/3Fm//7Ri1xfYhfQNnWjX
j3G1fr2ycA/VVhliAXtiOoGSmU4geNjjAxh6mT3dR/EXF2bfsvtiN31G6kcDhX7KvrnevdZzWnfi
wNWvplpQtfrYMZwt9Y8YCtoMpelqrxS+uV4ufuzyoS/SSGNK159cYCYH66mO3nH/BUL4kBrc+ZjL
eng7J1gpEOSDON66fd3qSZfSzAWcNlFcYInbPijY0x9tMgtgNkERK+ic7Jxjm5kEhi9I6yAIvuGs
xjxUFqgZML9I/AzATfAi+G3f3F7fCpsziO4UkCO4bePF9noGQ9GqoC/C+BTWL+3wBXWXjHjvrfIP
Cu6w40IdBqUS6PivVtVA5nJsbRrkhds1PwUdTJfNhZTkQOOiZofrg9rc3xfRVsvCm/vOMbqEeztr
DgkUi6dR7STgzXmDNQ6U6zB1uNK8nrfeJTZc9tzpBHoWpTeu5YOobcX8LzRuWn0cfB8Mi+uj2swo
FyGXn3Sx2EcKa8phZvV51NqUx67j8ln4nZanMZybOxJ7JD6SXsxdNnZ0T3d1L/oqZ4JFU3PlFVCl
R84h0RMpSkiiwsDZ/6xL61Aodbo+3C0br8WhF8qhIMKDR7iaYmO5Ey7gHoGV1R2pfyyMbLxegq6+
ExCCU/LDKN8ho2bXw25tuwR3BBTzAB19A8RzptEOqxqGhgqiWGP10QrjtCfNzrfcjoKXMzBb0D9c
v9Vqpx1qIdGUBL78FyMiL2P3i6Hzl+uD2UpcEAz5N8zyUS+WjEqqViubF3mr7CJ1HPpjHt3vRRnE
h7FOohTdHPEHe+8y5OoID5MhCsHtILln+ZkEYjJQ+g9wHSi4Lv10PHaxRl6Pyh8nBbf1IMyBeXVu
5BToB8mjKYsLpb/9wQT+DrWm6UKHunRnppJ8Siz5wTIcBfmRfxIstg/AeEdnrxr3SBWbawPVRFx/
gkWvZLXugckPQRiZcagJk1kuWPJ+fSPIHoNiY22AEQaDHdQKwIVaM7Uq1ytmFk1AkPRGp2gDIOtH
BxATnwM2nx0dHa9P5UbGRDxUQjCdC9Ny9dXkBO5BR5STC+J4WYDc8cGhtL6Hev4MT02u3v9P8dZk
d2h9BQLygMsT+y+qpwwanzk6UfKdaDr28Q9i4da6sJyRsNaXpr6jDfYEL8+DqH/5ZBjQ3bGanAUz
jm5RNjupcSMXB/ZFuNX5FraM+4mCkkaEkuAYvp/H/iiHv0vq3EDSO+5ero9u+d+trj8IB2gp2AEL
6G2V+gcVkpaHss6HuHzPO/WOCXsna2yOKFzEryHbBLWf1ZrvI92MFuMsHyIB9CrK7ZA4fW4Am2Jx
cLZ49006sEO9Pq7NFQnWCK5XePy/cYDTNmij8PpGe9SjmXSeIPyR8SE59PaeAMnmDMbLiwYVU9Bi
VsObQjepcAXT+ViZr2C3lsfQZ/3N9eEsG2j9mQCuBukSAGQcmas7FvFCeGxxoJ21U41HIFCmAx7D
47EYWfErbofy4LUG9kke0be151TP18NvfUIIyTiL6aUHyNNqf9uTJwK/G1QeiC5FzzyfwDUVyc+w
cE/Mt28rvqe5vPX9AO9Gb9hGbRBErdfngOZJYMUCtQn4iXmmSAfv0Zb1sbbYTuraSpWo6sAyB6xM
1CBXl2S3UgNXHWnOlc3vyqCJRpTxo/hgOGqPsor1d90He3LjW2sGgF0H9emlc/Pm0VG2w5i0OHpC
i/JTmwz6VI0e/+8vfPhILdxgnAE4B1aLJrIUiBWlMTnqq+OdZFYDCjRAUo40vE05DLp3bj6bc3kR
cBn2xZWEh2gbhyBugW7+uRk/wccym9SHhOOhOZud77Y5hWC0wxrehjDI+ohDbX9KRsQ7CVXcR3V8
07C9pbETYk3k12U9JyHqZSdNumct+3sDyOL1jbUkhzf7+vco/umBXcxYb2ymq2QQeRSJH3Yx/mAd
3KEb1X++HmdzA1/EcV9/GZcX3OigABURdII7j9YxMAV96bwvOyXFkVO4qx2dfg7vwLlHp/l69M3s
hfwItO5iALo+AURDB4cEUXNuAsHup0SDek90kA0N/xxVnjhTtyCpVdrmYHqHna5H33psBADIQzwG
XQbIxa8ydFx2vg6x+s8e6cpzFCyYhGqcvSe9aAAN3uQcOSnqU1hUTcpF66QOakj//cn/6kcsCe/i
S0O9kA62XQenGud6hfdHiYOJ7GkXbqZNeJ/ESy0U8iyrLW/EWBANqc2TgP/ky9RU4pHP9fRBy1id
AxdXpetzu7njL+KtdnwE+VW3jgJYMwDGIYqEpok9/9163gCRHpX1zP3v7wMcBnBfBhBu8RRaDZBb
sS1HXGNOtWIfQ9nn/ijuuL8nprU5roswq3HNsIyRE4FS7lAPVdq4Bfz+xJiLCDDTobmFdtan6xO5
uUUuAq7W6CwsbIhZV1DX6z5NI8BCcel88qKxSX1PPtmx/9iY+C7SxU7gzSR3EXi1Lgvf9Qu/j8g5
knb3bQq5D0h74e4cRcvPf5PnUG1eXj4eDtrVBaKyrKIWEwpe0gkzLu5HC7RXbnay6ebq/x1l/aIL
bNbFsEBNctmNnAIE4NvNGSDacToyN6gjNM2rXuwE3ZzAi6CrC4R2qx71IF2cYiGaNoVxY5GypCv3
EKA7U5isUrhnIp9xOhBgnSuOVjbESBvjR4DiKL2zq7dDwXbcW/Ya9Ehf5yoXWDFfJjWUJe1wPhtR
uo+w1qAny9d71rKbGw0Xr/8Xav2SSwar8XxFnbxwyhKGBk18dls3fDepMvlJIdGYazrHOxXLzXUC
BBNgCKBEgzr1enyJoXWv5hGPHt18aydzqiLwbhp2M4bxTmNvc1/jrW8HEHny0TR6HUpaxhQxJMVz
O3qkoQ3PNfrdEd3PJiSPoxdCm53MX/vS2xmht6yGNxsO1JvF/GDBvK7i2lw0GqbhEKBDy7nKLMfE
71GYtZK0nwC+zaAKDuBm09jtZ3DjounYDUR9Kpx4DD+HIglgWGUT8gPCPO58U+IJTE+JDZwncuEA
ZLqElXd8wxoZ/KQRD1gm/WAMU2OBFgFDzalK4Mxa4j8swoB1WTIEzZjGVSvv8YAenaNxgvFxqF2a
PDeR1wZZoj3wdkDprPbE/jcX88VMrPYNpYoGFhJBHjOIQgKijYdq1onheD2Bb96wLsKs1tTkt7hC
QIDxPBUwHW8j13wMSmS5pvjH9QENEx3ROpUe/QM9eciH/f7Uq7NqYIbqmTogG7YiuI9h3wFIaePm
tTNFNw5uerfXR7qV8CD9sECB8SSM1k8zr6QqnEhZ524dzKe60vQMpNveW2JrPvGYhmA96jioZa0W
sPDlYIp+Sk6yNvlo6Twepg9BP4ypaus7XH2Ok+vvaUpurZXLoKu1UpnBsTgMf3Nelh/RhoVbV/vR
ttTNn8zg77Gt1koP02YniGmTz6H/EcXaDxAS3vlIeyNZLQoNcQyp2ojmrAfT/jB4Rr+H4RkJ08lo
iET9bwNafs3F5bYeC7jde6LN3ZEdQq6OstrDu2+vB1QfkgXA/4YAMXetP0VF1Oc156nuv8IrU/Uw
/wxvRutnHe1xYrbOJRwQLnTq7BiIx/UR2FtNX3kqPKFHfhzDb5P3IlD7CNz2UE47Z8TmhgKcEs8T
qI4Eb7Qf+r6D5o2uc8eaPiVTB/VGubMcdkKsdR6gORu6guKW10DJ3E8rUTAnGyOB1uP1lbD5mX6P
Za3sUHWT6fAqT06zD+M7qE9W/QcNsTZ61w498Y7wUBVFGjGGBx9oOr7YScNb5617EX+9g63QUkPj
wNzUwtM9JUTRg3DK6mDaltxQl7W3FVGQY2EUQDNtoo/Xx7+570AhRi8vAER2XdkxdU2DgLlRTma7
fdBQaLr1UFp9JHO0B0PYHKoLBhJAHN7iNvB60w08JmosK1wtuj5TyQjiNeCAiZNBjhw48QguFVI3
D5EiO5eLzW+M17wNTzncotZ1JcChUBQHWToHv8/c18rl92Ur+LGtAF9ghrAs9IjMjGz6P1DCCnDy
oAgK3SbUq1eZc0bhDEx6K8G7zBc/gE8GqNWKq8WBKxZZC/DqvdfQMfuDj3oRdZVMoYUCbO6AbqVk
yWe35y9Q2IDW3ujvNJ43F89FnFUaTZquBKpk1DmsTkxKCvHdhhojafaS29b993IWlz+/SNdQQww7
N2BQCKd9kfm1vimgj5i2VXfnTO3hDyYvWGRJwNYAp3HJtBfBRh93PzJLmUMPIRNTcoSP6CG29lQQ
NucOpXG8MZcS07oeWBs9Fh3EKk8Bcf3jmLAqTSbUIwS8Do7XR7SFTIe27r+x1oXB0g9m+IiNcR4p
XdzGbkFTuyub1NUBPcLxoMh6PgXvvUhZaVwYeVsDWJja+8Zwm6dU6Ht4oqE/5a2luKwWaSzkHqxF
feGmeNbojKODcGA06rNg8Lo8TFSwk+I38s7SBsNfS/J501wEKdKlVevK09zxtMOhSMP6YDVOht7w
bVFUKUhUGUQ6P+/M+iLRsXrSXMZdz/psRBwXrm7zsKDlFx3DuKIv4i5r9RBimuf6ATJ/HehbcZn6
hYPudJs436//iI1V9uo3rHJuUoMhBt8MIKIBAYECzZHBdcIUv65H2UiwqOAt6c2BhTEg7K+3DK+8
3gb4H5yuCASzr7P3zQm/1BTNMyDloz15g71oq+zWdLFJKrUI9xj/pm3ftbDS5GA2iOm40BKC+r87
Ur0a3TLHFwkBwN5u4p1r8nAuH+sWxtaGH3j4B8WgV2FWSc5SILWZGZaajmU/WOP0DJn3b6RSn4ZA
7Qkb/HPurNcmAKFLPQFO4Tj+X4+pTmrpkalvzoQ6Lkvb1vYZWkiSi9ThM+7bMHd1vmtG7R/lwnZL
dWxo2tl++TP0mPopPcsecS2r5J6oydaKRQkH6QpMW+dN59DyCKGqKuD5VSR34+jmieQPstpD9Gxk
IlRT/KXE7aM6u+6S28EctNIEMFnE6unHF2gxpYU+2+AuxsBMXd8fGxkIz05YAQEDjh7huqhCRAFp
bsV0riBFuJhbVHeTbIujW2NX4mmlc6geEIj9h1E6Ql1hJwFuTClwiRFseqBEb6Nz+Ppjd8b6R8al
zk1AUqk+R6MBLnFPT2vjkP5HmwNPHsg3It++juKSovDg6DehZTM8juRugEz03OqUtHvOJFsNkkWp
KAK1HK+dN6HsYg4HxuGMCUm2kR5mNgfVAQrX+jOrZBem4zjVXyufVx/NyLBRNexwYDLQdrW982WX
XLPaR0tZAUw2sKwWN7nXg+Z4+3WgB7McEnk/eryRUznYN9dXz0a+exVjle/Cru2Rcme8habKHHtS
sL9nOBV9M0pOLKXeiDINHePyR5000c/rsbc+KhjUwCXYgOECCf16fLArpqOqfQvPE+re6oL4H30z
goVoc/swNPEer2BrqaKpDV4gLupBvN4ps9uVo2VwVa9xN761FVMnv0uGI0c+yv9gaBehVi+vFjxH
rubSOin9qYrAOyvnnEbmMI/kvz9mMRzYP4POv2i3rm6UzjxFCVDMzskGwRs8hjIIIGXOBNQKrg9p
I6m9CrSspIuTqo0iCsJEpIAxJe0zCkPOLUid6iOZPRve002SQkyh2hnd1hLBs8rHx8IAgVJ8HbRU
0ubTJGCPi6WYEc6gXN/ac16FDrvVltdm1we5sUQWrDymDO85SEusjq6IAJsjfE4g+ON+cPHukN6c
E1Pu7LqdMOtCv9NINxJl759QxzmTRGTQyLlBq3hn9vbCrC5oqDlLC7YfDahIaiE1PBCoG9WN/9+7
uZeTFqwWOx/IMAEbbOegUkanjk2/rJHNx7KDu8CffB5A9sGOg8T0OmNUkhpI8kfo3Dcg+jUNf7Jq
vDewk/foARun6mKz6kDJehFWXMsug2FYwwpJoNpKVXys+zl4DAPpJGlrTPVDx0FPjxFa9lPq+b14
MK4odt6/G9kf1iVIjSA44gRYg9G8sZNcmY6cg2gKTdaN6M1nxtRoO1yf1I099irQamN3k2qMO8I6
kRqWMs9LCz9Mh+G+0jt9z62jFTq1i6SPi5fpm+uXiHpKjcdbOBiUN40Xt6nqxDksraweo69EJ49i
8k4QNrhn9rDXx9uaTxCiII4EZh5UK5bNcpG/fAYAe+2ZJq9mfWOF0amc6r0Bbm04ZA0XdugQ9gIc
53UMaTmOgUNqcnKpVO8ZVmkKFGV1mGwZvuelnrPaqTjqjnN9FCp0DjLAv7NnJm5jJT5DfK49A+1u
cvQQhp0jaXv8v3/b6jOP2Ch9It06p5Z7Y1tf53bPD3tz9PAfxNEKstab+wqKqUVAagg9ohBwL21I
awHicjbE+nx9we7FWUZ68SU5NKHsjs1t3mORVNZ86lx2SprwdD3M1r7A5sM4gFEGyW31MeE7W8zQ
7ChOrosiOz1BTCmNxGO7J7H9T49odc8DnRKEZhBcgKZb95CI8YiC0bc6CasnxzrwTAeNFsfJiaOG
DPcw80Bk336b0RU+1Inrpsz3p7t5MixKYWis4WQXd5BjsSw3qxXUbjoRl9+6sbF2XqvLGrn2S1dr
KJlLr1KRtE4s6sRRlpE8sl5lTmPfmhiELqAD5yMZxN4jYysbw+cYpMbFEfQNXQ5WJ7ZvFSw51fRr
oP9qPH2QyfdZfBih4zKxOuv2nnAA0LwdawAnzX/LScufX6wyNZIEc1NbeWM383MonEUOsNfw+GAv
vgXMP4wI+oyKoLotWedCbAAyBVNTf4MZlX5Hh7563/olymJAGWKVBuMRwqCqygQNpvOQdD/bZOLv
tZydx9GydAbdnuj9GOB53FtjfUChk2bDQBMfdfuwO0p7qDK8gwxez3ULlaG2vzWWx24mePulSaTq
rC0hpDD72r/xhz5Ea8b/m4CuBTOhOjoElQpvfGb9KlRpzk3tWgeHaX1q3BEfseCQ/YGmz0EVsNKE
wndN7qUvvUxNbnhjC+ZnAQSVnx0cSMeQ0x9stBmi0gnYLRT/IIgzVgd/YuLJSSz/g+p8+1DhvQj4
x+yCz0JjG912GvrpKOKfOpJh6rZhdWiQMbMwRMF8Cv2/UAyooNFgm0zK6bPVF+PJMo0NaWrBz3El
xG0zLlY9VWXhjHIjTSAB4xa5NMBXaQMGS83kcMOJqG59r9b3pCuwd6MZ9huu033iUFGCMrLXnWFD
JfE8F/WxqxJ5bOYK7JdqFj+I63zrB786wQcWLMTZio9akxb2JFAHnWOoyJaytA8dZ9C/aWiXOdJv
HjhE+/MSo/wyi8bA6riEbiSzjZN20prge1R+DrzBPtstfgC1xDkybDyUlpMcBVyX3uPF3uA/6319
2wn5HEdFdYASV5gWXavOAgiGL7oHG6/sQvfEZ8nuo0qQlxBVxgyiws1BqalKRQ/zOZkYlcUAuT4j
T/K/ao43LvQKrCgNfHc+DkA+plrVIucBhC1ru6NnD6S1Z5GE3ZOWxksTVzgPFU5QfIvQ/CycKrgN
y8B/ItBpgkNEEWaJGh5saqLzOGud8iiaj20pgxQlwR9tC6hD67WPPZhwf+Gt5aRioNO7woe/ouHJ
Ox7T4cHU3fexEGyAN+Vozs7om6OtyLskwhKIVAAEnXE+O8BfwtRkTO4pn77bovJuCioGiNiZxYxA
muGxCiW578n4ly3BQO7RvUQNthPZLO3gjhTO97FiIb73wDMelPpTjH/ifE0+qkKNN9OUVN8cIDGB
wJrlYxcOMlMSPPp+0uJUB0H9rXQSYL1BvDmIorKzBsQ+CAhXip5B9YBEVJuozA/LETBONWZY1NUB
mQMZEZjmrwYIj3ufRO7BEP59iJyPfTiVNxLPYoFh8jGlRtBlSYzI6l79MM+9dy6FstAyQp28JoYe
HV/qFk6l3Yzahw+fiWR4D5EjiU8/j7ehPYIzSV3vSAC6yoY4mA/KMy/dUMfpHNFftLcCbFMoxL7T
nU/uB1SGutSfS/1UxDr4NYw9rM1mJX8Ye/gs2rE5TEr/PUTc+jVNXQ+ZTE4PkE0tDy5Dv6LpRnIz
2159AJAmuhmrcoS8F+xJmNMGj8Wk5s8FV+2hiq0G2cuxQFXFjaFsMjsqimdKPPs06cqassEtYvj/
hZRCpbmBPNhs7BcT2agGNrRK/Ui7B0ij9Q9NZ6anRcb0AEU2dofKIwQyJiEPFnPgUlS4/F3dDPQA
MUQUacNS3OKGAnd6Q70Uilgu5JNIBR/iXgiaNcbiX7DafxnkqjH9P9LOa7dubFnXT0SAOdySnElZ
smTZviHsdps5Zz79/tg4Z/WcFPcklvZagPtCgEqDI1bVH3RjKN0wUlA5prnldDkV/LBNa8GpOtxa
1SgJnH5CP76nx0imlnBW0w1/8aVBuUWcNjwAv0TNBkmbfSwb6V7pEumuLMT6WIuK7oSToD9pFOce
6xYcqty0mqvSXnrO8eR5bVtPuinxunMEXRX2SRylMF0SRL1UUpy8FqddqWTdSyFFtRsYU7yva3O4
6b12Ys4m/zkYun7nyWHwHLXYGfXgiG5aenNHfCFzt5oXVgow/jCQyRwzLVLveivIYNIHzB8ptN2G
ao1gWkO7RNBChzM4diWYFY4h+Oop9fX6caq75mfp6dWNXse6I0q5epeqyvgi5qHqjqneOHGHqKos
c//DCOocM59K1+N6hlIdSe86GhZPmpaKTkvX/x0qQOEICD473hjWdxVI/KPYq9ItIrH9X60lRnsL
zMEpKJLyi9l14qMSi6yHNAssu0nD4aFEmsgVJLHfoTTfPTVcpq5l8A4RMkqCqq+OHJ0ItUgT2ENl
LH/EZvUQ1Dz/A0URDnREUturPM6Vts4QqsSVqZMU1cEb1j8AKhyOQSMxlW0b7rKIIww5vOK2SMAq
+0Vm7vSBzzymNbJGmv8nz9pqZyJ4hIGulH9TYtWH/o7PXVwPresnnflSNr50nymCvMMbANxElRV3
SmN6+0yrtJMSivrbALwClWhZxUusio4Jd+ZO0Iw/ETjR+8xjgYpxY87EUG03DfkXC3yBm1txxC6X
QrdO8uhF0ZXqoFWl9KBTp7SLCUfuivaw3fCitMscJYrCTPWTT+9wN+jKQ9fX6QsVd+zuIt/8bsU+
Txkt9HZJjF1LIsXWzozC9liqnGslsjo7afQ7eL+9bKdpItzJQy7calT0H/RJKHfaGP2OgqLjJVEX
tplW5d/jFEtuFeM7XIdStEfnMH1Pimba9+wWGJuyt5v5sa5azu50aqX+MYO23tNfYE4tQf8bOGF1
aPMs32EkO+6kbrQOZgcndxKk4H7oBMiK5ANPZZa8WWD3XB3j7JugSsvbMOxl9J5K/I55HutOLyop
TrdNaePoh1jU1Gd3sL78Y8cbczeNw28+Vr5PPU3dlXTZXgYRIa24tpR3ihwChJ9QaF4q9N/sNJCw
1JX6bucLmvSqsDYORV0FriU1uSMhQeWMwqQ8EyzZFyFXfSb3pBCaJ/5ogCjsTPyIjpMala4Omdk2
lGCIbV2NhgMwdX/XFiIXRctjwwsyb4/fFJmj4X+phaz6kpsNp1KczcwjPd33WajFQDjiAp2bUXwq
teCtkBrBHRJV+QqxyDzUgvzT99IffhPE+3xK650S9RO9Aqx8ykybHBqmmotf3psQch43ZhI8BSnq
C9A0NUw/i8BtdCN1Q03N0KdUKreMS/PeyMLxr1CufhhRQNeG5PhVkVsu6MorIHOGHKiJkB3Jln8X
wPQPephkD4bOxskHNTj5zRA/mHIzPlpCEOy5IIRdG0G7M9XIcPQ6MV0lQApsCETzVhWM+vt/neSh
+G1SPzXg/H1QyIBcCIez0ayjIQaOP9y36lNtvsn9RuK0knyju0VV0ZzbQh/I1mUJdm4q6umkIHw3
9dNrkqRfro9kJSumPoqIORoHOnnLIl3tdKMOejlJTmg7oILZO0LwPBrm/nqUtaxImamLNNhFlUf7
ZVbka2nDtWKlp3H6QeXLVYzbxqswVfnvk2/6Av+Js+xv+yi3dVM0JafO0OBRWMiWgoBUFVsqk/ZZ
rOXsEwsBZiKDgjABzHJRK60FRUcuFJnkzovdtOYMlsgwBLcJv37iC+LRYoAWgI22zPbzBld4EfFK
+BOFPQQpQqa6TRJy6PXK/UQoKm7ME6ksjZbLyVKSCCv4qFZPJvJ6M/OZrvYQOEUXHv1NkuLqEidH
h4tCuRSHgMtgPPNKEjcRuKhOehWZ94Gf7q6PZ6X8gAYid4HEP7Pu1WWIKYWb2/ZJd8RHvIkPfS2E
kTvV/D22FeEZbNO5D4u9rGR+SKZBu2TjD1jbY5BodT4pkCG+6OUfkPR6GXpFGN9MTW+S2wml/0XO
QmWytTwqzI3C7Ho0A0YyLBFA84vpU9MojU2h5ZCU8PYeCkTzgZ7/NJWp3oi0tqvnKHAwkZf8QOu2
BGw2hJLdFprGK62jFwEUXe0FPPLkDXznKl7oPNaiehe1SuFZSZ2fCoP0OIxHxJITCAERAo87/PSq
+97Aq0/HUcAOdVG/bwU/An+hKBtn8urnRR2SiiXkKWQYLycTzno8SgLmPpkwOQgMHateeSh8a4Ok
tbZo6Y7//zBLtGnTl7mUBKNw9FrtMZji27RJvldG4/ZxcNSy/FkwrI19vzYyjUsAKj4r5wOjNoYM
LeTUTBDNmpxqGHaDmN9LfXi6vh3nHb2oBmpAD+Cr0J+j+7jY8ZGA2nZUY6gcZEb/kgY1DtaTUu8k
gXfcAHn4YHiSsNGhWw06L1NyPNozS4qyOQxIAvh06LwJbAlk5kcFgGuhiXdWMlT2kE9bnPbVFcue
+E/IRX8r0GXKM2lYnXzhrhLLk1+1TlLCyqluTU9xAZXbgZE6QmE4ZPQbH3lta54HXxwCY6iXZlgL
5gl97MZtx+Y3zAnfLRF7pRimKrvrc7p2itP9RBhmnlKgC5ebIlB6OhJBnJ0wg95Zgv/OC2wDMbs+
ov+EWBLTyNqryRqB6sZyD2BWumvmG3CMRGcwsrfrw5n/3A9L9N/hWItb3axz3cwyQzpp4Z3hncah
dnKIICCgnCr5KkqJIyhbPeu13WeJKAPoosFba4n+wYKt7OQUBLuqjbcy9kqOL8WJ2+SBtrE2tiIt
jtJ08MRGIr8+DTxeh+4QWIKtxFvqA2tLwgLF9Q+uegZ6Xi4JBaZEKsceSr/AqROv3yHVsr8+TasD
OQsxL5mzWrsRjFmNkG91GiW0wGyl9ihpqa3vHZIhwGv3erS1BXg+oMW51ZsZKHRSrJMojuDEwwPK
9p2NleZdX07fr8daO67OYy06JjkmXfGoQnkDLKLZkjCGLjqGwb4Pe+9eSRLz6IvDViNudcZmVR1k
dXhELx/pUSMhfTHS30tKyzXG9NVit10f11ovV+d0nSmshgaTfPERqep6uQBw5+QN1G2lnWBWQM6/
qpSXEK3SFXTbQ59q1FYraGWpXMRdfFAF3cTA9LrkVM6ynaNR0iJoesMF9uNtrJOtUPPhcrYqaYpr
UjkWwqmXa83pqZ26pS5kj0XcWZ9A10C9BJaI/Qc6a8vPWVCrSOsYS76Iom+c+XbFI5rinJL9XW7B
QlbW/0WsxSdsk2LIskASYN/rO7GibusFP1CQdRJL/nV9max+wpl0yXuZzHeJp2kr2AKWXhkn02v1
bxnqmvBdRoN6DcTDn5+IhRsMargmEINlAoKat18FUekd4R46YSWQDWi2Ev65HmVlQ4NVg4QHwJwN
trwgO7XX08JAKVTGDAFQpA3TCwBre1eK7xJ2Fdejrexk3uPcIYYMQA5I0uUSHLQ0pA2J2TlSjL25
lyUcNu5iUp4tH4C1NUEdhOYqGRzeR4tnho+/rBJpRnjS8ufAAkKu3aFR6obUpa6PaCvQ4s6SdNQv
xLrVj1mCkcR4Y3WWo0yP7Zal29rKOx/Q/POzzZubw9T4Mv1XtaRsreIN8iXPs8YJM3VrktbMYBA2
AqGGmJ6Fp8oiFhjuQGnqBNHHxBv3Vdm0D1XRFccxsdKnXJUkWmRyJT2nbHzJCcMyOdRVFIuOoSfx
cwkSRnfMMJN3CVYqb1mbC7WdaEr3rIxJd7I8ubofA4Ror8/E6ko++6vnmTr7QqYgong6N9VryOY+
fRhffE3G7KhaJ42OzvVgq9N+FmxxXUCSyLO00q1jGdW3lClvrMk6osfjDhgI/t9CLY63RKClGY8A
fDQuIWt6b4ZfUocWQbeR2K2tMMrpKBsCJ4eUu5h1pZW7rvdH9Yhy+bFRxDvRag+WWW2g69am6TzM
Ypo0r5ukQpCqk0TRGsIH7ZNYSl0hvSH1c69/urXjhiLYLMLEMlaXKbGKn0+UlbyM/NF09b69lcYt
TUNp7bMBqkMNEoKn/EE+Sw95NYti35zENtwr8FejbNrr8W2c0pGJx30e1LvAROY242CwdkoqumVz
I6bfLOTzrg93bVECOxZ1hPqorywvXd/s0g5RPvNoSIOtT89Vq7qS9mrStboeaO27qjP0bHb3Qo55
sVQCNQmQwYSVXoTa++xZlyfVRl1l9bOS8lO9hKILVOZyN0cqrDJBSMJTEw/HMdNtoW8ONTKO10ey
GgbpIiTlcXrj38swlVwaBoKe40mByNA3KWW2xp1ieWMhroahHq8b3EUWGuOXYfwp9HS0+/lgpn6b
j9adMIT7KB8P10ezugDOwsiXYcwIT6FSStDwjKqvUtK7zYi3tBmKBwgz2cYimM+dRS5K0QJEp6KR
F7IaLoNJY05BT1Ni8MQACMqqu2nVcZY/8v4MI0niEB2MDhuS60Nc+5KUmWVQR5Ts0RK9jFrglKEJ
ddjSS52eu6B8ajpl14/Zt0+EkelxUAwi910ehlOJKUen1VhWReKxHyQ3z0zbbLcKlaujOQuzOAwL
D6vzhIVx7CNoRFVri3Lp0Cv4zEc7C7NY5aOZyrVhlhztOr5i/ptOpy+r3j7xyTA4g7ujkKgtD9tB
kmNtbKL2JMKohaPsGYGrdnr/XEv1FnB67RKBq4edFDR+60NxXs40VJsKsk2r017lwnyMC98Rw3pf
C9Oe/sEnTglST4XlpvDfZaG+r5E8mMAxnuLUOiSdtM/VBurTJ8Q3MODi2cWzSeTsWzxaVV6n6Vjn
4c1oZVhsmKB6LBeVFm/aGM/aOcGvn2tWGhn10qHR8DhxozFIb3S0qVAxMVKEH3k1FZNGOXDgO15f
GmvxMPYAd8r/6dss1l8vxJnUxLAQdX+MbkfdChyzxLXEbKu/B6X4cT3amuGafh5u8WJSxXEM0yYN
btClkoZDTH/8Z5pE6WPR6X6AI52ZSw+JZnW/a3GsvofaVD61kxbdRmKe8XPgRbnjFa0ZuWXNCzYY
wgxPqkDXN/bl2j0K3x2y+8zO0j98F10alRzfnGOS46qnCUdeyhuFjbVTmvsGIg3KvR9NmTol00pI
gsKx4nn31NB7UHFnLj3v6HV1cT927b7vTN0Gy5IkG9O+drqhsc4mRWtqXm6XZ7XmJ0IvBKj606V0
MyPY5XL7RRmUjVtv7TA4C7PsSFhmAPgMT7YT1hB3iRfvlLI+RFlwmvrkRcjajS+6VipC3h+IM2LI
3ETLi0/Qep0LDiEZSf7dt/5OrX+axjcyeFfl3ZWngHveq8DfWCsro4SVh5IpEG5em8tE3beUWMMV
A03M5AtAEyf5q5qcRMx3XidvhFpZM4iKgkLBjQcbg+VxV3fjqCmRTrNa+SsR7mdquyod1eFGifu9
Kb1c364rq4SjFWgyxzhrVJ9/fpG3JSlmKAbeIcrkoipxUFLZ7rBRuh5mZa8RZiZMzC+HD5CFvmuG
vO3hdrVolPi+eU+peePNunLMcZrSo4JuSbqxfLMaqZpHiTXqVGye0mZfZNOxMkxn7L5eH8rq/JzF
kS+/GB3rotQSwzyaQ/zHE8JbwddvvSr/lkThbdOHt1K2pVy9OknYIwEl4LiihHMZsrTqXGl7VI0y
yTjkYuS0crI3y09464JdUaDHsR7A6y7WAhp/SiMgOnnyVFUfqUM10s+m95tPlEIv4swzebbm0j7y
Bi3AqrrPZHvwqluPlytZ0/H6RM0H3OKJbLIQwOji0EFithjOMA1p0+STx1drmseogBkHZC59r6Aa
3PphVrgTWGWHesmIYI7cf2bJn4VfjDIeEyGausakBNIDaC6LfF8bUbG7PsjV8/B8lIu1gRiVUGep
pR3xrn1Mg+gxroSbsXQ6bfZtr/ZcDIkN3Tm14T4ergdf3XJnQ5y3ytlEzsog/qBJxEZadkoKpy5k
Ny8A4Zr6xjm1NZmL24zXYRgBuJy15mTb8Pw3bCi+JFq8t6r+SBH4HaXr5zLqNg6V1XPr3xEukUO4
D1NdmOrgZNXmMbLqJ5xaNrLT9RCw8vhQpPPLE9jw8Zvupzy9CT2tODRCUj2lYaNuTNXqETKrcP+/
KIvVmJSGWZtJYxzJww9RVL0CV34aYnXLouN/WY//BlqsxxKV1b4PvPHIhnvTY2Qa8lA/FnHxImjT
Tah1f6lN59T0emiCf0LJky3/b/DFgux6qwWgj1vZoBiPsZw+67rCbbaVAK1NGY+P+Qk/X2fLKzoB
Z6IKDcylaZBP4Ckf4KpsFOrWtpaK4IUogn+C5LjItDGo0XDdQ2XSwoC73qGw8Y1+cw2OZvgyItUS
bazC1Xh4K8I0pIeC+MPlVm66Aedx2efLQcOSCjebMheSkmJssBpX44AiwbUAuBpaP5dx8IoCQ1sF
5Umj7Ni1wl0jK2+1krt4KG2txbWb+h+ZduTCZjuo5ZlhDn7tqUjKJHL7MOblW9wXN51Q7bTJeKks
0KhmK/x1/Uhc22eMalYEAZnJjX05vkaLrDKN6VFVkZcrNqoPdezooleC6Q/lLQjZ2tcEcUqJky4V
3YLFrCVKDc8kGZDYN3LPxUh6socobVCYiIS7Phm2bA7X4uF8QtKEJeWcWVyOLhRKq7EKITzpZWMn
+Apl3bTLQzCVm1WTtQOfw5BG9rzDPrCz2yYtVUpa3WnMgOYIcf9VGpPbLMfDsatx8M4PCszTYquK
uzZ/FAHQfANm9TFjK4bAkzGZaE7SGL5Tj/+m5d6dJQh/ri+TtQ+JgQxgEt4ndDIXH9JTOXkNKE0n
JedAjIe/Cit/7Zrqrkib1+uh5gN3+Qw6DzUfZueXNO+bsDLj9qTDyFaKwplizfaDlwwCVZltvUe2
BrbY310ZjJ5pqeOpGx6G5nmobgd4LoO8pQ29Ok9nH3D+O85Glei4kPiRHN2YclQ/INueOpEqlwd8
5beMbdeOkfMPuLjRsq5MQ081s1MwTNN0QO9dlffamGaC0+lZZeziUsY+D/YSPsUaiOav1ydw9Uqd
u6mANhHnIEu7HKsZNBXKShMeQJZ5sKCTYa3k+tNzK0LpytRj3me7XE/sYfx2PfLqR/438FJZIuMO
KnIBgkcTVd91pRTvIHs1TjQawSeuBdi4eAgAnjQRibkcIuyKJJ183lhegzANPL4Jo5BOZIVuYc5X
t8NZpMV2CJPGL7V+SE9GHp/U7NWffSwtsLAtbern699v/l0fth5CbrO59NziWGyGsKlKuTOAThoV
1geNN34d42FD2WF1w53FWGwEM1WS3LIa4ZQps+xHkVo7PPYe69xS/uCJ7n+iaI7I/L9jWuwGnNRH
tZzwQZYkiub+aAtApZH2/UQVhA6voUNwoIenLl5yrJI844plikLdHrJuXxXVq1EV916dIpCBrqJf
buyztX1+HnKxzVRxqkXdLxrshorebjTxa+4NN7LRv0dqBJ0vv6stf/ffr5CzmMsdFvuV1FIFTW50
lFROZj/Ub0MY+MfrUdbuUk4OSpxoP0EWWOyuKW4B5kwkSiMeu+/RWEevZg8Ft9Amb6fLk/go5FXk
jGai2aUi5hu529oxch5+seViH3KeOCrBSU+S+ylT930tfq1163B9lGs74TzMYrfJmTKEXd7px1iQ
hYcA7x67wYXrsUJAyQmKTc/nNSgvZ9a/n3Wx9TKNqlZdkN3kWbFHU3SnRdGTP9bHoS5ffKH5oZfD
nuf7TZYOxzT/BHhtVhSjCWjxPwo3l2fmpGX+pDGvAPMiF8DabVGPtoRw+Cc+61mYxezBfmyiqbIC
KoS+dNSzwrgPhTza+13ESAO4INfjra6Ws3iLadTUapKw9qWgPPpuTmdO7zHyazbwFv88VZdnM6aq
SItYkC8+AC58U9Arlox3DKzD8KWcfCfyn+DS2P74uxne3mYof3lvTm5RbnRIVgd4FnmxbNKhaqwu
btpTkkX30mA6uKDCey42kNGrYZABmWliMtXdxUGtJ6Hut57anrS0CHY9Wp53w+zQOYzSphrO6tF5
Fmv++dlrLDUwB8x8ej5ZpvaDI3SCEe6wRFcqG/QPzgBCGIQvfSF2T4OoNi8w/iKI+UqSxk5RVcI3
IZHCPz4s+dcGcnxrN0YzTI4pJd2eUnj5vSzF6u9CNPNT1hTic9obemqrGRAn1DBA1DuN2gjdYcw8
T3aS1vPz3zzjRcOtMfzrXKXB/d1pJEQg7Qga4k2fFPXvsp+mb61vvEm5VP0dDoZQu6hMSDRlQg2Z
V6XQvcYRoP6WSFIMquFgu4tIHwIWg2WPWK1+jWO/2Y91YCR2OArNbTaI8Va1YX0i6bfSm6TtuoRM
l7GqD5OZdUfLrCGKJuNfSH+3Np6kn6g5sFD+E2ixMEsVv4N4NgUIrQf6yajeQsnT37cl4NdPTt4Q
dPhnWskSU8wjj2MFPfFTXvPwBZddZj9UqSseKe7Iz42EwPixl9JWg/8twbcfsP9I5neN/JKBoww3
duTam5CiB3mfoVPaXtL1pr7R5bxIptNQnjr1TpoiO5MV26xfg37LKXftTXgeS77cKq2FH9Egq1BO
ellzzVTwHYQX6k+8p1kvykz3mv9dHKKe3Cd4zxe8p+PRgxBYH9Wgeuti/63rPsFJYhJZmHN/GaX9
RREiHqswmpDUOWZ9UX4hMdLcNvS81GFqvTe6usKJg7nGRxF9hOt3xcrEXYRefEy/8YWkGUvxNKq3
zV1aPUX6Dy97HLZwuisPKKAVALvmVrFI//Fy0sK0QOzGoPqcYHNst1kmcCMF0X4Yp/yLmWq1K/pB
buuV91Uc5fr1+ihXlsx5dEW8jB7JY4FMSYPIiic+NUGzH0xq7NdjrJzgFzEWk6iLbdzrcAlOTaPu
hhpZEBjx87GWDJntecI+ijcSl5VjjcMUX3iepCaAosX9NMlap+CK050qVfdtKRgOJTKJiRlv3INr
6fPsBUkaAbEAMYhFIGscRnlmPR0LpWxT1IOC5FWpG/RdeLyZMuRApHLc3JNLzZHrKZNsGeekZi9W
ZdhufOa1QVOK5C8Bfy2C37ucSmsySsHofPMY6MojYpfHvpXeyzTdGPN6GLzp4QDQx1sO2YgicUQ5
Kb4J8qoBF0lxIPPH/tk322BjGtc/LzkMnUmI7x86yHVnxg3K7OFpGjE8tJvOQPEEBMghluUARG6W
OYWefRfroQB72ceO1LdbTkRr5wCoS0vGCQo4x3It1dUgTqOvdCd15GI07zHhcMy6t638y2Rtafyv
bRUK88rcS8F4d5nVK6KI30aoGsemzsxfSTSoz3lXCH/SOBA61xA6hcKhQnW5qIREdq7v09WRUo3S
RHAr9GkXCwgDbzpSolyc/L4zXAO4aSggBKBLBeZQ9c8i/kSGagFHR4WQjYox4GL3pLPIdVLNN0k4
+IdWFXXXiHFCvz6stQXLgBiUZCCr8+FB0BrmKPlYQUdwIu8KRUsDmpZW4JYImX25HmslT/zHQ0QF
DUpHfQnUjYROTXoFIdMc/ohQBI4MS6aM9lIbbUzWaiQWCMeOTo1+WdVqYev6PeTzoyrng1v2MmI/
Wb/PDZUHRh28XB/X2tLABpR6MpySWYXi8mzx6po0DT+YUxTf6aHuCNr9EP20Om9fylsMj7UriUok
QqJc+Jzdi9xT7nRofFGWn6bEkL6HAzB/AYPtwydGBP3GUoDDkOjOq+YsrRgNsU8nDcmBqElrR5lh
KVE29I9Rmqs2fjC/iib5DMAIquq/QRev4D6tqeTVqnHq2rZ77qPwlyQP/ZMvm/Qy6Vhppm10hbyP
RMOCXYiI6qHIxOT9+tBXPzBgYjI3HME+vJBlqcwqpaiRpRTieNd2hv/oaVa/kQWvRVFZKbSPKLvC
11l84Cgq4qH04b+pZr9Xi7x2k1jZQg2vHZi8nGTEJAkCl/UySif3PK9jLb4ZBcHU3F4DgAHWNlHU
gzIY4W2MgVJne4JUvAtJgQLR9U+5tgsBWiqApaFzfWCWp14/Tm09+TeFpYUPOYXmzM2k1vgSB174
w5f1QtmIuHaaQXzgTawgSY7ExOWAwS5bMJ5pPHaq5GjN4IqlahviFvthbcOfhVlynwef+p0An+SY
iFgMa8IetdhHRQ53vRbQ6rE+Y/1OU2wGd9LcnP0BLsfVWkraA7+KTx3GSJDVhrh78bvZESUWuJ1R
VtHRNL0+e5LML70s1PB40//ZAxjvqsueYz2VfarzHjtFk+KagbcXQ2GX6JPbW9qhkIpnwOJ7I/B3
2F+4bS3eJ0n26/rf8HEFodiKSjS1aAt7pOWNP4g9ys5eV4JeS160uHqWkxDTRbN8UIdpIwn/uHa4
/eaVCktvtqVfnOKyVaRdnDXpaVBxJTEMB6PfXNtIeFeDoNAIpRDQCWfd5USKU9cZRl8kJ0ND+FMF
iIoIWf/X9a/2cdvT4J+hSbPXikzF/jKI4aVtlZR9t9fqudE5+roTJYJTCpkjTum94BtHXQiP14Ou
jOwi6HzinV0ZsplG9IfJ1IIy2OHdiB1Z7U7hxiR9PDcZGp1bZCNUZmk5SdFglnLVVNmpb+tTG0q3
QoZu6vWRrCw6MEycm/O7Gn+RxRwZjc5DN0E0PM+fFP8Hkpa2nv2A174RZ6UYw2DAzCDSgHQ3mIXL
T4b9esD7b0QbHCaviuDhEAwcz5A7bRMpscTWpqwajh1Sz9/qYqrvfNiWrS1HVlrss1z3o8P1ka/O
oQmxgNUPKnWZJHVlW8iILXpHKanf8etC+9V7L5Th9XqY1UmkSAIBl0vpg4Z36ZVdTV+kOmVpoOzK
0EI6LUq2HClX8PBIwvAkR10G7tEHCxBfD6zKj6zhFLSgHhE7rdLvhRdov9UwYBckbXwHMCt5UkJT
e0WvTsl26Zg2Ay/EtuCxqIcxps5TFh3bOuwntxXMBotnS42kjdfAx/tk/kvpwQL/BAq8zC06cOSd
kWbRqSmfi+nO7MqDnIuOR1qhbZzqa4t7DiKbrLePTqfI4Ddi2AYtCoXI76GYOu0U0Lpvgo/+yVh4
2f76XK/Gm3fSbOc6myJfrvHcy5JYnHBGsuryVGfJcxbFVKV5fIxD+/16rLVzD37Hf2ItjqBREbPe
CzW0nnNgD6ER/C4m5StwhdEuS+OLBqPE1qCVbyXia+t57pfyduW4+JD06/GQjYUP8h7Qq3DPjZq7
htmO9qShGe0rbbCL/Njct5NXzDBsAMy9iuG6KTx2+lDceUbSuGjsbDUH1nbzbCgyP/wQ6l8+Gui1
W35X+soJSegd6AUMvpK9lCqfOPg5KyCckj5+VKwLVKnqw7AIT8kA6bLMn0ykq0NP3HgKrI0Gyias
NF5CoJMWb9lkqKvJrPrxZDXqvVGImKIZziDkG/tj3ncsyct3D4ZBJMRkn6Q/H5JHOY/UOPTz5Ia8
p7gbESY7mZoQ7ru+TPdaqoyQvJKJhh+NTT+fwtMYxtpJtMyf7Kz3bsZUD1b0U51pGOEIokKF/Io6
zl7msWzHzfggmeNDhGgv6pxhisNGiBovytu3WjgqThxU2p0USXearP4plbTYqZP37E9edDArFc2i
oVHQ6LCCndl7xY+o974a2vQHO+g3mBL4/CjBj4riiJ20GeFq1Dz9RjN3A2oHieaXjjcoOVXpzvqB
I9D4y6iNm2rQIDskXKVNG8JSCtPRFofuRc3L3M1ksGZVb5X8srByzMFonEKpALtN+cMYj8/RKPZO
LcHRzmT54Ev6qcvzrx2SaLafC9IJrSfPRqAyv+fOspzCNEcbnVm0yTLERQpROpqB/mrI7fQUgnOz
Y68dseWgmtMjNJrQRd+R/R2HqH1LjFC267T8GsaQY7VAimkbhjm/Lvxldr52QNOOrkWTPFaC+YrM
wosXJ8EuyMGVzRq/vqcisI03sU2i+dhKGulPpIeOCmKb+pX50EXejZdp72GIZmUTmdFtI6dwIEkm
bC9v39um/j5Cr/rpaxKG4vpYPGY8sE59KGQIAFd7oeOB7meTYWMSGe8jLzAPSI2MB1CBrRNnY+JS
yilPwoS8ZqBi2arkKNAbYlNiyssh0I0BFnyIw4pm3zuhlnrOGHavsj8UD0Ij3asimjPygO7vWPXP
Aoi51BNNOxeyH2Gc63Y+qvkepOcsrN1RUk6YYjHWD4gToxormp0LxnV00OLPdxaqu06sRIiQtmrh
SsGEWmIs5UdUG58NpRXsQRhEF93B6UbPptAeRyV18rytHNjDol31vbjruipz4zzUgHeW+t9NQe4V
oW67jwZDc+IkzA9ygaBzZqE4j9Y6BgNq9qj06JQWZnXAIP1RrpunKc5+QGVSXd1qdBvPlGQX1/2v
wRR+qGBGbYSrn1NPF3ictF/8GlneRJeeMHaHutYrh3zq1QcU8EenaJvulsUSc/YOxo2so0JESxS1
dj24r/uC133r4/hCT9ZOsTK3NSH4mqpF5qTJXJBSvZ9ai0rfZEQvqecHd1IgRqzYuG72DYawOy8D
dYP2ve/ylkL+Ap77nUGdwJDymG5kv8/S+liM3m0mKV+FQI4es0nvncy0hAPyzbOmcQlHIBSkX33i
W0+hUYq2leQ3ulD9aYLEO4StOTj+LKzQ4WpsG+hoH1vT/KPPpuRhHCpOlgpPErq9HoKrNtoCZGlY
H+8Ds8aus9bRpcvbv3wBKrw2a9IPfnRf1XjZ5vn4O6er4laZr+3UjLOktmBl4xD+3IbmL0RBM6eM
BYhyHvenOdxPXqK43Ww+Klph7jSD9EWvcaerZIFya5XtlbFR/rRS/BBbaufIPZZqMkraJrrGdleN
qj1VCDdMgKodHl3FLTXy+llWR+UkIabvKPg0YqgCd1owk2k3u/3KU/GLnqPpion0GDX/Q9qZLUmK
a0v7iTATYr5liHnIOSvzBsusrAQESEgCCXj63+O/OXtXl3XZsdNXbdUDEQRIWr58+cfO9SSWq8sn
fhdV5IpR1YOuRF8wMB0ukGxfACW+d32l0Dod4x6hU7qrtth+nSwxHn5qPagd6GS0KPVYpxhjdbJW
0e+yVB3f9INUJ4lcc8Ah/I2RII5WLCo3dQ+u/dDGiGVX/g/Xg0pJhZCvlcYjjFuAY8xkLZ6X8JcX
t1c96/65YajGnbH8xmeZEWCdLHk9jvZUjY6Xu/gbU3rguSJFNmV1ydOm58gwjpC0B60XdRPqjjF1
R9CQysa1m3DViMGGJfhCSgy/Iee4zeFOZ0UYVPcGjKZcrOMrTo5vYSv9BY15MuflXOK5Qopvp6Rz
MFwtWT8oZK4y2JItTGvIdWKb0bMwm8e6O/qVTdLJwYojbTttZ4XvjhNinZulvK7z8tT2CjCSuIJ6
M9sBS1X3rENv3dbxgJ58ZetrHakl7712yvsJsSnECT8NLpD2SHlCii0wDgKJ7Qttz1aBfESZabaU
C3e7+AvdDtPs3U1we97uOz1PHZziMYvcdMEfHqBQnx3Gf8Hf/QIKNk5UJF6vQW0MrD9EFSSwYJZG
dtlY1I2pwquOQWWNvHSjbvFS3T2jNSLBlefgRXLvid8+Lv16p2X0Kxjc3epibfLqyc0bhH1niAQF
XJ6KLn4oeTUXCyJOMvTS6qy3w02CX3eslgzJiGudTwmFj2EiaGjhNUWzkD/WYSy2iaRDurTVPbSc
B8xQlycBrEfqITQfYd4e9qBkHNdrP5EW2VBsfeI8nKBRT9hyaTdit1UwlBtME8FV/tY4SoJiOplN
6DjBNp6GC6KL5i2x0cWsIYG/oqzypq1hdUeeVzoMiGkXYYuFMbRRugp4EdfGf/NM+C6a2BTAYiEC
24wwnTkgwNhO/hi5CffuDKcyYLAxYuime4uDXGr9xc18zh5E6Vxr2so05mF/TcKKoM2MFdBb8b6a
eR84TnWqRNBlpILPOam8jIIgnHtzUOWgAOp8ccpfjBqdEac6tz73vqba3v4Z2keRjt1zm8RL5hOk
4JWVQVaEawpja+TBJo7MiRv86jpEM/UVWY5Ibr3qanwFQ+EdxO5+i7T6IUvYYAs9e1UmtXZTMiEJ
CU1QHy9w90urrk255M+hQIbC0nZOCq7pkOFoi1iAsmfXciJrimKyK3oyAEwGe/i2UogChwwfpD5b
h41IoiHvsV5gNSuB5A1PLVT6lNR+uwlqFuSea9fbtticgHsctr3b11uxBOoer3OSTbof70AUHHLW
3FjmLubdB1G+J6NrDzZwWLoAVVFy/RnGVbs1VjjFIpYpi/ylLxLwkrJ2IAiEBzkohfypDpGYkgwd
PoQQGxHct5KzjVJALyDg9tPtBptheyJY93w/80FASdFunZFCi5mM3mjEN4kH6asxE4n/w6ntlAoS
HFYCnKz2DYAwjH1DaeiyaBjPPPS7PBoSwEqIvCd0ugJ68RLr2ssMnxU2SwfeIsPau2gQTVHbHg9S
Uo5nBDavBcI0PoZB+xg+sQ+kKrusaxebdaa22PsTIBAUS54Gs7xFqiVPuoIphYsvbcWpU2y4V/jn
dwMi6XJHrWIT15ZuWjU7m3hEHAZzkXqON9oOWAN0azXmG5s96USzw/h1koGyXJ5K4oG2AYQMeF5s
eeM0FKml8U5PdAundbvhq1Ub7MBxtnIrcWR2hvNQmR9l47m5dRHWXorSZkPAJOxPZZRSz7KCetLD
F9Ueas5wSE0FUGzL/eSeOy7dDaWbA0d4A8YQciyr8Iv40yUp7Rs+c7V1BjyuukEMwbQIk2pMS+YL
de9La788iiR8eDsQ3k7Myzx0yDcs/W89C3yDOQjy2nMx8we79rHVyOCxPRVZpeYSMSSWPhpYaFPj
g+gqlAvay4ifVxHbIpVq5BmsVCD6MHnsyXiUUffUOk6bE78BL8eZo32/IKebOuo1TJatAPQinZv5
zpPY97Bgq8zoshhJfw4nBvpZDa8kDiO1+mydZc0mRqPXoXJKIEMgifPZgSuldP3tBEtxHo+Be+8g
5K2QAvi4zounQk1Un6i/hoU/873kpZuti4weGJ9GgGFK4PuiekLxsLyrFXtIbMhJx+WNiCEPfTXc
R011bCd5rbUDToiiYzYyYOabROhDUJPXmUVm12OM5r5aevsiZ7f92drgAEWg+Z77GAf8OGZznniy
TVXo14dwKulG+x6cZ9UU9FA2nctMZtCKJPgywaCatOxdskf5NzyhLhzTAACnQ0WTZjO7XpfGjnzT
zH1WiQXvYBWAbIxDmHmNmuFr46aIaFW/zeE44kwuQXIYGycdaKv3HKFGiFH2FQ40OIqPyep8TEOJ
pI/EBXsopmq4YMp2ekY0n78XThdvFPHAaoPdDkQRAFPuosYD7pWNL+WC/SZkUYTDp4IlcEFqoE19
1cVpM7Zr6iENFLWYB9gM4BMIKKOBdQHpDqePyKgHVBpzMY32BcAONyM1vYQxWvuAPR962++B2vDT
xiGoiufGZqVlU1oHN/JJsI44j44nl8wy0+MKH11Lr/Msf7RI4QA8ZXrXGCJJgwEPYtO2FCwu5Jl4
4dLcuczXBzOO+MwDDiwDwg4wOmPx1iEUHLcZD9Ey4ezaujXsgt2cj0nwXtYGdJE4eFYBPw0cDlbH
cacDB3gMCJbh2w3VHpFVMV7z9dzTQb2M6/JUGlGliDg8KwfURDmPHzzp3yk350iwk++x+wY3NdWw
exQNmd2fxJQYOxFe0rxYaYFzFGqu8WNHPiqVuvK/ax7bD1CjQp4GyswnuBHa5WDCzuD9WgYsBZWS
0edME0bTTsBN8kF8hczhBgTMsRgZZ7cTCTbxdunr11LA2nlAXCvcOnNHnVtyINIeFl3tSttHJ975
9kpX/mtsA0D7gC3Ei75xmvhmUSA4iGuNFcA0NeBm3RdGAF+Es37xRn9BFskFGCYo/VHt8gEDBXrS
eqtQ9mTVMq23do/O4KwY8HNK2DCr6trFTr8jRqOMG6Mr7D3IvffjR8Jxvsfr8MY8PE0hHds3EFdv
mwe/d9syKVBHTAXEWoWXJryX8KFuHTPeKw/lWTuA5thS58YDeXRoe+zQSUBJ5CBErI12FaIhsqnC
SGmYAMUBxDAySSeps9Cruw0aqZ+sMYgdt1QUHo9l7vb2qvoIpPJJNqiM8Ee61/RiazNmM1hT4DXx
XR+udcaCdslcrZ09Ez44YHMDKlLMTOY47H6uowuRWEWQam4BHwI5BAg/b8PH4D1asQfjFNG8jO7t
aKTvsZVduYuT8G2ULQeIAEwRI/H2N48dGeQ+XHD20vCT2ji+m5DJcum98G6x9VH11OSYdK7A2fHK
TCV9vO/b6mx8BGB2ZZcUVbVWR98lJvVXClKQN77LZVlBXQqCY41gm6vG8WkLzlifQ1zHJ8MDsqsa
eeJiKrO1ExEOTTpBV6v60hNWN9EZSASN+uGRvj+WtMxdTfCc45CbrOreKpQn7lRCWVimZbuKGDWT
lGzbgr4JJEpUpyUJdEGp3DcUxfoUuL8G16s3a+PsnZhcXK8c09k6T0IM6Fr0kf6pJCZ+FArKYqkp
GDg1azYxHhw0MGW1QfL304ws95QSjMhV1GCV4csd92C6C0kXF6CUvPmrgQLRLnNhe8fbjCq49p7z
zr122FJI2o3pDkAIPQ66fdJGHVQPz4fvyweRVP0uZHNZBGNYp/iPSaFoAshRUE2/gF66yib6gdiv
AYfqyvvAQWssGpWQ1OFtD7/BNO1KudjTgCpi57HxKlm3t4tw79So7xDR1W+qVs+pWnq11wl/GCkg
RnMLhNuw6DtjXXfTW6A2ojoSIL74U/QCZp7NKOh9u0GbdZdYqDAd0qYefNY7eODW5yCpDnLAo6bV
zbxSOq+9BGJlaNY1nYbkjnrOk3JCXgQl0vj71R6YI+1uqJpj1SeXupuvVsQtVMimA1ZyXXIRYiFZ
3JFuyqFccyRx6byqPT8HfUoUTTl3EuUtvxsmYAEpdpo1dXxU/CuJxtTM65fbUnfHbPXgDzi/0tmE
KUsgstfIuEHbHFPZUKRSJinmtBvpQCr1u4fEEwyKVDeiy4AKHdA/uYVeEr8agjFWRsp2ixNUnLXL
YO5nHfWPvmd9QO0Y0iVryGTIMXmkIwqdYIh/VqEcMpZ4c8YTee5GAVAirwwqRhxPUGzSk+Yg4kwO
mvKjX4cZwHHDRtPgxRCDn2gqLzE2zMxvlU7hSarSCMPDW8XnvVdRDpItyBcLfVrN8INF1r3oGCdX
wSGrhnjligZT0wW68g5+g+bCY9Gdl7lz0QJn77TXeqPKCcH9UUexKgFrvBpQfCQYyynexDsI5t+j
E519A3sCZInzQnFSokMy7IcpkFAe0DNIZqBDE3fY+yPgQcFNHvBAoNIIMEZcnwG8DgLvJQw7u12q
4WEt5UvAy7UI17HNFPN2OKk+tMT0O0YMSb1qAA0xdG5MtZZfHIEM087nIZQkeyaQ74phoN8Ld9nW
R5oQKiI8JfXi3SUuWvyhQf4J9p67Ce3rFFHs1zjCQKLPGEQYOh7xigavdjYJeJCy3VJPfRMRPsZM
s32JZM28dnWb+rY+4LBq8P8FZjLAL1vXGCHoIvpgPdbnDKVQ7VIg68vWvE19y7cjQUpXraAKUxfP
WULbkGAXHPYjukrYBMjzLaQss6ohKXJdMbQCbwhoftpulgkGnm4Aek0Z+RlRcxUliveSH91a7LAd
PToNOJ1IvYJeGUKx4FJtFm98WmMdXYIJsErIoPoOappTNK1FCxExMJBL56Oa43nrOWY5kIi1KVbi
KWuW/iQsTDSEtvWQOmFyFBVwTr4V8rau8w0AnCzzJPOKeGbPgY749v/rztpNntCdlJtllO0XE265
qehkzxWdv0NQxpG2Ou/XHoWB0/M9cDCQRzV28WTGD+3z5TtyfLcIG0gpvZ5Vrse+A+7M1KlTs+eR
+aaY2rkrai2DO7xVcGrM7THx8W+xcb0r2/bLCZYKUnH8oNrabPSt+Ww9t9nA/9FtUGheMId7Mr38
BBp1P4SYUeiZusa+etEhAtV65YkMFriy8Kr6Coz4k4mMm1eAEORlJzegbd9zDSYeaqA+pyM2nYD/
msYO/e7AGqzensQ8iojA0XTREVmiJdWoE99Nk4ynGQMwUEjiSaZ09TyUvygKNySiNT7fMKDdh31o
ov23P9AJPJnxPLtDt6uDpXCg5CLaLYzTpV6vZmo/cZLfihkvGTKNsjrxUOwjlw4LWPNMIDdmmFBv
jl2EIjvCOFsqR+UdmUvcLQ7VOFTg5LqzZPYKP+6rS+D0P6akWzc9AI3uILsilvIV9AyWqrZ7R0QM
S227YN7P3kNBjSABQg1RA7h7XUcyWLGxqQZkZXln/fop7Oner8l5XvsfDuylh1WDPibRb5m9cn1H
Z8kvOmu3FlC1jSDjHp+zemocLENRU0dFEvgGA7XqtcMwV+pyxo+SNDu4v6Y7ULPnoxtM5uJKepbr
wHAcj1zEePXjTk0Gb1MvPIaFsjk5nr6v/OYVocdHMykcj3vUb6wNcBJfZVKYkb1QNlY5hrmwCy3D
/QztLEVZBwd78L7MIGYv2nsLezQdBV6cwbF3ArSkFO3n9Wc0zVqkmFbHIasqq204TXd0THr0P/QX
wAtIzPHGDkIPAtahVaKfBpzwZ4glBL9Jb1DI+jSf2wqi/0zZUx2vNapLAWXJb+Nw48XiZby9pQk6
YUlUJXtEiouL61dbhHGh8mm8u4aDSoqhjIYnP+IR6XhVMMhd29g9jilvcdlkfV/zU8CB+gU9cO/U
nXMnuuR+lQTyPMFJe/LcMudt803qdkfY+tLy4CBV06TofqnCAVA3TeK+A5Ns6nAidc+yTh5F5JUI
C42qzO/WhwbwcrvEA2SF4W7SUqSKinfGxkfqzQv6UziprqDFnRDYeofvPxziWEQA0aoYNyZih9nQ
MoUn6ssjY5zLioiDBX8DFMDpOpbhmzMq3L1G/tCxKgtEp8iiDcL7qNcnTYILukGoV6M5SpPQhicW
mp+MhJARO1bn2E/DTcXI8ECjucagwPDWO+0Ppow+xIo+NglCbFTInudRfUvkN8LEPG8H1BIZ88op
mzhK0dbz8L/1PlDVPtY4yqBkvJZKb+bJJAXCbVkKvxA2Eezi0GFfbOA+wLo7ZnppPnqRQHLvWuA3
vJewSTZBGIN3h8haFO8gbar5V+kgj6Li5KOxauuEetjO0v9Lf/+fnWf0gzEfDzM2vHT/MN8lsu0Z
7E3ODsUYCK1LwRq1NTgy/Lt74Y9t5/+4zM1J8R8GKmi4TTOOMFCJ8bPsjn35PcivOXwt6f7/dqHb
B/mPCwUdBhTH3q0AwgkyHeLkCjVFV9kk9ojd+cu3+qf/43bz/mec/HZz/+NimO5nXTgAo4L2sydS
CYZyDO+31uGpR7t8yKveiL8gof52zd/uZBtCeTQTFftlBOuhSp0ew6US2Rvl/9rN999f7rc76cSo
cAOPR7uJ40pxY/wsGscuK53R2fz7j/YnNyYM5pjzgocGkWreb0aauJL16EpN9wDCrr6FaAaAHwoh
t6pO8AEu6MxVeCYVPpEPTTnh7DK7q3PfRKDNHiF3Wr5hcRA//vvn+udTi7B8jEfCNYnMxOj3Cb7O
SWYZ1R5CTkj12kdu9RlhkD01i512qOW8vDb98Neo/tuX/W+Lxu2qMfJ+olsg9++TBC4RVoW2ZAei
MXodQ66+agUNPBCNmw9Thc42OiE7Xo5yVzcBqs/Sl5DO9S9C0QmjiCf6y3P+Jw8QqI3IZ0CyafiP
bHB3gmCMhB65hyiPfvZM6HHtIM7++92+WQ9/+970lnaJr40gp39Y2vwZXOC1X8m+JG9ThL1+/dDw
wpf9G1Umc6PXyP/Lu/TPxc+lmLgJ4Z8DM+gf1jT0E/oaRxlxGIwPLlFNmxGYtabFUnizjA9/+YJ/
uI1oiWGcCb5eZBD9noQoEdw9zmXr7Uvmye0g5vmMAtf9y4r+56sgtwkzWvhyv4+HePOggY0tAXNr
+rz3+zMbqr/cN7i9//BbUQBRE4phArAFfjMsgbfKq46DUq6C5MArJ6848qGVhMjmgrO9BaA765rl
QrrkvHrLXS2jDbqhqHYir8/Vul6HiL9UmA3AgUdkQyROoxu/K+y1pbhLRFnjcFqeAMgobLU8VyuW
8SABjK8U3WZc3Rwe9bwm1QXx5OfYoGoL+C1k9CNQXwTFbDTzh4U7h3oN3gwzFxsNyMtaigCtDl7R
p9qU52WpL5iy/EmFesSOvRkTvl0W9ovwJzpUBZLtDgKGg7JCv4lJHA7Nm5iqk2+XcQPAGWTnrson
FBM3KDbtxZv24KNCOENXNy8Q0ItEY4jDN29BL+4kNWksvFxpDLPNv/iIRBrP1098VUFaT+UbmPE+
RKf45+zYZ3AQDxQ1+6Zz4jNdwq3EAgdmVybc5Tgg+wGy8wThmDRpN8CM5zdQwQc+bybW3mPu/M1C
4WWt+xEE6B80fAf+OQJ+THLPGnm9VVBTwy8xTrsLn3cqjPNSts9NEoI6DWZ8W+adsEWIHWx1kie6
mB+6JFmPpkire3DX5JOzgNcdLBpTwPZYRSgFOOwzmZ6S44Q/mWKStrX7Hth22wztFsjpFB2ht7Gu
NahZfMO9+CRDeYx8tVe1vx8tOpkQOvfA68aQNkZ/l8hla0DS7FwC2jIYZV4dbqPK7FzDHmc4koT8
JVDeIi0+T8b2zlvIAXfx4MXdJ7gTN3Cjf4Kh8iD9fu82vkYrtw7QNq42JXc+ylpH6TRHD6iCdFon
8V4Qc1iBSNG2exZxD9B5Cbq0nwmvxziAc7fE9o4reBp0W37xFqO5Hptpii5tItFTbMYF0o/rfvfG
+plCF6Ca+c5JGM8rL/gaZn8TiyEP1MiymjiYp4CFDKIMCgKnqCxEYISH+h1izwJeQPk5rYs49yN4
JFz/jBvvFVV+ihysPefoVJbRCTGIjyPrUL0pTGQlz9Vwy5WoogOwxV8z5LnYs+gWreOp5Am6a4l7
85GYlFH3Ee3We64qDxey0Wa2M4FpZNyt0fRzRJM/rwdsJdFswM7qjjX5FY2eSd12RX8IXbTNXPqH
AEYrCZNQioibYwlufDq4UAjGFsHXslmwT3dn31shUcEPi+N8ouuDdHBUIZP9UqGrIGlW0Xao9ZTD
lwJtwVZbTZN32ETCVLm4pX0DM1a5AnLuwqPV2i9U4TfV7tgFy2uHVnURJ/OPQCbeVsuE72D74Jk1
3PtonNaHzOMekB+R1+uwZxVCF7xW5ui7oC2iYOawXzA9gL8eJl+6g3PN8Dij1BlyM/LDMrmfwCh1
ma04oliWE9XYi7z54ri3VrfzLIcSStmAxzIeTjHYc2uPk3pQfyjeHdvSx+mgJUWv4L3rBIXUGXxF
ctrD7oWZQIg6vD4EsX9tqugXDU3ucDQIGPmpWu8JymMRgIkJP+5OGNgDIvR+Ioxo267uCx5MGzjK
VVrHkkF6xiLQAiC4QYHwvIzLGYx1uGHZDq7n9xGtq1LWD0rG34mIcQ+7zPPLDcaiHiNuj7FAeWhd
e4L+mnl6wiimQ1J05bYAns7Qppb71cHaErEIA4bl85Sstqg0u5sQY2+8IS8H8zQzf8lCa15nL7qE
A/nCc7PVWl/geDlaQjeTF2663nm3fQJvgLt1nLrQK/MRoRg/BGX7SypX57qTOcAuhwrOTitDKDPy
By2XI7yN+6SBqahr3WdKIbbM9kK95TVso7wZ65MTRlXacOx4ruh33PH28LVs+wkuKYOJpVV8YsDx
OSEQJWK/uqyoR1PtoMeTLP4XbFYfJYDHtzV0y7lABx82T2lQyKplzJK5O09YR/Ck3qMzNqSuEJdI
+AfQS8MUb3wBq/dp7gddxO2woytMJGZdjkJUVxz+b4SaES84+fBavL2Ee4dS8YPyvEPQfSWBuYti
9Uuz5iEKW/iROmwvkHJl6WV1Z0C+txuXtRcZvqBcFjAnQlZYe7hITfjQBZynbYXDsesDw9auFHYq
xL6j1QTfHgkeoZ72GU2Sx3oVNq0sjFe+TGBVjPZQvV4mr9+aSsxZa/2vmo5rOnbuc09imSpoqk69
wiOgvwLjfmq7Ypsr2T5K2p0g1t97mucIpXsQHJ0Uh8yPxIf/gqrxCCNAhDfNfxnL8mjm5BSwACaA
Ntjyhn0b9E0R6vJQJaYQhG/QbZ1SjtED+Iju2qTM4YbIROzu5rn7ks36Uq3i3rj+1UBEi5L6xaVy
UyGgKC25gT7vKATsuwCpTV4+2QsMHKeoWhAhCU+t4+gthzs3lmjxLU7zKFa3AH/8ns5RjkPsLqFs
S9CLxBqJnqQzHahy99H0Q3JIYBOOJnVypslaTNaZU2cpKbww6OlYLG5Q7c/O9BgEVuBDaPQD27ZJ
lXBaNNqjJY8YyE4jOhZYD+d3pMCg8xeUBZP6nTgSmRlzEXXdk2yQBeRCwkXKExbGBU8MrKcvbq83
bsB/CgrFs2zJy9BHGzOzKzS5yzD5F1hBhzQZTGqGatd3aASoSKwF8rDgKkI1wEPsm6E5wSTXZbKr
vlyxvoUCQ32h8+RiiU4566MMQv5Nbb2aNjrDG33UfpWFOth1CBYdhhDWHOKmri03vJJounZnVoe7
paqLbmUnFapL1HmPKOo+25q+YjT+kWLcOkWL4LSwBNAp9mNwfJC2v4PVQ4o+KeQ0P6HhVKI0d59I
w7siqdafqApwjqkfOteNN6G7FlEd/PRm4eTIaTn0dfISwKTYEzQPTLtDBz+HmUzuxICasHbYMeyr
ozIr1ntBIEnzXWh62A/r4FyWAO7yIDh3CjZI4WMUpoR6rAeECYzLzgs1BEcYyDd0YBmJlcgUjqGz
iJAAGWEz+ltO4B+mOJAmDwAb8UMfk/a/KQZ9RNvVBpgWESH8AzOiWuRdDBMW1TJPggVzsp//XlT9
oRrwAInA5ZBUgcL6t8oa8ymk7buq3a96IHvd4eigEdf7l5rjT18LMyKokwmgFKin/lsIYTV6roJP
/n5FLPiIExIyqfOw4imMw8aStA7/Nl/2h2IRnoQoRC4PiTE8+tsV4cqNhq4unX2SDLQIHcEzxBqI
E7bZz9AOARL6h7YYu9JkZCJN9u939Q+FIwJOY0JuoJUAU87//X3n1UCOqOm8FwGDAchxySEWkDMD
OUXF//5SUANoiIF/XDP57VJObKkHbXzacCZOKqq+XQRmNtHfHsw/FHQ+XjPAnzDLhGCT3+6nmOQ4
agK7GFBMZ14lDxhlPgMtCb/NQLeka/5WQv6zgMSv54chRkcwKfr7HCK6tCQBPxDx5+W5jrYxhw0J
CjGz9/9++9z4doN+kxUwjooxcYRrIJDt9zegVLbvJfxyh6rmJRLsfU02hrPpvmYt/Upu2bWRMuMh
1hNiZXvu5QRJ4xkw7+uZWSyvbQUH8yqEzWHarH9CqKZ7V5sOH33C/UKn+0TKoEHQDDHFjMV1G/F5
KZDTmZxwAOenleOQL2GgaHMO1xuSJ+H970E/S8TPZB30a6td5wASg/s8y1Y2Oekjfg69aUgx7Brc
ur1oCTpNgn5/h0E+OXqwaE1eiyEACjWV+nTeyE6T176cyYXwLijYMEawutn2XblCn0d0eDN0vmYU
jSy4Yt5iyeZJV/u4icyBD/2Av2vR07SW7nS5JgOqNKe5orffYegAUSuvKppHN10TROGmpLy1tLoY
oUgJjkvdknTblQLPCoF6ZshGj90mR3xTj0O9P8aX3h+X203nmRdAxGJOM9psWhnTUAWQDABT+HwI
BlNnK2z91SHChF/OjMbMDuxlZAdrcQTzMv0kVe+hOmzKV5oQmAJ9Z5k3jaBDk+PfXrZMC3kf4tu5
iKZhGGwAzRVJ2atT7z2nZAUpV5UHVBMkhVfTKbDxdKk5rN0cPr8U5if/MuKsA6uBryG9V8EOzgUU
pWgKNTkOqdNOB6GnkTzHxLeHVvfPsYTLHgEpAVojo4o388DG24JHww4kCMA1kSDjZwt8u7t+gpOh
tWt9LHvPu+voSnMYLd1MyilM11myu0DFFXLskTuT1RbxcZGs8XknB57wFaW8DGdxXK2I0EGDDcBV
9ZLD9bDMB/hdkufGLae8QrjEjoe4tWAm+W/oawdn6iLkQtjSSdAqnz4mhHOeutGdXssggtXCC0uh
UgIrVgY9aW1xyPWaZgtDdnVNmk5eJGvgotUmKMJ2Qg8HU12bmsHLHa0DLIMdRqKDdME6VaCMmR7g
z+SPA5vWIyeYUk2rFXMBkxn0xYXd5CPuIueh9IzZ0jnBBErkwVIgWLUNPOVudDv4H7Ez99//vhL8
Yc2Gkwp/QbQKYbT+besF3RfzYaMuETbJPtlEH8WIxg9C2/8yZPeHvRA6KQK9kOpF6D8CNLsVMZZi
qv8faee1I7eyRNkvIkBvXsuz1E6tln0hZOm9TX79LGpmrqrYRBHSAc5bHyiK6TNyx9rU1aWQo0tN
cM1RamWX2GOD/rHRdgWOZu5AJXa4kmBUFnZ7KC2qOrkzAd+Yp+VswUsjV8TwXNlNL70fCsk5amrL
GZPCEft75Vfdi9cm3pkKwPQB1+ypLihSC3sTJHX6RuqpZz50wAARl2msP7u/7wIyko5B+5PgnS/6
QlHQjqdYvHl6ZJ0op8wpu8laJE1jvLJtLuxnpkkNMMJrys9ftcSInBsMp88C14So/T714aem+2GK
jyx4//BVmIwDypeBH7wyBACoVMJrNGw4uF76zIuaQmGZXUPJ8v2VUEtfxVlnwjgwiDlvXZ87TJus
TCEBNAo6TlRl21pTWQA5JaP4kbCL7Cssu1ZiLs2by5j6dUx0h6pdNzYVo36luo0XNidHD7JHMmTe
SrXt67ctHtNgfv1++cAZeTZFFdn2UA2pzqnTn5FH6WFGauvccDu8PQ6X4zj27/cMDuGzZkzRqJc+
dfVujvCFd3sx2PXWDnL5W+XlVF16mUxF2O2Yi82oUkfMewPkpvk5LpTxnxwVLz1XwNV8gMi68a5p
nZ5Lo6o3a26ua9FmnZaqHpkaYYynLHqfDskOHDPSuDUKweJw5MxPCbatQROataMPojHQKW84tX3z
XRFo8YcqepMMA0W2yudYUX7ebsPFeBjLAXAwppeo2asDGzpYyAbRq4Lsvi0fNFqPN5WtCO5sdAG3
gy0OEnzhWUr5tFe8iLaSFd/sRsNt5Tp8kZScCIVvUbao9mnwhZxjma6My8VeAwVjGzq3KN7jr6da
lFOzTK1s4Bq+fw829SUd9F+NPHy8/WVT589PxBgY//8wc3M9zCDNjHoFCmZ779EvuYzr2v5fQrAT
kaJUIW3NRkYdoorOQ5zBJdVrUNGB67OS0HBvR1luL+gE04shA3A+HpwBtTUL80kdHpHd6qa1E123
0imL4wBhHScfeoU1/rpTBr3sEiXquEHnw6kNPviaubEazkjdylVl8WsgO4HoYYV/ZY/cdXYu176s
uNxrz3VZHr0h2HNmPPxDo8E0sABygECb3/SqoC04eGMfINpsFwbxAXHNXozNSrMtfg0aJt4HQe+9
cmFOKLwqHZ3XiypCCEcK1aHmWHNHHcnj7Q9aGM4wBEGL6JZpcsWbzRovgnadIcg9WXrtf6q8JuLK
Fg7721EWjnXAaDWMuDk7wl2ZjTXkEDLV3YbvYnNept+NUKZ88Z3ZcdFAhTFofz9HbS6rOEvD3ZtO
MNejLtKCNG/CJHFzrv5ULX5R2/7r7S9aaLerEOp1CGr3ldTSu/Ds5aXz1UhJFHMn99ZAaQsDgXyC
TFKBTeK1zaABEd3MytY7Cbk5JqF+QPV8DBCu/fXXEAZzK/YGE4PS2SjQnZLSYCwVXAqu7oTnfaiN
NQPphZXgMsTcViHjxp1mXcV2VzXm00DpitumFE9m8aCDBzf8FdzyYsspChl6A9ayNpefIFvqgYJ4
vhur4UES6n1q5dvBb/+l5RSQztOugxBi1nIkUHu5Ae6KortDVxqSj4lWQix+icpXQOCfpC2z7cAq
S9seDFwL7ZIKvKYLKblp6rOPX9vtUbAYiMzcxDhkTZgjtDLspZNwGmyaX1beVhKNMcBTnh7KfSSj
f+8Bj36EtBxEFd2C3DWbpbZc1gnKXfNUNsnJ9NpfzNJnsnifb3/V63MPYVQLPTKXO7a7WfM1nBU8
kdkAqcv2kQ3vRDHqGwWDLv7/95je/bwd7nUjTqqYyTSQRrSpCb5eGPSh8WIpw23JJjGAtGKUSn8v
JR5P6hZZSGd/O9z0z10fR1DFYFqNzop1grvNdbhAJ1PT2TRix6mZolP1Ad6Sq0f5/ZhMxXkhas7q
RLXD2sr0egG8Djz9/UK+pw3+4MC+sk6VVkOwwN93N9b52hhZijJZQStsGjLr+dS5F1GCQupqiauI
W8k+nqAW6AhpZwQSR6Lb7bgciHEIFInc+LzbJL2pjaLBuWl6rAVbc5co1UpuY2FkKA7n7/8X4tXJ
sQgwm4b54SJP2/Ju3yDqSEnRaX+PqVMh4bGbQ6gzZHOOd2pFS6Q2Fq5SeEefl6oCCayulJBa16ym
F8SH17GmZf+ig6gSlbveUx3XyIYa5VCZPAL783daQdkA1r/s8JaRvSRAhHf4arZ725KyHSYOwLw5
TK304kITGzrfjsKf/zg+Xf+aHGPcRm0Dm+qi9EehCAQxzodCGz/dHiyLYWClKTxCAX6ev2D4FY4y
oaRZJ81utqHSPvVSC6PEXoG/vT410bYmNw1lGv6vFsiwjsewM9LkjEGA/QhzIXqww0TZh0Uj7zHr
+cyxLnIDpZJWmvH1Xk1ga/o2mWcGvPCumzEtbDMROoYITeu9k8PwTs1swN3eDjvpZiXWwsTDTlDl
jeb34XCOgdPyJhKJEisuCdP3FHp8FxiW/313XYaYLVVOJtI6NmvnhNEErAQtzc/Tkx8oMsrGb4dS
loYGnfYbBy5zkpr+fjEfaokCT4o8oWYP2WDv41iYJw3UnX7sLLI/vIxMBP8uKCh5wbaLB1/djMbn
gD2KCpOsLLPtKFG4SU1t3m3hQPYQlGIR9rvbP3RhVyQNQNaBLdiyuGpe/045szxBtXLnBuOTYdUb
G6FSgmd7e1RXL4ELXcwk4bg84VMde76I23HnVb5SImLi4Zn9KVVeNAzH/zr/pV5FmWbTRcvzMAeg
oEaqLlmun38ss69NiPBA9le6eKGHuQCytHIxw3divlPg4KFrIo4Cl/dysZPa9MkYxElPjWEl0ML0
vww03y+SLgpCiFWha6bRZzUhLU3Fttwe5dY7Cs9Vrc+3h8RiN/35MGs2JCqLp1iYWaNbJNLeatOd
F3XHfwnByWdaOBHAzrbzHDuzKBDQipMuP/ReftfK5l9fzBgGU9dMiyb5wtkEjKswH8rMAsDfUQBu
dns1TFfW5YXlkRB4oE7LIw8s2vVI89qI09ygJGdJVjd+FKpvqQ+sDzHMvLd1ueYUt+DmMH2RTfZT
hljP08h1uDxqylwB+uJWIvqkhYBoUNZuU4XK37TIzkHobGMn2epjfq+20qfbPbawTlwFn+3vdk5D
A7lJz0plqg9iKO0t1YE2RwlYjlqg6B8CS/12O+biQORrObVPzPz5xSCX4UoUtW24pRi7D1UvBegO
I2flyxbn8fSKPplTq6+eA0CQpMANNd/VZEgxZXOI8Fjm/fT59seshZk+9mJZGhQ0pXBwEHun3pE6
/wME+RdlTHa3wyyOSfiXWADDwNTmGRY/U8gQZqICIxptPD/eZ+qJZtxAgzzcjrTYOxeRZpkPLqiy
llU178pdiWClNUmDnRGY6eHKNFsc+Djg4LAKMJNj82xBMgrcIjqNR0fVo4reC+5C0b4J1eadKTkH
k4RoLywKwo3PmVStKCwWes0m3cI6ZbKOvOLja1aeJ4aH4RylzdWuAWCGODlDTiv79uZ2ey7c4NhH
QBFTi8PD9nx6x4balmMwWq6sFpTNjWrlmBuRZFCAhqz5YVJe8SWVIu9LWZnSD4qX0rUXnYU5fvUL
ZnMc4VwXo8Ed3R5f4Kh54Z0VE9ufqj5s9L+HtZKQu/ja2Q5AnbHq+Q0ikDbgpV8UGQWX/fuGOtvb
rbowH4hDYtNRSDk6813a9Gtd4P1kn4o+e2Yd+aarQb+pbMel+uDDf4r1aqO2c/BgcRm5sU/P5V99
IDi5/0aJ1kwMlj5K4UKHQ9uUopkPlVaOQrixcFwsAfmwNF/wiDiTEZ9E0mJFlbY0+2w4txR+cZid
BHfXC1dHYauijIp9IsVa/TQH7sZIBvtda4Br8BV9pD5ZAu+fdenBSwLpqIIRXDkCKb/rtWb5DZtr
Fro/tAckQWdXEd837dCXB8+F5VYYB4A5rcWB2O7GTSpYvh+SSDQf8mgcjO1Y2nkO+0HOLaAWmdof
KgGDbCsLREAb1UrQ1IkEje4ucmCGbSQf7eymabF7VBX7RQDqirZl5Ilngy7l5ipGRSXhVo1ofyE8
vDWsrr1PdVn60vWag+6xBU0F3icQPRg9KwKBG9eZa8Qa0FwyhuW4k5vKf9IoCCh3mdcP33S0lO+A
cU08hBja6i5DcpG6LS8o41038HSFh7b4OfYejFwM6z3/wKHWo7YkrO2PqUjsp1Yb6r3cSwkAvyqU
jE2nRRAopSAEnNsZhTjFNrwACmMG+bMJoecFIbgX75wiyRoQuaH9lQ4fJgu4doRBlzgC6GYGubAB
kRugAbWE+SnsTQQ3UWUn5mFsdeO5kEr5pwJhnvTIYOs7+KJqva8AVha7PMd1dVNEUTA5TQZlv4tF
qT0bYQGvLjCyL+OYAX7qAS/wE9uoUgGM49x4KlqtyvdxKHw+oEZ9vik0JwZwLgrlbjQcExCUVb2t
DJBD92VUNvq2ASz8QuH0+B7nKaTFaqIiJS6svnO7FBc/GK61+QJujbRXXCRPoLY6asqjwFA3Xq1G
P4FRSXh/lCKq91Sbgrjss1Z5F5OHSuELevk7IZcBdd4hisKXnkpsZVN7taxvVUUS34AK84h1ewVZ
2m4Y3IwyVDZASmejvDJBdypS7rtqbe9C3QDoh3tPtKb7XAkzd61T9K5wYjHGnI0hB5hgMLfDGHkn
cnni788j5CTJSkI9Z8Wav27rpZ5kUm36rgxrr3xPxSMV/dtWr/4pDg9xMroYnmVnZ/EuC9M61FKA
VhG07Z8auZAY6Z8KmvN2Fy0ce6Yk6/8CTX+/OMdRZoUYTpGostWMvT90vMTUp/8WYrbixp5pkwVw
YONkargdDGSdrfXrdoylvf7yM6Yt5vIzKJlDxAi3wJNfHO0uQMXlUJyc6ecIy8TbsRa3K3TGsN+R
T7+6KYc4/PnMw+KkydHBcsJjEElPvp3dkQdcya0ufhY3fM6e6Gx5Tbj+rFjEvWYMcuLqUolkHaqU
Q3UJTmIuELdzblVrVb1LU4mCW/L8nBIn68DrgEhQUxNomueWo2G5Qimljd4ZQLKcylxxNllqRpUU
+KQutrmpzIZ4kLDmouhLeXP+CglgkwBr1K17KVu5OS/GUWVmK7oD+5VjnxNrZT0mCa7Sw8Eb802g
NLtEWFTJrIm+lnpLvYg0ZT4uBmGO2pXln6LBWjW9LUSPdDhrXte8pEkP2YD1WjmoCcjo2+NxaQpf
hp31WSU8TYJdGZ+VXtafHA/od1YrxkqUpZGhs0zoOgOfuu/ZCbccpDrPRts65Ur9QLX7tlD1H87Y
rpzPltrwMsysDckDQJ8QQJSaHNhhmfLS9K0yPskUVgade7vh1j5p1nDqkINHLSqkxe1YfiuK4V2r
yO2zg1BlZclY6iKqAlC2k3VGEzibxyLFtQqSme/qXrJL1PgQjt9uf8vSKL+MoF6PvTCq/ZgkbATK
tkp3KNhaVMVOsy8r/BQGtZRXbrGL/TTpuyhap1Juno9SQkWJB7CeVHeMFL9SK78JsvTOt4sfuAXc
DYCGVw4Ti23I0yO2v8gn/2/5+eXsckQv13lvneoQskGUU+8ZfbzdiIsfdRFiNvisiFso4P6AJ3yK
TaeSFe+Js99GC6muq9aOLUtdRv5+UsLo6Mnm+TYoEjWGFbbtanopnkbuCyh7cufcRFq9BzWZvL/9
dUvD3ZiqjCaPFIPnpOshIndRqzUy+T2npOQ4DpqWukOqkWutH463Qy015DTSJ+AAgq95qssbp6xN
PsZnSVA3nmuUzie1X+PL4fibqC2/VMXw/XbIqW/mN6rLkLMJUEkW7uw1VeOeyjPdeJfH1t4wP7X1
5ywMyeutNOZS55kaD9S2Q6pQn3+hyFtEhpkTulLp7Eaw8QW+Zt7X3lkhrqzFmX2W1JVBT/WAd5JY
Pqgm6J/1LB3hQ6V3WNC/u92Gy8HIS/HAykVvfjcep8Ntrzas8Ya8S8ZvTQWVMugwNRlWJvPSAyvP
SByeuPFPzwHa9WBs616z/crxeMM3+mBH6YT1I5jKcrjBjBQog40cuk2PWfQDbypDiK9BGbxtIuTd
uKZz/btrpUQJVhpgaRChsdQ1HQg6V5ZpCl2sMd6QVxr00sBVRo5HX8q8zIKngfrvBi2PVbQ7eMU1
1IpGy36xSBnm/nYHLE1RNMYkBTiRs87NdiSjNUm0F1oAZU8K33SFXT2K2jSPsaWumTgt9vWfUL/z
JBef2nV+1RpNn7iRR4VSqh96EfxoQ/lcyvbLf/qq37ZwF6F0jD/awEmEawLn90b9sTelrTI4z38f
ZlLFcZ8B0PNKxNj6gK37WoUDWYMEtABegN7Lq3jl3LrUR+xCvJBwQEa4NFtG23rQeBJh2U7hYMC8
4YlECMMEaqqvqRiX+ugy1GzyG5k01IoGHVvzNO8hV8U7IxyPneq/xaB17fS6tL+izWT2YwSo04LX
Y1+K07qv+2gCXJd7SpBPBZXOt3toaVvgZsG/j74e5s1sepkpTnhWyfQqSASNp3yotF9jIkz5ACDL
tE4iA530hhoHX/l2O/LSA7aNqTROf+xKlj5f2iqgTIkn272r2iSEqgGYRfpsSMNbP/R2ksgeQ1Fg
X9JQmi1ear24l2xMrxvpcyXLe5M3qdu/Z2EQOTLPxlgy09Sv8ghqGvRoOcithrl/0DLVgqthHHIR
frodZ6FTJ2cvtMOOhSZtfvC0igA2WCxFbquJdm+WWXaWxmLtBrIwTq+izMYpGGPPd3Ij5OUwHGBF
+/mzHFjNg5qQrWqG+u3tj3o9jHhEow8x5Ear8mqV9kViDOBpR/ww411rvZFTQARafFSUT+OaEPJ1
RyHSYp6r+K8jVZwnasc0SEWHrOKkxMVWjbwDz2vbfFirBFn4JFZ7rsIqN2HKqKa/XyyRXYxSVc2h
xkG6kd9EMawfpVSGO4inFqVyg/jgNfLj7WZ8vdlNwug/Mae/X8SM7LEva1MllxW/i7udpj1K5rEA
QaqcqnBNQbLUjuT4eR5nW32tH/Q8zAhrm/OSDb2ldkrWf2sT1urKvFr6JmXyswXOhg/z/CnB9BJb
DzEncQftOaiDN2r5Rc8dCMoPvGVgChsebrfhUr9dxptmxkUbymVElt8aM3cIml+eXHxU4vBL2ur3
hqje4ROxMvIXW/Hi82bDxNPq0RODHp710qifm6prjoWl6ndGKtbKytZCzUaH0ugt67UIzrhiwEOl
JNUVVKCdhjoYVu78rxcpNH0XXzU79cAsk6rMi2Q0zfp5GPUdLgkrm/brFeoqxPy049mj6KCHJK6a
43KiJ1vsG5XR2TtKtPtPI2J+2EG9b/VG7kzoHyxqMmqykwdTwP/Mf5rl2jF68bMAx1GSxCLFmL8e
fmmZpr1hVYkrK9F2HL5L+bgFRQJNaS0xuDjQLyJNfXgx0LWkVuVc6UrXkqs7Uw2e8BPeJlV/DH3/
mPsrt561aNPgvIhmpFkqbJhEbibFPbCTCE5TYEaHqEhU2Ox58AaEjv/zds8tjviLT5zN5YR7t6LW
fuj2OfV/1c80kLeGs6LfXxzrF0FmM1hmv4/VqITRrHjDHmCE+VwViv4fo8wmL04RhaSNWex2Xu1W
jXJIanvlRLX2IbNJ29pKJGrRj67wpQfNTN3JvO+/dAhkjetRkEZZobVJwh2xt3H+gbkj9VsOjit7
xu1+f3VGMovRAgoGCaXEbGzrFxGOg52q7httjdO6uDv9r/NRYlx/kGlij5QpwnQbRR7gmmvZDpsp
7RA0hbirHKc6yJ7V3YtSFu7tprw9oWBAXkfuBIDUstIQwenf8/opdeKtxhNr6FOyou9vx1prz9lS
gc/gCK8oCV1t0N50Xuo2munKvvFPo4MnmOkOJitzqSeoVS/qs3B0a8s8hb39VlGa920SH//la/6E
mfVZ4dNqZcNJ3WeJrepwG/sPremtfMw0W66zV+xPOgXjBnWeSI1ms0nNkX0DRLdduW36cNdI6viz
AsYVbsYuMc81mp2Tr5XUCni+hLx+QP+lrtzOpn658RvmeyQGXmEZY6Ho8ralb5owijYDDq7/0pz/
+9D59hiJuAi0rCndALCEKg0nODY7kcf/Mcys1yAkKpXRjtIJdrAMzb1/MXv5DbvJSpwFOclVx83z
WJYf1nAUjeDc22q5NUE/HxSnLUBmv1jgAzEA36eD/xhKUge0znx/uzWXp/Wf1pxNtUREZu4llGb1
Zb41BAw37acnf6y7H+DdVpbJteExTfuLPXkyygL5YYtTkBi4B0gbyRtOtz9nMQSDH2dxlYKt34TZ
ixCak6sIROB/G5Gp7MyutD77em2t3HvWosw2RzXLZC8rfOeklLX8HkBPdhf3Vb9yqF3sGoPU5vQ6
or3ySO+x2/DzIPZdQ232A2x3/507BspOF2tlDYu7ykWk2fcUvSxCqTH1E8l1bRMNWAKZHsLW5jgE
7XOkOHdZvKYyXYs5W69KI0I8iOP0KUFwssUGF05/Nm6LxuDhHSfkYlDJHOe72+NDm6btbInigjzx
oMmQkn+bbWPJiHuCEmveKRIwgLZSD9DjaETyaLOR9mF9xI+khL6qahlUSXsMj21Y1UeZVeAxrlHC
bCqrSPEJkqUHGeID7pBIw6tj03TyuIvkJn8P6i7/JFPf8JB7RlPtNC/ulV0JmeZORkb0U8lGhexl
J6nfLC2UE5xnEuvOEDaHewVqZr0NyCHbm74BG4E7XaoHKxNx4dB/1QjT+L6YJSLuJOhuKsXnIPsq
/Vs/Svuie4bKdLjd3AudDDYGehuXM4v80TTELwLlUZvmymBIVDHGJyBMWFJXYiOp/ktfOXjeNk+5
JD7fjrkwOaf3Is2meIPkxByG58HwJDcufO6BRf6iTX5wW0pbpDUhz8L0pG4SkAOPzUzOeS1Q3sYo
hEzLOjlRh6uFEmN+SLIPVFtj1TJmi5Z7+8MWTkXofal5R1jPlXye4QnzILTkwMzOmmFIOVDTejga
eu7hRN345tqD89IYuYw2WxOMcsjtSg2xn8j99jSauXLWAwwz0rSpNoye/sPtr1vaB68+b7YgcGXq
s4HiG7cLvTcAnsAbA7cejbdlUNzJJOc6yX6kbmGnp+Zfi5pJJ/9pWX12Tcgd/NUsSJwnrbDeQu14
bPA5ocxo5Xi00oHz51PVLHBSml785CHNXTnDkJICBkwbRz1eac3F3tMmTQyHC1hFs8aMdPIVvQIp
I6heZOlXq2PoBoIGPu/tXlOnppmvp8afQPMj38AstIeqEm7GLU7ael0bqk89RJr83q4xwvnk5chO
t4FqVT0p5Fr29qrmtO+VZix/JDgsQKm0GhwJLE/FzdrQ2g5EmsfCdIZyZzwP3AWAbjpdhid1XQ9P
VE3K9crMWmmt+ZGyoborHqGyuHETv9dH+zFVuSaa0RdJS1bSSL//rVsNNjtX1p6FIzlGhm5Y6N8o
ltylpv4uV7lNgadN7GaHb9C94yVP+mTzlXZrL0JLy9Zlh802QJ5K/KDo4TNUiOqPhj8mJwxG+p08
cfvSPDzWlV+v7DeLA/9ikMz2mxYTr6EoOLLnWXIfd9k7EIfljhm3trEtrf3QsvAjpqAbfeXshDmO
PgC+whFuOkibONL2VCUcb4/4xfa7CDGNpYstjRonaLmVProVptD28Lb3AC6/Uf33ddivNNvS7nn5
NdNPuQhVWlrV2gX2uJJWfutxJzt4eaqdU+xD9nJReXfJoPd7JUv+4RTNC/6fZpyt/bwhqygR7Qh2
PUYEY+18xHZsd7sdlz/O0X5XC8Ihna9QrSVZXapYrhPJ4ORL37kzlXQ4OVIhUXHkOXiho1doLFRc
tyMvjkaW+8mciL17rkMrjLzNA+rKThTV3oWB9yWXbTes9ZWBsrioTIdMXn0cNG+ziRY6mPE5PMCf
FNuDuGlsDetzDjKarN3KOPmdqHi1plyEms0v29dVuUx5mQtMycPxS+98CW/EQPlYjmyWGM6HX7Re
9stNT23gOwyl+3yrS4X9ZMWVlG95dGvRy1E1ANg87jBcF61TKUdcIIrzKEwo6W3cimeQDSpC9EId
/S3pBj893O6ZBU0H+CDITlOxFgXe87Nbr5tNZpm5cYq4AOt6/lBkAUaKyq6x/EPrYGjsc1JV86Oc
BvuRgi7FECujY2kJmSoKgeNqDIK5gAN/dbhMftK6jcmLwmYoGIb7wA+Bzt/+2KUJcBlovpDgnpaM
tZ24Q+68N0rzDTyKh7jW94NW3LeG/tIU9ff/FnK2oABuN6p6kAScdeCkvmGmqMP96r7oNCwlpLDa
aK0PU8vo04+3I0+zeT5CEQNTtQh4gdf72WRALiOrzURPr/Lml13kcMRFMwK+8p+EWuME6bQyhG9u
ZLWZYGR3O/pSU19Gn80PI6dMf4Ct5ALKPipycx7a6k5ytHNkm0c9tr6BuPh8O+TSInMZcrYT6Vw+
age2uttiH6771sYYPlcYGtyOMnXYq2aFvg9HDLm1M19jVAxqmwpkohsNZrUR1fjdjNpzUzpvu7b5
XA5r1LKFyUFJKC/ZSIuoJJ5nTClboX5A6VvXHspga6JoPHZkNk+3v2o5ChIPRTGg7cyTOCF1taVk
cFwoVKfH01Dcaa25chZfum7w6AXNAdK2A2FhJlYB85tyhsB8IC2Lp26w7pWhODsUeKsUqvGO/9ji
lZko5guGM19vf9/CznAVWr3e1+0+rsgZeYOL+WryqdLjZtgqYalgzGOHgzgKRWnXdGELU4AyELjY
6Dfhf8zVK70T9ZVVc52Dyd3uiiaOtiIpscMqW3nnd/H3JO6n4jwyI7c/dqkzLQpFbfSiaOfn7QzG
KK1tm/Mufjg7C5fXFgf12yGW2pP0AooqZoCGFdZ1e4bss6EdBRLePvcR8hGvfFvjh1jGn27HWZjT
FrwRNiYKKKdagOs4esPLEbqKypWcNqNGM8mzaucnaS62mXBwdrgdbqHlrsLNNggtsf1cgCQ72S0+
lYZ1BnqwsgctrB9XIWYtpwqlyYxIDc+ByOBZtzsMNQ4kfil46/dN561cftbCTYP04kBb9Enk9R5n
ZyHUXd7jF9JsAgP7IXWvrN1MF3YcPs2ZVEUoiI25bqlolWGIoyyhBMX/7egRHUaTylqrqm2sX0vt
YMTB+CboGZoJrfDhduct3fOYZowUbODASM7TQ0lQp4lR4i8eyJiLjUZmf4hyPNr1gCeErBvqzUhx
5WagThG1WIBlkh72uOuCPl/Z/RaH7Z9fMgfMgSbAi1NJNLdTrEdda+6dGPdx5Ie3v3gtzGxBRe8X
KKKiBjcvcC8IyvTRiAt37KN/mRYcItBNI1t4hTIawzBPdN7A3cbWzgHWHo1SrOT3Fz9l0hZTSowY
dC5kFNIwZHnrDK40DndCwTu6jXZePq7MvoU1mZ+PnJHLFnHmZfyK2Qgty3oQz9kDoPKNRN2FqI2N
M54djFh6kOl/30Uc8KGiAQKVyYJfz7+wz4WfVjn4RzXDi42ktDkeSm/tKXJpb8WRjBw5B2gNJdXs
tBc3mC75hiO5coB7mho35V5JcXG2uqx6olYatCXEcn0XhFnOO6Gdj6fO6uSft7926TZx9TOmBfZi
uRGq3YPVJ4UjGmwlh6IrP+tykh69ZtTeF2lLWQaD4CvW5lzQcIp5o+VwGyI4NpvcXiUgLexS7FEk
w03ov0hPpkF38WucPsoks5zsnZtk3FhO076ldDrbFQ7nKYGx90pnL/bCZcDZ/iHBCJGAUo+nZGi6
Y9Xk2AD1OFIH+wyvbqrUlZ4DqVSHAdlqPdGwiMNjkNQcXoErO/TSwg9a3HRU9fdJYDYg5Ja/WFVE
6W4hKOsxCz//ZJhR+gO451ujEdtEhxZ/u/uXJvFlzFnvN1nmdYY1UDrchvjH+ThQpOlnOaBI8Hag
xY7lYIO8BOUz+KPrjlXZ+QMva3mnM82ggwWALbYmCep728TU4QIkkbU2xRY/zpzKmDjycCCfLbZW
iyn8oPSS23ex9tD5Jla9Zti+Cw1rDQC4Fkq9/jylsas293kI98JB37Q2isukxTzSlhtpbZhMP3t2
n+Eq8+ezZk1J9UiZGU6QnFss3nPMx5i9G+7CDYYTBmadUkcl/V6OozKm0mkw3heeGaOWLCGw+YH2
Lum12qdAIC3OUqHZ/Z2DSUd6TGXVw09OaFhtUT380mIr9qGplfy7UThVxzKQ1w9xYxhfU6eXjnI1
hM8plVS44lVU5mMN3msnAwUMK8bYdj9SSEpYo3mmyeqlN5mrYMgSbUqt935idwHeoikHY1+mVvyz
DU2qpPImCzZDEqrDzuJnQCu1K+fMNjOmbzJv6FmA9MEvd6MTqU9JnosPFniHb0of8OIo1ZJ4DwAt
qDd543Qf295KvpYjOLIqj21eJDUrUTY4QQxfAtw4+s1gVFJ5MGMvrbcCcVKwsbhzfC6kUXHL3h++
YcnGiyMexMchdOLvqhdgaBUlSWNuPKNeI38u7XOXvTqbiVYX+F2v+8EZtams75JqtCG9aWiztoYt
hrukJ3+2oSI6cqWhV/LDyvxcHFVseUi+4YO8ooPQiLCp8cR1Yz2S+kMeQ1aheDcwtE2AHZ/LPR77
nKyvtYcqy/Ay5C1XdNseU60PdqNJDzoI7W9aF8kfoswP7R0848bYOXoqTPJgKjVOYzR43sZs/PEB
N2t8S6GUiLMZVsopdyzp/dj34sXusuTJ4bW42VhClg+D1LAHeTmnMxD3FS6XdhEPPMBXXvGlSPLg
KRKWgv+dXabVxs4a78lSGmvn19CwtlZekUDx5egFgc/QbGWqg6N96jvK90aM1aMWOOZnNYtkYwsC
VUF2lKlSuunyRvkZdIr+7HdGbGKUa8ZiOxn/tvuq0spwW4DDvxt1O7Y3md7oj4nRyiQVlRRrGEfl
cTyhkdYW0YUdgoobirlUKuEm/9/rVYZh0FYtKdMzzx7DpjeqZJ/ZTuemAN7vDR45H+Q8rVZGxsLS
dhn09w56sSV7miHYgKjWzMeS2do8ahL0QbWJu5UtYuEyQoE67xEIbCdw/eyeFWL3Hg8Yr7qdgxuo
FyQfu0h8yEpGnaQfVM3/5vutT4XaGlp1YW+6Cjy7cfHeWCaqEwrXsYv0U9Fm9dbQY+DcogjexTp+
yrfn2lKLqjz3U2FDRgqf8etuFE2n2n5WIy+nMueYDYBvBiBO7ij1/5CL4nAJiRM2zuR+PQvV6tko
1xkszjgo3NLrnow0Ot7+mmlhmm1HOFBMTCHyJq+pqZXZ4x1ZpTgn2OAgTDnJN6Xjf7gdRFtYHqfj
4KRBRE9Abu26zUosKSSlTkjN9NL4BCahCbbYl0bxJgmwNNKDOnrbcQv5kOeVodyHZRhrbxu5qrrn
QdY5S4Jcj3555aC1u6pBpb7rrFH0J9GH5if2sh5fx8EWbE+er+594fRiq8sdhJii8cTXWPML+bFL
O6d4Z2KBcc/jQBvundxMf1Fu4bhllOjqg6wOgQ44oiZtG42togDEyoJPKV68Hsy90f8W1yL5GKl+
m7AFm364to4vnecvG2p+kQ09azqb67LrGx67elziHbvBW5tR3El+MpJEa4wKF1O1zQ+1OkI78v0S
S9kCqucDR1DJ2UEmqFZui0uTm/s9uFAZo5lX0Nt6EH6cRC0ZLsy+dO1tnBqHVsWBBdOj8GmwDAQv
K1SPpYGpKwqmNmBkqP2erSepHVmZ/X9I+64lSXGu2yciAuG5hbTluqq6qt2Not0IgQRIwj/9v5gT
8XUWRSTRc67G9MTslJDZ2nuZghU3faN04hdF9zTmbvN8fWWunclAchCQsDGr77qpDR7zOMrs8myy
F+P8YmjHFQoOclXqjM3GCbliMuVC+PJPsPkkuziLI9+xoAeQ++eqh+v6HfVjDZWNqoCRmWv1ku4l
6jjmd+2T4ghZp/6pZY5FVQL/MHly3GaSn2XG7eo0wExlSBpHTy/Xp2PtLPWg7wc2CQiA78qMTecD
9RU6DPR6q95Xoqz2zHPNbOU87YnalCtYO0vxTp+RPqjbvlOdr0wYQhYb0i1jb74GXv1FV9jPrPt1
fVhrawmF2QDa7GDCoW2+mHhoedGGw26nLgDLhAmNd6RWsNUNXRsMZCvQC4XyAhKqxSHHgZC3yymG
qGSZOSnSVthwGyUeKzDMNqgLK8sWpQdctbN0Miy0lpvDwEqvIAG/4VXXK2hT1eYmICbrj0OuSp20
TRB8pjzbMnJYmcjYQ1sZCq6Q/nwnsBrkPJzUBG8SeCp/iEXU4z3d9hsX7GoQEMs94MDg17VspHFT
0yh2tHt2c+vUhsOxgpDK3y4Ij+AYm2HkaCm9I7oqSfHgK0sOx/pqL0JvTyjdOFnerwZI9kDNBFQm
dGDeCSA1E3cBokV3rOr5wUjrSKr6QD25UWB7P1mQjoAaP7zh0NDF0/zt0hYSGkcjazUmK5hgUT6M
tt7BZDHcyl5XA0GICGKcvjNbcb0NFAkp43r0ixsVy+BMNXE+amCb9tc/zPuFjeFcRHHeRvEABZVx
bqyTExUnpR9ckFf94r6XAHHWh/+/WIuX+Ahje17nAB9DgK7GixqG9B1/AMj5pwmdb53l7q7He3+4
zmOb+8OzEc47fRtH5wSCpjB0pDqCb3H4yi1xUzp+9gXOjfLn9WDrn+tPsMVElsbBSoh6imAT3Dyc
GxONG0nBSrLydkCLCYSAuWSF60JpnwxagFZCXZCMKzrEwc4rc/DBRV2PHyksjbJE1a528S19nSVN
40woJXnwdZR+FGzWWLBI3ua0b3/XPDcX9+ykBzuzhxBgPBGn1H1y+0/QRIR04W7WqLk+z+8zW8SC
FoULoX4UqZYncaGwXyY8Uc+97IKvhYX6UdS35RP+Nd2D2B6mbefoc8Uc+9P1yO9zsreRF+8esGr5
VFbQMNZF+YAS9QN6Leh4kuxHKXWYGI8cxzG6LY39z/XA69/9YsyLMwfalV5RjUUFxYX4H18OP2ho
PohgvIXOW8rz4t7vomNb1Se7Lr5OcXfSEGO5/htWTtfLaQ8WcNayKdvcCaDI55P8MQrVQQzZM+Qo
Xq6HWd1Ff0a6PPRgt2h5voCvLoeUJsS3IfHJUwJavbVx7m3NabDYr9wjWdBDBwjuFf1Xx3RdYnxv
N8GB2LM/I2+FkOlnJgClzOWTr6yd6rfuxOWUzocSGr/ACkD5GMCH+c8vdk0vp1HDjbw5l36r7y1a
l3s0+PwPdGrF6fq0boWaT8qLULnVQeik6/MzAS/C6+K9CWGgO44bi2R5mfw7IqgCxnBdQfK3lCWw
JjuLqAU+s+uk8A5mfbyHAsONgnxtVPENgPXydP832JyK4XULYZxl40lz0dqhsBmuxrtMRAltv4mw
TkwlN3KXtUDIlvGchkI6hAIWuw9SKhWyoyo6MXs8DRSmon37PPHgSFizccKvfaeLUEtx4xyyGLT0
6hxCnl6qrdcIUrOimTYGtBoFqR6+Eegq7/yF29HBmPLSPuGyuMtAo0ihT/AFlruHv191IXDiUCZ1
CVQqlhmM3fjwngEsvckbg2rR2NwUUQEQLQ381+uh1lbeZajFbvYokExRyeMTCOHnrqIpkeZLU7Qf
6pwfnLbZeCuvLomLkS0u4gkG475bwWmxD/PUdx4zQINL81OajWRz9UvhLQ5FJAjNIxF8u2+JUtzP
a9BA8p5Pz8aY/BZO196u0UG2uz6Dy3t13k5QIv5fqHnIF0dEldMMlgjMOzP7HmTZ3TA9+yBL1D76
MyhgVtGWSIUzT9Jl1vD/IsLwYH5X4TJfLA/R2dJtAmadB8P93844NL9pBrWOfTDZrdpX0zh8gTL0
8DgJv/sYWrrwdsXkVMNh1MyDDLdHpExtaNK/iDaGFKMihJF9H1QeSbhD5cepjDowvkZrjJKcdeSY
13X5T5FVMbo6td6SS1lfFX8GtFiEcTBMcMrOsxuv5lY6WKgesaxtbmOYkKfA3Wzl02T9m/0JuFiG
vNI5qBIczeisnO4HOuoQDqk2mFctq2EUpg31vtmmUbhJi0mohMPQ7hBxlLcSKD96B8vWcX6CGWEX
JvWAWU20ZTdooo9OZRJZ9U0OCSDifb2+1pa3/PLLz39+sdZyyyrN5A4wr+fulOABrU6KQVL676NE
PrgqM2DmvZVHNBRl0DJqnWrh2UkR2fW+9bNpA3+0tkUvoyz2DRj6IWgIhJ76yGVPVDVdyhQUTx2q
t5CZa9OGegp852wfFbrlRRRrD+LnML88owufH4bBoE0J5aoNlYvVKDPMCZkJABfLNrDiMPZDabc8
j1FziOLyvonDw/Uvs7ZuIxTYob0Nq0UUOd9+fzjZFWaKMn4zAWb+4JbwMkqq2Aqdw2xj8wtt7vrO
iYW4HycFUfjrwVc/2EXw+cddLL6eA1I8wbgDGqEzj/2nPx012fItWjsKLke4yBkYddqJqxp1PRkG
x0l0/GS71U8pqbvLK6/6fX1M698MLRKoiUEleWkmmfU9gN8oDpz7ZkyMMDda9Rvp1toNO0sk2ajg
zGDPxYhaDQV5Oubxqde1StrM+cRt/dniw1PV6lNX/i1eaj4jLuItC/NekFl2hdIXhPOzRA520gc/
OqDurk/c6mJAJ4YgP4By19LR0em7MPTaSZy7pvvEh/BrCZF+4PXtjTirH+gizvznl4tOuOi199Cc
74Q5QkWGJ2Egv1wfyztwzjxlGMXsY40iGJAxb4PEpCHeyOLspighwu+I3CQ1lBv2AvqDN/3Qwalb
W9232h76ez1VQUpxe2ysxLUJnftayJcBdQat9O1vgLQbPATsTpzBIk3RsEkhNYcU9j/MJ0BnHtg2
CAFlivlnXMxnxhvL0hpNQLyYPjf5AIFp8/n6dK5s4TchFgd7UPgehD7L+BSoSMJikbG7SQp6P0AL
48Vx5d9KeuDrAU0wW5niywGCszgU1TQ1/aRD8Mzy7CGOrQdWTU89EDEbS3FeBYu0602cxflnRF5l
XRRpwHyCLO37+Cd0PH+EfQbwvdPfAPJypKx8iUZnI5ldOUHmbiTankCq4zm1yPfwIYc6g9L4KZ5u
RTglDHZW1mkMb1izcVat7DbI46GRNVsRA5S4iAQygd9IC0JDpYoegn4A/k4cr6+OlSsMIeCvR8CM
Brt08bWqzrdUbZn+zF1givTz0OgEUleZZEmQ3fl1sXFlorS19t0uIi6+W+EIwSgZ8pueZ312NHVj
TGqaDN4qJmtvfC8Ls73VMb9OBIn0tFOERvyGmUm/dLU29nGoWfcgs8mVac6V+T3WTV0nk4ghaB4K
/PoSuOKf2di2u572wko7EEtfLJZBrbgdbeSTGbAGO+0WQ3aoZBlFacAHkMctWsHthZugyND/LeVL
NXZcJYFfNk2iCQyllMmdJqmDpukTCE8rP82gKVTAD8anEL0PUYLeKQ/gqSzw9VfLakiWTFHA++NY
jrCwrzVAloknVV8lYzxqlZZ1WIHJ65ZhWsHW5Cuv/RGPsNLIMtHSqrLUq6KKpa7wNWhAFPUImav2
JyN4VSWeBTTYg2JlhRJ+yLz7DjymKC3RYYCbQVxDH9qY0DePZS/zYqfquvcTAFAbcjuUigNv0QrY
TuYgyCVRiKdLYtDfeszZFEZHks/0w6qaDTA7u3N/uhBgoGnVCHB2Oum6TyYbBYObTxV+1lbJAePK
dP4y/9sjMDM+ScusIq/A3RR+ohxneDGtzL9leT6R1FO1aFMVk+yb8uEej7mhHPBz5hV0zqXtcGfJ
QJQzxCv4WvoWnqim1+WvCZLf97hBYN8BO6PbDl6YN5mKgheuQCDfCUOih0FZ7SvX5eAnkvtQqhjK
ABi5ikVTiEpjBESBJl0zJIEQ0cmLqS/SsLfI97IFoXTPqibg+yIeyRef9jhewqCLiuMAKatkAs/0
FvV6pVKFT1rsKqbqG+TuNUFjPbN/V1ZrPgVaQ8It6Ct4L9QO9YMkknn8FECcN7+JCqjJwDJHj9mp
c0hZpLWZCN4vxtSJP7lMJKrwmDgOJgdFCtVy8SWyu+lD44ftNwf9lGePiPy2Qei7yfX07wLmah+A
561YAgxRhysL/p+3mbbDDtDpCsY+Tezmd+i8BY9tbIZ+F4aZB0fhXjS3TjyNPLXgJ/PIRr/8Gods
uNegMXGsVM+8TjjOw3SgED3Z08HY5cEEtS8SIrTME1ur4LsFTZBb25lomXjEMl6S5RFl0CYvXNCu
IjARS1RXPrX1VPZp08h+2mnYRUBqyVbjlyYvuP1MMwd+v9r4wVnEZa9PPUpzP5WGM0+i+lb/YxxZ
Frs8K8rytlJVnydlh7WdDGMe/uIwPHzmwnbE0QdSqUgZlIyLlFiUVakNEQM8oOOakFME7qKzE6Qk
vwZBp1ehYqC5xrCALl3t5NE/JCtkdgenluzHGPLspR90CMRVjasgjblyvtaS4rypQ+U9hh2gIM9u
HmchjFhrEuxBSwaGpNY6lAmNGXRurx/Yq9f5xfG5TI4anw34VJDzZTph7YdBgM3TfPShH3I90OrN
gKKGMz9vcAstLp+q1wSjDdxTZFf3aLg/yAA3RKgTJ/8GC+Nnt5Abd9HqzXAR0XmbDBE4fVaGaXiJ
lOVjNOSgQP6nfAs4BfgUg6n3rtjaQE8qmPx6OjOn2GPrgzi7Vc1YSw+QmMRwHoBSKhwc3o6ih6eM
KLMIzS2kQPY3xT7246MKnvNsI0Vd+0AgEICrMOu5vCt/xhGPQoLX+RmHtbV3C/Lg6egVNaoHv7AE
ZLNNcxBxuOXhvpIZE6Q+c8kfnqzvplBQC2ChisKh2OAO7Oi+EeceR9j11UdWwsw6s+EsHwMl4mXR
1R2mAb8CXjwWLmjUxJilzL6UDa/uzEgKgK7cbrJv6lHBINmRNUoj1HSUnjrkZsAyB2Wrj6qEflja
cZ8YYEAdXF7gMtTO08ZvnbfCIhV981sXC9fzZc3hH+ufOvac2fnedsZ01K9SgyONKxma2GjB7+w+
S9xuy4dxZRVAyh7w3bmUMrP83i43kGnboWlNexbOnV0gRawUSMpdMvTPkPT0xi2ezDvyFvL7NwEX
+dsAFfumx8F7DpwK7YoKidNB9tDYaVjXpDiVWToEnb7jnucdYiLCPQtHdRyQYj1fn/e1JXI59MVR
6AMjAzQLym8OhZNSERnczjWNh7SyYm9rQV4PFi7lMk1heQqKyAP0+34aWx37uD2SzN9fH9LK6Y7J
RbZP8DlRK188O4G7Z7Bt98KTUz6O1scycPeDy1LZb+CA1uNAKQlAmfkgXBzuHuQdceWWUMSunyCh
ljRjCxz83lSfr49n5UhHNcKfm9xAfkDv4e3qzE0NVTGY3J9LU0XHmLu44ePYBFtt0LWvA0GfEExv
/AW8wrdxOpv1QxlH03mwbJEYGy+KkJ0smFpcH8/q6ncg+Q4FEDRP39UmQMrPjO6n4RSFD6L+Gsk2
9R+OP8PaSTQ0t4sANltyK+jclF6eL/hKMJYBVRjepPPoL6oElcfL3HQC3jKM+rBu9KcuiZvu3oDP
fNBjcCsyYr5ksVOfiLaQmWkwzDZWJiqmG79iXlMXv0KpsDdG0fjUFdYUn9yJufEemN8pbcNuSJXd
Iy9uoTyxG9HA/EmtUHxp22raRT6vbiJukXQs2+wfC04oEMAM7btcTYC6RXG+s0Q1/W6z0t0prutj
lnEg/l02wDQUaOlvwRAUJWr/Lb8FLMA5QZex2FGiJJK/IGpTmKg1r37Lmxsr5PTQdblzmEo2PkWA
1X0A7sj5HVRTdgJjoQVsPuCpS6sCSlod+w2rNL2LHKDhcKxB9AR02a+w2gRYEk3bk2CFVSZ9QcOj
BwbYDxc9m/ugdJH2G9HDSQSLJdFFZX6OwDfd0oCwU1yVtUhgCQChjNiG9A30gRnKzyW5cy3W7fKp
5HA8cT/nZIzuYgMwp1/pKB2iDvn7DPZMGkvHSRm2PZ6ppe/dwetXHyP0OPUug9/3oej0eC+N2+Mf
x/AIPZoAbwjLftY5HAESNyvwhLWrzv4CUpuzGzUHKTtrqgI4AAswe23g09ZV4XBHRRF+4MKz8IjV
pDwVXlDfmG6KDoC5IYX3pqC4y2zcYSbXzTOeXeKu7gsCJkbFdy0y/IdWEAcvuabX98XA8l0bl8jY
Kfnmd16zx8588rhXHlHsatFH1+wjRYvnPDBgFexptF5wNVTHKiwymoSFN+1HFohUNmEpEzF0+OE9
a6q7MbAkdjX/ntEiOEo65Ec3gw9njWN5H6rASwtLT/sC3I7zSAO8eygcSprescAWzRs4Y+buAwOd
55OiIJTysWleDYV1tyXs3xPzGrx2eCaLA+nL0d3DEKcKdw3eqED/AL8BXkA5HBpIkO4ni+4hBwNG
uIsUK4gn3T/a1OgPTjeMz65tdUHCmojftX4t74tAKTQEvH87aH43druKlv2XQNL8Swgtpu9OZ4nv
NDPinJVB9I/HQaa7B5c/PjtKBZ+IxVGFCYIcx4sorJGlqs6DIQ27vnwImwKViBJPjlMcdHJHgVfP
TkFciQ+VCCMrVa0vvvtTax/EOFT36OiY6ZiHqEmDhow0NUGGl7lp5g/eQ+COWfxaDUV1j66WD0Fe
a9Za3DhB1xIWJwClF9AnH8tlcfVoj8HjZcbODwR5y7GOYvaLT6b4AkKxrHaOal2aMlNZn7WDB+UR
vBurRXFjYnwPniSHEAREPMDIsu1fhezRoeok+2kc4IhSjoPjE1aX+Hr9R6//ZvSrUAuOYnd5LRMO
EnputflNMyr0QlgDuhmcPYedqKkDDZOa+b9MWxeJcVB3uR57rRwOocg/wedz+eLc7Yaq9OzCCs59
T5HX5cxOPI29mFSZqI8ujaodb2bPMaHzu04RtSN0U5tt9fCH6z1Iy7A4xyX79keEeRgWYgrcs/BQ
44HxT5Vhw9nULjcegSvPJ4z2T6BlLu0YiBh7mX02GmJl+yqK9a0NrWbr0bY7wm7oFOJ2b7hdbHzj
1RQCAwvRFwwCqFi8HaHjV7UtPM86o3Xs3I5+JW/aCfUYQ3Ky8bjZCBXP9/3FF2WkKtyGZdOZQnF/
fHGpk2X3+SD9Hw1MmTf6oPPvfpc8QNIVTQDfBmJ58UDQDhRsM6+Ezuhg5eaU5SqiH6A86KBXqdHH
y4GLwCmX2KUDg9qiAXUpQd1w8DfK5qt76OJ3LN4NbhV6eajQxi592/pQx6E89IaQPWkc9phJmMDM
lPczhFqcw/UdtLp2523rIXWaLZjeTjdoAkipRxmd5/fyHuQJ+9n2s7+F1s/vIiSGaDejdQmmy2Ke
WU4Bkog0DN0JbCJpYkmVerPf4G9Bs61kbN4Fy496GWw5mVCkUfVoRee8ZUUaDU28570EiHJ03R3Q
a91x7MMyUZFNUW4roWMIdKXXVvtIhnwDOfCvA/S7H4OeLXDrEAWA39Lb+RVIrWQhXXlTD/I7mBlI
70DABaG48Wv8PSVA9N42pVs3aW1hPyfQRWLsNmRZ/pD3Qv6QuXBeByQ65iCmtlBYiyHsviyXxW46
9lbsJ+4AncTEjo382PmeeWRV0ds7NY7hd6mgnqPhqHJSI+HZ3tFSv0AsOOj2BSPmJ0FR9gnas9F/
eEN5M2gFbeQA3l6Lt42v48odbVOcw7FJ/ekguk9F5iVOdf775XsZZ3H+T4MqbJLNakzSQdbl7plQ
GwcS8dYehJdBFnvEgBYrgr5Fz3WM1S3hrmI7qA2O33g2FkjXLT97ZJYZ/V3NWuhw6BLdFV338lmI
2Jwp7ByefHici3SUAqKmMrbxGMMJ/qRG37+LJrv/bjj43YltlXaNAr8dPQop8FgnUXjXoFr1Kapy
Xu940YHTJ20D6LdVRC8jb5tn2NZ2ENodx7OopfAS5Y019GqyovvdU1E9R1MU31ArF4fOrl04i8DK
rcN/lZFP0jBUjow1FT9wFsp/iC3LW6eWwHYCqVaHKZryzamN8X9I4Ghv34LfDMX80Q5HgLIG6PT7
Y9wc0LQI1M7vQtXtBXN7nKctqaOUo4VMdlL50Am1vEiV0OyQA+DjumAxyvhtflvBPZ3vZVdneM7g
pv9imNV5CZRU/C9V5FpHx4Y5wA5G9xDbiACC+MSiceSJ29TqjqPjM+C/xRWY4NFufQRAHNJAldH2
x0hTVHt0UdgcBfdR/WhkCzyDYfGzLJ3yd6x59LvXxvNSxnWcMkgakX08ssjaQcZLy7QjbdWlhFrj
A4QB3A8Mhct7raMOkkeimWnblvLLk8behB5eQbsodadJQmi9iwJ0xoqZkw3Z4wZ2A24EH/WhoNzg
Rhn76DhVFftAwAADoDymmBlRErdOUB2r/+n7pv/eIR19GnIvu42DInhqmKAvOcD93yBOEh9l21Ev
jUD+x2MDrh1ZUgpi/47GTut92dP2Vzww+rWNYu+e2pN9p21SnUMtCTl49VSNt7y2+lfNeqy0SNDg
Biy5OIDNOwwFMhmgQK8GJbIDjtDR39vATIMBM3joVBPauiB0amJV6BBVGUtKpruP3dSV5cbuXssF
kAd7uDJQHgG04u3hWcHxJ26qEvqyMCEf2Yi+Qr+TMAC4foispVUXYZZ0bjxlAWew4WUUZIE5sMrm
32uQCg/gvYe7wpYqcXObbAjJbYzt32LKRZ5jmnKyJgm4dl3f+w1LW+tTwZqN291Zuwsvh7bIGDm0
UpuaKHqeoIr8UVPCUP0ZW/91cCkeR3SwBmic9D5zdtPAcF0CK1CxXdz5EkcMI9EPTP30AosJ9o8X
MXoPZrj1oeU16VKqOlvsYVRajAcm/aqLEj+r7U9Us2JfEcsTGzf71pQtLxUisnbCO/LcokZmj2QH
ilbC1bARZn05uDDeI7BdwnPs7arLGjtqpB7UmQ31rre/N/ER/s+7JoMgSLDFuVgNBnEfcNqAPH8n
KgtptsFStmWd9ORPOxye+b7KveaTy9t6F7oMXCNX/a1f6ZyOAaCBB9uMOH7HOMT5SSNmBRZg9dI5
KRRi9jlRzi6APszu+t5ayy/9AI8GkB9mTdtF5mfXSAAsSG+dQdi5U1N9bPvpeD3E6rK4CLHI9/qu
hZI+abF9u0E8tpVfpYNn9UcvbouNpbE6GkC0XXwogLCW2VzW9OGIzIafG94dnNJ7QhNwI2NcewoA
8DQ3d8BkipYThu8uvMlG2z5XxGoT5St+hmv2D5lVkAIGUPwwZTI7VX3r/Lw+j6tLEfK1EN8CLPQd
KLRzTG7DXpaec+6G+6HnOpWebB5KVDTTlgFlPUr7b1155qWI9zuWyOxN8E7gdYhHtMtHFZ36tiuT
kddlGnE0jGPuqI2luLZOsNht157Jqe88YG0PuWLLIPLNRZ+JXe9P5nvZ6cJNqN3pLXHl1dIEUHIz
8zuGTPUSTFmB9zO1QPPf0Frl044P9gRScY0rOG3zPjM7iacntM0gZcPOFsQ97xqKIs9e5VJsUBnW
Rh5DAgHCGni8vzvRAm9Qtewm0ANRk3xUpTM9AtQJgSCY6fyHKxubA0Tj+Tn7jmc8yJioHmW6s+sZ
cwu/VHGDvrJJlRzrL9fX60pa7oLPMPOAQxjLLwtPwP0DxzzI4mzAYeibA2fDc5lniZ9bGyfMyp58
E2k+Fi7u6lD7JssL2MHBbe4JkKiTR+HsHqK8nzhdvgtF/613w9P14a2cNW+Czh/1IqjbRQPpGF6k
NsxhPjRRQz/REvy/61FWNv2bKPMkX0TJaG8Vxp/Ck8heq+5H6MQpmAw73Y27Pny5Hmvrg82/5SKW
HdJM8syJ0B4pUi5CaHAMeIabhPL471M61OK8APynuTW0LKQGNgdZuOwYeGl1lhYQxUocSus9zhd7
V9bT9xLOnxsPxZVd9ibmItcS2VQHJmyDE7DnDyOkqnU2HYy9xYlbXYyQCoDEOBrr70DaEIiuienr
4Swh2vJxghOxQt3Gz76SJu/U0cIr6kPbAvuWRkFb8v31b7i6Xv5EX0K22wZ1wIqCKNc59PMASk6C
2m/qlOFHOHPcQwFmozK2umZcgnMUDEAUqRY5X+tqhdsB9sRTHL+UHaivjL1i3dz5Id3Y5avfz/WQ
ic3ojXBZ5KyhHz6EzLhnScN9aTswTLDSOtwCKa1+vz9hlgXOsJh0B4Pg6jzxVyZ/BA3AjcNLF95C
vi3Fi3ZjJ6weIxfhFtmsJn0vFC+HMxqTDdqEbrOHKU+9MXerywJShmiYE7Tml2yPqFYc6EkQStzC
PxK8wXP52gMGPw3g/pjv19fg6pDg1QFZEEA7gmW9veIUCr0xqqWodJycPAZGLv51PcTawwkCwBBX
mrNkvDwX644ZpPqDFUNRkPSV3GkOGEsy5kX9K3AK+Rll00mjKenVr93YouNheQDkQwKNR9E9CL8t
4HC1iYa7EF4IbJ+psQKuLieSPhbA73sJaiUGLXEY3gwJxLN9iYcMsYKkqEvPTyjqwD+uj2j1C8Hu
3YGOK8ogS+h5NkH1KLMBIGOlKPcDnK0OY9m4X0a7HR6pgdwnJOPkxu2yuqUugs574eLE97oenUyL
t+e8Gvw7goTnyTV1pE+B29bZxot6dWNdBFtUC9wOyUIF7aEzh5FA2pUxALpB6zY3cAppdmFOyFEJ
iYwL6poboVdPqT+ho0XTogI+oZQ5AFlVeOC5SAZy45Njo/9WsRzZMlbl/z7i8lrTWdaGMgc+HPYj
fTH3KL61wq4/ofHfflSNtbELVj8fmEDI5KB++O4tEo1TbCIeR2chG38vwGrYt7UMnoBZCP7L5XkR
arFSWsAVoGdPBQrGvz3MIIEupi+CjfW4ukQuoiyWSG6ZQpABiH4LdZAu+JWhkkgi9Ivb73COSXp3
g+u9elLhVY9XB94B7xAxevCFhMw8O0+ib+5msOzOVqXcuJNXPxO8CFBFmHV3lkSZomd2aUH/5MRd
67bVgA4AIH/fcOfl+hEyz86ilwFVJaRVoEKATLUU6bP8oBCAnBQ3YcQUqqaeemot6e88C26FsT3Y
d73T6H04Zt1Zw9ju758Wb8IvUlWopjZTHTUF2MsDliCJEjk5oJc6W2txbTdfjnM+Si9OLQblmlzp
ED2xsQDcPFY+GAmypniOaxmHn8oqz6Pd9bldW5mXMRfrX/GQjNyHrSVos8BPj/GrW3r7zo0eXbtO
w3z8igruxqW9tjoBqIMLCFIrmADP6+pinFPrjrkHGbozdF8TV3nHjIiNDbA+lX9CLL6ZB05BBMqx
OUOv7BEoj9SV4ZkUsAbPqo1dsD4aCHcDBQZdsmWxuK15E0ghIKPEnc5O8sbWX31rVIfrH2ptsxEo
Dc868tgDy01QoWzuOHKACUdk36ML9DP0+sdIdD+vh1m7ri/DLCbOCNCNi6yjUKsP1InF9m8eep98
6t/AvbJP3cYxGwNbXYEXA1usepBsAgpOq3XmjeDoPPvlWedDAb97NaVBxqZ/GJIcYM7C6j/cnoS4
cRQC+AJVkUWuVfdDU5gCVGGfjs0xmKJuV+SO9bnS5d4fbe/1+tSuLpSLcPOfXyx7vFGg9hwqdSY1
JG9lfIt+6carZX0u/4xosbPsoocrnoeqlo8Vr3bQQdQ6AOruM8/8XbSx8FeP5RmaASFEPF2WLXyP
yQ61NQnQkAH7H7BAOyc3NHudvDhh+ik3cQIk3sZ9vb4+/wRdrE/lgQZVi6g9Udq8eiD9eaBOhRYE
BUpBQdSBeEOdti4L/sNzBmz//w12sUrb2Mlr9Frdcyy6Q0XKJ5uNG8zC9R3+J8TiKC4FD3JXxNAZ
CcZ4h6nV+3quErrK2XKSX0Pyo8cAjTlgvSDiukzo8MjpPTHw4tzB7fZZ9KUFaSuwDSsOqHaPKU4b
07hpPKEX7Jsj2vteagH1fCqCweyHoTEpAEEW6EYVVMKu75PVRTzTe8EzBld1+cziU5FJIlBXD1l5
dEv7i3bz52DUDzy3zui5H11Ve7vrMf/d6+9yjIugztvNCehJHtqsxCnulgWc571QuwmvnG7akR7y
jbgKOb1RHVEHn6qJ7MKWDR+HDgXJD1EGc4akKEj1IgseiIOZCgU1NDQXp11GGojdFb5fOOfKVDT6
XFEl3deIBu434DKYAzUPG9bwJq9qUSesiFvobReFdI494E+7yirij0VZSHLyRkgg3eaeB81v2gWz
UbCvis+qgRIF2HQgAT7pGtDxHdQj62g/1D44fTgBC0hqB2VYf58cqKUfjGX0Ly/jTpi6PSTrztz2
BfJSd1D31TSR7qCKsmG7yJuQGPTg84az0QtkIpPWohR/8UjtQgw9hxj3FoV4dRdAWAO1VddHtWlx
hIFp6ExeR5CQOI/m/zg7jx3JjaZdXxEBerNlWVb3uNZ0j9kQM9KI3nte/Xko4PxfFStRxMxGC7WE
qEymiYx4DQBSydgn7ZYWs3CJaZj2IQfrQJpZBZnqoWi7snYwlB6C4FzEsvUrKlFJd6UIheLjFMz+
NxCa/jdFrjD23lhsrKW7tXYVfXWGxRb071qJTG8Kg+RFIdvzNEWTIM6CNXgcStQN4P/930hX5xac
IRW5Xdyl59gxP6il0u1A4NeffGWad3HvIBtPazXdyTnKXXag/SrSsdr4Ect4Ho13dbDpWTkVMc7X
nhL7HRWa6GtZwN3FxdKJKUk8HrHwltVsyF4U09DuWtWdokTRofhGNGuBCDZ69+88x3/AWKM0iOgo
6kI0rtb8HsBLU10PlNL6WPo4y5i/a9r58TCEK/QqxGrOrDoNDbNQ9fMYZjztje9WaLxXnOYdyJqj
OUnPhjJvWWgLpw7GOVQyY5GiXU2dMs/wSxeV09oq9pJcPddB9fXxsIS7m1ufzF9FsXXtcqX2Kb2m
oI29NM7fO9P8krezDetW3+g8CdMEWljAgmGk3cHfVF6mVatjFJakKgzzwsCxznbGfaYM1QU+bexC
Qgj/ZF+DZbQUgOBUjlfzV2BoIIWJrJ+bWd+jaPJWVePZav3Xx3MoHtv/wqyuKvwFg7DoK+3cjB8i
3DMS7akov/c6eY+Tb+wm4ffC6UnHlxtPhXX1bpr8rGz1ML7UnPwnC/24cz5E/aVJTH3jmS1cfVeh
Viu+sHiLlnoVeOGYn4ISOnlQHh7PnDiEs+BNHR6g6w8U5FWRzD2rz5aUD32QnhN/qxkj+jiwxdhC
nLrynYSv0Wq4FESQWU35W20FLhTJfWl9Hqr8MPVvj4cjOldhViGAh1zEovF9m7PYeY9Xgj/WXmKD
XFO55NuXrPs4aNEfLGxA2NRvZTCVoO1vA2mxNpGEwkxD++ELZN0dJ+wprKoN8Kbo81yFWXco6hrG
dqxriRfrsCTR062G9g+efHBzsXFGhAr1jmW9X73BeKGbFi8khB2VxjpWcj8GrqLbDfj8zpp566p/
gCvH8Oh/EVeXfeBntt3XukSZW53ctlDHQ9yZ/q7JEv/4eD2INiv9qsW4EkyDutbahiifwq+nZzXK
o6tGf4PJ3bV+vLGJRMpwCz/x/8Isn/FqDiurkcq50w0YX/W+6aqzKkeHQc5ddYSvZDV7w/mQFdIT
WgpP6Rw9KSrWQsFLVxX7FhZwECKJGu8T9fUPRr/oz5sospHVrRapGlV+Eph0Z/zeT/eBNIN1lmNz
76uAlx+HEm68/4VaS2naWTDnFhZJnqKlBaxi+znOrYVx9s0ItzAAwk0BlZxxLRt9jWjuq8Excxk5
yCbKnsayht61pdMtDoGwuY2o/r3ladaoUjsGmuLFi8UwpZBy07lGlM4gNa+hpoS4HAZBt2um1X1o
c0ponzNGME6mthuyEfa1a7T+S4+6zG5whtPjrySqT1zHXN2TEy4TWmeY6QVRNnoWMmaWMa5cO39S
OzgVnb+3iviiRihZJ1Wyte+Fa8QmP0RTjyGvi5yYEg0TZkayZw7xz1Aaf+UTek8g8s1DXNjyH1ye
nMuox8Md1uR1u7rqJYfe3xBecIWSsUhBA8NF+tDcAqIJrzdc6nBklE1IvavzU2rass9AOXjD/M6Y
EHDUJld14Jmb75W+3/iAW8FWR2fWp06Stknlhd0pW+TVu/Q1k1F1z9uDNG9VlkS7ABwFClkL2QhS
7+0SDSU9kpE1mc9ZPE+Nq8+BX+xCrYy2vPCEgVQZvD/BoCpot4H6rCgTvM8yD+g80phNfu7NcoNg
tBVj+fvVGY29H7zuuIgupZR1NupRMfqmeMMVGyfhfwtr/bajt/t/g1nN2hDCGahMR/eK/mUIPxSD
T9HoC5ZpR7nrT0m3AMylXVR0e782D4pWXIre2rjURQRwGB+UC5ARl+l2rWe0MhosThrf01B0+hTm
BX6uVtrsC8CG71QpzZ/MINU/FfGcofCEA5EzS9PeACK6f3zkCKddQ5yaBJBMZv0wDANg/Wklq15U
KMeiiN/nzrxRJRSdpGgR0NuzVZzA1/C+eS78Ui6j8GK14bHNjMgzi0I6TCMvaaiqhWsZ4fjUUfPZ
GJtoN5IxYe0CqHYRx7tdUkUQd/KoA+bLKukSTDLY63Z2zQj9XtM5xLP65fFcig5QtNxkWos0eKlS
3cbr6nSa1UTPvAb93Ytl8gxBmcg0L0PcSwi91Xk8bKzmZbGuF/N1yNWuQZ/EbHRud8/kKvf79tnQ
hkuOOtof5NPXcVabBj8eChgJCEK7eR6GcofRkIu16vnxBAo/2NUEro7PcMxgSqva7DkYF8Ya8Jt3
A/SSzv6pRn+SQvBGNDSNf+p3yjAYs3R2Z1WdhxjBu9AuP9mS9OPxcEQL/zrE6jqPRvxY8VhCwAcG
6I4Xnu/mc9EeK0lSnsO8/96ZCzPfn4KNhS/a1NeBVwuxNQc/kApoWIGkaG9MazIe4VtJ0UbzZivO
avVFmlphzp6SvlvGsG8nXT6GeqMfH0/jnTnBguXQyfM4lFFCgCB4u6/0cO6tVjd7Twon/9QjnvCL
Z5BV76pxnBzMuULO7Qpwxk5tsdo99LafOB81LVTqXSgNlu7Oc1OEGwnM5s9afd68gI6Tanl2AWxn
Y/Bb+7QjwEBZpmu1KRXKjqwmdhEpbF5thCtMQNtIXgE5MGPDbfCcz9zZGLqNQpIoiQS0Tb6zqAnj
BnU7W7MdyWU4DcFl4DWFFkuovQfnGxxGOZc/jSWKVQjEWUd5CKDrQEXakhISnoILT3gRx1LucIix
n1LXb0BypGN8jCbcu9IfesQuVraU+4XHBe9DSuIYXt2j23StqBFiks6SObl4E+6m8BUP6kOD4Fff
bPTnRSctrXIF90xSZHw0b6d1mBUslVo0aPBZ1M6aNcgJOoq9/trqFII2jnVhfnAVbf1ec9qyqR05
ji6pHnSew/V5hpcYHRUVuawqLseDGabdudOiV1/Jf4aWsUBL02Fj64k2uAFMYIHMoL+zxstUfugk
+WzwzqpnGj48EbJ5F46m/vPxFhdO7lWc1cGP9aKdRpk0n5GmKf/t+8H62vd29VWrwYc9DiXsL2Dq
jKgN3BGcpFYfMk2iqLF5PkKVC76G1bd5tp6zuT9pWvuxk14bpNzyKHAdaasMoYrug8WgA64KHCZj
nY+MAdRTe2ilc5FzPhw0M+mcwxSp2c9WKceI9lveDHs/NHrjRdOSIjljvGWXT7WZaJ/1AYlDpy70
747EAj06ljNK+xJd/dSVEI1QTmOGgsQuK4PxU1lbzV9BOTohac7kdOfYp3NzoV6qmu6sLhTpQR/1
b4PeaONBiYPkXVdbvXV4PNeio8DkGMBtCjg8JIfbPaOMtV+pVOi90A6eFCU/BKP5t6Uh5JsaG5U4
0al3HWqZ+6vnQ4zCv1R3eIU4crUfleHUyO23UDafMz39gHbqsxQ43T4ORu/xEEUr9zruajVpaWRk
EHIqL5Laduegn+mECdRVE03Lx5E2JlNdISczq8xTZ0BBBiINnU57bF4TS/7bRwDnXNINPj0OJ9r6
JscqfDtDX6ogtxMqhSWN2XjKLiNQyn6HLzhqlb0cJ18exxFO4FWc1dZPygaYjNXpZ8Mezgq0aKut
T0gBbAxHOHtXYVZL0edgL0IIwechCBUkFRJK3i5ozr78HIZjHJ6wZom3Sutbc7halK0RhqqMNY/X
Wna9w0P2c2NvlvaEQfAqpAyGUz0OqbcfyiopEQxy6J+nsAi6fYlKU3qa+qzSNnbzMkXrtwYpGIuC
UirE7tUU4tmsaV2fWufceTWCb5p/HPy/+wJFpi1sg+hjwepboGn6okS/2lR+rvmDVVC9V7v4FDRv
WZ97gfbR6D89XnuiOHTaqKwv/QgonrdTV9V0XY1QR4VsiHH9nb7ohXqQtRHJlmTj2hGdT7YFRIAW
y2LBt/pKAZ5lpjIksodM5Wcti8/p0L1C9XovO/NhxoJVSYedlDXnxyMULA6QTmQsZL8Ii6zDRr2u
dxEyZJ6sQxrs4/YA8fj1cQzBLOogc8jMqWIDrV29NrRqRvAmQEvW0uL3fpu89HPznNn9AUzMxnAE
h8VNqGW4V6c8xkzUm/3SOdd6l+7D1EyXsomxK+J+S6lRNHMke6BhwFAh0b5a7TlazqiPZEiy51Nx
XooYO3yc+8+P5048IMQdqEfZsFhXKx3wbBxGVEI8NLJc9Efdyfw3KbYYluKx/F+UNW2fA04dOrnU
vSjrDXdskUZukrfHIxGcDsyUYQFQAcJAx/L200RNoiOJwFknJUp1kFuzPEV+I7tVKEl7ulTqv7pc
BqfHQUUDU2UMOynuUExen3099LjG1iJaVapvHuaw9p/xuTGOj6Msx/Tq4KP3DzOI2hXZ290xoY8R
eEIzuKgK5AFU4IInFOTkbl/IrQP4nvry5Prl/E9mpcHhcWzR5iKB0iwFfU0onMsCulrxuVP4fdQm
KVTcixPmnlV+bKy3MlA3KpLCmbyKs/yOqziUCIZwyqXIo8x7TvXob8T/NuqAwhD0bOgJYXNxpxbq
5DOi/NkEa9pGqCJupv6pxLprU1p2OW/uPheFVeARYJzvOPuQSwYIzGpyGf2yPmJuGu7VbopPumQ2
e6e2DTeSJLS6W6s+hsh2I3aLkKCqgvQp8KzaOQ1Sdo+/oujRwYMDQ5qlJcZeX+1zvw+VrKXu4xWR
ZbuIk2XHGdmYc471wzlEeHQX17BmQwvxkwSz+p2JaP3GC1a0Q/WFALyowlJ8Xu1QlCRNv5fH8IKv
vbZIvRTFrwbVdv2Qm7QisaDVkido5pxCj0cvDPwfwZs9JCvrVpoSFKOeAjw6Q6+uW3w1oijfRYBu
511t4rMFVK/MJvQVcWTY2Lqi7aM70FppMqn3/sRGj5t9i9yTp0t/FdPH1LTcIX7xnS2yp6irgNgB
TRhQGiTL6zp6h9BbPIcgAay4Tpx3KhWgV34SbgNtUBf/dmkVvkPqXUaqwm+Lb4mBuOmuzB3/vZFX
Dc5ypYlyvG2lW+Ug0Q1jmAu2jOo7XtCrxEPFKmGhfnPDjMqXEjZS5pjHsWk28htRxUI32XLoMaOL
fpezGbyonRmlpnOXRIqb2tXiRJB1R8nG883So8RV4ih4lQbEmuJxUE5lEmhwmGIuvsfLTXTOgJBk
vwH/gYq1ykd8A8EomL/xJY1mhKu7uNL/akMkLzY2tWhtkQyTXvG+tY31spb9MFX8uZm9sqvUnWRp
rhOAMm7T+ruGbtHjQYk+I3qGHB+YKgP/Xx0gTuKTKNTV6PV8Pmls/sp7f8+FulHRFaSp+mIQRyOI
0+pOZEVpWytRFoJBORj+Ey3+ct9PWvs+yTrrxW5a6/1US+X3AMLv0c9RJn88StFNi3wR9xBmRkjf
rz9dgrNDNY0d1EtkSTJ01w5aaRTnAIOP8+TE/j6UGkqJwai8PY4s+pjXkZdFdXX/SbY5ITMrxd7U
LnXl5LPU10dNSd77Y/gHn5JvSIsdTwTzDsmut52dV5iAeICVXXnQ/jEj/4QTxUauLDySgFjZKN8v
UtPr1KEyUx72QdV6slIGxWFugk5xa0drv+HTQIkUwumo7BzTD/VDbPaDecD5vg8P5WA6fynRGGQ7
ozDq3gvnefzyeLoFe9QgrQFlhIoKXdDVck5zCk+N6SQXZHMjw0uCcuL5Q49uSyhWsG8Q7gEhauio
Kt5B87H5Tao0wOUl7/MDTlM48b4bx40vat1nHDdB1NvFQ+Ybxm3VTV48zeduLs9wlV861XyaQdlC
yd9Cagi2CShRWpoL/57u5iopLJus4N+XkYdMovEdyTl5Zw3GeLGn6HMP++GYVIFzQOzQ9n7/s7Fo
yK1oxwDYWl0mRpEagDamzkNxI3zp6WSA5bTyl8dRRN/MoMKOJgUoFCQ3b6eTPERRat9OLlkQ6ntF
qtH9TxPl3SxjKP77oUBPIIlOx4JywyoUkgJ6UiGX75V9CTTka2E8446wcaqJFjv3hAbAVuahvE68
SEGMwIxYHvVg7THAOYfyFvBENGW4NvAM4S2E6+Hqw1T9POD7zhuBB/9w6rD6fEnj6RUxIWkjixet
dR75eNSihIrg2/L3q4PS9u2s5aFgwsPp57/6vuwvgdF0b4j6+SeOO3zT+qTZP/5MghkEu8MDiASa
I219XPhmgzVVlqDbqGcvtW7uNbPZ2MOCGbwO8Z886fW4ksZHmTBOPAkNy/iIIWGQ7M3U16NTPkfF
j8cDElw3N9FW3wum/5DDg5fRFRv+JfABJ8SnUPafrbbaGNjG3GmrwwliDQlmQhda6ywESNDrNpJj
WWK/shFIOCbWMkQYBynT9eGQDhaNTcfBhdBpXQToXK38qpkjBYGNu3pZYqsHHjZPwJVVE1kLAFC3
S7A15wqoSWh7RZcGJx2fn31QmeroznHt/LSdDnH8EXXQx59McOiaPJpUbDiRurhb+ErkJPhT2Rml
NOuAVcHsGgaAvHbaO+WIuH9KFo/2/paBkmhWwa6iFbLUOSjx3g4Wtas0KspaOqtDUj5XaL3vm8j+
zs0ckHMa+cZOE22D63DLLFxtg2aKWgOKy+xpcwz0USV9xqWiyTdyZ0W0KlEc4gRxDLzk18MCdOHD
gqT0miHn/J+tWdTuh0br3gVgPZpjpAYSqjkdep8I//rcM2Zav5ejIsIGp47MAIXBsUR1GufNFihm
bYQbV4MgFSbZpinJcWpw1a0mfnZslIFUjCo0LftRhNWZD1ztJ8P8GJUyzg/Di7oYZ7X1RlzRF7iO
u/oCsyTp8lAaSHnK9onk6Gil7cnB+eDxchYPDxMYLj3SwzWVuGimOg3URvbK3JjDXTvZQeTil6ZI
p6kN02gf+DRiOlOb+52qtZnsNsBKtla3aFMtqfD//xXLMrlabij2F+YUpsVljsxW2qnSpPxlpaHz
qRpqpBJMyRlGL5YnNDZpCGuvj+dAdJDAtuFiYVNbFAluo4cFhYcKEa+LKcM3M4KppKHqJycfmMQu
cYpXfPP0jZUvWvgL3XkhxENyW887+NCps6wUj915nl5jou8mK9jy4RadGoBAFIenKXp267py6yD/
0PiJdbal5z54kwvrUGOM4VdbpWXRamUTU2OBb0N/YZVAKfEsaWWHeRfpD45J8S5uzX2bbL3pReuE
NykOQAAJCbe6L2G/oDRq2dMZZ+e/oK1+woPvVxZOX61ofl+oref0WwoyopC87GFC0LbR7mSA0InR
YkULOy+qo/mDPNT+99zHdjPF8/DJdhLne2rm4V5zfPkPlogNzoSizSI6sV6WKCEafirRK6q7ujoo
Vmpd8saxN6IIx0fP5j/LL3pfqy/nZCm232WpYxJlXPTwrSkOpSQfJx/q79cKItDjvSZaKJDblMUr
Ci3udQHDVOtElec+uTRIxL4veRXtBj3p3CnNjM+PQwm2GNULKkAwEIi3DpVkEZepAy4IP3V978Pg
Olm2bG68hQQDWmokdLzA8WrKGkeSqyn61oESXbSktt9mM49cOW6jj1JqTL8/d9eh1migWcnmRPMz
ybOH0DrJk2btseQbnoO523rhbYzKWm20LuPo1+Yo8CAd7XQde268U4PsD5Rob0a0SkrVYWpTG/qy
VyRB/mGAhfgJBXZ1X+rFFhVMtBoQOgH8z2MYaO4qW+yjOa0xD0VZiFaDjH0T9qH7xwtOVGpZBNr/
wyginH63l+qyAgsY+96A4F5zHgvV/yfAMyd1M32iOTTbytw+j9BMwnOg5JLmotlGLTYepaFCMKfS
vyhBZeDmi33p1lwLbjkLWABPTxDYlEKWT351x6bdqOdVDyOy05AcPWmpGX+SYh67sxLZ806pYqU7
OLiVDhvTIkgxeCdSy1tw3/ePa/ZM34BVyiiQju8i7Cs0J3nOavOsl8PnxMeAK632maUdH38Nwd0H
h2UBP5JVUMtcLeE50cvKrrEWTNByPWVtMn9qqm7e2eqg75u2jjdK36ItQ2UWFzy0qyh8rw7Sqe8a
X9G6wOswTGzzrxXcHT//+vuDoi5Ko5OTDV3eVTZKx0bV45ome5IiNy7Pbtpj2JzteM1tHDaiXtVC
CaZwCCyCUsJ6PEE06P5Q+ed8UosfnQzl3s0c3BpwGmg90/Sts6wGzYfICJNjlbfOs9W1m+8e0bZF
DRiaBjAQysGrX+Ek3cQ+UxQPD4hDMrdPua58ezynwhBUmYDg25i2rBsFYz/0Vt6XpdcHNvxd+TJJ
yu9XS0BOUszmPgf1sX6qIooVYUXAZ3MwHgCzQL33Z81r0el/lPW/j4cjWIc4PkIrAfrngJhc7fMK
cwe8YxCozbjGzaw4JYbyngf0xvYSzJpNFQsGDbgIXsKrMPOEYR7K7zkp1/CzG7LXwLE2lqBgB9+E
WP5+dWJhnaHwkm6cc08m9BbULe4WHO6+jrc87c1DnobSljSceFhQk7GlAk68ThoqKVNLuaorjzK5
6SpNiUIQ8lG//4nowpm0yJbn/DqNVetQlwoVRz/TqE5pZ72TjeqdrFZfHodRBUf+0uykucChdN9q
R3u9ktveoUA8mPHg1dXeaQPc37W5enKiZp+qifLmK1ANn6YqdePw32Iu4Y00Oh4mMLdRc5Ul60sy
VhpyLr6CUa4+Fn74JFtgIU5yovuqq+LRgrSMpUp7q64GadfOTaUf0wZtrC+1nyWYF5lt6kJyULvz
4xGKVsiikQ+oCY3Huz5VUBt20iEr4Bk8TKW8crvpo1O/+Xy6x4FUUSTwz0so7s47RfBay/wqjKr+
XHT+i6Ukrp4guhXmR17JDC1z27k/2Fb0xNh3c/Stcv6Rin8GOTpVVXHM47+xFIVoG0Nvlg5Bjrmb
P7pt1b52Ufg0zV+CJj3KYbCx0ASrGVTbQsGFYnmvjZ+2g+k7rcRJzeFdjvNn7AR/PJ4ZUcd3udxh
2S89prs3Jj6poAWtyvFkjOLcMMVAURooYc5FH7hNZTY7VRnxcM/H5oIBY33wlSj+Utfobj3+JYLV
zj1PwxAyMAYo61qSpBX6aLHczyOSNHqmHOPqJ1Zgu3nQXCnZoFcITllEbheFZcRuqZyss4uhy6ug
6Acvt+pnxIkvGsaf1Z/w8rAYY9ExMmqp64sjn9sOB6wWtm+qFe+U2pA/dcrWjSF4AgL4pjfIFYiE
73riWjPOo6jqrHNovtAgQUur25XVz6H+QCf0EDtbb0DRh0KCHkUGgILQSFd3+iBVmOOE9ex1SQk1
p8Ro+8LeGzo3SkITToNVSV9LrHZOjxeIYA87jG7p1UMFvJOJKacZmn1B89zIuifaCMmxr63knEx5
tSvKceuGFC2RxaiEdgzlijv7BKeRbHTUR+dclG8+NNZcLVGwajdSC2EUUINkR/+Rm1cLcRqTDvMh
bE8CUysPo950p4kL5oLC4pYKiWj+0CeiVctyWfrJt/fxlFZjH1UNftL1W5D9Usqvcxq4NM42NrJo
SBDv6PNQKMBdY1k/V/d+FQbFXFc6uqXxhG3XL2N4SfDl/f3F4MAnY0XQQLDW+QvSl4gzLgBfVeuU
j6MDm7GRLDQu2sn/OcZJd3gcTzQouu/0/7iSyQNX70/Jikpd6tFfdcLpeU7lXdTJ56iPNta4MAyb
henDEZVs9nbu/L4LkUwEwOc3qQt6ArLOfODR93gwAtIb2qucFXRfwJABeboNg6J301s4l3oxqlg7
DLJ2fVjs5Tj+Oy+zz4HWhjvsdA9l2Z2NoHoOJOsTZr3/Pv4V9+uRHwGMjXYiZZ47VHOfDNJoVxqq
OLGfuGOGkUUE+CY4YKa8UY0Xh6IUx/2CTMH63WX1eNfYgxl5cYJ1hvUxrdqdHbyFc3Z8PKb778eY
yDBA34B8v3t1SVEbmWU+VF7dtF8VKXuthuJrFOavj8PcJwYUAkCTIkAPLOAO1jxpo2XFLWZaTZFk
hx6A+F739S26sC2aNgA8QOuxGL5/WqlT4kxSHWSXJg0QkA7kQopOMXS5tzivSRvlGgYnnbS5omrW
T/g7hkZtW66MuVMOQ7IbAkQd049AGcd3sZSga1AFSITmo558MIIci+4wT2wIKcUc7JDJTUbXaODI
u0mL79UuUlBhxCSy/MsHX/BztGstPUpS1n/Q4TnpaBYiAeNKZqLuk8HPj9kwhPEeokuq7crYKMe9
nkyp4kIiG/827Eb+mmZSa7iDI+OGMYRzXO3CqDO+Sb0R/FMhR0y6ofoAomZw1v8gf1ZjIK+Uauk6
XDzSe5x3M3uvYCmNv0ZaN+AC007HtzyvkROzwbMHbtrN6Seja9nAraVgICfLYae5NeyE8BiPAMX3
QQYRcTckw/BBwlJ2PHBmSz7Oer6O5HKTWOlOn6YKULLtGwnX6mTPxxbhRFBqaqY+T0M4WDsdolTz
1DhwV6shLlK301uyVyS6SERbvHnbXS+3Q3BuMD1TPOQkpZ9hXUYjivC6AW6xqaxfRql0OKB32qZX
sWgrILWGNIgMQhIAyO0ZQ8EqivB7Q4AfVGgq1XsdW3NT3gKbidYoYA5ewEuedYfJTfohb2TUJryp
kYencNR7Wm2xp6vFcFqssTY23n2yhWoLVQCs0nAUu0OBzI4GW3kMQLUYixWgavjxC/+18j4O1LJ1
7QSJvFYqtW+qFtuf6rlszizNLuU8DfXetXuzxUqyBWXvtmnPu2qY+hY7e8rbf5dNr1WuAil1cLHb
Lo9xoWGW18dyvu9VSI6tzvPWHa1kmlwNIZuntqsNbe84/RwvzgsIE4BeYafmrd73rjVFTeSW4Dl/
1IkiOa6dp8uLxeyfumBmfcbUBb4GJajVXVzl8l+dXVrPZujkF/L+WTqBkbX6I88DO3b54cjBBo01
sDsCi7dCPNbzVj9TML00S+i9KwYga2ggt4sGvRAehRnWv2X8ig9dMad7O6QYX+zo2TRbyZfgGF0M
70BCLa1TFB9uo0VRZOBVa4deKY/PpM677A8Ya8pNiGXAV8lQOE5VFedq7FV544bQQ63m30T52+ag
eLwyRTNnAk7iKW0rmA4v2/EqEEA8vA9tlOjx1j10aVi4o0avEK/b73rSfOCFhwPX2GzBZ5cpukVx
UF0ENWvr7HRoAasplNTOZgu2PUwAw7WGjxkaCYk1uSg6VVl7eDxGwZHCa9iC97vYlNyR4ocwGecm
r62zj9MdNIeXGgth9GP7LUVFwcJgTZCAkZeQyq5rik2NJ2YfqMY5GORnY7Te69Lv8/BYF2R4gKyX
5GddGW36KWtAZtRegFU8r6ddox1p05+s5q3GZPfxxInGwxVOqYo6EuZIq6+EdUEQqLkD/0R3PphN
8aGkv/E4hOjbUKrnCOaFsVRabtffbLZI21bG5DldFuyw0gwOg4POfpw52cYhLAplLD1x4tmLLv1t
qEiXI9POfP/sRD1EDypXgFOrvSU3r4/HJFjcqFUDHFlwOzY15ttAyCUPyMRnwE5N9VdfqOc0mw9U
yl7SCFvZwf/0OJxgXBrlMPk/OS37Lqsz49DII7sFEaXN+SHtev8pN0ZljwXp1htNcGtqvJyYPzBe
4CZXI5Or0IlwwLXPVmPvIAq9Vyp7r+ZIvMb9z8ejEoVixaFLpKLvivfh7SRac2LjNj+ai+N6sK9g
qXt5Ic37zLTD3ezoW2oHgngLd0ED3wV3gM17Gw+f40memhrEWq35XtZyNwMLbY9KGIT7QYq3cK6C
vbWgM2BYk+rcP6tlU5PRyzbhHg3tyc+TYxL/PkGOnSsbNDiouaCyuHq521myGNOMqifpGKok+V7v
7I2CmKBfdBtDvZ22KsjHtKZh5A2tqQFk78gcjPAX+c1I4j9Vz1Ucp+8GB4PMrNWV79Roki0wg2C/
Qf1cajzsARi2q3G2BuZMhqQ4XomQwqlMrdGFywfovcSwWS96ZMRKCNQbpLnluFhdYSBeKJxhWU9C
c3+cpFQ0yazOUzFqnjxMplXyADHC9tgl2TAhXJ3WjssZ3jduKidt/A6br2HLEUX0KMf0DcVOli2f
ey2DnGPTaUxpY3qRNg7+oUHrEVKXHpSnYvGcCwJ/0i8+hpP9oU7s8Wwm8qTBNh7Hzh2SVrPdLukd
ZePqUASnEnc7Zzrbl+7oev82XY1pqBUlF8dsgrM05G++bf2YRmM8+w5Mfxu1wV3d5SWPO+21GaT+
uU7RMBnpO7lyZRq7TM1+IYvZbPyyrR+2bMyrjEeaBpkcHGs+efwh837M6x/S9PXx4bUVY3VOBrgn
aZJv46GaN+8mFVlluTpUobZ/HEZ0Zl3P8fL3q6HUSdRMoxrgfTnM/ockTdQMrTgdqeUwS/a1YmUb
LEJRwEVrkHyRl/2d6A6tuFIKtIlGdCP/CjOg+b5xQJ66d9Wg2rgARHNIqYmMjbSNstbqQKZeYKbz
hG6z6bRzcNQjyksXpRzGaBfmppVuVFRF5zGVaZrs5Dr33Tk0dxJD7u3Bs6T6NDvJMe39jQREGIJ3
CtoGFG1R6rj9XKHeaaEU9ihz+YbxDYmq+UOrOlvyQaJ5o0Dw/6OsrSe1yApque5hNYDE21l5VD/5
ZWQ8a2o6biRvouWAdC+1Hl45CG6vPhHmw4M6BJPt6VMsPzlmYb23W+tHr8VUD0ot9B4vd9GJC4FY
Xug8wEbXR4pfBVWodGF6aY3UH/YFXG8tSDK37p2nZrak1NXh5b3atdI8G4Y0b9GxhTOLyxuQSgrh
1D9vvx/2zJWqhahAjVYZvoWKpILcj5Xnwde/PB6pcKVcRVptbNBESdClZudJWf4+LzJaMvnG9bUV
YvXtLGVYFFhRz4+kZq/6YL5H6w9GASmFrgsPFtKc1Xof7S5JdAlTc9sJ3wWGfZB4TD6eKNGSIM9W
USVxKK6sm0oxCgCWVibZJZPNBUvbTqd5zj+2bTf90CLth1XK8nEEwocozxxtTKFo+S/UzwVsuGTE
q/Hpwag2ymwnXpipXbuvnLSId2mYz/bJmYMcaoyZlL8/YNqC5KfoK5PVrd9/ypBhEdD2ikdJKGxd
s8WyNLPj+RCFSFkHPo6aEfIbp8qRuUujzaxHMGaDUhZkOiofVE9XaXngDy0SYKAzjKR4GdL4RxL4
T6HpfKptgG2PP65gvxlcNfDNFtI62im3+62krRKpeH17uVM5R8PpBmRuK143FOVPj0MJdoPBwwb+
8tK2u4ONYQI4a2PaTGejRwd2Sp2vELnD4+Mgy5ZaZYwc/BQ3YWRzQq/zVAqaZjbLLQaEEtaQ7jRG
NE0aq9BObVVZ0c7I+F93g53NW/0hwTa5iazezuSYZlpa6nl06fsmP0h+rp7qtNKftD4qjkWF40gg
t5rmhlGKdZnWbVl1iL4kVx78GaaYFvB61bRqMIWqGV5mrbeec4CDMf4ChdW6E+npRvIl+pYgHyAQ
KuwP5NpvB1uTlnZRUMVebCn/JFFou76hbMQQbYP/OIqsSoA266S7SEZ5sBI/8EgZ9pa017PmUKkx
rvSff3/NLOJEVMItjMvW9ZHWnjIDo8j80lsY3EmKqnDKOfaxzGG3B3Kj7/r/x9l3Ncmps93+IqrI
4RboOHnGHo99oxonARIIFBDi13+r96k6td3T5a793jlcqAHp0RNWMNAH//uil7YLFsSkCO3Uk4LQ
n2/QrIW0nYtQe8/aHWcSro/weZKboPH9HQZi74kJ+S249RrSYG56+fvql94tOGSYUp14mR+gJYYG
dqDtxI+xjJrXjhT2bYDLY+mn8JtiM/3vpAzUjsj60NEFVvUDi0EGM4igHOZiyCV2OS3uvfWaEsWF
/Q/nIlg4QKoGU/tzVKqCFdviOgElisTVLa/jMS5lbq/EywsbHxZRGMyCKQZY1PnGX8GY7RWq4QMB
geZptsV6T82aXhmKXohiWAVNBTBYAE45v4HGoJfLmMFHrwv9T17vJAr+pCpaGMGNXQ370frv2yH/
GDWxBwFghggOwJrnR00LtDjiAVpMWebdZn0MDFV4MEu3N6in1pXWvL1WU1/YgeAYYmbvo3RFZ+Cs
oZCqZCSNS2A3p98W0lYiVqVNf0J14UpFcGlfQMIUMqbg0AAtfZZBjGJSCo6++R5HH84T8JeqFPPH
3WoB7fj7a7z02UAPRvsbQA4c6dP//6tW7ALoTxLu/AM0ImH3sgTtE4uEKxVsHbHzRVQ5a65puV18
vn8tevq2/1o0oEDKzNAJPmqpfvUZLN1ibjn4c316pXy79MlOiGUgUyOgv893CbOM2UxC6cRiQMUN
QMNjGaY/8uX1768x8S/tR+C9Q+D9ccqQnfz5TGJRwcnFOjrA13HeBDaPapTLpC9x99G3bsr4xrSh
qwcAj8Zy0NDn5kH4ArSOeIlIlskNzsq8IwL86lIDcrKdqQurvucYpzXkiwZMKVGx3C9aL08F0IKv
/RrZMl1MWs2O3UfUzWUDJD9u6vS7mtb+x+BH460jGgo3fFg0Gtt8fg274PcI1XNYxjQnj+8kImUf
SbctFvoG/1zxhdoOJWiQ6m+Ti36MNpGbyebBI6yh9M4LyNd1Qqbl7Ex/rhI4Jq9zyzY5JZpIUtIb
Navx3bX+r0VzcqTxwB6Qy8ktGlIDuh0hMBMykm+G5g0ro4jMX6TvfQoTz7sJg07dxfBTL2eYkVez
AGtcDXTYY4AowOg0zUa0wa0OQOf1wUidyyQW+kDAGqm0hgwu2n2iTARNNkUKb3hAVYuxnAAZLsFj
uo8Lrqtwhe6TajjxygUc+eNis1tGV/3Ug2vblRGH4ycLGrdHITdCGSeDK1HgZbsY1WytlVQ3kWTx
fZLNgPr1dEfQjfiahyb4rGnulyvzg88jpd6vmDVQ2BmJ2S4UfpRq9DL8FhMOtb/6DyJS8J0J+qTs
vPQL8ACPsBgIdjTsprIIRgy3A5ptvbX1nmNRuLLj3YZQLmq7wK3QEMpeCj37YP9CR7k3HlCk0GmE
tHQT3SzYNB2IxwIYX9PGmyjTUTlS/atpo6HGIPcbyRaYlTRgdMVquR2FI0+T1lACtGsMudgifeLx
/GWZUZ0ljUu3cT81n90s1yrygn4DWbCpsm5sNquXmu8paaEdpZYvQzKrZ6RARUl8NfU4ahP7SdeA
bvOu8GsvzKfSwj92R5LWLxM8IQwnqQfCB2NVOweoUrxx36zoQc4GvYllJc/aH9dkK5NU4Rt6+UOg
oJoNKOdaxcP4M1Upf9VQ/gb5IZqeRxeEMC3rfziRDXXr+gCtryloKrCDi1uvz5JTUPs5DOp5HcKs
TIz8XDAIcU4IePUsI1PNXj/Ww5za48L1KfoupoqngO+ypsE8HWyeMtTpFw8gPFjIM1tHwaD9Sns9
9pZg/MjAobuRHXsBIinbjRNILYFcYDiPH7MNRCtrkcburQX8A4lhVrTYbtn0wyadrcc2/L2YaTwd
5HkP2GRXKyToNfeNBoZfkbrL8WC4eb6xNOwqOGqPe0dAbM+GFYCZsW0rmNP9NGsi75NFBDerm++Y
0PM9FONELa0qDoOvoop141Auq9dXEJH9ziBTcdvwbn2Zhyjc2kTfI2X4avs8rJKFfaadhDX5kqab
wjl1u0DlrmqUQLXSgobLaII9CDgvyKRRtmFCvcEEFlgV4CaOQNE3VZI0XWlFsi/WpNgWZGz2CB/v
cxG/NdiY2zk1b20yfWepfWBpZivDh3ETjgrmnjIeN8Lj7zDo8ECSyB/CZg4qIUVed8YscPOMWWlB
18jVOGxmS+e6aMi3GYRXnDQZbkeaNmh7glgIve5l26N1dcsz0ZYIp+am4eMDdzIrw4novXSZxOxP
qP24BqQcuXia2dxtRd8XZdvHdyYafmXA7EMhjq1lA7H+qO2wecfmjvjNq0Zj9gmvFbovBnj7Urdx
UjISIMDFJH/o23HZRbRP7qWx6a5lOLzrwuKvrrCyRd2e3+dioMgrfF3UksfZVqGdsEmWSRxHY6I9
ceOdUC3bYk4tPiMEThuoAS4P6zDarRyELXMFDNGscNSGNPXvnBLr5wEG7DfAqaU/4nz09zGLxgcW
mvQ7TQYIB0daPiZTxx8W5tInT/nTPufDN9p6bsvQUki2zqru3ZsL8W1Ol3QD32B2jKNeP0fqFNAp
UxVrs+Zerh6tUYDpcsrBfmzTgN0i1Opbvx+DrZ+tAsiLYZ3ug2yJ68apAJdXtuzUisNXUl78gmpY
Vq68nTAbReNatF5WmgU5SC9UAifdaYRanBjqvu2fTNo2G08s8mfQNPI9JOTBmnHZuzD+SiztHmY+
OA65tcRA4jIIygDw0TWQtMzXNq/00g4lkFh5FYVs3jcB4c+xxE3TjM1UZXxNHsZJQ8dxYvq1VcGj
Ybnb9kvRwzxYPbnAycrr/OTLWmhTKWfe4C8AyBjr9WvDs+GpCK1XWlxKR9AgmIbJkP9dU42j1Gb+
0R8D8Gt5CFnoNR5glqA5/W0BFFpKYsEiGPoorCkFFz3sYsgL6OAZNB7oNalQ1lJ7xWYqkrYOetru
Ylaom1iN4SfpGqjH4tHKQS1QM2yG9pcL1x65j8vqwSA4Z74Mf9p/QG/SI9NXtIa710wvuBv8INjA
1DWt1yiHW0FDSb2AGgMIm+8dE0mHbRF5CkrzbXQgIZwhgzEgX+JUhe+ym/btYMyJBNJWK82XXWx1
XjOi/a3JIE0EPj8OrmBoh03jI6HB+8Im+WmRYq4MtAZIKZoOeEo9vUTRsLwmw+JPpZcF6KKRfvJL
f4lE5TU4k2tRlCJrH6XvXlbVqXLK3F4GS7AxiTYPNGHDQUxRjAiVc3PrxcN9jmeo5oC5Kp0sPi9d
vzRR9FLE/wNZG3onoIgjkGDM9UFtEuIJcF1Ki3XPh4E/ki6iD0iKrjkwXUrd0f4CiBjdE6DHzspx
L7InfVLUdW5+78kt9Myn5KcX3ST/QxcMfA6Q/yD3jyn/+QzcJ0ucT6olCBv0M4OuuT/PVyqeCzUq
huwAepx66B/JSUCbtMOYeuthWk5hgORvsHO7MqW6UHVA/OAkMwrNFoj0nZU6+TiwKNYpcrLsFwfX
QOLcdtewMZcm32jMoJo/CT5CEvv8q4SQR+usMgcfhZW9V4w0jzkKLKAT0mDK6hkUmUdiUQDdgDIX
93fK83BVziEsna6UyJdeKoh/GEoAk4Eu5lkZWdCeglJPzD6N+DPkkjZjcg2hfKElBIgJXBQBEwNr
5LwlFAIAAZNEaEkvTfSI9/GI5tq2SLzPo8W4EeFB62R/He50odg6ScZiIIfhPqbJZ8UW44b2ZFAQ
Fo40eZtaiLiXoDkiz9OwVoGAwLwgh2rhsPQAaM9VHuqFqhJdNzh1gQ2LZz5/sY1ecrB7o2RvyAi7
Fmh0Eq/GwUCCcM2v6tKmhRgJyNrYTx9FLpyQKdrODPOYzj1AO7meY3fTd8X27/Xrpa2Chga6XQCc
fxS2wFAa4AQPSNdu1dXEUhhHRFfGIheXwLjn5JSCRtH5VlEiToFlduKQ+GTXxrAnn+mVZsbFl4UR
BAZLGfQkzntQ0P5EsbDgJo8zXpv0a9fBXclcU164tPkgLf3/Vzk96L+6F40fQtYs5fwI7G5Xd1Px
KZG+3UhohJWLL0JWDkK+rT5Zf/z9I10I+GCyngIwZFxOkJY/F4b4SArYSgQOUcy2ceY2jnpPwJsd
stU/5Ov0/PflLu1yIO9g24U5GqL/2SFTKgh7iEnAeYv1A0jskMGz5sfSAAW8BNfG05deKog3gM6i
U4PR2dlicSHEFJiAHVy2vkeQB/fSOSunSd2QIL6xwzrWEZHXPuWlDQMpJwjVQO4v+qADgRxcD82U
FYeFi+ZTPBXjEdiDbhNn5vvfX+bHlaBpieMFeR+00GEu8Oe3Mwnz4tSDIwNYPrWLH2EDUfn+lUU+
fjEkkGiKAncEGsyHEQeVodfnzOuO3uwJNEQ1DHRNXmwlh4bmbFbvStT4+NHgQA34OgBrwCUjQv35
UPEUjU1HRXAY5bBpYQPUFzeE/O6X9aGxvAQ/bPP3t3jhdj2tCMeE/xdFzqG0LG+Bkc8m/+BBbCDs
9G6G/mRJi6ZObL83IF7UGMwe4IK8jTTIuH9f/uMBRGcPfDdkdEiF0vPJrhBgVhPf7w/Zck/c1679
RNqvM6Nl1+orS13YL8XJxxPpCr4mEFx/vtoVPL4sWZQ7BD57aGDuGvvTU1LEV3KiC4RdtOrx/ZIT
ngbo5LOkaO0TdLWbtD0WXsAeuHbzPlk6bzNOHqtsm7NNGqxiSyFKcj8PA6nJGsdokunxyl76eD3g
hyBxQn8dSRo21J8PTKiBaUSTwzEiRAs6pXeQ8LuyxKXPB4FKtF2BBjwNyv9cYpgXpzAk0YdhiKpY
+PWaoTpJ5o3vP6f2Ggzg4xeM8CgnYsc/Q7oPI/F8hloF9ZIDGrZQul7Y0j2FjfPxfjEtv7JdPuZh
p8WAOgyhH5ygSvvz0docym3+ZLx968aIootI6QNhY/+Y9Jn91sWUxFWUOe/dIB3KyiKcu+nK202x
xJ9j7BPTAtpHgD3ikJxXCYNuYakZEzB0vLnqmxTd5umhoQMFn8ns/n4QL64FHT6IH56EuM6h1E6C
2R0mLDmMfftuvIQfRTLHu9HN6ZbY5b9P6GFzhtIEMHFQBT6wIXJmF5P0zkFc0lTZfF+YX0q+QaE5
YdmVD/nxGOA0AsMEWaITP/S8fJjCPgb2PRdHsk5u43P+hqsjvxJGPx4EzL8xQoW4NfBmH/DaOYQZ
sjanDbSjxGZAwuI0qRL9HRjRspuvJGUXngg0ixhqKkiaTmXRn1sTLikqnZGwoQnabY3nbVN6zbfz
wu5H8YHtcHLuRFPxbPcjGTvNJKd8H+TkAJGKLTQM0W19SdWyRdcDHpGizr3wP9eskLdD7YGxKi5B
JGZ/PpgjQz6NCcc4cGDIM3ndB+M14Z0LQQRrABkCZBuMls+jIjzgRcAxgD5CD8rt+kmz2yle+bYF
FOwKZvvSUv8orIdgqmTZebziUL3LTBwPx1Zky0F3EKehS9wfybRmV47vpaWgOYUc9uQA92G0bmLF
mQhzfljX+1QAEY6OlwET7D8HiZMcMTBY6CwAaHa2KxQGR9SLJdh7cfLQ5slnnatjQKONyNsre/zC
gcJSJ0Aq8iAwdc8qbQ9WUs2yYjKs9c76myR+D9l3pu60vaYD+DHlgjLlCVeOJAhx/vwOSxpE39SO
Gr204pAl0xFqka5q+ApeR1Z3Y7CzcSKuhPZLi0JRBT4WEEQCbvvsCBswcmnCkSQkyv6cRwDZfKRb
2yml0VakwYLYoTB268Svv3/BC68VYRCsf2hWgtF9DiTNlmXw+KKAjMrMJkp2a5JVPfk6UAmC93pl
uwQXLhVUAKc+lw9Jwg9NBVixFBjGZi2soVcGId9g640t0PLtnnv+TcjnGgAzNINj980LkjuMsF5d
km+ddIih4W6RSQXW3M+/v4ILRwViESdvFsj2fFSq4wlCJ+cYK7e82EHYcmsiXTnvmj7axWVSEM2x
CMqU8+I8AYZ2oqRL9pNr0H1e1xB8z+RpaoMrUebCbQDDChx6aKue8AZnQTOAIIHvm4IfMZWPagtB
gj30FMnr39/ahU+JNAQpMu4ENBTPj/6aQ4q3s166hwlvcCSBGUtqY/uGyVS0j1V2TQzjgnQx+kFI
1k/JK8rYczwWsFfSj93q9vAzB711QaNjrqz0vnKA+yrucVDBMa/ZmryLntaG+nvZnzywoHvxoCPo
G5qGybto6f+HrAw94hzNMgCnwg+yCJkH2KeVYQZuf29FGYoultXQGAKCdxGPT5bK/27cClULCPii
Y4CpIdLRP+9FXNDaoQ1D9vO4HDFXfY0hy40h65VvfGHLnhgH6ChB3/5jVzrRA1uVx5pjCNABEA2i
rUUSrY9kWb79990E2GB48h7wIS5xFt0R4RJXZB0/ehhFfMuAlPnZBqrrMFmeabNZEm+4cuov7V8c
eywISCj0pc5OCR6696LEgefrPdritqAZps+0dExu/vujAYACSB9whMjZzxZyUJo60XHZIXH3Zn2P
MdZd3VMeHv6+zIVTD2QypCXwy098rPMtQQPMPDHl3mdFj4G2e3Guffv7EhdeGQ4LwPbYC3CLOf9I
geFrwL21O/B2rJw/VxxDMpXL2g+u9fgvLQV4J6SDoESAVsvZ0xiSYjqd6GIfLEldCA51CFuubVN1
wTUO26WlACMFQhZ30scOix3Q1gd/pwGLa6xmRqrQjeUYzeW0uurvL/DjNwKaDmhETEcgl4Xd9+ex
BaVX520cELihQupCgfT/XkjoZP59lY8PFKOrAbLyP6Xih5YRhIh6j6UtPC/9QJSYBYIrgVY9C5cd
4IlXMImXHglFKXyuwEqC6u8pv/hXp3b1JbSYuoweYqV+UBi9cJVfaaB8TFEQ4k6YVB9DJVw0Zwdo
6FmXwSsWDakgLAl5WQpTWV2UI2vKzl55eadP8GeJfWIp/yNoBhjBBy0k3QMZIwlCHmNwTqOpo5UR
/nArlfSvZEOXvhNizykowEPkQ4oOzwIVeJyevlMqjzmLVCnHptnmQroKXh9XAt6lJwNXAx5TqD3Q
CDr7UkFkIZs2xek+NbKiIRBw62eDEfbfN9+lj/XvVU557r/2wzwZSAjRmR+jWbKDGpe8RCn8NeT+
kbqp3ayOXoOpItO/8NHQc0IqgpQRQMuzMsSLAG3kBCQ13Qq66XXRPjSJ7SrfduSLkRl06byoq2CY
8gLd8BRzhG69SZpZlN2Quds4MWOVsTSueOIP6I4VGvq1nb3pffMjIK3Z6aAYdvPQ+i8yFWqXQDTh
AIoEOXZRByXEZQqH3Wgx9p5XPW1ndOCA12jUZsBe3ZI2zu5ETLKNRRqxbDKIvN7aHvQz2GcaAtM2
g++NtlW9aDT+c6jj18Jj0QHKWOGvFXqgW2qHoOqKkB5wtpNbq4gcIU0SPRsH/yHuLP8UjxkDBNHY
umnJdyqgIKnSJtgZItNdx9h6m4xjdtReHN+F0Ni5ySe9bP0x6vds9QG8yXxeuqHLSsJysgF/pnmS
I2i07RK/tgjGpR38pAytRWRMQdZTUbtdjfeKTlWz8XsYzpV28qgu0SmbjxpYvmqUUXRcIPBkoP7s
99vQcsgux453NRRxwirMFNkhVyT3ixH91i6gTa6aB+9mVP4GPEjyxIBx2+IrjVUuVfIZn1/+cqIF
+mGyfbqbZd5ukslIjCnDAjpFgzpOrf6mQ0l3RUK+qinrNrJV6Q5tDYCI/r7bL0U/lL44VdBpgzrh
2cYzELheYWpPj0aOyLe5r7dx57Irq1w4ubCc8qGaBogAOOtnyVEaDh1ZvUAdOo9AdZNXA0QbrqoE
ooo+RdI/gx/oTVAHgY4t/hN9gz8Pr5NTUmgXhodJcA5MlW4xbwCa7pGNvgBKzHVlax1EuXroNc2u
0y+cD6xW2TTVsAI2pY7cehwbWFkC9hNu1xj2AMIwWbd0LTA26F4QBHiZWUtrBFr2MBf8BEwKbhoD
Q8oZFijfB7HcL15Pa5qsRTkPIfkduvBZzlncl+mKHUQEGeDemQQlprmnihlKlzb3RV30sDMjgY0r
YzygoPIRTCk/IJXnNfbnYpV9ZDEcp5gUQRUNTVvnon1cZv79pA6GS98PT8rOXRUoYb4vkdQvaUTe
x3QOSz2qEcg8tFFaB8kUaqboDsgraMqixwjM4dg+AVWYfQoH76bBpV4y0+y6trB3YbreAZ807Rp/
8iArBOI11MCGg1zbL5GAcpungK8MumhDobUAjOqcQxoZfnjrAq9WyCZCMQUIs65Kc/mDzkjEJ93U
RT7b32sH3rmLAA2VwHjXM8hNUOXygSVKRntMWDR0JXp54zZr5xcVt/NuVcsBtFID5dbBbHQXvGDU
E311MgQANA00RMIbRErK118AHAVHBCv6GX8LHvqO/EJB6L4VowDoroAryzJwIK6ySJk7SdOsgjFi
9EWMUfabdSyoWareRrDjblrV8yPvwvlJgzVYMcM0EL96FSUgE+PXVOiHJOqh2r4kC3raa7MtdDpt
eRywzSRbUYN0KivSDj8yUXzhmT8+dlMX1v7oXntMpspVpu8plHI3XWbJbQG840EA0/k22tXeF9CC
3+C1pyUuxjtP5S1+gWpvpq65C2foItmoGzdsGLwHL1jlFqjG+9W1Ue1BxaFig7cTHohGvq+DB0N1
fhf34hEM8KFWxoVBSTulyiiZf8zT8tanYoYMEzztwYvMt5R7zZYQqo+hP/+g0+z/QIxyKMjF9BXW
KgMiRzz1G9e0yRObYvlz9vJXhkn+galm3KPQn8q0H74swRjfEyHojoFIdzsFOoJJ0NLu5TTke97M
Ox23/r6ZRHyMmX1LVOh+N136mPmW/WI64+glObLP+xwyY6rg/o0OJ8zRAcPbBlMyPds8lp+bQcJT
KVPw78RVWNowWV5tikkn18CVyWZ9zXv1RRhMYauULrfEpiOUptJ+m3ngQ/oZBAn95AUBYrgNvfBu
Mb18DCcbvIQzsTvow/clUGawlUl1AZFa232yEtBaw5emjCilp8x7Uggf60+q7FoiAQtLiU49DgeA
xhB4iYGWBaTT9oAK8466p1XyaG96dyMLE6RQFejIOwdwcu96wGJTeG4Dy83cr2nok9t89tUTb2h0
N42FOQJS33xu0PjdiLClXYkeY1ANdiwqJCv4k8+SeuiWG2cFdit0D+Wt39nPXUvmuif81YOF7zFd
FluhDcuxD+fsOWji50UXosoHnR/Z6JbPulthgpvC0gGKD/UUF19zx+Z7AI0zvInut5UDrXzI/fCh
+x6K5ZsImrRMB9a9xr6y24YJ/xFeS/lmTicFOLRjwCrmfh3AYIEuDWJ1EOu6i1b+O2h0/7jIwYPH
PTM3wOPyXeHTNoJodBDenqitN6uwfJPFatIlbeBV07FpxYhVIjuM9UlkORC/nLcsL0M/tTXAv/pN
NkG4zSnyEDiomV1HTevKJZ41K0fR+/cqo93GeCqsU4+CiBGZ5VlH89wAk8wUQP8UgpFw1UpqRnP1
1g+9vnPzLG6JmWZ1s8zFkfOgATsScilBipJvCAYo8vnARZdA43pV37besTBJ+tSGE/8uhyl9pisF
ODqCZFqZrCpuajWN01CBJxX/goa0mcqEU6j+oQHQbhVXeLQ+HKolMk3d9EMOafMBgcdioLXxkMSQ
Mga2E6qWE58A29YULdghye7TloeVAs+40qyfNwMN+aN0JCpdQcjGKozh+8Xvb9p50sin6FrOok02
cNkMbue5pxD5tqqKCmCps3Txcasq8AJ6ROUuC5vS0C5C+2GZKrr49LOwcV8tSeOXRpnh1xADdN0a
AR6DLOZqtMKv4pjD7yBB4wnKcmMT1HrGAW0HG77EFvjgbjb5Vz4E/IgwIk0VTvqL18RuX4RNjJAS
YnwJ2KzfAacbEHGzptDw1HxBJQ+f5QwofD4WD33S41GmgMYvheiaKg9bdp8yWigUKONJLbZnPvZk
Dnzn3Oh1G5rCq8MRLFAE24LUMwbatRN2fHEp0iTF5xXEhNTuxgL99DZlIMA2MeyL3dzaLfpCzb5d
JQgSLgvHT2glei+4WFIPF5qkdQa09l2OO3Ws5NDSCuwuLgBNKMSdW7oBOaydt7Pos9tZyeILBXB4
a8es3UJqM92iNsg/z0BsPKBrRjYAd691R6LwCEFtu0dfBhycSPnVsDbesJ08H6aKDdAKdcyT7PNE
Y/44Zk3+pHgESkuXka0neFGmxRzUeGNsCyDeUrd9Nz5ObZfWfiTI7YDfcMeggFmLyff2Tbzishbh
moFVrd6mQKkK/FI4g5wUI3GX3U7+KZntk+Rb0ZIIwP9MjJUJZoZ0gP+2puju3TzyTz6cmW7I0DZy
oxNA5F2PI32CNx+zZvReMstapCYdsrMBWxBI4yObAWJ1yOsK0vyGEKf4RvqheUEPOUCcnXl8D+5+
UBvUx2/QN4nuhOtoDUIIA8kHvJFVixWBu3c/IuHpTxISmBtoOfaVFwIbO8Bfew/R3fVmUIRvHCqW
GlwgwPpbxQ5kPqHQkQhBy8K7b9pA7sbc9zaz43SLnIRDq4XxfU86sVMenFtXlhRPi87IRs5OVLAr
cqVnSfdNxZEoZRGCZJCRrpQJITsNxuWncUYe5tbQ3wyAzkMbqOOoKNABCYWcd53vQRxukeqW+wN1
ZSZRQTU8Gh59iG3uzFw0TQkBimQtRc/CLVJ7D3SKLPsGxkP22ME17KsgYf8MdPNnnJ7fNE4TIOeZ
qaNmxJ0USNjFqWiE4lFOsienBanDtbDVcqpAAhboigYO1jS2i7PvfodqDQPieI/Z8D0c9TAOoZHI
H6YQPKIog0WPkoGoG+AR7ooREPd1icZPAYnVHrAtcWzX0B4haxrvGmTfL8OYhXzn20DcRbH3QwsY
OaCQC3lt+7m9X/CPpa96qM4q8C1gpkXabLPEFqaoNua7oGeggcWxWXY5uAIVGSlsxQYQkZHdgM/G
KUcEaWCDreR0dE3Gfkdy9NIK0jDqWWVJe9+RZJYgo1pVwr9r/GaY17w4S/ybzknyI0SSemgnRi1k
DgtahXpZysAQcWddhHu3VbrZECB0d2tXNFEZLAr1RJdSsNNi0MWKkfvoyHm+rHvZQaeItM/B0vco
xhdPH8ek/W5cl92iZa0Ocw6Sfzwr92ScGzfID3BTdBPbuEXG5WjYcDekg31QYEbtR+LHtVz79QBK
wmvYZGEFG0DxoIgrvndFhGsOpkx8q+FSenpeclg7bcCAa8aHjIz6eQlcj7u1I1Vm+Q8oX4kDRnl2
xyXzu7pfocgJ4kd/8KDMdG91CIw91eYNMzKoxLWaQ1+Wr3FQZnqcbospAQ3DkQynys83MRtxEScR
qo4gMe9xK8RjHzWwNiDUgRGztq+dFrgBsRXehcqjZ2oA29dNDAKJy5otsHDLPmpn+9yGnHxqwV+7
s4v+luFE0t1keQjnVePkAbItRTlIYmo2peQGTpvePRkMe4wN9NRjORH8wtEGNQp0vMNMzeBMZl8K
OoAXCNjPEzPZ9CoByawXQIpLAKLsDZo1puJ5qmstcxBgZ9zQASjSG09Fw8GboGVXtCvuBUCEthzi
FmHZRn6/s703ffVcA7X6RgQ74dP1phnUdJ9ABu+rn3bp0WdurYHykLjRTpVn04QldObTKjbNCLJJ
275AY1dscoubXydFuw1jHEmPxN8FhFBr5orxHnnh78H2fY2NBhHhpl3FAVFbeJU0QFULyAIcVk28
XyAiLFUkmuTWGYZUTQIu5jm0cCwkDSsm0p8War37znTg260sXQ+QTZtBn0PCCNliWOn4iTvKcWxv
bBp8bmzb7aI2uWPdanbtEPXI/oi354FuniZhm6pA1nKXT/NdIXT/ThzcDtpZJyiFUR+WlM7jFtgj
+fh/lJ3XctxalqZfpeLcoxredHTVBUxaZpJMkqLIG4RIUTAbdsPjneYp5sX6y9M1MyUTpakbhiiS
mQm391r/+k2dmH1QrB1aMVQsZ0s6OkTxCuO1jEL/BjhQ8TvDkkEzSu3sGWuysxehXwzFrHfIU7gy
Su/SryfdV/wF5EeqCoE3NcFNqz48aQqyeYaH2bOajp+meBLhWKsaD6yZt/eeTLF+1rS6vVmZSjxW
thr7djoj9lnnie5ySl8H+FvnpiGQx68XFHayktbJTLX2rPTDGqHMth87Ob+UlRJfKgUJmD1WTtS7
iR4svY7DUVKn21rXxrAz4logeCSMzZNSvSRWPIfE1CiBmrdmEKejEi3raAYUTO2x4n6KakakW9mw
/Zb4gFO3rQsFjqY1+5K4jK3WscJheypeCZprNy6PSLTmNKC+k1vtE5dj2Fdl+UYmaLIG0lis7bRS
J9QiQxJbrcMGwUO9hU3QhrUXS78rdBSG1C4buqs3bbA4HxiMR2xLKls0Fv6mt+LUZ+qFzXzSTh4B
iLPtWCzau8QH+gkGbnyO13jcYJhg3Mhy0feTWPUQXZCyBqkyuX5jckPNRrFuWHSm3YpAbTukmMM3
eRlvZ8acbHrp1FFvg8cGtV5cpiZuT+2wTKGZpupNo4ryRWFSn7FHTc4WjK87pOPcROlVOqQUDOGz
CnsUZ2AIkmD2cbSEJs/ZYpm7wdLHoEu15bUr0jS8bqpYh3eK72ALvhN098GQIbtqSy6cIVVvX2ZI
tXOihcJVdaoby56NQ86qQCko5A4dZuv3A/3zMPe+EuvJa5PowKopDlcElziNES52Ne47mGMbMbP1
53Uyn9KhXR77RDanliVwi2tTemh1sUTaMqgPBLJ7B/wJrZdELOWrY2TyTHDDtO09SlQzld80m3OZ
Sg1rA137PGlou7H/UaIqs8sQgiaFVS6Ku7yXxkPrlO1BX+rx/SqxOS/Qq8Ms7qdNWdl5uNIsnk3j
uk3Xwm42Zm26ILrqJnfUbjM7bYE1utp1tyqAS6BjXa57KUUuLAH13KstWTHa7Bz1rpCh7k1xUDAZ
MuaBECBK3CAVBkbkZLQG8D+uKCBC+0XNH/M5U59FOxdHBrKMShvzNkOaxl1OfGprEEXVlOkIvGQy
roPYgOhHywJkCGNk1dIMEw4NXZylzeGiU1OPY9zgBb/IcpOsU3lKJqH4ZWohtHFSeVcUav0p04cm
1NU2uVTZ0Nx5qVWEiWk9CGO+rdfYuvFm1QlcmzXEyL0djkxfUzl+LUdX2yz0fH5TFjoFcO3gD0l/
x+yj3GDbpgT2ROGLds5+z+Lic6mxuPiGuhTL1Zs2uzWWxNwMlWFcvCI9cyKGgMfH9r1Ky7dIKuAc
WeUXnb4g9WXirLu+0+S7upbFuEfLnm8wZRs5rkw8Dt76Qgae/TDGtdUBcDd2AcQ21/eFlufnGRIt
LLpWfCA8uG+05YvdNU+D5dR+74r2zkvS7LYZ6y/m0KX7YXK0m9bF9HG0KutkrYpz4e3ViAqS/ki3
wQ4MOtI4ea6U+aMuZ+fWqV37IVMVRhRTMxf73gWiqw15FFauB1NhO/eK6NYNFv+A7eq1plRNeYO0
SvELWxF4U8cOMEJShsM8177XDTpl5xwjbga/yBsH0wLD/SbFkhxn2yRCdVZVP+/WZjuNrMwUv/MN
QRF9VLZDxU3bpL4izZQbb1KOvdEmkdtWBEys7XCF0ZtAiW1t59Ui3aTj8hHLmkPS04FOGofd0mm7
yBWu4cMD+9QpeotiV5TEgxvTniSCKkyNxo2q8YoE12RHCIXGYJyK5LIu1mOlsnzCqnXuELnTsZVo
cApHuveTYSPlnQuqX2EvB26vbmMolbu3e1P7pDC6YRp9o6aNODROYUS6JJraE819Xi2U23b32q1U
rkUsnuI+Ts9Dh9OAYY9ZkNdxuYVAz8yiU7OAFsXaaJVpbpRlFJHiXPvZYUm+1LbEO7RS/CbXvchz
JR/FJRah9hhsjXSmtFypCCwnvmttJQ/1QQMynJZbNyVlrMltYIHOCJsyvowtVp/kxIGzgN+rgyPZ
Jb2rQ/vkBmMJOpK467e8SF4VEdMVNkPLpr10xCO4ji+VtDvVFdis1puAvPbVw9MzEz9O0PovHfPr
IeGJ0fCGhOlCqKRhUDYDzSKBhsLB3Wk8k3SBLUFs+dlKtPfMFCnqK3rM2tM+SzMZopi1hf3CLc+2
ndG6IC8L9NKpdq7FNM9p6xM4pR7UqfImZ/PBSOc5HLHkuCk8q2KhGbJIKwv3mBOjG8w2o4L6Kogj
kBxjtjRftvSxlDp5Vj0ieb9RuuUFre5HMswIC5xHQoHqcJ7096a0sqAqsnFvjPpH3xhzWIzmRaGa
CZacLTzrwEDiJJsD2PXT/Vwky103Wc+zmoFHeuLRYpulSliGIGaq4CvGqPh2XSp+XFrzK0yiI2A9
mSI2AJVTTUMAQl+/A71nL4WSmRuObA41naZxUFSXxaxSgySvf0Pa+HkE/P3ARf9+4NKWRO6lCVGd
deZtPSR9iLG5HgsmAP/uoIo3IsIS8zN0boybv38jg1FGV+O9cUgtfY2MSqaBYRX9bw7n53HY9+/y
w/C3zNvWhOEAVZwYvLOapOKgxW79Gz7AL04aFHjsm6EEODDCfhiH5RotMmZm+V4oIMDJUWBp1pQI
TcVvZtm/OBwCRiHPMlkGBPmRGzmrVMZxWlo0Kk2xz5OevVRz1d9cmp+Zn5gDQW9wUZvB2PuRrpcW
uj6QW7deo26C2rkqsE8E196t/VNb0Dz8+/RAghbhU8GmoND9ibNrNXps0FLjJFtbxVaQqRIWmAD/
JrHo56PiXRDFwqyBBv+T2MwYZGzVQ1seXLzDPznzGN96vdXdLnrmaH7H2ODEDJJC1QM50zf/+m7/
eWDKm8NcQwUGsxHy2vd3e103eiqlhzuvlSbPareYX1t9HjEH0Oz55l+/1/Vu+35m+v17/fAIQ0bs
UAI4sFPsJ6Nn7DRuBPBpRtxel4O0AH2jKHz712/6qwNE48mRGRhvuz8ysbDlce1aevneoHBymjKU
OFssVvmbB+BnMsc1xBBVBpIdQ/1JUYfdUZ03MeZpSXUE2HNa069UZ1eQmJxZvwsv+tUxwVaHTA6D
DT3PD4/1dagzJaqaHIh01kECs6vvXKpHcd/+jlH0y7dCr4DA87qM/MjDIrR+AMM1nN1CWqKQn2qI
DbYuf3P2fuEPjnYZuRVlAHZ6oObf34YdYSWVh3PzfhjV0tkCYRrLm5YTYu+TCy1vAZInzWfgOuob
b+z13CeLOsa5egG2dcruWj/mQh1/87l+Xj+//1g/rNLm0Kd4qmugzM7i4+IiVxEaggJy+F0G288L
KMZgOtZgzOEtGAU/MLf6HCcU4k6JwC6bsY9A0C0rMtwy+52G4xcPIbR5zGRJfUBu8yMPQ2CaSFuI
HXdlqRkyGKcqbhUYPfVWZVjgHps8Ye4NgaMixcciC9Efatv6Xczsr07sP38K/fvrrVmV3paqcPfJ
2DaPBdyc23bVlIfK6abb+Rpc+q9XgV88noSrX13XYEVTQl1v83/iWq3TZLai07M9LiQbXIaU8SNN
IEDkT03zm1XuF08Mb4US7PoVme0PV7J0a5y3cCDf191048hqC4qH7dPw7yeFcLsgRYCR64Bv/GjL
FwsrYVCu5YSSKIEw8jBTVl8bvehfn7lfHI7OiBoeFjaKmBv+cOZ6itLaQC+Mk2Jv7ie7n4/2mjq+
mZv/iI35j/f5P5OP+u5/toLu7//F9+91s8gsSfsfvv37+cvYf7T/df2b//s73//F37cf9flL+dH9
+Evf/Q2v+4/3Db/0X777JkL814Nnf8jl8tENRf/n6/MJr7/5//vDv3z8+SqPS/Pxtz/e66Hqr6+W
ZHX1xz9+tP/6tz90Foz/+OeX/8fPrp//b3/4H9X//l8//f7Hl67/2x/GX3GMxryPk371EqcA+eMv
08f1J+pfr4Lj648wAkU0x9X54y9o+Pv0b39o+l9xBr6SrPBSgiNu8tzBv7n+yP6rjkAMQTbGDZSD
kLn/+D8f7Lsr8/+u1F+qobyrs6rvOBAERd/t5jD7+BRseFTJOGmgAPphEwI/S2XN4MewkuVo5WMc
zZkp0Fq66xnTvJfcsJVdpwrjnBe2fh7I48yJmxnN3Nubjv7YEnG5r7TaMXwVn19mKB4JebP5ZLdJ
csIIajhCsvIdZShPs9qZN/Ec4aTpnf78QhlGe2oXDNNU7zTb61bhH4dFnZJzGa8fQng1Ltu9c7Ac
M/C61bpJ9AZSwzR+hgVwtbbjuz//X1R4j/VwaiP818RRltYLgS/apgBQOjIhFjhIOZ8ndzpPaxGA
DOQHkJS49ce406O1BDtV9fkpXQWBXjkunODwhR97sxOA2Z2y6zjWHeUajkXvHHNIklE94oclM7c+
qqJojkPv7bsUvBnubsY8IXmJpYctXannpxRM45BqYutev5uuodVYIOUM0FYTbArfMKtB1GFmKcZ1
GkQMOa/3q1PGUDAGyAUQzsNefFkY+xyM0jk0eLscxn3db7ISobqaTfNNrqsHZTEvfaUrPtaOVQR6
Lw2CZcxR3FnLXAZ9k3oHUsaea5kiqs3owR0ljh9RVGwam8J4sWTHKcvTMF4U4gI3WlHGD3WRE7PS
twcsslAJOlu6y3erSqPOJSvd5AoGNKUysBrvrUfqHjhXWuRopNuszb81S3IdLOSb0kbBu3g3WICJ
UJmtwW/G7hZa2/SCf2KkaMlXRjHf6nq6XyqLiMXqPbNUAoJbXQZFJXW/ghIV4eo0hu4s2kBrcTVT
68p3Z9Pbe72zt1eB49nqkhrbl1uImOWxHerpMBKH2JVGyfYPzSFdmoFgx/RF1ZdHWQ51MNcYv2Qt
rrlt/BXrxztBdmLoNSl5Kpbc1bM4MSzLtpZ7j92hfswQ2owJXLIlaTcysxkRNgZm3umps7uTZbdE
ivTbuY0nv0hd83YUzoY4VntNtMia+n6DIbV+7Mbi2DLO2+mjtVGn0Tr9+UXxvBd9me1AJj0geqWC
wx1NPKCDMilhZFXYKeokfnjeu9kJbaM7yWfg7/yoXr/U63zpSKLZWLLH3y3usnBGkO9bI64Ga1t9
ss0s3hQITiyJS1gP2l8xfoR7dM17lIHaLvbBSQA1k8FMo6ZuiKxND6Mwvulq4R4yx0iC1dgZCsB5
rTJex6F0Iv2B+VysEB04LeEKtGK01lOVA0VUjQnU1D6x6k7QVdR2D1WXSbt6xOqo8nNrUkOJdSS6
9vQ0w7ttW1U9ILTMb8BdIawYjR5C+iqPBiQ5MKQKiMiW09ay7K8rCG5Euj2TStRYPhjXikWcdUXq
ZGN+EnPxmU8dw90C8gDCeWRHYywiLL/KnHU7avBz1F6PbzQtjpqsqwJ1RE9SrbUVDqK4BwuzI8Z0
2PJdh25atgRMBvMQomcwTSMWhbip0vyMzG6XKr1ZH4cmCyZoJqdWGYZbc5Aart2TCFwLyz2nYzRX
PVa6PAytrm9aFfmF9aJm8OKSdasNOPLasEPUTmaB6iQWa04dtDEEzNFR6nBt1spP0Yf4UAF532a+
U7Ix9rW4KraxXr1MpnYxLH5pdurXPq+aUAEqVfPYBdeCGCYV+Npk6jbBWrAUUIoHXV9WgbugnMjx
AHJnPNo6zaGSTIcat3GHt4ckvnZgW12jRmkFcaDoE+whG30I2iWBhqwXV115vBOa/W02pReCwQLy
1c7ntqmsrQvdj3t2BL3gIIB1A1TvSqDYirWp8fCrLAFG2vF85oOtRhkmtWbamiEylRsukdhhDrN3
zPgeVuNJywbN193mc+kq+CxA7ikn7W6s7Sms4i1ShnkrRGtgYBqLsCiTNxtvP6JHdfuwqZYGQ512
nSJhlIxM6MeHE3wGEHyoSavm8XHUMwyqOBCQcyKvZ/aZ5fgy22Pui9HjIUE0Neqw3QTY6MCEy7cG
8VkYjJaKOmmxpTTwbJpvycgzocLPKeaoytXeBt5WCwFy44xwiYV4TSSyy3SFJnIFb8n4wPepL98E
VO8hnlJCR9wm0GWxo61Y9jarIlz5bPyGKunYcI/SPsZBJuZw6sG6U2GtxLIZD+4C3pz2DnyqRl5p
jAemhjdpFTPT1lkq7fUBGQDbEWQY5kqp9tBp9tZxzZVlFHcXNMeVz7lWNu7w5sqp8okQuNRm0/m2
nVyYpVZQgKwrX9BX1eYWXnvBSDS7lBmblHCGo3CUNJBOwWR0hTwHuT4tknPOrCwxbN3nVttn2TQF
BKywszVPRqtVhMK6E1OvyWe46sNoNEOjlLYPq246ZCXOqaOSbyZMJjd2N4a2AXAqloxMveUO0msb
cIcch1mr9qk5XkiFmaM0NhjMmYN6Y7YpgLbZbaepTvZdqWA92cqoFFAyatHe5k77tcaXKzSmJurN
95gJ2J8T/21Fmo0zIBTgrFwZ4PPJmvXtxDDzlBvo5ufmIlLcdfNirnbV2Obh2Cxd1NvTo+lqI7IT
p49spmrPVjJuwUZCJS2/qv08EEpQlSE23B5+wyPJp3prRDZeM0abcTe6ab3NdXgEWCvWqTlvlmSN
/bZBJIGgeqtB1PPzpPw0Opm+ycvbhm7wmAzqOVG461evnf1crOI2L8yoJPr3Pn0v654AYnWwfadw
qy0DrzXouvwm0XqxI+xC55q9tyPjLsJ/fUJ6MQUj7Nov3SD2UB1oRYejYrpcyulajL2D4BubTDXf
s6QhEixuHmVd3ziK8wVqzgBMbldHuzk3qfvFapJT3uhTFDvrsrHs0fWxwI0ZqqdF5E3mRu+p3pwu
M4NZhxuWD8umd9oneNN3sDuh2cEc3QhVf2ocruwoZkAutgaiNExuxqXhIR3aSOQf8CDuZGkaAa6c
zbZkrwulkB9ek2QbLSthaYzuue7qYMzWYmfGK1Qlp1YByurZ94rkvVmgVKxmUWyLEQceN1WLfYdN
Wt9a6GbUO4YM+f2aA1Ksqz1uFtfd5o2LTe5Y1pFpxJlvkI/OclJ+dlYiNoauiPK4lOxJ1WMPe2qC
JbB13SokHO1oYsUT2BlL+SLXN2+VT3OJRSwP80tKTsDGnFotNJX63owN95RXihOklvoJ3e1DGavJ
tryyO0ot2VoTSXR9OkVOaYC2LFAn9Vrfr444yNlNtuYgmNU3YjPTeURZUh65o3cK4U2+dNt70o7u
ZZs9mwLWkRK/IkdxmHosne9Ykd2a2m4WzauARjItkxJRYbs+4WbQOo2z1KlnsKg+mH32gKlJG9iw
tuN48MIRKRSOP4w2dAOstxrTxxQ72tbF345BKBQ/iGB7r65UP5Prja5XM3VoQmffrvrWaCtIYcMb
HHVqY62PHIvxj8yTey3H6jmbiunkGHaAf3IQq1aD9DvBdXmdNhzbTQ3tYCcKioZukyDcjojqdSIH
NWptjFCC6FvsZHkCfOrvhzK7i5XmjrVHv42H/lwnkAsbGH6+0ZofGPST+GeICWdW8z6WLno80/AZ
QEAMyvvH1uPZHLgBQqoo+95ox8JXXPaQfkhOcMfCzLXba3UR4rty6Yb0VLaJv9apvbc2aOJ0JNPt
YR66ZdPEMWuB/FQZhXavlmGvxf29O8Rfc90J43iWwbIMb6nBHJsJGICrAUO4qY8EMsxB1ULhyKqj
LkoGhWsfGZL5X+pmFxOWQuSOroyEk2WRqU9+itJjB58FPixKlghWNNvBnLmRnMszjvLbWG2pKarq
fR0md2/EFrHogtPbwcVNR7+iqgx50D+6ybybGilpSoyAKHTVt/kw28KUb2SZo3C2ok4My8FLC7+m
NQrgzC6hCcoJC25dQ1uW/pyWy1mP5zxyVgcfihpT8Ebshx73r3kmjLiCVp01NHFQsakKnjMXjQnh
moEiaQ4qpf/ckQAYpDUHrDaXGVoCKb9INLQRv+c4tpqoTPejM6WMAUtcFbripl3XuwUH601cXbJO
1U4pE7UQcgyzuUY+eNX61FvK8jWx7wa2WoEz5XvuxTpzS4oFBnKhp4ok0pV28odFRf12nSY6buGy
ftszua/NCdq4fIpT5lyLXnWvhFgGDCW1U5YSFz2qyrqVNK3nhfYKGQfB63Bem64cd5QA9jmFKnvO
//xyFY8UsU1ZYywvg2sU5z+/LClWGQgP6ohmdzmTCKVjrI6EAPqqqug7vHgNXyF4+16Uxc4d9QsX
OgsbaKk0MM5KBVPBq8zbm8qenuGWb5umjwC9Mn/sy+Z2tl5lHecbOtwVs3DED04W38mFXHDogd9m
xaIrs6c3OHPJJjG2kK4e88y9KUR7NIf46szbM6O1FF+2/TnJIckykfMCJ8dV2mmcz7Y6NzvVgiBp
mseiIUPEjTue56HfpNQIbVGs225U0N7M7/mYfabAOBEeXW7sCXafYMqpTzFER9Pa6k6kgXTBlqeM
kW7le5bQ9xy/iEGg2eamoJkq5viYKoQTjNEAZo0tcFeWtbPXSKjQnPEwVMtpXmwBQK7sbQm7qoN8
sdOLAvfjMu72EONVt8GPKqGgFaV945oLhJJ12whZBQKL0bAtvZ1ea2SVlG296wbzc1sst9Ced42p
TntLl09TT9k0qz1sWvMTiI9+USssJfSiO7jiSl83WVIW5stNPy9BD3NBYa2uWL+eFZXdfbMs7bBx
3aWh8SXjsu8YInvJsV/jNVIMbOiTF7fi8VGtqqaE6z4b8b2dnaB2HNtq2JSu9PEczcJunOoAHdmm
SXFc76zYuKqk/H7quMVhq899kh0HyNt+ZXSvUtwKSFXDULbbLKHU6LBB3rgAl+nizUdN5JHrFWKT
amtMb+BuE6/26GuskZNrChRUV/EF9bBSGkk4e0lBiABbRm5IZcsYDx6Apr5VVg3HJB4QRhQNBBEY
lFtI+DKysfTZj7b6dangoM61TI6LTT/S8CT6xfS1IxXn3otdJBzT1rRHBEWtuUeKcUYGQwGrlHaw
dOpRgEB4rXiijk95cka0owkBwP3onCE0lPtYrkXUFdoUmUBRLmMNkj6ajXSMNlzHy1hMzOAZo9Pt
0mvFraUF09LNaD158fOAsbpLGVrWoBJpekNq2lNFfD0aWTH55bpEluSEDL24XWr1pUBftvcoPCK1
o7WB97nhE3m+5iVU8nDKfSIHj07nvKJdWnZZTbkbLw+egQrQ+0LqgUdhyILrNkW4kLrl67mh+oWu
leGVQKZoXF9LvObatG5EPR/cNGFfk/q3XEtfV5c9u37rsESnB5FTmL81OUJhQ3dYcov4SYvtG5HX
j4W2vFhafDN48qKX8wFmHsPMBpuqHFb3ury7/XAsxEgYAi+vmeCAGXMg6Fb4qRsQLYIq8Zqgi11S
DNujKM12V/dc+SS9Ska8ORQDtkOOJU5LMdh7xdMsH8qwt1U4szeEM7xUs+ypGxKaxhXNSmaNzr1Y
szu7xEI/XzcEadTBGgMBwdsjhsSTVGkdRvM2AUjD3H4iKNLzlZbqGxpqVLfJ6C/GcJik6fjBoueX
qTOOFKZllMXzwaA68ZNx2rdCfeIOUfQv9WKqoWP0T5XEDgKRzXkUuyIzC1+s+X21ENahxWkdoCV7
WGLo+r1EqWhiCG4DBAYFBN2ANNqcdrQgVwPTEzTEh3o1bwaZ38/wSq93JxPITzxNH4wIUZksrAPc
utZgBOrAk2Pk4/H6Ecaxf8+dUDawWWNTm7e6MvVh7CK3WNdvjtnc5ol7hzj5spgDGaPJc2sBx7SD
heticSKz4lueZtczIN/k3D7gnxUN83LnKRgfG0ZzrLXETxxrCJWpID1gno8ZfVzramfKjxaH/8DR
R4I72g+jMYyrlyr5NL36EU9GUAxQsmrkOP6I81FQddXOWHIDo/tS8y0VG6u2O1yJreo47fLqfZHW
J7aEP8XRu8mQFyJJHggOVp+bCfcgU3a3idnJ21hp5QavWvtcy3tAxWnXM9wi9eMe9vcdIMVJA8MM
SlNp9+ZMfIzMtLukrgu0JlztujJhaUnjc5ya/dlBMBcsjWY82YSMBDCE/bH06vOSKc/ke1LIqIO6
sXFk2dRTnNKjcjHz4nnlRVEvjAZkwWo8xWI4jZP+FNvwkdJYsQLDXppdAdas9mLZFewqXvIy6B1w
RNscF++bIFBRy2vzZsneMVk0bi1l3ILHflkrNds5Mr6slC6Dnh1kWpw7D86a0vNMaoSAUNR40h4C
1RgvXhuHrSHrbaaPlxk4V7ky2+YrNuRN9t4zlUdZTN9EPOxUUwnnRntFrFSFiZc9KjXoctU9j8aw
j7VrC+MCRuCgf7QoZ2OSAbRef83iksyVRZwcz6KFnA+6ijhsOA5oeuDVQGBvDPdhQCsDFL4EVg0e
M6fo/eFK7DzZv5TuvjUZnldrfylzEy3qksMYg04mvDnidtgxYlg2kOZOC1Qgb0nuva7Lgo7sGh/e
3qnQV8VfCmCBdNhpI8B7V/QXB0207yrzUeeRaLnT/GWl185d62FYTJYuZX1d5ztnGlwWI3ae8VjO
OaDdRyLGQxeXZ818GXCoDlONv+tr/VKXAFRpMDT9A4xHTn/VI0DTXN8pi42F0O6ao1ht6c+/qtal
aVudJmO9VaTQQG7qNjAXjtPRlqtKrkKskD+J3niHsbFb5+y8Tto3cg4OJZI1AFmmw0qYM7kO2cRf
q1Z/KtVZ9SuLmOqF4URnWqGx6GM06yeadrmDx7jpa0cE+tR+dbUn+mJKXftLLpctnD6WQ/shVhWW
wiEPnKt6Tii6Tg+w0T3aqgbGrJUMW6dNnhUyUqoiInKp3OaO8WCu05urwaAv3jIzbkO7VI+2NZ8c
WMufDfHJbN3el3Z6WWOPAUuB/ExnbRWskIhuyjZUsuVN1VBG2jCzra8JExgNnnSQ45UXcDluOqlH
XQOGpBbjGQFPkPQkrEi9vXRqfLeiYbyu9WEitCcIm2+TfBq0aTrGOqh3ndfRZIYQ+ZSgN72vbuZ+
Xtx8lyFMja8JDqnYjQLH9Jadro/H45DLY9JX7DjXGXSKpk7GGKyVyAKhIETpMB/EOlwwLtDpoqo0
0IBhDbBrrXCpyu3iUmE1XBJEiJC0af1FwSHH6W/Wbjp0TdcGxaLb2xX5o53Xz9qaUkzI+Fa2ZBED
V/g40nALoBwcCRvBUeqrVL27EUWMNhvPSpfc5Ip3vwzuHDoWJIje1B+LfJcgj/Yzxa1JzZrvVrRL
woKJGK/DGDDq912zdtgO4Jwa+uswLA9jIdJodJH8zwo3EZFYorj2ZaoNFbF6c91xj1EmBdaaQADV
cQSbk/5+gkEzDt6DRlhVn9vH1QRtXem6yszONoo1P2W9GaltibqyzzNfF712aKcJKZSCyUmyn6Rd
RaKbxKYkZRpRZ0fbNW1LwCNh6kheWfQVu77kBUrCVmoEkzkPhaJU/mpbD9Ksw1xmpOQafeYPQ3KU
s7rLFSNEAlj4+EWiBYkrkrlk8QCgdVlT8jdSTCCM6+4/ZhkaS/UBAvLXNneToOmWsBbDZ7isvc8J
01GUiiyIpdyZQ4FQkWHqfi6JR6mMMdTSgYQlu9vmefVqu9R4eQ1PEnPpUvBANEn6SpIctGCkqQz/
IPZ5807Tv/SaIVHF92XU2u67vnJbZQq9RWqGqzl7cMjhmI/d8zRcgfbUvik1TFQQMndajsvKXKFd
1yEb4yO1QghnQrp+Xe1q5znh0CjhUCqhIwrtdhz1J3DIftKYJ6h2f7d6zC66RdIvgw54U0YIYVko
ZE9pAHvzQHpRXh6nbCanLNH2XqX292q8SU3jvYd9vrc16NJcQfqfHlzGV/SxApV24v+m7jySJEfS
LH2VuoCmgEOxbBDj5m7OyQbiFJxz3KlP0RebzzJbWqpaqmekdtObkKwsyQgPM0D1J+9976gNvPGZ
lvxqExpktV8BjszqeVDLDxxP5E3TaAb5AOqSLCheE6O9J8zmFV5z8zLF+FgIHJ5SfoA2UieK4uId
25lxjScpt1NOCpxTaivvaP6WO1O/MesMPxvrh2NZsPdr50N3UZ3E8MdFIXYrX3Q/V1saGRYDrqZX
mdd3PanDCnPkQWd/MhUGTpACpOco7qbBslyjKbGyy/Q0RBmmosGkVjUIkkIirdsUWvVaTG4o2MFB
rqGpXXLJfqEHdzgd+LoVF39zehPWCLpLqm8G7joZYawY7tOIhl1X6PKjvvhNh+jeWqZdHWfGpRfM
12ynbv0hZJtjl1VHo6r32zWMN0Nnzp9mUjMozVpW5qbgJUb1Ti8ttxotC0OM6JbdOT+IwYyzKMgL
S53y3MSETOIaDsyRqVjn1Eeu+aM6wkxsq4b5ulR5Ose+3SnpglgXas3YyeFlIrT10M2svLo4fmoV
JpwFwXVnaoMIY89k7wZrTl/XLjsrJIbcL+tQ36mCA7EzDI9tcXNELZbS3LAU1/MU4e/0rS5he6MV
+Muaid95IJLn2GEDzMeuwm/IJNjUqA6l4KdUc1JVinTTOWQHsGT7xkB8xrfVbxUidLAxNZcFRSn7
UX7BNk97TXCeFmGpG+IR5onD7F/LpQlMJs63OHTOhFTWh1hWo0/QknShicznq+MS8+moBKusaG/z
8SA11nCEKQsImYVv2wT/5Xqqbio2xmM9Cr6yGlczKUp+jNNvwbj0UNeEDOCG6DZh8VQKhkqrOrlm
N25jiY+mWIBkTLDIy5llDDf+u0SY7dtq5eAHYDsZCrEGJAhRDeP3on0RAUN4rKJGwgRgvlhGS8Kg
tqzEQ+WPs4idIJv7s+GUt3wty40OZtSno4AJIEg+7pamOK2K/JxI93GdItys5PwENYx0NJQtF4/S
wUKZq5ehbj6XnMdzHqMQsUaPZ7OiA27N1mCbCYhJnfRpZ0ZkSfVUPPU6d6f6anBwtIWZsILuv23q
52hGWZ7V00eReUabx9v8evLatWkzdzXPiXXLdnt4nPL5YRkFi1rzTp3pu5OQeahpLx08OnZNuSY2
BH99Ng2DWcL3GiIUq3tjXXhkkmYv6UHYWTFZJNXQK1q7CwqkBZzPbYZ1FfMtgwybErtnGFgt/bZP
9RNEtOngtOBJZqsyA03JyJ5aS9qlmqg9pBZbWPm3+ZKkx8ay7xqL1PF1jeuNpeUPJnqMQ50tTYAI
Cit+tnS7plbYyLM+jZPO9NWnRcQI8xCo7HMsPH3ISikr5wMb2pcwjENGw8tnu3btqcofuyES7Dbm
YBASBFEyHtVBfxvznNKpLrbm2ohNrUWZX+ZzoBTRDdYt012FFgU2jZ2oEvYvjs560v5NOu3aWsPy
0ypj0zoYO9LSQshCuiKZ6n6TxGkwMQLCBl3TwFVWdWC4Oq5eWJWdG5KgB5lF0Xcj5z7kESzO6qqy
rW14CRgt+KLrNeQqZkvmdj8FdE6fUcKC789fWkAOOwhjXiuryAPamPPSqPGxmARzoXV1+XxDt7Mg
hzCduEHdKw9//qL1I4uzvPMXtXutS6adPaEyblQWm3FW0qMxt+kR/zuzgj//dzHsGm1ID30BY22e
VWPbU48QY2CYR3VCpJHW7J8neyYnUCkRyOhcGy2vmwuqmdo5aaQ/4+luw9nc6YOYPMlKy6LsbzQQ
Z4Pw0YJ0Lm/fpV/np9xUmw3W7rckPGvinGU6hKxFy0F5ZF1PXArxFItCQGkxNuahUeYdLBkDA2Q8
HvTrL5VmDH/9Yik+FcC+U8ZlF+rqeggV0ggJwlbUojzkQJozLnjrWDJ+3zI9pb21GAYcBNuPg8ET
E+SqHOgTQ2eHvmRbmkyXjMR6Fq36AKz1tE7XPy9lzmj1iHxqwu46p/VNndloPQ/pXVOrJ2twSEJU
Kyz+CQFphXKp24USkCYEQUtxitlGKe1yaQ0wZHA8yh7NwQqNmv1ge1czLHKTvHucDDQrqKWfbWsq
qHdIm5zgyzAYZ5m/VAdNhyKI9SZBP6la2X3UUowrtU1vPHPPO82lMNvPtY9mYDjzPduYnSqWB1Xn
FhLhclx1pl7pPJZ0O8l93crtOkPD6hbrg2hCxsZFjfdxzPXnvLKeml5sOEx/GKno7PyBLBfGjyPo
6FllkaZUheCrtG9ZscaZ8vWiVOkF6J2nxzrjIzYOS1HdDux2OBQWNyrEV5fE+9zuGyx1zlvIPoFd
ddJvokU521L/loKFkqlkT/MgXxz2/lJ8ktNLNeWY26aSkABnVh7ioIrsI9erfTbzedpJ+qtT9RaZ
c0fV+KTMFTq3KOz9fPhzRBPuK7t+DpOGt4D9lFsUIFOc9SLU+rYcqO7seLjPSwBYkj2iyeaEEdQc
RFqg5dVuwLIU9BmVbx6S1jKpt7OzvlLtKp39NWeoZ1qW+VehQevBVfWHZb3oeoZ8Jn8qyC4tsjud
KsnVO+sZegNg+JgnpORtWFNAilMau0oxHucSlt8wvfaq9Tw5yoOZJGy+HL+Pf6uyxog8XxjBYTlE
U+M45750PiJCaX1TyGNzQsnzTMDjocAtDkRmLgPNoXuJ7deiMVts6hWsHJF93qx1fYQj8J1ZkgVQ
xaW0VLe6Q0ueLmZgwtfBH75D3pGPSEkqmC87OIiQs1KaWwi3i174JCrNwUIQaN4DY9CwBKaD/mwn
8ZY9tu42vW4G03ANHz4TxNV74YMyGr/pHO2XmrdMottAx7NS9bCRaAxmnoyA3kMZUanieN+Gy8Ua
w8FTZfSYQgP12iq+N4nSClpHHG1c7jqbHz52O930fDmqpfN3uUau4MD084bBSzV1flPz6v8pDv2X
5LH/k/b1H+Sy/sO/Pf7tt2r/dn7YPP4vUMkSTmiCF5boSIlawdpzlf//z7LZx6H8/Nu+yz/K7+7v
xbb/9Lf5S01rmn/o2hWFrxjkz/2XlJZ/DYdVweRFioZGnCDul/9U0mrWH9ckNykNDg3N1g3kr91f
Strr/3VNQ5e2aqG7tizjX1HSyqvU/S8p9FUh/NcPjfTfJC6CmA1Euv8oTY9Ze3bVMhp+7Ry4jSfT
7cBoPArVnW/Fid2d9i6O0dH+Wi9DADyE8pJW3cCCzJyBlYA7P3Y/8L7Kz37XH1XiVGy3+FGIoWb6
xKHpTtvkIC/xQ3c2AhJzNvLU7uRbvIlOqxed4ufidb0HV2jeW2+18MxjaO3s51Xd1ocZ2tizdTcx
znzBK0x/MX8wi2ZfbD/qlJdPKfZOgpTfBs7v+GTJ/4dqH1XlP/lw/tuD8fe6fShqoIUKeqFcuYT6
bfUZzre5xlBGdzvjVaOtV2KDg3lwY/FdOG+t+K6mr1y8R9YdNmCT0z4bnqP8YVQuYA+ParVzxCGP
T3p1wzmirZD/avrNhhHQRV83dnPbIvgMy4eSs9qhWBL271yYjGShPKxcizX/ali3WsFydCxYYy8b
Vblv55+WJY41KF423hXGTYlLJCk+ZufYwzBwqtYVM9QlPNSTYF66Wv5NlLFnDIEK9eyfiJnsVRfW
AAoMsDWvC63VpH+hmmz0X4HXfIgBqeQ/I3iPqy1YTi/rcIn0e0MnfkAwHNCJgc0Yyd6NzZF/sIdP
BlT86X59tpZ9/zXpiscszmYHN5oPijO4eYZCT0A9cBB6skov7Y82e567W9N8cIadoZ1XM+jR7C6H
XAkK5YxWL03va/kbhq9xDDeodQ2u0X/9mPvnLoD/DwX+ZAf/346q3UBb9h///vH3x9Sf/8lfx5Km
/SEdi+AM/IwWR43NufeXyF+1/vjT6Cg5mEjyIAjhv04mQ/5hSs5LFru2Ag/5+hP858lkmH9wAWGg
0iVuNLIT5b9yMulYKv/x9VM0gjqvVgMMbVeaufHf/E/gGtPUKG3Glgin3KVmtcNl/wq0+0wEzG05
GfT2GK0HueAYpH4PSIbe5Az5RZXNmwQbDNwwspkLln2KVdT+OCBUa6SkXgtbdFmD9JSbplS33NBz
UGL5XkxeIijcyFysFDVCFCI0VZqAth7pz3VFw3QrDyoQYj5kS1cV8bNqMI3vbLLItZ73ZqzTACJ/
hyyrYrCf26nfjBRWfbHEZC1rzT5a58irTMRJFTvgdiGjWl8gvJiEMsss3M9j0JgQe+vOOJSTvRFJ
3ASxY7wnnRgp9bPWHem1Udxrs+/Q4PtltoxeIsaHZH4KjcFXIDQGxCM+QTBihFrCtQpNf2UVMMNA
doEpIlvDd2nkoB3YJImr9LT3lRKMdhIl78lkn7Iyno56pLB4/gSMrR6sEDZML6bdTDL4oWqKeDcP
05tc71oxsjlBoFUZvNlEm4GIsgvTXbLyLV+nnYyzH4gFj/rEQBq6zIedM6aNrYVVwcBKff6RDL6o
x0gCzHoSfJktQr/9DdXqhscQ+GGFbNzgpACHtlVStqF2BPmqownxa1N5W60vhihhECIEQfFTMv9E
lSr4tpfyqITScls1yT3iqslbjg9q3ZHqRm/nLHbpQgJBEtoNd8BvNlBDZkR4SOGqBp5hijh/lkh7
JvBBTdXWXiYHnxVL4a5FjNVcjxhuxPadPuR0icv4oltliF4du4BlKt4qO7KDEN5QcbKdcmTl1xnb
ln6ZPstW/zVIk/XUNn5idPmqhm8D6lRg419ExjMiBWUa1FIG8KV778+tcnGAea2ZNQKQQfQ+ofFe
g5PfTaGT8FBYz46YnhLhXPo6e0ybHCLb3HARD9WWDvY9F8MM2RZnb6m0gWaR2ZVB/HLbnj3HkKcn
Z/hzO8hxb2jLcW7hAvfzS1Iyky9H52Zu4x8pVZSatwiX4fWNBah3XaLlUROdb1T3Z+jPNXq8U8sG
1WXCll204ROS03eMiP4qGix8A6EPLAqEVNQ+28Uaz8S+a0qroZNCj6VUpidmEehwEd3InFA996BG
M6vdYER4Qa5cQuzu0JTJ3t6orc02tCdwexy8emYjJPOLBiPJV9PSBxKL3E8jei1ukBuKb4cQp2NK
ELy3tkDKhqh5Ls252BTqCGrBXsVGIyKrbWagLmOi+cl8dbZpCz1KzG4TNJbb4UfxVkLXGdXKnzwT
u6YP0TA4NKy6kxFUbq4TZAxgIajMHW91rE/TyR5CFJcbS1HSbd4AnZIL4NYOsfQ4QTC0FpptxfGp
0Z6NsiQ/qZMuJ7EGtRLWa1kod/1cvikMXcqVftWRNuvqDAm22UnFc2T8bFiGGtRl+UHIytsUydSL
be7/eLY/YFD5Qxq/1EtZBdXAVBKJ3W0IfJ3tJGAXLPo+NKrSNxOqOTiVL/n18Z5XFfBQ3YDkpBlR
5xu7E0xjFiF2SGdgPcYbqC52LHO2G8xlSmiGLpKRyhvG62lWu2rDDKdcEaKMU2NRX0x7I2nfdaJM
kcoBfbtucAnrtP1lMNA4TUxYYdwh2MSnTaTxMWMBMSOi9pKQIaiUTO+raCeV5HVB5UzWBHWAWUhc
BNHKt1mhwWI4jeW9PvbzeJoVmuhqzGwQhhcwhcspG5+yxBo2jehNGq1PCIbgsjvHdNExfCPSD1pA
gqaSv9mx2Dtq1pwkYhxwKjr8kZzPaXSsLfW89AypRzvMT0+D0aRu4YT2hvYsD+4GLV3B3yI+0jNV
sIDv3HGcH6PhKricIGDWOvu2RbtrcnEzpw4I9kRzcDkkTzoKpehqCpNJO3trKV7UvNyWvKQR6wqp
vY4aM0fEvjmSZR7Yr1Bem8F+P5X2TuA0wTirtFTfFM5pJX+cdWIiYn4Pojsn/di4nd3drPiINLpj
3UTDlCmQfsR4U/d02EVYtZ7Q4D4vzAKlKo+OrWrbFm+cv1rEUaLz3ibS43V5laQYByLirV6i/AL6
C3+yea1cTe2Vld7VBMKKQtJFiMnOtmolIUVW+2YZrWDQwdYUCpNcBBNLDSCF1dhBZWTPPfkKj61w
u+F7DgvFnwCkipUVi+psa61mz5wOLQvT+NDqPDdZyCJLRYnplXZCBZwjklAf8J9F/jihPuhK1DWD
lVyPk9xv2vpeWyakm4OnX1/hHCUzKuAWJrDCEzsXzwCvviNTdp5js1mP7a+FuD60mKAfB3aOEapM
eK/RRkys9iVrgWmYOay50/M5olxgA+7WAEmaekK9gFTImJfEs4bujEQL3UqffKsgA/vaAusyXRXZ
CWujNOdwNMNXyEfBAogW1eidxlfp1s14KqvyaUyYiVi8XG68tIe2D/WdyG0TlWS10dR84gMcD9xO
cRBV1tU5xO6uSHZlwS1rWgNqCDWMQMhMhReVa0cRTzcW9yepJw9i1X8cO73UtDaURueobV9ZZ8Ci
1HgSM4YkjeBzU2rfNNvbiTqBtyDfODGQ1F54unRKH+AaQCzjbJlGEywKXU3W1ao3y/fWymFa5WPj
OXn8mejOrR1RMq3zrPtJMu5Hdhjo8N0YW6fbGnmPIhpzwly2bxwH3jQmQWEp+25o2BBjcnBpve67
qFlcQ8QsZVh6heMexxgvjW4/2w19Z6VY2yrW0Ckuq+nHbQJpiaD7obsfp2hk9YVcvVDnPdC1xcuG
poGOjFHKFBfR95z/rXpIhxJho2McWMOlAR4PmpTkvlgw06TduSkpMRwdACSGwjycsXQQn1qyFvBs
C6x8n4cPzQrYuNaN1g0H46hPc5CFYl/KCgQin6M5dS+OKFJuIvpuOd2BcWAFAp3I0BS/7tuTCOmO
bSSlPSkMbAq/qhnWgByQhqJ1RDB4bq4ITad41/L0Vu3yGeG3eRJRNXrMyZjcjvMGdhYHoim2JWe6
11sZIj9WSGFWHY3wnrlr49nrWG9F1XtjpCEoqsACi0KcnVXb21f40Lq8lkpNv7toMNmunwS2u9mY
w5Nt8ckWEXhccD+TT1afN6XQ/9p9BTGQaqll6qwj0OnwERnqY2Ml8lyGFbKqeLpdxbvBSeXJKHqW
Q7GvG2ul4BhwmCBzddbqNI9ezFTd1cblG8goz29378C21mLKCDP8IY2FvQlniNNIzxQbACZvi8LP
vNTiUAkW18ZoIS2abc131PohnFARpx9lgWy209fRv5Y1qZXelKzx2uyaGwjmdKEsXlXEwhFgEvh2
/a+joeKMdF63TPFEPR9N9kiUYFStcXeIJhVBdaXyaRIcMmnOaQ4frTwtEMxlH6uebmZF23X28qIo
JrRYUIsckhiuWph8TU4kQI69rvpwcv0HS+a6cxK79+OeG6cottTumzS0Hmx4zV7YK6FfVnKXgITx
ZLFeu+p0l1ri1HettYuVCulL5wHuxFBR895HVfrlaHWw5PF7VnfsMSziQuy8dPWZzRf6/Ue9KpBz
JgQwOPmGfkfzB90OzLXOtit5NH5hvSojhryR5l+px4mUP/sLdSl3JhkoU4T8tVM/jGx9iHtG0KFc
v9M3JbcTxjXhVrE5G5saykpvMqqMC7QSrAjJeAuPXYfSw+iKwxhGDAS0TCLhQt0bmj9QY+eTzgO0
7yauxeuEw6Lmzxlj1DlHg6i+GJx+k3q9BHFaw/gDx7WwAICfPwRqYq5+l+RXFWyCDq7cVQpDCHD0
OWPTT0vWCh9jxRheDLD6B9Orr+6GpsqmYKSW1Za48fs1zzdVPnBHEiBARFh6ZSXDZGK7hNsZXS5b
ZTs+VY497YZ1NvCi8TENhmCv3xXHeD6G9qhvtW46RiSn8bGa89ZI68OkPaYVlI0U8BK3yVht8xLH
hSHXD5O59Fg11Iv1dWehqH4zyRedytdMosuEL6Eg3ZcFMztO87co2gchCnSzGNAtraAf4B01CU3D
jpbfdnwLLlZSG1EssoJsRDAtp+9QGHVgFeE5VLLUn1B8wGC398hdCQIBVW40rPGshNUCnlOvmUOe
mv60yBBbjKl5o3SWABEGrFWayzhJ79KKMVfOWaBXKWttpDPSmC9xUzxlk6Nu1HXag8Ih6YMd1eoY
LpKe2R2zbpcX4ylx6pNWRMfUMPFbicfOLoEUJu8af44benVo0xUxidsUdbgrMkiO3cC7waLghPCA
vIjvIonwh1nFd0ct4Ul7fYCXE6SdvQH1yv5q+qLx5ZzOqsdV6iry+fCznezPWc4WUiH7aeJEzPqq
p21jUWnRdc8O84AhjBDKajEKrvRoNt1pMtV450je+8Qo0z3sEs5LpUJLtA6Dv0TA/WNH260ARcs1
aTYOfz+3xjq2SbWooNLNN3o7gsBbNOnh9ufW00+yHuyNgTMj6JDOzvV4AZd5g4jQ9NLEYqXQSM6Z
wvEmm0JEIPbCYK6RwGHcqRm0OqdrVxdNHOC+1RVxnUN9X3msSvXW0FKcQ2n0jhwiCsoJlCZFvx/j
5vHtZXzTSuczetF1ZoBlQ9BKFTavGCC4j6zpTm3L0bOxxRLYMu5njWainFag9gog3HVWjpHKfGS8
Oi/7zCSrpOSJKNPxTsOJFqzxfYIIHE2Hl3BXrxrO8PSVB/6sJNGzoc87mQy3HTHr+XgE9rCNs/yM
bASk3mGK7zUCf92Klhxund/1DAmNLZ+7x/l3ry+3aFEaPfcNWoyOXfaACzF3di1L2PPeyHDSA7kF
Mw6fWxWXBscterQ7sMhhZz1o84p0RZ4jc/i1MBgl0T1rHpCEhhW5lprs2XxuWsTwcECh0dX7WhIH
gcr/3EbOY5FOSN2IMNC5V2GnvrJ2+ww1XOUVWqFEZ0hw3VFnqZZ7UjifDY6XrRrCMJlvp5J2WHN5
KwNFY4FJAkOz9kdn1t77pgDJ7cAO0edjHtnHKrV+HWpbY0W+NQ/HWRZ3gJ4PggijcRr3Gdch7E5c
k/2lXUjCCO9rW7w2g3475N0PVeANQrxjZMuLFTJ7arPiGSf/OZnOrPj3mh7S4cZboQgWuUedexDY
xokzbnFrwpzdSFlvTXvCb9GEX+BwdzPpHksN/TKN9g0Xv08g7SaCpKAMx7Eo7vHIH4FVokado4+i
sl9UI76rFvWxpf5F1YOLhA4TytbiLlIw16dHBhcfr9OxLqNjTpGQtUfwGLbmrKQHyW0Bn8ydDMoj
TSD7ut5/rWbpzNsVi6oDTCAga3TV5dWyXFgBEah+2THaHvgnSur0qJJ+euUg3BdnjvzWX645YtO9
vmK/tmnA7ao/EG/4lEaqzs1T0RhwbaHZSUI3q3mM2kJ8Kon4njTuU6tmbtBz5K3W99Dpp6iaT/Hk
bMSISK8ditNU4vlXIp0EhuitNrSDGWrvMx9+Vdr0uxr+WWb2cU4ud9P/2CQIrXl5HHtjk/KnNnH4
iY3/l70DvSr0XkXwI5sNAix8e+Z9iU+F3zl8oFQ71n2Pykioz1Z2VJAgB7MqscmggsdHNPihFW6L
2glGkdwxa/8qlvZGLcWexm0TWlDnx8p4UzAemwPKEvKjrOJpNoagyLMBuoaOSLrfkrFxQcO1m4wE
wTSQj7R7ibAEu7Ey7YQk43sa050wdKITftb8Vcb3mW4Fo2a/2HDFg6QcfbFWNX2Eha8+STiCFPmg
1UwmWRbEIEvPjdYgfx6eZys6LdalGOtTFFPyJ1aeoWLYzmvB6SuL5xWrI2zvEmsCTWGKDblAtYj5
g8gruixlqbdSb4iZKO+0TDxDMTbHbbPUF1kgPuoqXdv1DJQSQ/l1BouzuDFf2tyxYasy0YWyQ4/C
IKgF5QKn43WgG1YlbM42Z82g4CgPooUUhdihjTJZTOO4aQHVUn/SJ24yBG5exsHWqSxfJfV11Vjb
jmcNAp4P33lEx7ia+3VW9xrFgeu0+KXX61Wgw9iuyUys6ee8PHmxGnM3UxL4+Nnu62LYYMmir2RP
956FoE4x9wPIuSPYTWFzBBJipD/pQHu6jHWIcvBs5pGOjrcu10oSRj4y8pqQhWYNByho/HzYJAYW
l7RFfEFRU6BR1Z66wrkpMW4tofnLCOWoFFfMRtd/tdZVLInSKzKoJusKDb8zF5Ay2pGdfzvMPt6B
3q/gSGzCeeFPGoAXrB1jdSKhVpOvX3MQemOzRhZV1t9q1r6njG533Bx4cuFuOBzxlxyJsZ+U6Ueq
dxcEQ76T6Y91Y9KFwgf0Cwf6fZPaL1G5TGeFmw4GyeISx33bVS3u0Z7LAEkw9UoWJ4j9MdD1iIdx
hk9nU1bSVzJ+lKjQil3cdtH167gp5uzGzLGK4zVksow+wYzsxZv6sWXrbyK/V9XlltwlZ9cp83fC
TC5am3TTdtzErdl/IvFE05ig/VC7+ivvBn1LHIifrs2ho9i+1CMv75Ar71qbYHkeQ3RxDIG11PlG
n7DBJj0pEnNly5khLJo6yZwI/1J7I/AcUCpPOKKpa7u0+14U9bHrOLlCy4JpIzNfsTDX5RnZPioe
9D65ruIKGgxSsulQOiQXwNUj32wHK8Bhi34tjLy+wg2WlTr2qzBUg7QMQsIGqNB+MSrSQmfsB6OS
QV4YTiSvFORMJHWb+nqOwYh5Nd8RbW3GgGLbFOwr66vBWElav64YmkwZ0/9ZwSwRazou+Rk3eSgp
cvXxCSyxcSd4wOsVm+US3QDwra9/d9J2MgVFZF972O8rXzCV2U46d0RTj1vRi9xr+tKi3QGFg05k
k0fWR2Qm29EJF6Aw9YeGt19X+LPWhUjYJDF+BgtmBhpymABJzOKj0jq3x/xh1sljtZb5rhrqxe1H
TM8aYSTIbLFMWrGvdzyRQz6Q6RB9kT12DTjsN05DI9vBAfCTlPWvnD+tDJkYWrohKAdl8BIDF/GY
VbTnjD4sdLIB4OdbIHpb+MLahteLhxOVF98GcQqZWAC2d/gpVGv5dkpijcvRwqQZqjTidIWZne0Z
Ld+gFOaYb9uMzjPGMpwmqABTv4yHb4iG56yJbyfEi5tpKPdwGCD8DzVqfwIARN43Ploh7ri1vekM
FsaoSo1gsOSp0eOTTJXbDNOT27XZTYH4x0OeC/5h8qaOl5rRz5YPSFNXgAW7osrCjUVDiKGHDwAx
Urjpm/yiN9NNhasU6wQLiqvMPTcFeULA65mqAMipX5JmOGgxkCblKnPJbGdXq3fhrZLI4cLWjFUw
X+BVm/xoFWiwcmBRDJ2NU2VmX9Eg5W5yAFrkC8a4u6TpxqvC+Q32sl8lg4vPJ/HspvWm1a4OZoIK
rkcZlozW4JNQOR4QXGa7TOjRrbpa91qqogym1HYZJql7zNd35JtNHg+M20UlI8sY61B5U4lpOVXq
MZOlxP7LiNrh1e8RvrIuE62nLhKJPhGFaLVuhGX2bNnHPEBS7HcSbWMSJtZ17IrXrKeGUFv8JUOJ
f5hwIw5TDUT8wOZotPywzx8QWV5NM8thZlZaM1Ul4eKs9hCidcNEo6pmZ8ntlSkZlHLevWaijQb7
JLc2w39vpYw2RatcZ2eXLs5OnZFP/GfEgPmrGmZbpWyBRLdLTKfXzNtUrLHXjLynQyzuTAxusFw0
nQJXbEaCjj0TzHUAzOFj6JzxUKzjwF/oI9KZwjMtmneFgq1Hw0kYKgtbvpkfSS9eHTImhL4gjV9f
SBWBxha1GhNbG/0VYHyVh9gFgo+kGBmwbQMfn7WPlU7u2hoQfWfNriJyHArsK0japeNxhktujCUK
BSjya8OEdF6zbxnPT3VyPckpAjOb7L+U+3ducSCh+d21KaW42ddvnCh4JKzICazEwcc7QJAm6Bbd
cQN7PcOVZGDKHocCYThLkjzBxX7o67lxjcx4zUCQwXBTHXdFyl8VC5ZiWKAOcsxd0sXfCDfFtqcD
w1r3Q65seAjbvdpkgpecED/dYPmxLgTUqZG4SQtSM1mugnWX8VNk1wwAR11uBsBEy2LcE7o1ch0X
Dm24tgnja3OW2pKloXzP1I7mLuRRqogqcEM7O8VKWG9YSTLzbc8Q8HvPIOuQd4HTmKioY4LTtmaU
4F1VmOgB0XyorL+j0cAXo/JRTjKomXVFY/2KhIyVRsfcV6eJHHqlO6Rt/1UimN8UDDkZ3HRPSagw
k1ExyGIbAco5zvjhKbTYGLOnHK2mOEZsKAqgIUuJlMSUg+nqMa0Az6wnrmrqCBMVRfaDNNs7QLxM
Opo3Z8r751YMj1h7aenDYpMMFE9xgsVML6/bat7eHdm7B546IicIceB2xZYZchoMNSsJJe+2o0Xl
5RQoWxxLqBt20uwOFHrVLA/lRhvjh1aIg1WpFqR344eky9JrkEa5+RIdQJw/yKizEAHL9zFnMivN
sYShEcEPaXtcfwiPlsh+6yhgJ1k9jnl4a6p0RZN80lKWlMby5BjDLUL9ezsmAKndFNpEcoPEFz1C
xbDgbTBSJZ0rd9YbXGpOTcqR/blIE7MGcG902sl9RsFZNIxPWKVwXkwXxwmSlkovJmMsWGzUQdUV
g2QPX1Vn70VSPWVSPouSQTkb4Ke6xz+2/h/uzmNJbiTLor8yP4A2CIfwbQggdGq5gWUySWitHPj6
OWC3jc30YsxmO2ZV7GJWM4uMQADP3733XOJrZAwhelyxQ/qSlramK68m1pkoKX7Vzvin6tqf2Wg+
WE9vephKZILCTaSx0xLO0uwaVq4A4ojZkuFjbyF2fY3ZNZ2GaN+YBgc3ThnMBD20M+7mBhJanAv2
hm2iBwQxXtOwfMj06FUtGEC97EzvXYsQMDmbznhMG4BnHe2hvPTyt8v7apKCGi0kDRFyNqNxMhib
G2vVp8Gc9UPhMIMrpZk8nYmvVI217MfemRBaWuT4oubg6GSHxB0umtd4x63MyoqdDAlvgyDKMbYw
FJi5Ze5jfVQbPLjJc9eYAXZzHR4huFKLjCSkIKe6M0rE3kqrvW0CAvbcxR4hnri/hR2TpjO3Ho2r
I/suN0v2oEXf0yx1Lm4unvUqKw4Fj75tK2rN7+dE3iKybHxpp+GXuTkTWL2+n04lqmRAd9szNVL2
jRtEYDlpeRyiAh8o/YR+IlcFzhvUvigWCkSy2odnD2zOYhR3rWK+pPBmAjsmghZNunN19Zdx4xXG
HDizegPYBQPNXRlUVfGISrT4+gJBL1zEwUHLYCjtfFkwXCxxG6hhPOcJMUFY5tCgOMdP7vQIZmXY
lXa7pgdaojiOTqCJUr5hCDoszwHre3SqiXXLDAoZ8wqHcs4OisspGSxwVa32lboOKq0Vf5gMRy7B
ezbtfHp6dMLVe+bVmF9pscBurZhQraLEisAnc5cz/24VRhfSEN1bG2ojZ3/We0kWYSihcNKPvOFd
ZgyBqzZl9El5P1c+G6TyadCTY9NZPJn1MA+UoZdnGatlg6u/2PChQAbnSUK+1JaBg0Ea7XRsc99J
zOg5ivo3aZhRkE4EbkNvfKgou2JZpJ4RZVjDICB4JbnBeMCpk1f2wcmTy9SAl/NKZz6bDalgypQD
qrqK1yr6reHLPw0JCbBmaQJjKjnhToDKjHoaOUIvrGAlEUj2A1uCBGSl9HzhdqOXG90bmoM350cs
cfuWJ/aRfiXfDQd3Z6+kA6+n/ler6RINmwNBP0EBlvVY57WfdyQ9CQE5G8oPsS1g4GKdjqvIcSnn
izKUPdLyd2FKkL3p5uVmDSs6Cn4W7A2epulgwA93jMDCJc85Lrp4xKKIYr262qIHcL2GDJYP0p9J
ianG1qVlOQvRSZ1VVT/rHdsom/XbKQ/TrXQAcC1zzuaMCL42wTFTcZz6+XLMLEDbdfkK3e1lCuWL
NRCAlNzUjciSj1Ft8PA2Q3s7Objow37Y2o4gHMzskKcdBxMXyGfElHzInOTGGnukSAk4igElCSYD
WlLdEq4hCr4yWIgMmOkZokR0LXTXPghU1gtgmuUSjTi0hEW1IQ+U5UQL6C5KhLrUkSP2TjiwlupQ
zN2SDlx9Krx9rk/vxcD+MU3JHObjvVrHWaMjRmFZ88vUIkCETf9kWr+dFixgOsBTkF2UHrpwyLE3
4s8W2msG7noztOwVVTh/ALcJ93yuBj+dolf4Q6RilkS/5A1nMty1E/vaA4W1ycF401zvtYtgsbDt
1fj4s6EmaE8DNdyeTpGzq9j6wJPZaKln+i0ffwZ/JwCPwpOnGbEZTfa9HZV+YkstyKNMsESBzTSa
tAoNw9Yp7rhB0Fsy8RsnNuZu9Yb1dGMzwI5huS2Sns763gAvTyP1MuQ33QHtNvbuftFhkAw84ZCo
mSy8mYWyhllPr+7dRqd8uPxSRre3ZueoUBlmoR1mz+3Aq14sJkLMV93XQiUOaxMLbz9P5oaKMKPx
Tspk4F4nQ1oe31z7jcYMtlT2RUUZoIuaEM649s5HTKBytZ2YNp00thtjP+UAWeZRoBfDCwkGDeAV
y6Ponuz9sjfgSBVG96C33t5xsTrUEzYaQkMyCQRh2+08mfRa22NKGil5jMvaQg9sS58J4aXDBd0v
JsDWwRrY+nkSg/AI0BXmB+rUgXosoh7vKXeGJol4jPASctXsqkWnzDaNi6PkBLUAct2YCeyadGwR
p70ZBTl+lwUPL1OgSthgbnZZCgsCqTGI5ykIsbiRCtOGnVPNe7qIH6jK20ZZMu16zfhg6q+3U2j9
0fMSgI2b3cWAajYwsaJjqlGdDBD4k1UcRUwUrdL85PRmgGNnBiTFFUpslFUsDuNyBI2pdBI6wOj2
oK5YYKQz8mmWDqcou0zzbD9R1HxrCZdy9GKISe8w3kTwiPQ7S8eCY1j2KaMp/ETt8L4Nu3tkIobF
2rYRpfpAw2lc2tC0ZqV952vdjkBw1Yf5MgvCPFnuNTthlH+IUzyOZYSRS2CEwzhBXgfTeC4Jw/ZZ
YOqQ1qwc9wr5RcBgb4add6+xzo40q/hQ6EowTpgnp7UDl4pV1vK5t4u9W9fmyTVH6d2N+nJVIxpv
QVJ0zXtoBJcTLztaAl5STLaJ99XVgla4b5KCs41tGVcHYNbGjmP7kEGYzRIEY6ckotPXZOy4/dzr
UeVtYA4QaMKAkjNOFFSRnmRrlLuKNSrjaddgeGoTf0ggJ7Md3XpjeS5WvKXcZHTLXAwr42Q+aw8x
E8XWGeHfSPlarHPrkApOktn4JamyA/eKNoeLb0P09c3rEfL1Fhf+pHVk7ynpxsHmG51xp8XueKTG
yqdHQjs37EsYPOrboFIOHdtQZflJZemXl9PjHKYcdK3KCtHY0tdCZsA9esVlxi1AL4Tux55zCyVe
B6Ng3WKKlic6JXnMxTWkL3AJNSTPqemXjXDic2PGP2S1AOCjcybmK7WmVyOGaYawZeF+aB7nUb/L
uaP6aNMni7XUNpNaR7bxFA6OuevhHwIG85iqkN12XFo/fYaQywn/C0P6e5sQvGFYJNPjMSolHZgw
cAPBqElzZeaYrGYsaobgjS2ShzjUojbIQ0KbE+dq/Bq3esUMCMUuF0Yp5nk2BKUePTiFmwYgnLtd
0icvRkM7WOKVj7qJUmzC3Bgn5es91YLSAUBJp8Bm4SS+txW3Jg94KX3NqJ4dBUxMN9NH1jaAHXII
hLz5OScke9rNTIQgZ/mUVeCdgliOe4BY26yolktocl+xcMFxpjwzqvSbYjSHnZzGrZ3X4xlWHwHd
ZlfP8xUwxehLFAub4DtTOQtumACBmuS+m0HycTjQs6HfmTB3N7WBTF2Fsb0XIGJZIYZ8jBeeFFNt
3wp3yHeltaSwWnKkDMB6DNL1Lu91VuTpu7EajTssU8B9DssYXjW82hsk2DtZ1GpLK5KOZourLksV
CVZRfdEZOW/TAHWBEkrAnh5SE7e/ydEehTuOWGesp2zBMSaUARUrG50DKcWzEbeof9xpw9o5O0n8
MYdNvVPh9JlTz0xYHZMpBGZ28wRy9eZBRDc9QtoolXwYHUbbfDJxq8EtEq0V4XyTqQ/iO6jD1zIu
moubsCGxxvwuGyp9mxiIa2xMEuLyde99V5m4or5jDKDYAdwfHtw5ww6VFlqANJ8F85LjLmtM9g8W
uJPquV2BbXFasiLlWiKdviKw5+h5mNemZdq5scIAtHRoVabK614MpDKiiPS2KIb0MXLqh9rCPRwl
WZBrKdSIXqtvdDTRppiylkii8tN2GSQSmrRJ2rA7gE5hRATXUwJm87ttDF8dy/6N8uITK7SvrpnF
qWqTZ/6XJs1GfZTxH9lgY8hz98OqvDWcRyjTk93EiDs8L7geDSwPIjODHsQdE7sZLKWDP5kXHncm
PBFyOlHDKjiDh83Ci6uPd2jEcAcs2A5KJwbGTANmXB7aZTU0tdof0pvobQw8Zn6lsp1rdIE5xIl7
pgeEvDBZdfXTw7dQE52qgko8xteP0Msx0LHvpgqA13VBD/NOcScPs6U95nhXuBGEYKZTCMqE09eo
OOpMjowE/L0suX+nmrnDf/FDWMYXERsuANcAkDnWG7U4tkWzt5TEPTyGDU3F+MjGVh4qk7hAhVG6
EpZ2mpPyPRaAI+G87+14eNFyQGiJkeZ4I6jVzMH9PuQokRqBJWSZ/m4B1xmL9BkNXmKqBqzvLZSd
4afnne9J9s5UPHYzUwbxYD5RMa9N55ljMJkONueSmsjMuU8GltIRKX0/pINAlL3Eaqu90IfoD47G
jXAedws8CYzDHCMmWNiVpEaayk64lfJgtNhkLHNFOtAQiEzELRxg3aVyoz+eXhPnkfq7pum+Jxio
4cj/aEXvZy5MUijan0v1pdX2j6szhxUlms6kLwdritj80jBZOONn1dp3vYsH2R2rx06s76/0/HR1
iMxYBNq8hGfg7PoqF4eheOlh1RkEPiFT41fgld3YKc7abh5+RS3Qs0zSOA+zNFcZrzLebb4AT5Yn
jFhY/slmYsK0mecLjkFZlcJT56Aw1H8Shx5Wp54PJrCiHcTOe8qXraM3uFgPovp13fh0U74rqP/L
muUwxfhewzF76hatRnuzPkO+4yStl8kz4cymCB+yJAVXGjwlsxKbgRSgR13SpcRpjhnnCP6oDDkg
x5/DtN3rS3yNONVPgFZ2Rp0wT1JZRJ3iRofhZ2U11jgwFbXTfs0Vms+i+qNl4NdHbhwPUHA/tYk0
BB4AhC7rO8zU54hHIAXpTYeDdU6b9ieswAAOvHTIP8Y5zY0XzAZuADrvJdZUtbc1dcIDkPidhfpN
CSTSZT6fhL28AVGJfOiEh7bV7ZunYHLnGoe7KHn07OFV4ssC6yDZFYxJHWTdELQTTsV21jI/y1BR
wR46W9indz3anKU5Fi5GVtSZ0vBB8GlvYueBuLAeuJlsDrCR3E0Ym/jrBc7FOi7UruIDXXWYCvGY
6odoRtKTVbfTu/QDfPWN+kWEh8L5Fj0kJK1OfguvpIchsYOuYPjypoYzxPKcGF58xSPKrrEW19E9
TIb2TJgdTJ/+qE0tvL4hJTrMAFNHhGo6jq2KJRsS4bntamgP8DLjUV/rN449LlCCjyUgNazbPRH6
4qaq8ln13q/adOTJ4WKp+LpdRPYBuXE9buvnvmOpbFqfE3kmcJLyTdOX1CcPxMMM3clOtBvvAJZ0
i5ieqBpEkvnLFeM9ULhPejnhTrj4QW1b7TobmoKGnTou3C9zHk9Cc82Trjz6pTT4Pcmkf9eiYoqc
ZeQD8w2EJtNLH36asU2nsFzekjlZiXj0lxjRfKTyZrdo14VN2BTywfUoIGdNvJziOtV9kuv5NkMG
8sO2ua9s9/H/Hp37f5kQNi0yu/9bIrhthn+L2f39Jb//dukI8Y+1E8dzHVxRnu7ZJOb+GbMz7X84
jOtIIY60yN85BOD+FQAW5j8MHeK+Kwxh20TpyAb/K2Zn2f/wDFuY8m+W+P/QomP/W77OJJIvdSnW
Tirb9Azr37K/dduPAxxq+iU8OQRDAxl6prIGWm+lg8sle4TEW391nIIh7cja3fWjgFo3oidwTIv8
FSf+JKyovkNAPebeS5XcYrG0FxByHFcQWtdVtuKazlJWJXr2bSqqW4tiGIgxTedGi39ajwcoa5SJ
51cxIkSpsH7izL7vKF+AT9fCKMh7dd+60UyTNFOfXhixj1tJBXFvP/z9l2HHqFcsLa0fzZ+J4egh
0SijbfriYFSAV4D/j4dZ2t5+hKUto1a/yqQEMZqGlh/pgFun7PrfroF/dRb9x3/vKNKF/j/zi7y+
niM8SbEc1FBHd/4tv5gNndmXDc6NgmPPxlFYAousCwGPm+HN8rgfGW3LiXOYvhM7ym/G6Jgv8Th9
90a/7RsnfzJ7w9gx3Mb3tdeVgYnid47TEDNLiWS46bIcDo95+fsLy2ERz010pVnZelHmKwig/pyo
EC1DJtabiKEocNJ6qGe0Q8yQRE6qxjz+/bV/f1rw1KMqw4djpB6WpYz2eaXWfyIWscApB5KanBxD
Ns9Z/To5bNoSMFsHQ0TJk6gzlodAfyzM5nc2EwpIXlXWb4UIqaCJVpYVvQ27Dl79US6jfqBkctqZ
qlSv1hwn/uzlli9g2L9Ua5I4iy8UVvuDZbk3B4nzFtsdwbRSOAAqxszhWWViGsdO2DN778hS8m17
mbxDYzlBCAPW7CTHMEshdlDfkgWE+arCJzE671ab3cIi9g3hE8o75P3T359WpLvbYVIPkI15HFmK
8FgNl7CxmTTIgS+fo+x8m0mKa62LDzF8leNiVRVxneDvH3bJChMveYbDvz9HA1uoxOaUZ3ddfCpH
wXUO+wZBbU72UzTEH1AGmwMVYfjW2HB/aPpwoDg4gWzBszdHudKtKyUDkz1356So/cJlIcOEVx66
xZ5u2OLCe72Jt/UgxLUY5EdtkXiyOJLvjcU2A7NfKGLWXfzyiYk/A3iRTjkzb+Ui1ooGvdrJKtJ+
T3P2kuo0lTSKpw7e3asFifmqDPVkei47/9C2z39/WPSR8z3bp53hqpuIU2JqLW3DMo7sy0R3T1OL
W1H0E170fGfVCj9In8MwCzsNq3EbYsZoBJSNLvpS2nwpY8s7xol0r70W20HSc8qZVSoehfB8NRGI
//szLR9jYpiCLXvcdYFA4t/pU0rnNhadzSJV/WEPFOWQ/Iiv4Nxok5AfELfamxXm3Z0a3KcRbQSY
smtg1qno81a/rNjs7iqcby3J4isC4yXlAHEdjK44yIJTQdwuDntWVkCuGASmNPtn1FvrXDmgVCcS
6dYwHKB51ZdGjE/McfIpy+rjmLc/GNz6IDFaUlrtYt/RtvToedlXoxz3XgPtsGJhxk+cmU+Q9Tej
XTVX8qj9o2lIHIHIDeX82126d7uRMZRLlBOKJJwVN/wyurJ9xdic+HZlJed2MuOgSOXThKXjyWzr
F0SGR1j/nJnH6uqtP0SLNZ9Fgi/MLKpbDceGINOYHTtvzI+Wx8KxrSv3HtHCvVc2JgAwUnLTCXUw
Y3c5OQAcYRVRg0FLAAadXoWMbK1xi8EArT8BL+Pn2AGurRO694PBwcxQdbn/+w1TluG7NNJcHwEn
IX0bU6pdGtFzbfNClzaz5VLpA+Qi9enpkbyn9NPdLKXyAjhE3j0PGsyQFfGLuVYQpf7ra1E+Ysoy
E1BT6//FKpkv1eSIM4c50AhWycIHbPqzNjbNMVxMGOeZWzyDKnLv6RUASsi/zOc5DqoOhiZmEqjJ
U5Z/LhSh/fOf/vk1pZHjXSz9Bh3ZJzrZsZdkfZi57gc+TDrPysY6/POODAGWAbY1iaJP5vBR5BBA
gTivm6fZb3AOvdhZYRzTZHGx52TahlwsVSyZXW3bZSjwE0S0dkeYhOg9L7eR471BiiFkR7HVwc5H
biFKpObOCaWGqZcfhqn88MLePqmEwXzQqJ/otEdKIG+4EPaTFC9aj05ves3L2J1xupLCqZf3jiwe
UNtrEcqtA/asMfoT+ZBzt2qlYg7i5pV2m0dj1AIpCCi5fKmDHRp3/lwtm7zUDyMODTalXFRa0GjZ
qck/+5Ftqp6/VSvTouQ4yC5kV8CAHZTpSzoEPMyhc9YSPqw4Q32Zaev3oeGv38qEZ18KbiwTUU2d
o/ao9ingLtTCfaYbW92M2Zg2O1MzjhpuKZKxPtIuTyybTiju8NV8mngMINYc26R4CGnGW+vTCqhU
Fa5DcmryoU2yY2hT8BEBirfvuJ3ixneDgZUxavRRt8WVOecxj4Sfh9M1His8y/4yRbtCge1KwO2P
8xWeygYDHxkGPMIVLL2Y+Auia+ju6acLSMDgWej2mYfkgZcgi+jziafLmMvz+iKuL8TiavcW/fQA
6alMiM4DDfXJQhEHlnd3b/Yfg+SPp97tZSEy/aqjmZXrwcNkO50Ue7epgtioOZqtjVPhduDGhYvR
z6lVaxt/Ia7RG9OFeFxgKWNPExNbsIjQFnBCNno97kCLJEBtN3vXio71bPmDprBYiishFmjV9bFT
NAs2GaKUsVsg53YL6TVdXXpSR1NYHiPaFVrAMUYzXUI64hJXnbU5f20r7zamzVZjOTbMDpHZ0Y+a
cp9CqsST6ncIBu69ScKGJsS9pjD/jBvHis+eqo4UhuQ0645cLkWZXCTWg7x2ViL6QVgFHXYg/bhb
TdhHcOrOI2BczWPLtwQVrWSG0bARZo0QuQ96BLoKgY4WP2w/0vuM+a/pXFu6W/LcELnvsswyR4e8
TI49gIJ672j3CdBqrsly2VmwSXiqIzjKndJbdOmVhjDemV65z+uIwxXk3tF7bNpjbE4+sanmK2aP
n+a4sL3CJyGzlbL+LiIG67hgTcV/U/b4VlgOQPxjjdkdOMcGYcIeJ/rT591n4oXHuYsvddXueJ4D
zAHqetBd7VczWTsauqlbagGotDSgkdezES/5U8Wm5xeads8x95X+XMhTdBM/t0sagJLC7vhoIM0u
XDm5u971ogdwn9Ak7dvUqkOPINilAufDHAyYlyTbWJILfhhpT2P903TeIR5bv2mmXViIXdslNBrQ
WtfN17LvXzvdOofJcp+b6Ynf+a4BspB1+6gvTljgcM0V23DCooMQuX4dz/M186oL6IxjgcDL2vUa
y5aoZeFDQsIPNZEmKHaWM98JsKem6mFUeJzkvQsrVd689aByLUqKXQRcS3Cs4C9IXWbbUUDL4q1c
3+POvuks82pCv7k3n4zusr7JYZIfRxSPWnawqOOLlfeIyNZdw55h/c1NptgpdJZ6TUzXxet6L8R0
fMM9ue/eYzxLFpOq57GIcQt6SYYDK7qPeaLVzS+jivdhvk0uc6mBp2sA6PdrvZ/lZ55uD2Jy9u0i
j6NZXGz8gSZXF+8rnk77maENPvTEJyS7N8iZ6M7iK6v2J9O6t9EHq0y+0413slR6XmpGzXd828RG
suv6LvSa/WBgCDUdO1iaahca81VCysjb8n0kxbH+vXZKdZW416jyJLGn/eJBizqqProovJE1J1Tn
gKRmM8+ayKNkp8dRyE2ClkCi33HPh5kPTtSdlGf5xgyZ2x3vbG6YUflluXj6K+dR2UAuSiu8xWhS
E6LAkGrPVcamnBxFcimtKah46uka0BbYwi3eq9rmlRrma6qwueN2i8gDh5W5r1tMkkosr7ZOysUw
zpY5sd6zDhg0P+zRuVJSucXuTapu5xVIMYw18QanzBsVHfihm+RzGQTVJhSg9VjdECxf2O91WfaA
3H3OZc5RlxdzcnuoGHAvYc8cHMu8eVSY2T1Ol8p5T9uw3KlsuCSR+ui5fh29fi/nw5yIelsTLnU7
76kb8IGU7qaMPq3uIYzkW4+Tkxa0O4La17ZxCLVQoOo0PmR1qOArjaGIPgqtfMGcuEs6CHB6O8Kl
qPnV4os1zrsYxZV22mLjZLrYCfiaQjxrZswdkaRUmB0i+tDtv6Ykk5oKz32pUcLKWZCfwmveRqRJ
TWTnwTUfVltDE+v0h0XyN7P+JaRsRLK9tTH6jzP+VZuxrjP5FMKdT1LfgteJzxMShsgefpuNvDQ6
YckSd5AV1r84GV1Ie/hosazmlgeRQNLWyuVcQkjwSp2nC9kLeJmUX/ZsupzvSYVPnbopUT/AbnwW
Q3cftsbjMGGidJ4j3JAyFvuMhq+yBcE/6uO702KEUU392IbIi0gk6erXmMvfdWl+Vsv7vBiv6IuC
ZX37SVXVpY31r6QaA0dMr5brUWsXVlctc597x/MXbCd41Q8cs4O2Q/q3ddhR1heL8C+Lt69UVWBh
QI+SDqFDO6XL3uWi2hKgPI9u865zEeIyxWBt3uKmfVKJ/HAcxJlGK0/JT1PF57a2/RLhq+YJ13LM
rqzXjPrNVshHc0pvWnXrTI/MWn7tZY7In/6Q0zsNbfhHXylcGg9X+JE2RT1qqk8J98OK8QwixSWV
A0OKcVL6s613D6kxf5equGsi+Whz/5vc5WiivPLpTBb9hRl3J4iLSqP/sRKOUoXBejfDldtT/WXd
utp8I89i9wwP5JuVwXtd2R9Vvo3c8mimgF7S+h2MwCPXzGtf1R8GJJkRnbap8p9F1TehATgY+g47
2ZdV8oQfS07TIlN3HCMOhK11DbtN+GnMzifa+QkB6GfqgBKP4XLLqLjYNt5M8CY5kLC7OTDJanHn
LRSOqEb76ZkfNuKnt5DeBzxG8F20XZvrv6oWfwJG6XozVRJEaRfk1vKsuci9dcxClJsZKhi4yoDB
URmnbGaXvrTlHX6UK5kzPMVSOyQzKHRKW6PM+k7c/JSgygi8OoRiXT+Ces40lp1hBJ8WU0AQGKq7
uhDcaTmABbVL9kiuCrhA3HRhxQ6eoe0XFr8aIwHOZYrqBKzthI+/fFtSedC5xYBuPNQ9KahFV9/4
lf0etFRfLWA1vY+Z9hHbtHi4VqfMcL9QvO8rAa2hh1LFuNW6HulFkOWjjwX7XHHXH415b9Q9HHjI
T2P/EglKaFTz5kTjg1bCDbbujaLn2fvpYuKASsMsTWvbWB6couLBVZmkadproiAHRB4xb0w2O9Z/
cC8lTipVn0c4m/xuQdnUOpDgppjQxJMScZwvueiIZA7ZTXDv9J2ooYvUwU1LR/EWfu+vDAwN5gHo
SBmDyWSagaZZQUmoNSwoWKMcmA8a4S5SR4BK+E0HS2Zdzdp9oKq+mtP7pVUPam0NKLLhU5VPYrQD
6Rl3YHEPRMBRgqfVhDz8WjJQdHF1ZMXx0Lvlg+LwHhCOQI4yXkaj+8YVCRurpPoOzlO71nvSJ8ds
b871KcKSDbxmk17HmnIUlzerEeHe0NI/nY20GmblJ4WslA1ZZ9FMW5Gz+OFe0WtwOjT3wSyaA1fi
2S6jxyEZ71YCU9sRXcSrFw0JaBlSq5F+RLqGHvs6DrC3wuwiJzeoC/eNNrU9h3A/tuiaMV+qlb1I
nMHOCIPk3xoPIbJsVwDIwK4JyElOPOHEVMpYvDGR7OopOQrrpY2KfTfFx6X+zqd2Z2FMlSQ4Slg3
RTwGMwO90WIIddRTjtlNmdx+2J6+D/SdaD3HKr07G11YBtjR1SGrBsa6AjvqEu577Ik193YCw5RA
s4zZjIvxwSH2yRvIa/eSt7ApWQhoEYVe7iPhfcxCq1SUXujj3oSItqbqgumSKcL+TWy/eArxilRV
NhY3uBLYfWqTR80jmzUes5gRNBIaOMAbz3mibfeO5a4P2BRxRF7dEUsn0T4r/CN47hfzj0fgj7LF
Ex/dftuU5U2nV0DRNCJLYqaY1cUMg9GlAKduydh3F8KDf8o69NusujJ36u1XpXmv+EQJ5oSnpup+
T0aKYRtahcxxk0c8x5xT2bqgcVKcuSnNheV6+tIpAvOqgGLKoxLOrjLTZzee/CGnNc28apSHAAG+
1HXyizKJY6QZsEtI51PM4oDpJZmES4LZVLcgig9xEOZ6sAJvkzB/rR+65HuiDUv9dtvxFNN61NvW
wZb1oXcRzbnRfIioO0w6sC6bUCHmJQxTxwm+mQnggeIsevO4KbcySKXzmNCsXjrmgizFqm9ySeUV
cbHpMe9WXf+nNcLHmfaMjeW9kRzn5/URIPneso17LUPNHqs6qBSZHfYOuDpsxEEv8FR3UDoNI433
J6uvuAabKCRxXwdhp7/iUzjI2oO5xidlgoQQxneir/EKPNaDE5jJ/Dsx7BvgjXO70E1lVr6I9V1q
2PcQLM5hbvpj1d/bbvZSzbSyNure83oOSHzgdGqqde6M5JI4Cr33469kSI4AJqCCYQKpI6J+oPsJ
xLRp9j125q4VxX5c0CQ9PIoiOuV1fu2MFssfwbiSuzZq7b6ozDcNboLIGKABEcS5Nx6Mpfoe1+Pk
CN1btH4XosPjM0DymS+x4xCejHJyduxDcrsn/kSSFhIRjRBF+EHfJQFBeaZQUNtMQ31n0cZHLesm
t4jh57+Ux73TcYlVGa825U1ThCTJvWy2fzpyInE03w0N1iGqBCoqdJfR+cO7yIuMdXdc8mPZlt+T
/eWqjxoWSOsK8NE41nvMmuO0YSvsF2J+H6f0qQMs5jY23jBKneeFlX1EJAZnAIm8zUx0VHP7t6qT
u2jgmAyvCo+mRYxCbbVo2VaL42O1etaEe2qoI1WtwRKL2DgX2d4YD70xPMk4QW217GtdotK3NMrQ
jY1P4H7iu7osl/mkEvBi601nVUVaCBpbY94PkuNA/hw6X6V54q+mcXcqEodoMaLtZI+vdloElQW8
ZpInGgJKgBcVTZizTmdblgRzCqJWEwqbIHkVe3lw9H7XxvKQaMsp6cNzn0/XBXMt+8JPzK+ku6zy
D8neGQTZeBaLJPSwvC5rtVLMqpFH9ClXcQ0aaeNV8jSssc1WYTHIOdjiimUUoTo62nbmJYNLoDHj
hsACYpank1MfuT889X2HddA+eXyGqgoD2hyfOp20EGF2A39V5JJsH8OTbucPosKCiofIH+GoWayf
ytmmbT7c1+kK98bz2VK5bVbyRlplk7f+3Ka0emPqYrS5z9gGuEZ3M6DvkUvm3tsBE/vGW7vPZGTe
SvVcrGObK+evhihfhkd88eIza+znafndcFTG9fExVRYW65C2FJdDfnek5Gtb5njwEeIOiNcU0gdT
0wWDeZlbFeiOfI76JGCW/yqn8GLH2g1xJBjnb3HsOEhsc5LCg7Y8tiL0ZV3fSIHu0+z3QCFmRKDG
TTmPE+ZQNQddtj1i9F7+k7AzWY5cyY7ov2gtmCEABAJYaJPznMl52MCqWCRmIDAPX6+TJS1aLZl6
Q3tDdz0ymYmI69f9uOycCYLgLu+hqgAnEcAqUrzj2vxOGvsU95bH+UyE1OBH9Xi3z85S9N5a9cYv
p2f2c+pi5UY5TjD/MyYYAJNbtGJXAFYzsIXZiuVlDxBiYfrVmSa2ZmY7XvOfqMCwUQGWIgdiAefV
pca9IVrQA0CLzGmL/W+fTPxAkkhIUm5d7+iY+4g2ArICmwhFQCJo6nqTiQUxguU4xkcGC0Kd3pJC
7o3ry92sSwIQNY0S2bjJWv9GMmAp7qByKiSK0F1Mbndg2t1BwFl2g3FLLC6pxb3PUp8tVS5VidXb
oDrEnMlNPE2weFwHFgYmQNU9wnBM4xPR4C8/KNcNXQPQ9kk/NyfVfmL/SGB9tazdyvmcC7kG2VP+
IV14gHEaDQ8M8KSFEXhpkdKC9ot97oU7s/gwxLOZvJjpr54fXf0JLJ8+nwgkk8k9njbI2AD4TzWT
yLceVaPTgUfxbLZIjYrqDHZSoIVM9YtE5lMCRogiOn4NVA5Pd1iSXrgkIYqtDp8SKpIGunMZAt0Y
L+NrDnqiKNS5575FuyXa38yOdpefOBfzBvTJ0IGNPxiQeZiSIKpSt1uk60i9s67E5s8NoSW3hcHW
aq0bbrmWQrxq7weQZZxL3c8r1X4PObk5gnE7MamLqSD8CfZvP3ESAhRu3pW3TiWsjWCJKXHv3IM8
6afsg9WsDQoI15ZyD1bbvmf3iGSMbo/HDwWJToPaOnhqJ+KGgmY+szMNHsZb7dgnZjFuAORUB9P4
7en55s0npDcKPIoJsYp6MNOWF5oYWbib24yNYoILMAaalbruZiiarWfSX5rhBc6SvSdYSOWof/lS
anAoVvuY5Ax5Kb/+SZBdR7KbBHeXidKyaFpaJGZjTR1A5ztbqqNPthlO6NmIS7AvLLxBAUrd0BNx
n5oZylFl6k04GLy3U/uGuyaF4XiK7nWXNsYyFtG42TsreIjuX2p0b0t2D25CwiCftb8qtF+fau4M
XEzrMOOtOKlr3o3to5HVh07H2MFmg2sqciZ91elprNPoaEGrtF3IqL4YSDWzWNn3UdmuKnKdT6aI
0jVMX3xyjnHxC988KTYlrEUmroF2sa/GIfhuBvuE1AlSLYRijYvzQk87aWrV/LC2nI6GmCZm9XA6
/v3b2jZJWeeN5tbHv/37pfLlJ5i1N5fE7kMyyPymjFciBhSssAItRuAeWD2uf7/EAzxQO/Wg72K2
O3YgDPEeAs4UNExJJvwr/lQ+38SG41icfMeCX0PJZ8TwQylj0mBaElWM7qdTAMP0ST3q2n0sKMjd
xWAQljhLp89mxkQxz7w3pC7gCgYAXCidSlay9JyNo10iTrrOLn4byKeuSI/hEIQfqn8ZJ/Q5Q+l+
IZlx66VLLNMVLNYh6DHLN83VECakmjGuf/vpH0caA3rieOfReO7aUyAI//5VgayLYSrnNqXYBYAZ
YsdtaNLjVv6s2zvjbXKaZTtABatMj6p7feysTj57YYeGVRc1cVR/U5hj/G6E4+pf2Sz+D5OF79rC
M6Xtm568A+6/fj3GRdj8x7+Jf68KqKxZrzoSKzg2OzvmzJV+9qoSKjwo/OYp0Yw/oQ7M34hCha7T
k005yGneKuony0CyYLQyqCMQEYMUV2vSNgLtNrKeBYP85l98u5Cz/5G3jyfEhyAsefZbgn21fffk
/MO3mxpzC1J5MJeVTWk1zMRlOOj5YrS4qcMpXJvGVNzkEAeXtLuvtt1aX1Ns4pjV5+Dozi3T+kSf
+N0ykaQz1a1ZCEHBqf7UZc//wMuCI+aE1QBWL4CWysOxSPzr3y9z0n7n4uX//4nE/3YR+Y5pma4y
FRUHyqKq4B9/orCwIBBmd1ZsSH92gx3gWjd8m2UJ2VSwTbAJVVLfXqK1Alo+GFLVoMWGF2J8aBHK
lY/8YvHa0kNlt9rf/ovv758g/vdX3LFwRUsaGBxX/P3+/+EVJ8sie8OqAYPyy0b7Ba5d2LzadjLg
ZUoxy61igW6uHMM7Rf3zbE7VFi5RcPn7JeyD9f//HVl4t/7ne4CXyrQdR5KC8STNzv/zFROR4XX+
XR+VDUXNHW76VVcAn5RWP5/gyrDY655Jq4TMeYfSpa8vjMx0lYcQpvE6633hQD7NLqGbjmfJcrfu
EDGkX5mvsgI0XhPa+y9vH8Ud4Xf5f7iZoLj/83ct7xOJze/XshWNNOY/uZnKqmi49rOQw0CbvyFQ
QzwTM6hJYtfQ4taGECCjAExibcQwsbNsj24i3e3xNq2szLT25Whv2ijExw7pbOOJgHVIUx981K+I
gCPqSn6TVSpWhZnFS/I0MpEJceG62IV4S5KKw60JWT+mcr7MjvgqyUqsPFG+NUUAujIX7golpyGJ
21j3uLUO9IG2wodytoMnnsRLvGjlyu1aNooJBM+xg/jZ4ueBwRSuujhhk5eRipt8Cmll/9GHwMwT
4XDTB7k5TtCBdfiZhXO7JqbCtqqhtHbmSsxuj/PVd1CXbLgyWbZMXCvi0t+W63qw32tSkkun6LoN
IbFtawPG1jRIqtqTe4v7E45w0tqJQYSYDFTfVke3ld9N7uzSuKPgrpuNtYT0VbQ9hYI9piZdON+B
8J9ioxAH9OdHZetPw6MvFbf3xlHmk0PF/U55A8YPbNn9+G0Jgr+14bhLQzBmk15Bnz9NtB/Vlkl8
PWePznCK2/sDhj2jrXydLBFuRzgClQNzz/AgIJPSeFehjZA1B6+Z8QhJxX3rO4CXRu8vPHrYF7UJ
KnpIfeYwhIng3kjFDLqqSqQJSMw2YSnG1oofHOpwh9c+SMn0Le2m6yjhno7KH4isOw9OdvCL7pzL
QS1dWrxbn4VZwPzRE3K0c2VtRhcSKgcnwlIxLQtDP/V19i10T19uByh4GLjNQMBH169hwxOBHf17
hUgSvWBCRlBj/dsW8sQaQ5zKoXrOK0wgbd436zoB0ZZFkDigk6U9fgY0CgI/CZtUZr48FWg494yL
dq1PR6IxhqHY3T+iQcC8OgzhJ8c3yVa/e+HbTBc5H9mF6BoTP96IoaR58grFVBH7LDsMOA1lerSr
7IRvPF5XusaIZ4PxnRLGkpQu+hythOnW3xPsi3aTMVHt7u9qHWT7tLReucz8aA/+ETsm0EWgoZ5a
gl9ekj/XY5RsdbvuyzT86DFNAGaii3ZjhYWiRg4g590mgZtx05lsE1zVvEyMWFhtJoRe61iWwXfV
uS/EN6dVAc8zrm6VgI/WAfZ9dYeVLfPuV5j4t1i3sM+xm3lG8Evpd6se93aenkI726smekmJry6F
orQLRW9de+4NDlOyb0xWkIlK8kuNyrweTNGQpb9hLBUPQO+8R1kDYZAtHuyHYgTI8vfLEE/exWFt
APj3kiUBYNpZqaWVwdzQQ6mOXmyNCyqZ9K7oI+9Jy4RlWOWcuK2DcnCMXyx5jbUWJJvaOt21Q/nY
i5H1eAT4tQkp4HLz50jIB4CLJ4rP60vP1DuMvnmJlAHNoqWrmNDabS5iOIoR3ZFJt3WF/HI8V+yw
WL0R7AbVTHA9CErFGadoO5WPeWjn4Mz5vHk401M8iapovhutBlBD00+X+kCV3JlwuOn80rb70cDn
Ovuhu5sFdyrZETlKi/lsNJW8OU75YBBW3OoSIZNNjJdwC8TE2W2gOqc84Pw7SyoDR8XZ4nszTnek
cnNU1SGOG4LCfXiOGopYReTbm96T6clsuWE0DklM352RqulmlOYpz9NVS7UcmxExXGpsm6TBsZKZ
KUmTxoLnSkrsZpMP0ebI0w/s3bFJ6bckoLAaLLyCCtPrElipBkcRPQd+b57ahOevMopiMwUAzMh3
caF8VaFMuPCTFxlHOEgIVVjcAJBldbkpJ0vz/m+IskjyWgx80hTTU0XRw2zvMYv6J8lH52Y3mPnS
ij4aq+1xxjjp0qSbB86oOma9+2R4qXU1ngYWppuyZ8dfKYiMTQ+ePzFBofhcmlDyGd61iWso1f2q
5WY1qvxi2EQLutyi/yPoXxCR1uH4QlUXhxkRLAxcg3ej5mypKSJ5ctz4yc+85jgUQ3WeCr1pqR9Y
mO3snxrxENpEnM1I/egCf76yRrlHHEPfKJutRZ/vosaO0FcwwpzR6ldyCEH/QT2Iqz7dBaZ5abIq
glIB+BmX31TGZHrj7jJ6g0c7BUpPQcMvbbSrgvDiRvluc05SRna/jZ5N30bmN8pTWSVHbXrzzWX6
jlwcWgRKNnMFN7Gn+s+MuCqVXuBjvsgvUe39bm2Sx8PAE9viE4Un6BJrrW5BZKLCWuMzaeBqg7Ia
7ZypccEYhdXFB9ZONyLhaMMxEIKC54Y620cTQ1CiYW4LdANiPZSgS6OWZzsJcRkVLaUTXbSXhb9p
alKgSdZMXHhxfowIu23RHSiNdjhZQnWZ8attMDWJQ4zbmuRQBZh4sFqINnLlI3Vtg2rY8epHp79f
ILUi9ab9hVhisxTsY9ZNkQ6XyAhggPrRB32C8srx222DEjSM6nBNqjl9Dyb9mwwR0n2LHSEgJj4H
M3cwIyHlFNj0rTRKUrcdBRfDg/3acYosmtHzj//95eqliynRPcAvbBasadhm5w32L5d5MEckUjFA
fi3anTO7+dpXERiMePJP2isIcvXme313kQfswkEyYdUXhNfT3LYOOk8KfDUxEkmi6bufOeMdVx51
GgRnGy1h6BJSqmmb03ZYHBG6Wc+SBhqO9B47eC8kizk1yx1krac0Tj4aotFbwq+zxgrkFtlLYvXl
Goscni4BN6ZNLbGxS/NVN25y7JlSD27KBq/ygXtE1J4d+nGuX1rtPKoW77nRgD2mVUsQaPW/kk52
J0TnFQMoJ7NtH9rwPq3aBIv6LCyveNbP6PmQvsqAi6TS3trMSSvWfsQRNtR0V0V6BKeNacYLFUds
1Rw1blVUmTo9W0I/WgULwiaYDtLKshsx9qXy3OAVdye9r0Em4cSwWKut8JZE7EecPGqOJPsGlqWr
1O/2ZUSYR46d3g9ky1hsZUR3dR2voKoOm8FhGoePib86NhBKZkniSLOvCyVYqji4qRHbh+A5vaDQ
yN57RlM/5ExnQzQFi7IBwZla2dFSmbxSQu5iECOrTxdL7yDqi6p+5LN4EQRbDyz6f3VgWtOyOLQe
4JDecb/a7I5A9ZsdTSUkBrP5josj0+SYaU1u8EhvBRepVre7gqwAQYUr7Zo0jyTG2QsFoGw7PhQR
Jn+ZKrZyPnCsPu0IElnBHsTdcyNN5xgb3GU6ZQK1m/xoY5T015NsdojT4QIgeT2dKyo13AcWXtkJ
/FwO+Cxn+BPINBqOz8KpovDC7Y98kitPbZfTQ3xvEXDngwY/gRBY48trL0Xt1Y+TxY2Ji+M74CMm
DvOrm3CBhaAqIOqYXEp4ZnI72Bl1cgGej3jbYapWM/7YSkmH4wUugFcchpypifVXWuKeUuHKyNk0
xqFVHsam/e8vf/+2ZM+xATD5llHIfPr7hZgCoS7uvJsJ0iaFsC6SPmgL1+zEA0QWczW3ylj11ELO
KQ/r2TGYyYdNP6rhGE/hQ+zUHq7Xxjy4ZOAMGlcPBLGhCJbBwPvKSOk2EumFmsfsMscNEAEhARKa
BeuaO5LPvH/5+1fINhD6Jmp2OGKTdWei6mSzAWPfdfynzsA4RNA2m1tsm66nWV860yahGygffOvB
tilGGXJkVo6lEH49JTV8+p0wp2uj1Tvbzyn4dIttPgHHh7ZMG9Jsy02YojDFFWHfVFxpbH0ja11x
tSPablaQ9WRRkDWzqL2YsO1Ntv9lwd3OUxiIjvsQxN2JsCJjW3KNKc8djPSKWxvSBX6ILYivNzfv
jlSqvqRN+AOsGMG6eJQ06QDANn4kWI+mm8EFKCpVWb7qFFOvyMZHP8veUwPftVkdcPdTbsTxts7w
gsVOm2/rQO5NfNgL2bMOwE1M6M2eio0h498UChwTqEpLaxz4fLHFK9iEGHebgkfTBsyobYW1B6I9
e8EAp+iyl1iGbIgy9NVjk5lpX6982KFqDp/lTCWin75VcwTzruSdNQY/TV+Z68GdYO+H2VNcOl9W
ZAzbVs8Ml0a3wDFG5iM822iIK59YlA/jYakGCsG6CWGE4Xs58t1Gl7SXAOin6hKnT9U0twvPLfoN
GikuI4FL+/7JaWS8q9FmsFkEa8lAuGjBAy+6GB/wmDrRKjFZEwcBMm417iA9B8twGjYO2bKF286Y
UX8lbTbth0FjvKZfGhbq7woL1do2gy3XA+MoZ258A+Iwn6VPEGXjkmtzuynDBxipOBVgH9zR0US+
sB1YiLt3zh4KR7P0xipcKfi2Cas/M2DTPoFLpJLKnskDtS0bHXDhHEt0i4OXZb7MPuyq2rgNjjDb
QAPg1nzrPdtfmTUYOYUcmqOt7MqA4tzGeYoHCCvJzi2pQUspwgDDgqUImP7vIm7mfdWk23gYf6ij
uMEvK7fm8MWk9zikCJwqb17Avl3/PpbSUd1ZLA3HGJsrKp0xoaTpLVN+uuYte/E5MaOgKdZNJcqN
ydtgy0nAH2aeyiipFkanjX3mB8yI3onIz5+5ro1jCYqZ62t29uLmOFI0RQwAwppVDgDfq8PY2cCv
4pYaZh3Va23Wl1CDlva95ndK2hZoAFs0o+ZUbNxLmyKG20A+uYR271hGeRyDdWRkV81O+6/D/VjL
ORhXjtXMq4gPCkDE+pj38RkAwKd2BnMNTBFzG3WbFf+Q3Ba2wOqZ/qB0Z8IYgldA1xs/KtTgmcRQ
+ItINTXt0m0J7DTvBEibHQT+dusamDEmzxfH0G8fugRUQ3lH4LpECYDzWWuf7Ttvmm7cmUKFS2ca
ngwdlLj4QCNzeAWSB8UCPga8FHnvseSmDwOQZATYbOnnJR1XHSYHqnCZBj0IrvxRoyXOYoJU1MBG
3KSD2LdSv08xBtepoK9A0mDZsEYaol2e/wlqt3guHGNpee1V9TkpABdWRFaN33lMR3FFpx6LcdDQ
D05Yhvi1g5PbW+pY+BHh9HmWGzd9H7Q3sKrYmmksXgJQk3CEX1L6fI59HdBbYuvvwcMUyDnD+7M+
RR1jBpLeCwGLo1lXzbpUELCqciad1CEXlKKk3usGY+slrUGGzAaMv65GSMqrWiyNCUezY2ZLU9JQ
CLaScE/zSlmGvfLRWMv43gnVdBOonSHfZaJ4ztP5C+0fSELuOA8E3tjiLOkg+KM419FGjPUQJb+z
Ygh3xAJWIZTHnTe3D0U/0ZGeVD6dhyBaSjZFVav0KiADR1gRC1pRu5ch5mOFM4KxLSIkMxWCuge3
O9dKgNkwtXcHn+QLVbjlrcIU9/cvjIp6+BxwRD5H+PBm+uZjN37p3N7egbr55fEsPgVt/lXyHJPx
aO5HF1DfpBmLIkrQXccZVkkSHjmsCC1k1ZOCcJyGuoQ9JC/liL8M30u+dUwnhfn9mtf1zeLNsIRQ
9GNUvHx5Wex1ZNHbffcnZzbEUSvqHkBpFcADYQcZA+9QljqP1XPlUAgRQpKgrAzdvQoNXA92CEGJ
bVTcOJdKGH+8NN3j+TnkufurzHF702f+i5/TP9QOrgxGk7VlsZzLcF4MhIBqIz256R1vyc5SOfcW
RvPgW/nFBe5mV0Z+xnqzgc7gGy+JKDTfVfUh7vfphAUft4X7ZhINMQ2t7jLh2ARP1R7oGj+L0vnx
8YUdC3aTBmjqmy5tkEcEHFeyYR/EeP/EmAcAbUj288SLCsEFpGCw5gq00wU2fotAMjtcur+a/FNb
aXKL4/nL7kZGzuRPJiqX/qkJkkw3X/MeJhSjDBV5dLzReCVPZdBdAwA1Z50Bl7ZBI/g0kiztsD5Y
VBxurVw9Ook6a94m2yzpd8pGZHBl+zjy6eJ2DPMrFr6ijOEOBXCp87JyYEh909ADwueFj9uinOcn
s8ajXnsPGNvhL6L4efn0G0cZQ5zrB+BZ2TSLKAJpFt1CL91o9IYVlm60IJl8txpjaRL37dFowWgR
fFy7FtqK03HxDyLvmUAi/3meWbKByhZQMbLviAtpZZ+NIJfPQ7KtklAf8vt7P+Z8fRV+AGW87RaD
peqXIQyfSVvVGp5NRTWn9mfCriDAR9KEufT2plnN2Pzm1w5cJHlMgr0DrEBVkd5wgHgEMREWFc8f
6NXpGdTosXCNYa//DibjjjzDS6DvTvcpTZfaiwts/ZaPPQ9Crs3mf7a/CiPzTykvC+ViIT6sGtlB
NuGel4Ousgm4ydycPbwGa2LU0A3hlC76+5NKULxRlmPDjMYVvgqoJYcffS5Hahad4pTWZr7NSyPf
UJ5YsdVdwaDGFVt1+0l1z61tPJj6qAriEO3gM7hnULNKhCCDWod+2Pvgps75ZKWrQWINQEGCSOxz
D8aXkoXAYqo0ebW7Id0ZTevTK1L9doNxXMZG+hm54813ymDtS343Ex8yq/JYkDnzFr4oFtKGWoRA
O7h7rNc4E942+Yl8IiSjVHscVceZY28nwPXanSCuFM5PtrESndrGxpiiuc7wguJ3OtUfwpm4hMge
sl6k64YNCm2xqJPqs7UHuLgIOAtL0hAWTNhJPIaeGr/KaI24bu2HoEd9ColD62Yke4ABUjXYZwa3
oF/UFVxuxo7CgRE+Zxn0041HGM1G1atjMRVzrP7utD3sbfMw+lVzaI1wze0fvIr9RB4eBQ3yHtVZ
PpE719pk0YUWPBwwSVBt4tg+2zxiWXjLS926f3K3ytYsJC5B0jPFY0BZgl4RK7OBbE1gd+84FUC3
PLrGOaBHljQUgiSJ9ZhE1NyYiBDkbMalx/TutViHVSVWOlMVZuT6JlyAtszU5FIR4AqnvI6G9z0n
ujgQHf8QmtLp+17kNMpEwQtNPzONkRQhORaxvNIOx/8zGx7ljEtujnhGKaJ/8Nq7e2KcG2d0bmLx
Pt5V0ZMq6kcymsehadVCIw1eMFozNcKFqrC5kp0o11XfuAvDhzbuZfql58qxjKdEbIlKP5t9sufQ
5e1qBFc6WOzV3KVUMNV0UsW1eDRjAklQincNCUGEN2y+1EJwnwih6Af8ilOoKouh8MOtDbp84d/Z
tSXGWkHJ6spyhIvTRj3NEcdktR/E62yU+8ZgbwUCIFm5o69XjorlBlNeydYn+PBrTkbSpis8v0Ob
b4pMc5Q61tugo69OMcd7HTxS10ag7pzhVWdOdKjb8ZO6LBYuDx5mUhrdqBnnwKG24CmJMWVLP6Yn
uKLXyjd/PNv7CPv2ZHe8FJXPE5v7UbIHSNXdrMSCsR7a3K6mFBNAOPobC34f7aE8uZs0PsfRaF6t
dmNbNiDnkaWPf98LhDyqCjoTdmWvcLWNzimnTmDJ+uolDgUyzGsZ4Ltv+u7Na/SLIlFfuovIwAY/
hP7B7K4RyN0Vu72SarVlCz3po+ayiE8zexoK+0wsGAs+9VGE8ESw4rDpqiI5Cdz66Hbk6HFRHHUQ
YK5xME1ZRCU2jtRkDdnrD0hbOC4QWswEEnTfgCDKKoYKqNJ3KlGO3gvN75D4AIPyvl5C0+3j+s2O
MSjj4olpPpBsXr1pIzncEWLQSsf+ZlXUVY01lrti7eRfuCd3cRfyoezLpYYqWdmoasBT0f9bE3M6
bwz6XdwmCzcN6W0SwTPnF+7xOjc3vmSomrFNj0F81HTBkopFj62ilTmpD5c38/GObWJT7xYnkib4
GUEF8SQflsKNHvxG5yeiAHTRMg5Fmpi0hMk5TtO0zWYEeIS90DXh5ByQ3J0FRo9hTWcZ72Fwg05b
3CpVHsOeIt6C57tR1WsIVMs8MKicUJHepVRtcXumjlK4sOspi8TUaj6ac1csiQaWh6SK+jWNAXvL
I6mlJ0m5ACcNcWVB+CirUNGqdtulJt0SXYQyjVl2suMdU0i+NHojX2kzerNCe62c4dhl/X605HOl
9SsVWRBqReoCbULf0VeTXeYSGuTdhgQcyEkv1ElbyHs0mYQCi2+bEdUN6F928aqFSdCdsr4dcYVB
u8PNrySJrajCBmsX/FDso+jkc8Gw+6apNs6YvmYmQkLppiTiw7ey9r8mWlhbncwr8oH2YgqoqKSX
Ib0j4iVHLVo+m04/78+16W3JtEPPDFoSKJP36kbP+l5QAVX1EuXutDFBJS7pgFuOMS9g4lPTMcYt
oNTix22sfNt01ripEtSRumhObCj0Td391DWfNK2xBOPYQTyO1EoUdbBpvAc0oosIkS1qdCafq+7Y
J2eXso6NaZTjioVVSzWYwrOScrJXIDFwalQbLsDOWk32vDThiG65rtMhpacPiUsgdeVw7of6uZQg
+2gjQzacw3dRGB+lKZPDEFb2Go5w3z1XXUakhBYjqGxNe56mkotJit4ox+kQ5t5zV6kIJ4cQnFwo
G+Ok7GeaRTu0GPfNsnzg1X1tkSsiM0KXxr2ncKbniKUhgmvxxv7k6o7Eraz5OiFiHMhmUiWp0odC
WMZLlJOlSFBIB9Np9k02bFXby4tPUIbGMWvChihBsAVs+0rL3Qsr2Q2tUS1BWzMI+tVOZ+6zTfvb
At7psuWTtBoN9qh97iZkdwgeu1mgFtRrJGs4iT9Ssr6uQHUHk0XfbqkqCmkSaModSFFlBLtAQ34f
Cq1g2VfVxxjuukTBPA/EOwa4aVvJvUyNauc3Q8BCb/oe2zo+dGchZyahHohAXjoPM+65UNYfVNZY
W1ATEtdr/K5Vs69YqPT2h++DiHRw+/K+NPBL8vkMGO+hEbOzzBDF4oluULrWLQ/MowySa4np2sG2
OGLfpExFX5Mg3xsDg/xIdhL35slv+TdeSnDTSKLXiTLAwHIYQ5+5Ua08J6ObYER6LBMO2S4N36Ok
HK+JkZKeHalqGKtkC6fnwaNmCHffRMPBkyG5V83tdRKyO/Qh4wxsNOSCj8ZKXkdMdSLq07XHQLPI
J+fdxRNXtaUgXxzNPGEyNt+EKRXtC1ucc7jh+GRSGbQ03bZ/5qa7VhYb09ioH8LEfOCGGKxa9tvr
IS2+1KR6giV/F6i8+HxbsJuPfXlwvIQd+5Ak/LLMn6AT2dEvrHEpe3ad4x0OnuHpXohUOUcrNveN
Z1cfRiwXPLM7LIUPNvbxhTsExIh4B/nDvItbbskkmLLXNuCZz2IjWVW1uhaQf5YQkd2lWfqPUiQQ
qw1uC1K1cPMtKkxgL+wTOmwRwumfxDPLXu0hcCSc3vapzGp327X8KtXwXQOVXTg0mi8tq7tRk7LI
0KBW0WReyoSlqN8WpCMl3UA8ktfGfUoZWc5qvNlLOw8IlwUQI3zDuO9ncWCOTtTRGdmxa29hObRZ
95yWzrDligjKh/FqtLGku1dyO/1M5bciPkkqnbsHFWzWdWxSdcir92bUQPadseePbo486yLUd+jw
nv/jAb6liCcpDuUUPFlj9IsZ4cWSluRaLg6DZ7BW8/l9RGs2LfTw9f53ZLjbqSwmpDeNVOfojZnp
a8HejCKObJXNZCMzgGXwgLZt2v+ZKwAWWYT6Y3njnzEk/IcpyopJSVkjApXmx6upDmj8gYr1MrzO
Fp9NitsWAJnSbYOVwZs9Atgg/AoIExh4g598Tn9ZPEtAmqjNPAKhTOKQycuaL2YLd6UbplfEubXw
sx3qvL+qeE0zwq10AbCzLbMENdhlEuZ57ffGb8zfBhbD2gWbHEdrYQ57l7UHy5O16ATDSBp9UFFE
uvRI5/OmVfXWEAbgDCQC+AOB137o+t7BGizmznwbQoUkdSk4Lekisdt3bVV7AjezGs42N1PcbIta
9sOuES7ABBpI5/ZTpfbPNNQffmm+VXp4pw1YteIXSywNgW/hCtqry8B/7J0EUcc9zw2xKqq88pUw
uDOB/ojf/BjzsWFtBuiRvi0p1ysYX4oPB7fROmdVjc+JzKtLMDvzrJY5wCTAY3NHHFBucbUgA3Qb
3XnLipKYNjBO1iCPVh8wMQ6MkHgWFjEUCRcJYU13McS67eTMnyqzp5XNh7twKbmKjS/MmBVmUYO2
rjDeAEy+keK/TOXy/pyRcI4q0RH4EQPWmrbiNOTWE1FrMsWm3nFAt8to4oIeipgomMOax3gw6van
yKp8Xd5xm9w2n1o7ODjugSLqMkS9EbF1CiJwh2bD5VPSEMQMDDuZK6eZwaa08VHiFIQzPZi8H7Rg
KRK403ZWzL5+SNZAHHFbbfw62LJqeMT7fKoyppeCCPfK1aSJpfOnwz1DqI07q3PnUqfRd+4l39Zg
fLb3aqlIlatiwgxhjuSlhnH+XWQ9p5/1aZZ5SdHJfMBm9yebsdc5gfMH9/0ucMRnU9rPSuMja8rj
nZiQzN+z0TxF82s0yDdtT+3aFTkr8x+SdCU5dNygc/PN9MDoZbOgg/Tq0RkBKEVkr6Udf3dNnl+I
ughNpVWtgPl6eftssiZZzlXXrLzojkwPE7YPAJZolVtYk1j3iQP/g5XDpB2se62iJrQWN+YW4naQ
waqUAcYd8s/SUvi4YfKTIByvtV1zdZAAWeJsoCUAiY0SFi5DdqS3YV/Tq5ZUtyAnmRS2jFhhHB7J
3NJo1qySuv8TmRh3CyKwCyBjj2UUvleSxNF/EnVezZEiaRT9RUTgEpLX8lYlL7VeiFYbvEtMAr9+
D9UbMS8Vo9npXklVZH7m3nPrVnybRDuzVPBRtvRQFdwKEX4+/O5KU5Fv0H8SD1HSP7a/RFg/6hkj
sN/1amODx+n67hTzLrkTV1akqj+LiX5Dfc+SAyhMxI9fPZnae2jos72Kz2+LwnGFl+TTMTQeBX59
CHhx35Kb1rcxRmU0S+ep0E/gYhNEgd21rxsOpjI9SI81UBtS9xd0mDgzJhxV6W3W4U1VQb9TKfOZ
dAo+qqLmDbZLg6fTO2QF+RXofHi2kRGD3EKPMK18hxuHNugEtdTjrOj1LgYQubWDDNQJHL6b6xU5
/Fo0RMIjbEzI8oej7LU5kzdm5sW6ML/CgZBKq+nJvxV8Mka7Lo5p2mcw51X0g5oAZxAQOQ+TH+Oi
GoFMCpMuXcW+dpkKm8VxxEwRqUJeZP8aeXxy+g4h0IymsMFBxtao+w6j+k+ZIFVqxGdv5hoPLLcW
H+vjXBIRjk935ZvyYPMcKYQztuVde9c5OEH+M20+nCnk2DSWyww7iWzY9UWIVMBjE5iXAw0obTBS
PiWm5X5hdfZ25DlhLi36dcqGGQ6Voo9SmvmNB/q7SczHJozPTBUHctLn/EVuSi2sg0ytM6KpcBUs
aUtB22wzw7wVM94ZH3YFVPpk0YpG2xScqE0CQenz/US58cnMo2lNByj4MPDEplBTx48i9r9wJ3SB
yaaZ/5C9PVhSQFqUkWyxudhWWTx9Y6H+FVbhVzp57cUrkMEmNVk9cjspTQ+SJDxBgUnS/DzerCn5
bWcIK1A+MEeLsGba1JJI0NqVxPSznI6p7n4IK/gOR+8xrQ5Zk7E+Gl0gX5Knotb1716saXrWTUQy
rKfzD/KJkXC0XPPwmVDFPjGV7ldRrx+Dlnh2ijNS0sEmuHO5auQSstd1YsNPQgakHz36yM/6bLrp
lFFhx6BX8C3XuOPWXUdfHg3JRgmsXAAPHrzWHE9FBhJY+liE8GA+O5iPIga83FqVRV3keqx9BIRJ
y664eCOKAiq8tR3+CqL4aIouAfxj/Ka1/K0lHCw3wmYf5fxtfWjgClqQZ2X9K2wD2Psc0avACH6O
QfcKFzcC2kBUpEvZBUPM2wIm36eWc9RzC/1HsWsg1/AU6vxXN/pMVLtPvIGfdht+RBTRb00R/MmZ
QmA28W9WG3wmfol3ZoZFrwGyM9fYTbW8+qGa9szx07Wn60Nahb/ZTnyVTX5Fjb5hszCTJZgcPYZB
ZlMvIR2IWEFPFxjBEteBRm/F/FlvPNFiPSX9qRr9va7FQTHSMWnbNtny4xZEctRu4p67zNo34Jeg
sECrrv0XJFMnwpq52dgPF+YIPu4UuQpup8UMXkWcI3mAlnKTodI7xX/D0ra3s9v0PBuoV0vxTCoL
NXJ6s/zkAm8oYu5xDMF9rZKuolaQdDZSVDtMSYg/jGgTJvJXH7AWX5ozdk3Fwi8K2r/GIuSR5QJz
g7dE3VDvZNUwJpYI73tMGgdzIi4Uqhvp8xAx3ebC9vRnGhvXwY1+ttzGG+bpTOu85tNRQi3n2lcw
lZvaGf42i0s+upBTw7mU/yGLozAoPpSFycl2mPikILVdy+ch9eanMQLuqLtprZz+52jb6pbUJQLX
9CujoKBs09U95O6YUVSTvTauHt1kMfpWm67/TYV8CDL1U2uu4vQ9QchyJMmCgavbMviIWDjMktAU
k14sK2ry9qD95tH0ZqEw5Yr6HIIIQzOjeoDxYpOwhGPKKMEnxS+iC7tDIJocTvC2FiY4mxDdVmmB
mhfkFLSdxdy2jSmujVM9WX8TTM3wxcGept4DNce8NtwIxD3T4ImZe19VYIdL90cle6hqhrW20Hut
YiF3qow/SFhlNDIwVzQEULQiqyEaODkQZ1J9wRjHFUGbCWiBxtRvaTr/yJv5WWr918I2XWgEsjF+
q2XQ66KW2BAh9oM1LlSbMG+Y3i1ZdvO80SScIXF8A6EPI7Th2HOZl6MnF2yHOMIDHiBuOLL0RB/s
etf+RdwQnK1CjvAFGopVjsqRrmtjmvhiRyQsAdGQDxk5Vy/LVy45Dys+geOpLV1FhFP0ItGyDbCA
kO85ubrWbfmiAWT/jmNYNqh31pio9T4K+mWbzUtsXKpUO7eIwUfl99ar1iq/9Wb3MiRiJAs5itvb
3a5FVCa5QAFuygB9BLC58Ydos/c+ktXfRPxWDX7fgo/UgHTyqeSkRUYHPcRAgD11VnBNDTLCQJgg
v0ahZlz/e/FgANUZR7kdkL0wuGgPXZF/D+SE7mJKzu9WGpR/NwxXFTNGjPxFTLKrFk36c2jlqRnj
6QOdw9Vq0aV5TUsOl2liKqxqi2VKkrw1wXBz5rg6o0ORNwZO45ZnudoAolvSIVDSRl2Wwcutmm08
OgyQs3Bl10mBgEY/dCXBNODlo6fI9FgsLwa6dnHWUQE+jsAzFyeIOkWByonQKFj5zdAMRTl822Ae
2joI32qs7hvGiR6mdVoGp9JzAXuhIBiE+fHyDcyGZ71OXhXicn1Lg2D6hGYPMH7D2TY/JxlXsJB6
fEwmyzSxfnnnKMX0lxDyevznixICtsAcDuWFmpJe2X5rw8F/zhP/T6j85NB5A9feAJQt7QbzO/e8
8NmI0x5oEH5blwoMghLvnZHmj8AjiCqp/D8TfsZV6hbONcw6wZ8cSUgouMvRlQc3QbhsW2KdHjOz
YNozGm+ESIsdATAwXwqmNXkYwmFkNu5CSq7Hqd2XQcA4u7OM95kDajWnqrz4TnV17ESC9UN+SVzM
hEogGrdGPWgWTJXdcIpXvFUGbAy5YFcbuFdcd+ErtnL2MnPxSsNHRa+ycRPNJMbEsVHQSb3yRPnX
dMG8AsvTq1wXJwVxcXP3Ft5ffHMZYiD+21m45B6o4/r1yLF5t9FBm8Tj4EWnoE6s18RsuCZw4e68
Kd2VrWxPk3bVxXSe7Vz2LwqEYzmaLiCiNWgU9eKEW02L8Hz/opPhvGEG/Tuze4UzP3rP0S3DM33X
uZ4+PUCtrbTEWUJtJ3aOIORdywV/an37z/3tYb9nY4bDVnKYUrkMxqrikk9fgP1svOXdu9M628KM
UUkFzt7p4+YZ62zTUG3GCL0AF4TgZ0iV2rLRON/RpqXgIyVUeWoJNd6TDIKpfAjHAJ8j7VOVivPU
8us2WXkS2HyzlSb9SGFv+/eZc8a22lq6OBducHHmHjKp2z97QfU3J0qiA4SDVK9BG/9RZOYj453p
qUx8dItGIN/KqloNI07N0TMe7u9qYsFopbJ9HYxeXfp+kMj6GVK1TaYvijyUVVceKT1+1sRNvM0d
+9asbMEYjMFnFXxTvg5vfTmetUAlGUPXZq+GnlyBDHMDs3idRjFv7h+U2KKEnCzWM3GJ+azF9lSj
uFGxvcV7EuxDOs9H9CL+ZvBRh8T18N3ppvjlx+IjImZHNWN6iDrX3ld1S3Wj29uE22sjxq6FpOzP
h8EsAjQbacnnPjLVZXTzj2BsJ+CpwANoZbzdwJj5OdUtqo/uVdpu/dLYM4dfLOFq3RHKZsMYDq+I
JNUvmDl6HGvjsC8uSL9GgBV3V8dySf0w+vxg5+BbHO34Z5USFJS79kWN+ImRaQJMUGO0a1zkqSFw
4vsLe8D40Arjw/Lt9iydjrHX8k+hPT20GXL0cEkiRJComTnnAaxMyTKf100j6fS1iptLTvUkOXIO
upT1YRgKStjJ35DOTi0yja8REjc4iIBnUsO0aLY5QiLXfBoIq8uh5F3vL53AWD04jNxwAgc3jyX/
tSHJZ46QqTg6rt9YZNcImNQekqPGxmWdphRehe+V88uYJfNRsSVhYOFjjYhblDNO+UdDHOMkfGaM
lZ8lNuRV5vjo7RySKTLwHQX5XFUfOw+4RNpLmqvXRtY4C7zW+JGTQVAM/vg4TOpnOjnqknpdtUv9
KEJkIRiAEUoAS7IiRiyP6+qagWlei9kvD4Y90Fn5mQ+gUQnorEaznUOkF42q00duQfOJ7//d7ieL
aV2f7Gta4Ce6i8XxD8YXsiBYW9uAQyjc6ZAH2ADyLhcvMkkABOag4LxsQEeSolO10hY2I1U7Y63m
IBXhq07KKq8vQtJLSnO44lQLz6rRdHAWuxQddBgXahS8BmX8apgJs+2Ru5wncy7OGTPGXdh2BsF/
Eb6tYnGG3l+yHq+f07MwKxSxDvdnIa8JsJwpT4nzPN//K8Nt42vBGKOxQ+DbFnoCyzHa5/tLMtMZ
Q+LmsUeGG5v2W9osA1Y2MYeiob3tq3ehKN4iP66OqQcqyUuy5pSbVG62O5k7N+otXOXwVjEqBk8T
EoRSx8neIKobVjnf3ACH6cQo6yWt5XQRdnkyy0Y/ZQqP0YKcDkuAI1ZMZEXWBVznffiOnBGxcNKi
0UriY+Tk1jdSI3BEybvj+cTIBGKrw6w/eEM6khnZPzadLB/6QP20FqCE1wMpqMOjQwrmFCV/DGlH
x9qs9QnV6/hIRA8K+Zmfs/Dl5zSgj7QAA8TC/fcix/LJybvqVpiJu6cl/KF9BE4eesMfLfk0tmVM
3zORyaRoCAZUg/PhFDO1cVXrS6HAYw/GpTXcy2CCIRXAIR/85SXSxVucyHjP/is4+U0QnO7/ZHZm
cKqtOj9MYX/oor45m0y1/r2UowKaleXxXxkwJJaMPbV/sALzyxn7edsq6Oc5wv+zTb8MX9q73F+I
xvMuTK5u/2zGRT7Ph/8OFUpgf+PlmNqYUQ3uyjD0gw+L6vTvMgGQWqByPhTh3NEyhSo9+1EW0/dO
RnpC10OmmT04gPZc58wKk4iY5UuiuZI9Kz1mI2V9EcsLRlryhe0E6WVcwFxk83EFecbeeGn4EETJ
i50xpRGQbC8pTjB0lyZcYG+U7S4ujXGv3WZj9v4ur+aRU6YeL54vx0s5BXm/8sFMNwgGMbnY03bg
uN4axADi6W6fKWh9lJXb+xfMd7rneBjaQxMR8lC747EOyCu9F5+NSShs6rC94HFuebKLcnsvhauB
X27dPSdYBl8Cxk9+2KYfiMJzAHbFQEvjpR+VzAGMUSfvrZwVkdM+3GN766jtHu5fGmEIUbgtbnXH
N5k5rEXu7xo9ZXX97+XfvytR4WO/ZRtm7htWu+ceJMJhnpNb7uqONfpSNpFqpa8cblSvzdbtB5fV
hEs+d+EgyTeXygMlHGqFImWdTaiC4Fp+q0b9+w6KqIz+Eahws++K2nv3C1jM+YIliHyPlUKPfTYP
+JFRZc9FpnaMTZOT7COq4EozZyWweifbMPnNHwetKlneLaLoTb5ESxSL4yhrqQuNvGEj6ABpalR7
y+TEzeTGDymIOtAhkXmqkACxGHxuZjRiRmirx0ouMsomd2+Wu7t/EXISUBQZX0RrsoQwez6D7Kx+
VGSQz029SztCc6wlcAKLBWeOLZ/YJhanNIYRPggLHk0nC3p9f8SxOweH2pB61xKWviNZbnwxPfbG
vpfGxzhC+yAIyb1pgEx+1N3AsHGHyRxLh5OyhMm8/jXx+r1RShs5N0sda1D1/t/JYw186saN7OL4
mkUmgvqmSw44wt0NfoVyJxpF/oC2jKvhaxjLufrVtXQpAXXEaz81wdYlL+liC1YgZSI4h0zqDUKR
T26if1Xhyc+m9OlecVYETu6Z7MB9t2mfR965+43tOw4ssAE9XcmeEqQ1P9ICsXlmErSV5KXRnbt6
XQgw6xuiGiGSNSQKHc02ig6WEOcEhTcbj7w6jEC/09y3LuViXE9zN9qVGqdOvXzJvYdibXbeQqXO
uu+DQ5DbEpAriRwrhGLBJgaxd8ZZLciIM+2FLVwUW3sY4cinIeHZ1gyHjo0x+VhjgBw/csZvr12U
5dOAJnap+J1uNo+hm/+2Sye6ob7ndl3e+NQkGd4UN9ttyXdNYmpsb+Oj5mdQHrNI6UCSZ4hHXa/i
VzBOEgbp/QcWHSKA+9GKqf7/R6sdOp+DGbrgwSnx2TyQSxG1JE1ICcM6xh9mRQ/E0syXez3gYwlB
X0fDcOepEG9VbwnWIWAdy+a0SpTSO5LUHwk3O1iOB+6zXWjw9CKIpP6yAIwOyNYxt1mZuydYreDd
i63qUrbjdqp6b088yt//akE0Y8a16/r3lDCIQ8lk8BICGOpzu8Gs1tn9rkLgtlILdoOA7fBsA67e
BsBrgQ8NyPPjmjxcFdFS02HtWz7Op9GVciMIsPQzGB8rgOBSdCy+UzYKsTuwsNRtuBqwWe0T+DH0
mP2jlddwcgrehniOo6uPeU4kMErjKf7SSrMzLhJYNXiIgrHqrwkX8KYf5adf+DDO2pGccR6+scy7
L8doNoPMT9TY1uvARPMprfsto+AuDNQTizUsbJGajykBdwS3eD8MMgu3qiPjHSXEsWfm8oSWEcx5
w63UKHw5HSjYHL++zNiTWUHkgH9RqNyCJNhXC+9VMI5dIUn81TIbEwnSFmIncYEnhc0Tcad+GBTc
aSF40BMqkpVjYQZm5Okd2QWe5X1swSaVSbV1Jf6U9XFhdEdX6h4lfGyf3QwrYd/hCCvqBqc1o57l
9qdniLu3Gf6gwOv4/z/FVOJzzMrysW343/D8IjJe941XHpqYBMj7t21J1upRL1xs5rAmCNq5kq7H
YP+OWoHbkBzuD/zsjNEisD8mLSeocBNv8+9jj1t740wDCbhuENFYQOzJ8pbmMy2O9zul4xezrYgk
iMgvHnHSEaCoH1WCxMtOhs+0aAUXVhicSECanwb7qc0lelcmg7TiI4KCJRAJP9Kw9pbGHziI2HRs
kmi8UqK+gUodoXQC4SBlPojb+NF3JFy2MH9Ao1M9WHjQ3YPbBvVpKuPx6uHIBN64lLhqzj6SSL39
e5wjnegjUSMI9mr3EIa2/zbUUGmwcv2743urEusxNYe9YRtiW0JM2Q6h7+4sZmbkYqj2xNjk4glZ
HdqeQvfelmN9mHMNV3F44kZTTwndCMYOVrJt3T5NhfvDSIP4UrqaZ0S14ppjhALyQ+Zc5PKMR4k6
+npmL2Ph4YuIF7lnHkmbVNLMZU0w8FGSVXbSPG/rzA+dB1pCpLtxaxPnPLsfgoD7dTAd6zIvrnaF
a9PqYQOgOzwL7lEClRhuTR1/mJkCQ2fGKAMxNud7c2EU4eXfveSFlPSE3WzHZuifp9pslx17/t66
48c0pAwsPC2fdJAjgeFevr8Eg4cBaiJBIsj99//KD3ty2f/MICZaCMOXKOT0CFENbv+d7jOWtM1Q
xqyQfU6i2LM+47gfXrw8e/z31tkavxZV63/16+xi10QSXamLqBmbur156Ze//P6iCCYh7JaURg+O
zEX1PVUduAiWdDUerOXfhW7rHOIkf8w4l29MPkCpdqpe30cRTk8a78zQgRs85JsLTPybLqIc3Lzk
ShU+9YdR++beTRK9A1FzUyUOPruKsucIYWxLryzzoXw3PcrLuOg6XFEDxbTXkhBeu2eo3h8lkL6T
D9ZKrgxHdkd/YmEDvBZUVXkpJtAS7hhF539Fdop0LZr4yCphvBrAK09m1eTvHPqQyRbfudHY7EoU
XJQwYsfazu6PcDDLHNJWaKq1LrKjl/UsXpvumjYsGPJJOZei9q1twOpoAaE9I+//Jsemu2nbCmHr
WsVXC3ANYBgJuFM2v1YEKaUiMK6tG3yVC99M9vRC9wEjRSJpTWFjnQHOXu6dfW+ANVyKHLYqhG27
XrS3UAAdZmY7az6mnJdFZjCwiai8PTE8kCBV7kVlkL67fGkuIQFDOj1Eoh8QppCwoZLWeRg9QSJX
2Qb7sarYrDmOOHdGejMSJidNVAXXUlr2s2c2L7WNx0kJinfGP4hPhakf2sH6BR1iukS6fE4SM32O
jeCqZtC2lTkAhQlbPOrLpqBtSKdNMFrE0Lb8VULG0ap3KPLV3DEB2lSNhrQCYoTKIG2JIiRRbvkQ
UrmSL6CFybEBnQViMTsNHpx4+BPVhotfLCKSVpDQC8ZyxNLOCpDQJ67z2esBoaULEm5BzSVU1Xi2
Q297/1zaIsAe42UnFHbhQcECW1fFSMkSEiEMJWRvBAqRjoQo7rvQtYlDdi7GVMiN2wRs/VwC2yqX
sqgU5Kbfn2d3UhU4vZDSKs/zo0jVfgZOcEq1Ni+YuBXUHeqgSqjs2PfYfNw6xgG8TKUtH9FdZbUw
DfKRVbwbfxE7nr/bERhrnII2i3m4ZfdLgrhblBQRic+5NC9BnCIKS/PgxLJi3vUO+3VKPo/4Dbtf
M4MePwX147q0/a0GU7B1pt59MKLql91MDVcBvxoLxeJcimaP6kbtLfrx80Pm4tZkGMN5FD06ppie
XRGzRVcQqAZW1LhHUsre+yFa6jnbGhquPyPq8VG0v2LDKQ/dZPVYI7CkqsEQpwrogtE1041YDvwN
94xAyyTAC0FRdk2H4otmvniWhvkjy0ZjJwpfnWZF++DH4dXrxBHRafEKohpndP/CVvW5dJxmzZMa
bBwt22fSC6CIxMZwjdWgH9gGPw8Qgfbd/f+rCM1uw0Zd7mEcOBiox/GgcwBQhQ4pDOeURPBxURPN
y0CnX+Y793+SdkppYnuPEdnnsEGSBkM9dBwEHzaE5BEnzSyJcaANZ+nAfJp7lyPOd4oD3P5gQ7TB
sGmX9qpLx5/3MYk9IeOkIDSWgnDu+JFy+zJqG+/pMpdiVqFX9/9Q5H7+mBM8MpXGlz8onhnNaChK
EaD+u8BUzQOhG6YcbhUvcUReZTLyL+p10jdvnSOYWbrY/KvaJgamiW8MUUmpKZLpEe+Yg5WVkDSf
OfOmdgHIG9LdhAs4MY3JFR6cRqDfouuwK2Ib4Ce5iCfKCqLChKgnNgP7kkzYe5X16i45aUI44d6O
8mHTGNeYUuZvLqvvsKOwoOCU+5Eco9LB0txBvjiE2FeOgellK8G3h2+/YuPIcHSr3UDt8T5yUJvR
yTLj5lzDPDgGDgwT7fLUpBw96MuM3Ad/u6TQzfiKcJgHGZghR7yENnxiZFyT9H9LxIDUV1iDSx7i
venH3YmNGKLtqAGuF/gs8JYCIw2n4uKU///Fml1oEjCLcjAurfPAuUIn4yDWAjpwNIb23dDF/G2k
hXpuKge1xdIQIdUyT22wqwaxrJFF+uQsshHDLYP1RBDXnpLlZzNpQBTNeBwYH+yKEXG5ZDyzoRKv
iK/rxXueUcyrgD7Qd2tQIUzxt16I+I8Ny7CXNQMHX4UL+iBtnqckfBnGgl5gZF8hQ0Ry+QArJcZt
FTTFgWCx8TEPvPqhD8vhRQtn7+GRPVjLrYf+uj+2vjilhIBeGKA5j7XuWQTZVP3YrjYiIUvGSt4G
1QT7UvurSrkLiT2fVgX4kKPDbcd61r640q7WVZkkN9+AWVwRLSeWAY/y8XRwQYZHGf3k6AUwtfxV
LXKnk5/g7EbUnS5RUKAAqy97Bl1G/jxR3dzYp8R25GOb1AO4Iv+TSW/+ptisGCJFLxVrugWCeihd
Z8DL2Ljvq5DRR8kSV3F/MPCGGqYCN7gseXEdb43IEOcmt6uHySt+W6U3HZyhwDO//Erx7zdsxL2/
OGzxCHEI8ZYAV09Ub+5iUbbXoMNxwHZowLSR1uegan9YBpNv2ZgjaaYe56lDb1zPybGsPeZlwj46
ZTHyCOYnlKHO0SrR8mJrm9/6CUE/3PxzKFzvZnkBSE/A0kbaAmb2GhC5y/dUlZ2HZoIOgM7Dufo4
oDfzcrs5iu3LWPnOBsEyyNWiPGMimc8yiOotQQuXBl02pi4Mv1S7H13V/tKRFqfcIX7CAG0JKEWN
1wkz7MI2JLW1L+Bzwk7rsLXYMI+zIjqkLtKqWONLuu9Mo87J9l1Eo2i3i/CdGLdlOnafifmh0AdT
v2Te8Dz1MTj/gdHpefnSap/TuXLQ+44jaq2+RxquamA5Q5sfvZprRej+vWGcvQhIAqSxOfeyZYHS
LpYsbz7Tp6atAsj5ZnhsDOYsS2ujQfReh5nQVKMh8oFH2sav3bHzH4CwCvK0osw2jq4dw+CzWeMB
F+B/yCMOEx53xzEfaiNRxG6zpagp9mErVO0JxPoT9RgJzMz+r6TYStzBwr1WM9hp/IUXr3Jc3FTc
dGPFjILN0nlwIvssQKJto7rID1lHtmHVz5Deoqq/tVQX77bPwdaJrF17fUyoCVJfwg8BtJoyfoEV
zjmzg+ST/q4bbNSVGNM9tQ/2Idnme6y23F2tLFezwzFqqZkBQTz2a3JTC+IHjNOQyuJxWGQqpeH+
AulFS2nOH9I2coAuIbTEPIRYIcfsMMrsGck/8kPJf2QtRsm0Kx5Jvz3orM4/m17s0XNGBFYZbyi/
14aU/jlGxn/h3GCSHn+3tLwQssYL5QNyvrA/zWmFZBukUhqZ3XkyYr2JXOWups559qtQ7sti3iPC
zK/wxUgwM24hEzIGZulLSV73ty/XpWuCJchm42qzMERS/nuRp+wB1WcXDJkvUP3NEwDD56DAHWNW
b2AEqkeCN9uDbw/ZZiwXz1cEjRHc6wof48gA1Qboih4DAHTYMAejJjZgO2UxctK0rlgZL09ZU43x
wVtWGV0xnsoiMCkzzGkbN4I+RWDxC+LKwOl+sAZnOJcuPXfHBE6NPD/hc7vsN9vK4g417QtQMLmZ
lrcpTc2//3FVG7s7uAM6hkw1P3AMYonWvrWeLZdZlj26vPu2s2/Knn6dEk1iUD2OPQvmabS+coka
nHHx9CmmuN920odBtnys6ro0H1BLMA3lR50a//WONEZqdZoFkiBZNCF7oaI+O8tyVPipPlEUs7bz
HwaYCoQ7a+Zww2kYZHwxh/qHN8fFCfWZD9yDwWjXNd427ev2ei/uhtzuHntAfK6MwpcqI9t0pPLY
JVPj4jnnSnEz+CORH6KbqO2f/Iq2DTKBvhmtFwtr/1HTw2JjMII1oIhm284QKWBxpRfljeCzw2xm
UorqXJrIxWlI8rXKh4lU3Y6o9pTuozX8Q18BtOxM7zFjNnF1NPKy+y8Ae57/AgKnX8to3IXM3z7h
Sixpw75fWYd7p+ciMboEuerYnFLf2PrdDaH/eUUC53qUjH2pqw1zkpsC2cC6M7r2FLbtRyqI6bSD
9isS7DI5ZIhUyh15jQrd7wUmcGHAV1P3Sm+KccoyhsIQzeSXubj3b3ueJyo/cQsuRfcfzTemeKLx
3d1/KVprjlZVTfrU2/GTOcd7bdrmw+yHwzVNqvO/IcWcbjDcGPt6YeHCrm5/6CB6N6dfSqU/rBGe
xb134CgPT0XezweGU8hF5knsHeO3Bkf5MKYbc5YUPyWzf5pj/AZOl7JxyesnncN9kwgO2K7gn+wW
BUE6ztE5nkcmuIsw0Eja7NUt54/YIJka/YQiyELT9mub/uZ+uPaky81IggVpo2HjfATARpZPqKno
Gln3nvH1m2g/D0YeFj8R8SEKHRime9VPED5bJrP+Kmiam1rioRd1iOWTOnl//xQGf9+xyZwmLHvv
zs9wfDgduaBpDzlCerJvJECoxxYT2DMTQP5aTHD7SuA1QRU2nzXT0n02a0C5BF9t8ZqJVZsn8Mxn
xLPQoCn4l/bLtKjfGT0z1MzDhlno+BJ1MCaC5dAw3CwgCQQ1geMDbsIo5zAJmJ3FcRo8+lHBaqgy
nNXQ2SeWYdV28sP6mIP5QROoWMEtdXUmofunE4kHhhOWJ2/+FRkOHv77NLBpNth/jdcYNuDaHvCv
N/7wXAA5uMWJd6qI4clW6bcqpb5iB0tWs0IzxsCHKg1d9Dqqp2IHJxQ7TC9hldXUZNgax8cGKdlg
WvGrbVPRIRq6xgJIFwIugPS5GayahvNFugWATVSbwP2C8dJGw3fdosBw2eCf0yE1zo557And27HM
Mrf3k3SZAhpjlz/GxJVECTAVt98kywU79LTjVazzfbJoPjRZJ3Ofjt/Sw1Y4ydcJmCPydnFLQnZP
pmmoQ60H3lfmCJthLOMdZjv8ysvzjjjjgLgxJ6Q1W6hA6A5EL/feDEOw1+a0C2VhoQZ9tfuc8XFm
A7PCWpgwBJAezGma7tUdD8/4By/WvYmNJLlsnlUFt9LHfq4d5lYRn+6oCFhZLMr1GOflWStGYUxt
mYJakT/sRKTeiX2YD4YeAO2zzwcAHJ6TuN+nbnUakA65h0XC2Np8xod5Dm7mCNqnzwgDSgC+iwi0
T2ShiA+w2BwqI1tih8EtLE+LWw+P2tLjGUbssDPxOK4UuYJenI67llF0sf6ICswgosvHp8jLO6Ry
gOPzxjzBNv22dJTfEsFbZrAqWj7RfVMl5FGx41V1+Vmh4jj41fJba3WwNK4IZEbCw4FhHAGx6VdM
HtFGtcOXzwmwKbPxvUxmYz/ZOHbzDlanUXqgS5eP8v0ii+Cq7gY6iPtlkTEFxHLLcKprejDA8sc8
a94QB5XYe84qeClazAG1LfsE55+GpZLpfHHs6WzVc/Behx8+0rGdmsx+s2wy7wMyposf92HjHJCj
WJDSQEwqoV5sg+otAyFO3IHYW+y7JlHp8FKzDIRvHXPQ3pdCZYa4SY6kVo5pkJJlgb88jRlZ49iv
dt7dPge+11wVeHmiavoKFgZfoHb31sWYljyFhrrzPvahY/Fvru8/dz6kDejH69RUDz76lyO+SXXB
L7YZl0VHo4GylqbzRr+IkO/eBXV8KAPdj+f72906dr5p+HS/GL/TXCDZLVOG0h6zBjeJd77Zhgfb
M3BGprL6oPSlPwva9NjZJODlSSD2vuhI1TMAHoy5twntPjibzpcD3pqJO8AisH/l/yg7sx25kWzL
/koin5vVJI0jcLOA6/MYHu4x64XQSBrnefr6XmSo65akgrIbCTjCU4pQuDtpduycvdc+uCB9PEMf
qLsrQGUzYt4e/AjJ2NSPUAkrcUOU8QMxkjTgim0R296mSCRILaYUiutyuLale/YF4SgDjUBGGm16
JI2hXDQgKNMhdd+PqaZj6/e0MzAl+hTffQ84iy1aQZC4Y/CrnEsXyTL9414ttyjKo/tclrBZ4MDv
uS8Hks38B7a/Yioi5LE2x4+dyIKHERzldehhBQrSgvbvbY+0KS1g0V1BAEqWbkhoyp/FFCuORWnB
zFeeDJzR7wOayCCLQ0k7PiynBywOVyAfHbrGpigA7hXFQ1Vq04g1R6/FeVWDB3FBQgRLhwzAU+sN
37IubdbgJIobpOYnMxnVl5FU9KhFjA7qmvU39j6aFHZtb7XnHGTuWUYCtIuGAkYxtbuYHN2ufWxQ
d76OLQTDHrHWYha/8Ek8uj0yna406SP1gspD056chpYDIzcMXy7qvlCawPmmqRwdiDsswYgPVTpt
0w7MhG/rxmF36SpsXdXQe480D1CwdxjTOW0kc+fP1PxDJxv3vZhgruieIQoiKHrouB9WqZe/vmcE
zMWGrU+lsCjrG+zrBQme7jIko33RVIp50nQ3XMlRmMuWbvsmMoDrxYNdH7I8Lkn7YstEYQjSHKDA
vlRVOGAZ7YqDVUrxwkmqYbOI9rxoJAzSz8ddV/f5nem4z1LpXhEyr1EFxFcooc7Rm/9WkRUGmxwF
zhgVD4HTPfl+SZwUtzLsi3gZTyfbvoktIAZVv+9xr4u2ZV5OAYK4hOqpRxW3SysN/VNj4oTAny8J
ttxnI2Hw9HLUvYP1fEmI7xYVd3TJqzA4xwTWgAxal30/3AatOEEi9Y9mg3orrzuSb6cqOMUUlyMN
3fCjusOYfSQZhRQVIvJUmYCLa5z2QA0Tc4DdK2imh+mqrkEvtcaGoMf6VoX6HVm61r4w6HxZWKAZ
9LCr1bEFYsa/k4xoL7SfEExPO0XpB8xZOrGeJhqXFG/eCjkyxjblW2xpCoywsbq03KlFbXmHNkav
I1TjU1aYBIXVKKZFqPqvedLQoiBvQTHd58IIxoMHXIa4BdBOs3DSpsZccaj8EjsIPiu6wY+pUL51
DHmhF1hfXPuUxddKH7OXrCHtPaiqp9KFLx2Nunhpcgfdfl/j1CPKhsBfdqS5bJjXR8VloDxmQbI2
A0d5jipBJ18PyLSYepoiK7YzhBpPCTxtb+KuT5OdQlD8uT72fPbbaOcYSPzmo06l5ZizEkdDTs/r
i3WvBJOJS0tiNyNHap02drQaPJUVfzr6aXryseQ17FMUQim3pxZFw4o8kuLNRS+7ONOwyW6IyhEl
mVm3fi8bslhxGRh0EHK0el+WpGf6XQs42XM3owMLJaUy28wXW1naV9dv0YkB9H7stCJZYGu+1ACs
EdWwD+m4ZDfjNB3PpPVlfneskvZyjGTmZnTgEWuTInDWx9LagQo3dYKsCc6G7NFezet1FRY6p7qp
UZu5ksGFWYsnVOyAyAkopOWi3VW+Yu+R47U0GPFN4cmbziyo7MgzyCQ9KKdzNypxiQtLjwne6VNy
GqogvSAHHtYq0stjlN+XSmDeooApul07d5pewyS0P5dT+iGcmGCZlNh3O4skKulOcSQ4YfWkvkrG
Drt5EotgbV8WV1fp76vphFfK4lnr0xMVV/6m56QfYhpBtl0knNQA7pZm5D3hOWS833sH+oc4sTq7
OVQDzBw5ZLD7ce7s4JmQMGQmrx6eMZVkodpFhVO0NjYJvJS4j/Phgy1IAkNATYRnvwjxB267sQXz
FNK+zCZyjwnyXXgOU8822IyJrywbrTTuu7LFr5cXjKKoovxr/ujqHuiUEmpSa0HRaYvJEZM/CJha
n8UUl4ewhWZQl1CF2Ul4mC+FsZH50RKM5rWxjy897YJFn8lTUVXG9+u9GwPlQEcS6o8HINjisP99
q0bpmSxHPtYC7A6Gvrl0YP9OkMMINEA5I2WohtwVhs3kwR3ojndhf1D9Blm1zIF7miCk5kuE5mO2
D8BR10Gbwwm3Xq0xjm65a4a3xu2vUw+d2InsFJeFt6+dgPch1R5aVbQvvrqohyS498Kr4ify0ow4
+uJotE/SqHdjngvAh8hpoFK3DzhEKgZQONRiIAqL+Sp/X94YAKNgRjLDJvI4khxM/ni/7yIjJOey
XAutCy7zg0RRWdvQy6HoGaCh+2BTo8fd9GNN3pedZ/uOcNKVi/sI0eRwms8ZWeHt0kwpzkzLOHOp
8OfMxDf2RsncsK3a4EkD6kSUCr8EqR9zxWbqigvBrKZzMaTZShpevMXvKPSyfg0LgryCwUBA0Crt
tlXQnhNRDYvOhuiadpPxJAmi5CVIs3u3CaIXJ602UkM1n8tQPEV5BHaCNPFlpaEvwqr6gosgWRUG
E5zEda7SZcAzd5QM12Vm66M4QpnFwQD6tPA9dT+wM/MTCa1OWyyfFIngV7FZZsDyU2JtDXusdqlE
ErNETJoMT2Xr63DvzHs8Ieos3UeEdKd4YKu1Stx6JBc7Rq/hbjK8EyKjkW2vjmsOATV8f8W5+XF9
rsHNI/HCVAnbD1TBYNDBaURAKnxiuc+V5a+bwVJ3lZ0/Wa6jnc1MiAm/YtuHLuqvWhPLu7IpP9UK
2Y2mE2S3XqfN57qAyEumyXRoPg2yx0Jjj7d5ZcMZFRC2TXb4YNRA9js6RYF0Qc9LkZ+/H9tsWz8M
lfPsup3/Qh5ejz3eYVut4JcOUyCWVlccNXFU7RMWb44TCIhLl/EbcNqw2FWIvY5apJ0zAS29IBvb
99p2B6/gGy049ShxI6xLnDurcpoihJymIhsvl6k7NDxHX9DYbx9ZMZUJtWq2J9XNyyUyGjrs7iCB
9/Z7bjoqyz6Im5WR6MPp/d6bZUS7OmYi4DZ5AFsOQWbKeXBJe348RVA0aEOo6q0PveCQNukLaQ7B
3ivCT7ya4AEpUb1oQ00/FpadP9v0m9e90qNrb6kF1KaO16oekkftDOaDVd3HU8WX925zUJxgY3al
vDnJCHPE+mK2KoEXWVVd7SAp10oivzg4Vm/s/EwHhRpvIZOwr6YZkZkSQkGqdsxpzAEERpuQlzdU
9iqsivGIvBDWxhgAhxmTz4abffIlkWeAPVFyD2rbL/oqKY9NERmnsFaPWkeyLKa+8pPDqDcJ4m8i
KuwX0MOclULrqz2oz9PEYdPbgAMTmV8JFwJFd0aI1HKu4o1KUZqvtJKdAKc1gAzwG0ttmglirYnO
8I+RTYAYoilbo0xVY+E+ekWi72Cz22jDIuuIcAt+Rhk7L+DEECwbfvBBbZTk4GrQgdpGS9ZR20x6
JQP0TCazM330cJWoDPC5D8Jb75aPzgRWactEWxu93p5KTCIby/Budmkl9A+hWjSJ4p+6+KvaSo7E
QUeb4f0idmzot2hE8Ab57ZNgen4UOT6IMUjxANfFWbZee4krCZEsVcbvpUepIBGdR3b4nuiSNkG6
xc8KuZRO0z7m19w1OnrQRtXlq945tKLiJDoTyjy+wCugzUnlzPF81U7uj85vTladm4zNsYZEEdMy
RDsPqo09JENI+ui4agrFlH5X3foGApbMvkt9HCnTszZJ0lMa4UbgaGo+Z6hIV5bBlBEclNzZI5og
sNOfDMcmomjut1iBcZpz/XSJmBO0qhpHHFhS+aDKxnkwfIyuAWeitIxeFTPqz8EE99fxdIiASbMv
6POLpsl2SeCM6zL1FCAz3BDz8SmsUh8TTEYcTEKScq/q/bll8gUIKUEZMjchvPhjNMsJaxOmRufG
R6NJxC4Ly+YonK06NMQ8TN1H1mfBrBhE01TYE1/alTlQlKqnvG2bnRSNejEN93lkhAoDiiwlDe8B
HmawFUrTPEaojUikL8YXP3JBMPB3wd9wdux9BcVnhfjG9VMkm5XYMM3X3iJJO7ZJ1NPg12/jpEPs
BHwy31TEober9hEHy8caeeYaaDBmfLNRnvvOPvgM3G9tky+R2WOvKmv9yk4PQzuLma4nlQTU1R48
XFhc5w3JA2Wmrz1+aGs1PaqdZB/NpbbmSnuVlVl00203vLhJiecljF+rL/Tb+nOMIOO9DwMRFFtL
kplnmgNQGetM2WsM5FZQEom9RG+8cSf3X2CbGTyQlh0pKvW1H/j+jY3hE+UYRv6K9GaiJHZxFJ8b
eplHc+rChXr0Db6rwcrTaas+Hm7zoHKspXsXx9kbo5fupHQ2w/JxDftg3FNDGrDAW2tPjnm/x4fe
L9JxR5OAoUTO9Lxsk3Y7t5Ah8a/bRmUSGANcreu+3dqx3S+zLAqWsk+zz53M0dEEybPXVK85A9uF
2erRfego8oz5zVpOLCzjk0+kSMr2ljFrJLakEAUgr7h6DsvqPlArdLnTs1iF4Cv6+GAMerFmUYzZ
pAlsVDL1wesz7Qk5EOEZzPPg2iUb5ur2vtQCf0njMn2y40MUE11PUjL6OHGd0gzQVjKD9MuPUAEv
g4IjoxlV3ibsLDm6FF4DhkfXNDMEUvQPShpZoQb1qiliqCGteTPo3axpjkzgWxgMJQTlOnHqLVY4
8Mzo48MAdYx3NZUuXjFeK3FoNESXlJl1NyZ6S3pu86CRtoP1AzKuUtovhQsFoEyJMRo5ROPXZa+y
wTc6EFsACkRH2der45yS979/iJyr/vlfPP+c5UMp/aD+6ek/t1+zu4/J1+q/pu/619/68Xv+uXr4
78c/vmXlH+eHzePPf/OHb+THf//nVx/rjz88WackjwzX5ms53L5WTVzP/wjZeNPf/H/9wz++zj/l
cci//vXn56xJ6+mn+TJL//z+R/svf/1JgN6/5QVOP//7H04v9a8/b19lmv3xlMov2S/f9RVlHKGW
/2AgYgrX1R1E0NyoJB52X6c/UZx/WEIlLVGzbF1YQncI8UtZDoK//rTUfzgswjCrAJSqmmnxXVUG
deWvPw33H66m22jlNdvSLdcUf/7fl/89GvD9g/nPUYHajxGXpoH2wTJsEx6IbjuGbql//vHvgZCM
zaXF7J/ltMm+mYFACt/XV0PQG+FYBhjopNNlod04P/RqmO9yemF3qV4DcmwDxpjMb5+VUH4SHsk7
//Zu/ockQ938MbBy+v0wEAjeNtvWdCHET4mh0wYYp15WLYOcZriFNA7jjno377d48bG9isrbzk/n
hwzFUVykymuBB4MQnlK5LzXSwItcmqu8wGk4H3p1gzgJYlbADOr0FkM1Gj8kbnTNY/gISouwY7Lb
lriyoFW66b5u7Ytv9p/9rlL3mVWh1LFoSwWJIFCtTnBc4IiSm8Lsto0p5acKahZ43goCakx7h2ry
4tjLrtWVO91vCcgi02JVGymGPQqXbTXWyTPA1HuL1gc9HoBhWOkGqrTG6hlm5hHy5yQ6In5Q9k7U
YNUMgugCnAeaTqt9iEJLfsIyiJ2lsMXRBny4dH3zWTN8+ZA48UrRjPYoLeZoWMOi58RFS6IHnb3K
a5U8IMzAi8zuYFR3bvLYQelfmg1z5++vrUSngnzUdYD1NB/mrd2yYPlLpIcNpJS8sdyr23LK7lt3
4xZSoT2qL/DxNF8NS/umGnXzNJkM12NX7wNY92gwoU3ZU3c2KtBcTJLCBITI40AaAWyEYIBebQol
WKHAJt3JKhmhdf6NYMuOD8G/BThcduS+IhiorcfYacdrYaSgETVaDXqGi4i+sIORA6ET1Jnt7BGq
Oa3e94qVrtQCwyISteW8MeIEiw+xniuMFNknI8tPLguldi+zAp7OjnexSuX9WaMqwwm+1IGj/iEc
chzYQ+YSmd43yhbytq0xuKHVFRwjPd2P9L0tZxyfwmost4aRoq/qjm7kjCRII9OeH1ImCMuOHa2v
/A7JMSvJgYitfJc0NoL/RgI7nQz2RMYQqcNcdmkCql3Ymv1o9F11nX0ZEeiYhUm8BdY/58xZGTlv
BSCEE4O5V6A31ZpD6FVNtsDSjhK5mG1pWp7svVp1XsM6StalB79kcO0HTTceotCg03qYp4aDWlQn
Pp7xoHRip5AHTfo8Ik8FULI9OWeipdJyIm+1hml2izOLfrh4bBgi7UrEeqDqCuuaGuHweeALJexG
7Cocw1poNiATVELoWUokct51xbgUlEufRUhOVfoKkbSveUsLKCpI6antq5VgQUApdPYLpb7XvTE6
v1sgWiteEWF0M/uxOs6fHezyL4QZjCo2AMajKJP4H6EbIXhsqjsnz+2jALJX/Uto78KAIDrJIyhb
S5SjFwzjVqYVymjbztdMjOFZtWRVMoJ6VPvwGDqY5gNFVZ/6uh8WjhKGxPsU936cBJ/+ZjH8dS0k
8I0tQ2imwMmu/7RWe1FL987Gq1ETZHfCFk9EB5ENYjpkGf0lsmV48XTdfPLbm1IK5Rk/+Esu6dhq
12Yaec4GTt9w0Q8kqY4whiCLQRnjz0x9H6I6M59IJC62BiF+Xg8Nssi6HrFbsvj9C9GMKX42i8Gs
pdOmOq3qKBdsg93P0WzOHz+t6qNEud+pJOiMJVbQpAkPvVAQAc6OI5rS28LMSF03Q+1e4FbfdDYu
nwLsBXFUmXvnBw2bD37mJx/4KDPlkISdyruPxOCfy0RUS6+utbXmGiGkDlLYw9p1diV0kCVihGbV
yVTc5q+0EOAFWa11o7hYPHVmRmzJqyTytY0dDvRgveFDis6m1FX5UDX5qK1K50PMCmxjj7/OD6pi
uUeBP5A8DLRwBlOna6cMhLPG+mvJWqqq4VsaSA32euWsRE7+jIkb9rWXH8tGwmAnKPjSRkTyEmPo
Pjf07JcCGugiiJH7jqyjBEaMzXOXa2wdMilORAR+mse2dqom+8oAYWJoz0gySPO2zJe4I1VGdQas
ec2SAFc42/1kZdETs12FOhaxjn73KqOhIR3P3rV+P20zDvQ24QXd+t0+2zZKBTZlM9Ky3o11zLC2
YWWE6LQtc93YK9LTkWpBn3OHBnyKIJDKknTWW5zV0I0bMtwch6m9ndprkg8GcwGeWsFPkTY6TaYS
uputGBjqSY/BvCbW6FYTJu18pbDIs+f78bkw2nHlO47PmTCsLkVnEHepzRoYhvRBk9gHcg1sjlFp
TgqXxlegq0Th4ih1xRLPYnURcc5aGwOtjsrn2nb3gyWVm7AnnBTtYG8hEwNVvNAeQ4YWS8fzu13n
FNojFGHw64oJ0bnJjgpuqXvaUTm4iKZejaHzNwHpxo+5zdONQaUjTFU1NG5x5+dyDHObgika1xiz
oG3gmcmCwCnnNJZtSdgF/Je5I2fksUOmjENiBaF3hlOR2VFNKfUpuGUW4ug1EOabZdK5Ur3yDQqB
8cKQchE2JF8a3tBfLIAhfGgTTPNg62b/QU9rd2W5pCa1ifFgtlEJr8yyNgro0xA376dG4+6ZBNJ7
So+rrtPx8QVtOixSb15uXUyEa7s09+Xh94uF+GWtoAAWLsudaTsuwV4/rXq9ahWCbKp8mcToMhiA
vJE+AaUNN8dIRs4WghBRO5C3ryFc3Ric/BHRmLtqitEiGh5CvdqQUyVUc2dL3dmDWtaOkRmLvUqV
fVXQmNL56tLP7Ixb5L35ks0N/3WsDqsQOU7fmyUTY5LImdpYG2d0zFVUCvWE2/aQA/4CRKU0exuV
yiKjg8k8jbM8jVzn9Pt3guL+52XTUoVmsHLqhmFZmvPTW9G2rtlZIe7GCZ8oauK0xvYR8Xy+puxr
N3gSzLumzN4A/jrLOqm44B3RbEt3uO8JIXh33qWMYHbzUwfvyVEKpWdwpyENoGrcz5SJvvTPul+h
bJ4wR5YHlaDMFPz301MvzzeGoT9bg2mcOtpby3QEY+x5BmeHwA4BNeJaWmYWztIiftdQzYcHXw0+
JjXaUR0Zg10YaJOtBLRQpBh3YhqPGVSCSVlvOErlb542fG1QKgbMa3DIlGj+89EalkidgxPUd8h7
tYc+U9nOtU5dKl+IUwBSPS3LxZD4m75zaYG0xCHPgyKNPPu9Ygn8HtMDuIQRSYBiQWlr+o2TdtYm
CrLsJXJwGQUPZEQZ34RK8KdVaV/y3LpmcLnCNIzfegOAaQb/5DQGtBx6J8VJ1OJba+koHhMVbnMq
3OSWoIAvaEnfRiJOJ1dW7jhwpbrWBvpMuxJIZ7xpAcAvfEIej21howBSqXnfDR6D3/gnV7eTRdcF
BkIdSiu6I/E1iZFSI2tMl/kI9Una4j5EFoZ2i6ZUAzxRDkl1UWmK+VUY7xg8i7WNgIu0PaN8l/fo
MiANQcW0NPvatH5cR7mqXdRsIPIcZrImuoL4yWFvAwe89vW3jLTUtanTaV8kATjY99/RBmtKwdrm
jE47Ov2Nqb4NxHKufCKEj2oC+jHJui+zt5ZCwzu9L7cWdbLhg1DjIcxBPQaE9CgEHTLoT9o7jTKH
Et2pD1rq2TAeU/ee7PFXEQ3PyNPLZ9UPLkkekj4WKehn25NS55cSZPmjNPkIugiLdl5VnxXT7F6l
X1wZQFoPTVp90EC0M9gmYKyeL675ORC2C2sx7I359Tlmr6y16SJEsXJLcqSGVpnZV9rrE0wQWdn0
MH/FXtgy5iy1BbBKe4NCu9gz+VqSfNatFavKXsx+Clwu/eFsgqLdEBzVLvNS0n6rHRXZJUNWekO4
7RGtFoiSX0x/J1TF/xqO9kEvvKuLVfWiKHYEX5YzecOguJ/3rIbreE9GCD4oXzFgu1bxelYdNwHm
RCueCtnBTLmcsrGC4lnFCwPZ5A50gUL/LSeoWb8kJC2TR5qp9++fTCQL2vTo2Y9wjuwFrAvlPWJG
0TqxVPQivw90Rd2NUj4PdnFTMk4svqN2z2lVxNxLoWsdNM6px9JL7auMuJ0w4w2r+alVONa1jRqC
GyRzdPqzcqVloQJNNtJOVSjctUUAwEaVA8vt1OXU6p7lGSwb5s/RnhC8cNPC5e9X1l+3XUud2izU
orRUTPxSP3ZBfB8/ox/g+xhbrb8prJ6G0jh3owuqo6TUCk00lrMqkaDMfKVzwkUbm2NU5+yyhuXB
AaYwspvhYW7UE/uLSdm50MrkLuuT4lzxk2eyiscMh9zJIn8zVQsrutpco87czUcVWXiY9bDmLWNJ
vKYJzKeKVDirdkxMKZrKRYxIh8Ut7GW5UEItXjM1ts/zZHmAKf93b8ovxw3eFI3aXaMOsW3bMn58
U6qIdE+9pGqscnIytNquMMnxIEfXOAze/fvIxQtoQrpZt6AYiJaVG+h7zTIZo1X9oQhr46FUezgM
sbwayNtn4d3857yHhFTWB6ouJKNRG50GdmO67/ddVPhnmeDH0raRYrVbo7KhdFZ2qdw1q6jGWll5
IrhHvOSd85F8IcTRYLnC5LP0rHszJOpGYGaAUiPuapCsR6vXkqOeB+O2Uhlf/f7iEf9hV7apTUxD
p0hBSf3TxYMvDlvv9D7NCoAhAGVPElvEKbKXt1gFkmP51O5ub2Aq1+Ceg+9fDF3cI7LL1y7STUia
hDLOSClp4S7EHObsCwKcykkRglbqW++E1i5moVl3IcY2NmJ/YyAxOMZKY90ZaJGXjcGt6qMm32Uk
4Yqkepqn+2gqmSEG6zjJxw0Hp/YhjnpmSU3HQDQv/+Zop9OY/PFkZzGKopcJxA5m8S8XDSLSELk3
TRGztcQmq/sMLhVjaivW+IB5EIZJxFNBPq2Tf1Edj04Bk9FjjBD9+u6tdqDXOeHCRJNNUnAvsOAR
hZgQSIfSUZ6DDoN2ZyWo/5A4/00Brpm/NEQt1XW1qQKnw6oztv7xqtdinYEuqtxlWTJ8B9Imj/ND
0VXfv/qf/2e2JaGzs7Y4cDnd1Ga/ChFY380z6krzjU0JfhhS+JSWLVkqrAltpfOp4hRK73tgHw9C
fLGsosQLxJMWaSFuIq/azU+tAVkvhjjkoZ2W7d81ojQHjlAVeoybsXahrZ+tSj13LiMl4ykP+jvb
qfzTO2HP8JSAKf9b64ySKHWKhDSova0yyngV0F679USxWocohOae25M4uENxCkm/Cio6M7H1VInI
foUzOgLklMNVkMqy6fDvrvOykJtZvojOcNn5OgOsQXt9n+pBHd/N/oq6v+CxGY4p2x1mbuPjXPn4
Xqpc5X4uikRhkw0hFLKtJ/cwAiv8M+FwtDp9Tcwg+XdkoRznBzgLOUE9eA6KXlVP5CXDdWF9XqNR
Sx413b/r4CwrujTcXRNBu2hzpM+mCqeRjRbFRFgPd6GioMmtLQhyMOreG01OYCwDneacOqrkxCcB
W346GrQgJxhUwox+76vEn80tJKSPEmoBUTbv7UEVGJ3lDpjxlGpDFKRyzbgaSAssqlekjB8EndXd
uwQ+DORwSIi6O88PXVd7G0zAMdKvrOrJjyHUIvNYTLWG0nyMjc/vpFVO4O2SOXyzkfQ47TEuxapF
XsBVlOypPMEmo28KSDID+ZUA4OAQB/ts0hxJzLoYKvAClzDhwQ9V3PwgRlaJUxQLVUC3Qw+29rq+
uSQZNoi/WR3NXxYEa5pVmCbaaxe/yE+7yMhV2dgqm301qdMxV6EMa5SVWbjBg5nHPLjXssfuodgZ
BFs6t0c9KrI7tF3RYeyr6jKv7Fi2xIYeobIqDYKK0XepaCjh2LGrH8cGTS6C1FtbWM9R6w4f8kx1
0L9BUoxVdZvnYXzLCF7XQY8PsUHJpBmwVDVN38hslEcND/D7SOyHidgfaZPcZ3BAKyZF00LxQ4/L
smxNsCkw3TFNzpI/LiSEduEf6NIELAlgvkWVwqb5To/wv7oEzD0Sw9ldsD4c1axHL6N63AIeZ9PE
yl6GME2P/ph9aJ0Qp0iq6reGWbyWgLN1pZ5v571/luE0lv7t9x+a8esi6Gr87nxohgOWb57KfP54
4+LilWr/qyP2EUMtgQEkW3xE9aNUJNQV61bd1DS7oBkRVN3LwIES4QFLRqqJsLtLd4aMaTZKsEjk
cctd1Kr1xp4wX0NVPM4XQOg5Jhdxpx5i31QP81d6agzbwI17IuynpnM/tMPFteKbUQ3yKsoIk7ed
4n8IrBfHTzhgl/cBQJxnMpeRU07vriIHYtCLyFy03WDupJt8I1g5uaT968B8a83WXR3tCRGqTl/p
Nb6P379n4tdyictbE1QAmk719nMNiYpTWgRownhICj86yMAbD8JQXyLFr3aqFWLJKhPvOn/lk9qy
CRPd22hIOT27M1HIE6Fm+zaN+bb7hsz5bebbJnSn7oa8JqUZxSRmD0CaMXpmZN3WoyWQAVMq1xsl
wUagiXKDqi/8UlTQxHIBiEAPLMoJtynvNSsBp40evyNmixhhT0R/15/4de93NeQniIJs3bVM7acr
vvNzzEMtzvGMIn5BxPoybBVgGkGhLcOscdaIyKJN35jirPchPkXXjYnk41ziYgA5DTJ8nRt1bWAb
5zqjEAq6CE+fjO5Qo4NV/NdDpMgQerX3/PvP0Pql12SrqpgaTQYcbdf9+boPHXoYiQHU7l0cU0rn
tQ96CUfLfHM07QMORxqDQqS3Km1B3+bQoLK+vi/bMLtlBn7tLJHVThjp2qrT5ORUqrU1bbtdeK2M
bgyXrJU1EPnpuaqyGwLAJTPeB8NvRIyB90mZtOWNDSmJaOIjZJrwoS+wL7QcGzSa1njDKjI3gy1h
WMmq6yrtEOhWdRvwylZ+vLRkusMbSVghWNIloomSRGCYw7WRo/NjKZTJWCzf66yKw40fqSYBO6mH
x7sABzffTPVofabBFZ3mBzsmhqGvynpdkfS2m+/iwe3zNwQar0rYdHiKkwDvtZzFTHTlItgpv/9g
tF9qbD4YR6hcWHQtMSX8VJXJPoiw3+WQuxLUwPTgjKdI+Pt+6D635UibU7PKJycQn+2u/9CpgdzE
8Ojw07fiBdwCyMRgleVQzxANthCFC7EzbUoAXdZ/s+6bv7RwbWgplkb3jmGNCZT2p3XfKkaY3qB5
tIC7ruMjnifO/qjlh/kpWWTZtmuY41ST88yw3S8mKWMbXL8DPnYe6gCxpZraT5ieORvnsjhirdC2
lsl2OJJW8+58y4hhu+9aSXQcoPoZwhkavk3QcvRtfkZugIu7ZqjZORFrYfhz72wRa9eO8PYO8w7D
7QVtue4ywxwtjGisWyDlI6JjzniGCTTVMNSV09uYZ/Sa4zjVmOjxtLMMOJKWeladut4rir7+/Ueu
T+/TD/vn9D46HKc4f6qG/vN6qlcU1rpixCjkpg07Hg2fTgbIGrBb5ybTk53iW+1ySnZf9F2f30Lb
o7hQcyrAtHrMyBJBBoMnE3rnrkoMZT93oeBWvONysGBxZrWNW9h5NoE58zbi0+BPswJGSTaI3f//
KzI1g7E5Uy/++/kVpQqmCjzq8fK9ju9q5YhOB8lQwGSfKewyAhkCFDoj2wf//Rpr7PCBj3oZJ1fA
XnJdigD5VD4qB9GrJhGRGcQ91MGm3QTruRgNzE3jxw/fly8OIoY3vkzorL95Kb8UN7amWoYxdeaF
Chvmp050UI6uJ3U6xHodvhk9Hei4bR3STb3+TjUTe+lGvv85S7dt2+mrIrIIGJriGmCMgSOMeMMn
N2UjzefUFyXC1cy+MEVoVrqS93jH4pPw3ZRXp4V/c3/qxvS7/XhhaRonPKEb7NPmL2NUJosEt5Wk
GBCL2TC6Mqbsd/oP1jOXUvzSDumx6YudUifBNundj0osoQu2qbXqJo5WOxm9Ojt8oD27kAzhrrES
x/e0GyF4VmZ6lK4EjY6E6Zanhr/1QIAuvZRsNC/W+hWBCaiCJ77QYA+HPBLpGcm3KHAQBVCvJiuk
tmrrVu75nUhQmE42oqm7+97QN1NnY4Aq0g5Fue1H9aKXhXUmMtg893qLxj+pvZMSkiFuaxy6QZkv
yP+0jp4mUbOQq4WH4S4UECNSrJjrNASoSHZ1f06L5NRJTdyRVRVd4deS7o4PoJ4e4NQtChmi8Sk/
DdMvXlnxgCk3yLZORpslCfnN5maQGcAu6R3ck9Dz6UqowU2MWI0TE5Yvb+sYqu1DPz2YcQCdGyoP
Zik0h/+HsPNajhvJou0XIQI2AbyWNyxDL+olQ2qJ8N4mvv4ugHPvzKhvTD80okBSapEsZJ48Z++1
F/58PBuS8a14m3C0L14mMSLP/Q8FqXeXa5IMPivsb1SI+/oXgnztwQV0s0bwQp+xrw4S0+6FohVG
/JAXL9kA1jbs0KJ49Iigf5Fo1VYPmuz9k6Sj/HUp00w7ABSDOCRIians+l6WRE5DrynOsdTnJBfS
bidlpRtTlv4R9+rBrmwMvXHw1vp590C/1hk435Cy8U0lhbmJnJk1m6Q6clPyJ4Mw/9BHBeCeMfvO
8bv8o6rtp8ibblE6RRvNnh2Dtfd7GegWsO76umfGYtTVYZql1N60SwSjT4d8yedp3no9aYo3zPD1
Wi9VcR12i7KlzZXYE8nA/5yR+2HpM4aV7eDGih/ThMBf1nxAjmCMSmqSgyFS513r2xnqRwRG5Vbb
pRqh1aU2nkyoq30tSJHdO9Y1sGNxjqAGhv6MII8gky/gMxN3VyWuy0HyX6dJoh/72xB49pPjix6u
MyHsUTR+S+MWG1CTdudYGC8FTKqNFns1/f2uOuSjwOY+G5BwzvH28uZQkySK1gyjAIg67c+kb4pb
keE3QgVEFhwDqsPyBuly6PAwWmCizixSNPlQJ4dHuE+UvsMjNGToAq1d/BxzyVHbUvGL1tHe6IX2
va+s8LnD1XYJkubJ4aexhRAIuDTyInThel8zOwiqE7vf53LnubADLX0EU2OQJOjQxT9PfgPDMgzs
E3W79pyGPicQElAKOHr/e+F15uPyfy9ec5uRk4bL/M+37T+O07lv0i809HSNimwAE5oPuNlF9FAM
7e8gjBiSY9ZCFsIrjP/lpp4zAAfBlF0jF/KjJYWOtqR11yIUqNWEO3WStdos59HO4UdR6MbZjqC/
0ix/CFQfXHqqdAbHHMnn87ZZedWGiChi0w1l0oOZoBlrKlz7ooxPvVV/kLbdkB9U0wtr/VmmqvCv
eFpw5OD/3Aet8y1ELI5toTm6vle8Iebvykh9t2uCQB1x/9odSz0ddxl4FxgHjN6XV1BFGcKHwT/8
UM2/l2zUF4zejXlTNoBW/HfJxoQZpqM++xUWGscy+lkoRdKd+7jC/lm5uv8QLuC7Wnu3HOUeGk0S
4eXVo3UiOjBl6n4udOEx3Bmti90hvFCqL+5LYzOveiD6ZWDe/vfbYZH8/PfbwfV9b1FIspXpy6H0
Pw7qpYZezypVSulAbHzZ6cW1J9ayyu1rN6vsOrJ9y3C9hMgsgDYaUISSLgzLvCEtt/GdD+k21lHm
Ycz7oAkIKEm1HVUh/cnsH6U/fxecLtWcgbZV6J6w9T/ewHVraXrcUAQRU2+/+iaVARMT83F5ZQbM
AbNousJB198jOejbiduzlpTNtXElDZQ4iQgvspprNV+U1SJtaV1z/RTj+nlDB5A9ocw8qDq5xhWF
iOER/avqSt0rPWXUZpanQMeLPItEFsJ71+pAiMwkvztjRnSvUQNRaA08gSSJbmzVe6soJHNsaJMX
/gn1Q1Nx5NovUzBCwqpxkL9bUV1hZQJUJ+UZ5A2BR7I8aXbYviuf5KTCx+9fdn1/DaK0vzIuYNKR
scDNd8vHe9eKUX3XyP/SmP6rkXin5aF0+4F5YFUbx4gmFaqPqHrva/insd9su7IKqRgQNJSOTZZ4
XCD1DBy4CGnh36VZxpuvwjYKniwGz5gXZLyzkZRs/CwdHppR3AhVc09MIbCZulr5kUqoh8Dw70zC
nOdmYljdjnm0X4585rWaK+pEM5wtbjafseWyLvDDHk6ejk7g6wlC0MzUY4lxWLgdgtMOgYuNftD7
WKzjubB185QkSX0WsmCeWmVVxi4R5P3NEcTjMcZ+0olYe0pj9U+Kkj8fd8FR3aI/oXPKd232oP9+
3HMkFGM2jHTm0u6m9UP1weyPXNMpkmRPvJUGab4QYt0D6mMWw8C5myV+cCkge6YcGV7dQL6puPGO
AuDVViKvueq1Kc62PA12s/uqxFPQufNd6njInvLyY6rqnY2Q/5IkWr4BfICrUiQ+zjg3+ofZHWO6
P/YJvkfLnLuPaLptuDZzp+M/Fgb0YUry5KTA6UpQ15a+CQOHPc9pM76tPvvJ04lDbBG0aV2+HVR2
WjwuxaTPVqMO20NthtkeZxLW3CU3RideGOWTTiL7zBKif4yCQn8qpdvtoYcB+WGwDCsDgD/N3YxY
s2enIV4xTO2amEv4KIumOCT6al//PxL7ZEOss1vjXcZluu6MAWCzUeovwOIPva06njAiNOxqGGju
wehyAxonyIiX0xzpZRz+bYgtHSETdyPGWvbFFy55iiBMdZesM+kSpkn14djI9jy8qiutL36ggMBk
iCN3VRFZcBWt+zMdh+iKHr6+Ok38q226myqy4SlBIr6ln+mcRFXgFMeMO9gErGvTc2YDXxmqMMeI
5UFXI55xM1Ggjhztn2H8ThsrtNqD4eUvbhdVt9BnlqM1IiNb3IfyYxahtbKiqdqxWZOiWLl4SkMn
/laCs42hN/5IDd3cBQ1ZVESFG4X83RckyqZ1/p2UiFdpvy4tM4pKZgYh3/Isco06N2S4Z/vrQcy0
8/m5zrrqqfb5RYNxbpk0jOE/HNi9Pw/s81tOoNTicOX+f0SdAFq8rnCR/GDieiHP4KOScjw2Y4f+
joHP2qNFxE8w2PnImz7zESu0lbVnv4L7YE6Jg6UZBnHRw+pFj+jt3CZpXnAJXwbLP06GUb4XtS/W
LRmaj9o8a0lDTxBKQme1d90fYsy8sxnr+d6wI6bDCX6lsHHcFxkWDjmHlbOr6P8fCpss5sqooVcw
l/pSppRECdW5r04dC32SGdlLSM/02cixcnqd8wZHX+xr0/hMKyZD+J4If2MyeESa2W6WLDh7HC/Q
Olk6p3A4l3EcPg21H648fNY/Mr3jPTckr7UToef04rlZ20GmKbzKurC5uUfGGOVqia+L4VA8djXD
Qt0wrnUTkbSCweC1iHmD+PVYXZalmEtzYqjMxSgErqG+f0ljLbwDI5skvFiKfnJzy3qOonQ4ytjq
Hwbff5tw8AvnKEBOCP0MYf2t0wWZOQjw5ibrWKvbS4WDcB80OtG5Y2s/dl3zqxV9uiVtzl/OkI2b
aUfLnnirTkUh9zrdVCSoHeRri3+hSMzvGa73/WL+nrT8BwkB7p1qOFkbUub/YC2hX/HnaEp4trDn
jrXv0GHy/1b2AWlrtM5GYeYH3yPXBHYYKuzu88WzIc4P+kiWs5nFjxZh0o+1ipIHlHK35SuWD5X9
yOQdzcsqFSltUkg8ONJiOCXzgZ+zgnX0B/ev5U4Z8kHRK937nSxp0tXWtbKfu4nsRmXdrfrbMKcX
8oxqj8onxNa5OfWtnHK2W7rdS/P7jzY47c1oXbPN7Wzdq18iBkRuDu/I1PaR1vVnt1PMThKgDcSF
9+g4x+lgjeA0vFZz35CW/YoHt/4EqtVGUsMz6ndrd3SdXZMm4i22I9oetO35mgbgEdBep/DEJu3u
sA/MY2lNP2guWnckv9Y9a4gWzBgzH/MKRKXeAzRWEyOLpUUSoM21zZiZF4HwK8Tt8xM9QaHBPwIg
CoqpFvXeYxyBnyKSCQO90M58EvmdDGjfdrY81ml0xDdjvRNa8pKb8WfURfcAccBfeZPcc4abX+3r
2eeZNYl8svTC2mNp3wKWCHeL1EoKAhnCvDuHRh2geAS9OU1hu9V8Qdid01Sr2O/VT5yG64JW9DdK
K2eT9wRWApd5MWtydG0OK9sscewjWtRkyzIL7LhzexQ+/ofjJcN9UO1NG0hAqtv6AZs9XQ1vn/FW
PKeJLs6TmoznUHd/6739yMALbLMXPSVCwGTzbXM9Ms48hMotj/iAE0CrDv6mSu78Lmq2k5j89wGm
4MruaRv0vYNIro2zWxyyxOqkqj7hTqK3hfcXvowoLqBsnRXxTt2rWcLGI50iXrcifGT4OB6hEnXr
gWf4Vfhx8GBmHuio+dajqDUN54iHlpQBkJDDqRXGvy6W3unHkmREyNqkczDmoydcAF+eb9V8kWZc
ULqbFgTqZINbor6hWDX2bp+OG0kw3ENfDpwvo0c94ojl4+m/Bn5bXz0VNV+vct2v6aEn/Xb5rDt/
CTyNfNfO22qli0sibftbXPQj1mkruQbKMg4aZv9z35Js3OiZ/RhpQqylCf+hxtS+4tjqvE2Gf/cI
4sTkbxJ40HXyIvtjVCTNmxt3D77VlT8B/QREKfvdre9iEhx4hjZASYufOEVWhkv/EhhDgbUznM7I
DVCycsJ9Iz4DdVb9S5It04kkeAm0MHlqbPalYajPWYCKQpV+dMXG9UTtvheY3XdSEotjFO60RbcI
lKB2X6B8xC+i9MIn2Cv1E6Ey8WGsUdUst9KnVYHp015RnVeHLmXQEUxPnZcYz8slrgH62MAZljsf
c9TO0ARObnhaHdH1MEiycR3pBi7YthzImdJoC84XVTEsmUqzO/ml7RIn0Uzke9rVSz9Wpwi9RF5m
wYzlK7uHr5edyZncpbKEJ1Uei0o7xpZ3Vqw3r3rt6Meqx2pctwPdk2LcJFqpn+25Z9IC6jqXY65I
p9EgGKwk6ZobsCWYEyagEFCbriGjoF1RwT/EBORdlgsN5pH8nANn2B9+ZmyqLq4+GWneCcoLPiRY
ovWs2pXReNDQUUOrG4zrhPLo2k3jdBWrbNDjndGa/baf6za7EsVDbXbkRfeR23AmoHdbqmd7NgCK
geNp2dnlmbhtEHEh/SNiAGYRgmj3HOjVq0VuCgtMh5ADdcnr1E0OCCQY7lbpflaT+8OGmYx7IIlX
4C/hjI4B3ggeSTPkCU208FVxNLUM7W5MGsen4IiaLf5wMPDF2LEymdy6Ga8zgiFeEza2LQDPdZHP
wMec4CkWPc2WMop4B40E1FQkTuolXAOX5o/FkX4V8ZvzPflE3AEtsze2M3fTdBaEYDFscU+7rHT1
oU/15zLq/tIBIMWt1xx8C4ibVZTRrvHaCI901tE6+zEFybaq3WmT2WJlGgCY/OmYqfyHNREcAuob
X5plo2BeowS/5Kk17fFN/nDUnPxKj/WI6Q5j6STtPXkZ1joyJ7Uu6o2XdqzTFc3/sS9+0ynk0FIm
+RoXxrsfm0xJmvBmF+MPnZC8lZYE555ykThcajKsnbzQnkBHkOXmpgTRu485fxexDtodUTZv/6r4
1Y6jftI5BMDrsZqt6ujGthZZWURJYCVjyulbnEz8izXp6cZLrGiLpw68u9YZm9KQKKCe8EiyRTaS
ahu9Da79wViXM/UtZY1f9b5OcI1uvxJfC8Rbd6bdgMZyYzbbxGA4FRQVcnOyaXALnke7/5FV+HGE
67wLVZlrTJqPRKL+5hn86fSHzr4NFnJZS+0QnBPkg5V0pWu1sRokQZQixRKBRM0nw3yjAjvZjgmO
pVIDOWQBdAvb6aELqvhS5JgFlXIBuCFoyulNg6xoNo3Tg8IIohUis/6BNlvKxLi3nHJHEsLWCNNz
WaOIakoN3fDgaABFSbOiiw+57NmNJu/YT+yP6rdoxnNS9zvpgPZpw/rTCOjHMqF4kEksN9LV2EBs
j+RWdKOTjxM2tGYeq/U2tGAtdbt75AfP1ma0+iqhaUvC9xlrJyROFyWUiR/fN2hDuPxGNxW+GAzs
ILdbi8PVQDMw6ePvbRNsK7+Y8HxJyFnhTRJyclb562CG6pQKsz13jhmTFTLxvQkT+l/drju6Z+tA
+t/99tNzRbYuUv2JWJ1oncbiR9sRiKaDuViz3FtzczM6CAHagllWhNHGa1EGWMXviIHvVpuwZlUw
EkihgGApPSOCmdGib21gY+LA+j3G5UsR5D/ykeDjLvmEx0YgrrxzvjjwhOWHNDCLE2q7o9CLb1YA
mTUW5s6hMGC9wEdacJBshXXtQjjuwMaAKfDlLTlyfY9wgM7TxLPYOZ3aI7XaxxVKadXWwS5gkrpr
wX2sugK/Qu1qyKIaUEpF/s2bU0cTlxUzdxTY+DFZkT2pHQJpbviVAq+ccthCJc2ZzNtZfXvrZfI5
+OUcS9zSXhujo1BYUhtKh7XbYWZQ2B9BXRyogHiXdWrYmmbOP47cPqHgELhhurH16QTDFcdM4w7r
2rLuHh2ueSjEfrsVY65vW+JGQ3Qi69h0T1UW3MD2Tat6KPvd2A/7jOkWOd2+hB0jq7VKQMdwhloP
pDzZVfl9itElEONtmBXLvfmc+DTwO7s7pFP5rdTnSg9BBTWvfg4Qw7No1hz2uphRiz9u/Ua+mhB1
fLaqTWShmUuHUwXRFZQsLR/VxkjRC/og2S7ErooIbI+IYpXM9Im2I72UyRYu7BBUFPWuq3/G2g49
Ybkq+GkWky0OVpduxhGRR1qody+GNlz5w84uyuBgViacluRbYyONSSbWa9mc7dwY9oVbOtsEKNLa
8htx6C3E1nV9bUrYsZCL1ZqBEjmDyjyFOnOI2m1xWCKSGmO8XkWCr6wKqn5jh8JfNWX1KV2Ymh1H
JPLSvF9jNfQXo4J1GIc7iJrPgcySFWqXzySIH4AO7SOy4PS8Ho8gBDfdIA+QFN+GBi6gHeKBTsJK
2xKD2q5bhtCuJCnUwOi4zczqR+GAEE8iElPsEZkMB99NBh6RdqctWYv0at35FG1m8xYZ6LzAem3G
AXhUoJJgn47pnBZdPHbQp1amtw8yUVGHRb8n6P2rsTbAN2ckJOfacPPD8rMt4lvcgJcNOzxgcbJL
ffMt7zzIszLH8llQU2i4aJJBsqZkVrUjvpfuapfAAvVP1G7jnpy/n5GCc5enj6FU98Sz79QQL247
+xMH59VhDexaK1uLJjgNOSL5DviVzH2CdVOQWtY3IwB8pQWH3pPvZcP3CG7lVSuYjFtsPAzXfR5J
cLiGI/5ygCIfYLr8iqp261RJdzTxELQV4QyeL0+5cJ7DAJmbN7q0yQKTZZZlMMpO/EqfCEN4xk1B
wJGMHyLs3wlG0AJrJbQ8xnHRWjXtI7qifTx8EuRxEnanLqz3zhOx0MUq0/PVYGIXFFBsjgXw0NGN
3nWr2qsgxitd7iE15iu3iS91NIeSexujhXK7NkU8qzKg6lVEkbgGSLwsM76HsAxWctxGuk6iZU++
qmGRr5oNDXi1qvLXUYU5RY9+U1+ShaQVN5NCuIU6f27tTxeQ95r+QXVn/GRuFO3tOiMeKnDUTxMf
RJd040HYIRMWrTJYj3trF3IU5NOqSne0YdSBBWtfTeF7hVRorTWuj5fP2RWSME3YltYBmx2SzMzd
s11TcbHzmIzFNuWmEuZb3aQf7uiTaw6sdB2D67Ti5iPzKDicjtRMg1Zm7llkcQ7MMoeO5QLgeAIc
2x6zemNJ6wDga1wHsTLngv/DtXtsNCQQu56iN5AZiApA3XrE+lLoBmvJoLAk83oLDbgnEgQ7b1EE
n32bPOmg5SZzIsajtres0RZzR4SZepqrHXDhK9Wo9RDYwQNHz02VM++JQHlhgKQPN3DwECxpXe7g
1CcKQFjEqVUGwt8xMjkAoaBefi5hxzprjX1zRhn/ORXBdx7ZcNs4tbOK6nLOiqSFFmOUhdWxR3Ds
7ogYjARSMpMVP8mVWufW2Yh+E1zWRFDLhVef/I6SNZCTtad1zqwCvQR9wPA0WNW7gyx4FQv+cGj2
5H1PPk5BRRvFY8/Ri79C5ocrl2PYyu2fI0ZGK9SqZ1Pvf9c9WdRm4G0Vg+AeAGxQCXttV843f6Ks
cfXxfYKmtNJMNzqC+VundaY/Oxi3e8/AzAq+da0B/YysvIRqaZKEWRBxBI1hbSec0YMBAnnmagYE
W9S3/BHLpwHdbfVhWjWRUdAB6OvdlE3uLsYGQ16StxtcMLtKlEeQr+R3asVfEjNf0PAeNdJZzBWT
vyUy4zA1juBUS90TJu1npxmMXSB5QyYhP8x7acs8uLEEuyshvs/4BgtP9lbp6AsqotOfW72eYbhL
fgW3xfwxWbGE5cciIvAzc4T5Mop2DicV/zBsdP82NyELwDRdUOmeTWb2n4pmrWYSLFGo8kTPXNO+
JHLRIskTdQrxGLOjkcSj5KmDHIvUaVs2bfyQxLk6YHvku8PAUAOgOy2iLM0VG803riZNuh1rYPGc
NoBAOw1IiBx9a+eFTnOqLb5xaMcW2j5uK/l/RxGD/yDThNBZbXwpC82/hhNexsI3otWXR7ETHVxX
kj14NkjdqiZgLuaGnIjg2SEJbNXqJdywWStA1/qxmGDQaakeH7WyJc2CzcfrsnIfzkDRdMyaxytE
En07zhgOVdsf9TI4wbpY7gG+2cexjclAgKp1KB3tAyHCeO268mNJLqns4Zs7hyUu9Lnl4ubqErXE
3v7vcbDxZ0fTZRDEdBoDufBMAEF/DLIBldV0I8DTl3hlSmnhwPJdvlenXw2tQ+Sak6PgtOorCaDp
ZmAiNCtx0dlPlYP3TUspwcQBccw/SIONP6XB6DbRKvK8mr6LnPxP/WaCNsBPqXRnVGpHbEhxzumU
vTuAjFe9rggGHSXuPpF1J5th45d+LW4kNqI5LjhB+/kPQ3/jTwkb/yQPnxKnMNwJsIX+mAIywRJu
iPuOBi/aEQZN9rUHErXNJS5ydxpe9KH5SzdcqF/1fWT2cbFIHlsvYaj/+9dmm/qfwmPXxolk+7i6
bUO4tvnHuK6XMgzUSFZSojGW1Ovx2vN7GLpi17ZzBmg99ac6CK5BrzdnZtv2OYCJuPPT0H70Uqgv
OotZCu9jk0W63IISby7E7xyW6YuZieZo2sZ3p4Uihgop3DqF09y+RjM2rj2cxQkQQWAxeIsa2Vuv
7kSttNymmvHmuUM2G1OCHasCLuFptp/J0tv1lnj/l10DCQjRSxEACdAzFWHwKE8hQTdI/FdeEtBQ
9bAg62nIW9PotW3jor+cv5ZzxEAxlnvbZujLba0BIYDBug6YYv30ux4mDXa2/ZT62a5wtHwbO92s
SM7UtgSOvakU7bAvCBOmKe+iko50h/mSdYmFeBITrlM9Opn2aMYZdtVW8nP9GlQHpvcs2HbrnDwA
ikb6ntuiLhUG7QULAVz9jEzVOAMzDQ96E13cYaKPi9PYmawWrZ1hvHgkHNqoV66wAI0XSh8Unio7
gw7xNtgU5CbUPX3nSOaCmWReKQdSXTS9LVaSowBnUhDok5GjspszByLHhkZa27dMX8E2rl+NArs1
hyn/IU5i41DqteTE1DJRdLSL14ThraaLu/talCfPItA51dx76PsbT0QW0ay2te+pUnK3/Z3WsX2U
puHdwZVFJ3TjvOfYbNeJr8ADNS1NKNsamssUQHsiguGh8cqcnLPpX6/Ch1YLHyYoveVqkhkSMfRR
D1KUpJAViP0jK2Ju0TlHHh8MsYGRP+2WK/rd4slPoBENMX6SNo+HgxuO2b702+8KK+TN7hVp2CFg
WOAzzqnKwwoHtHW0AdWKabyg3HIOPRFwrGi+w6EuMjF+MHzXJFkJnp97R0t52JEbO91raiBQLgKx
HJse1nfdM1/rdgpo2FfZHjV7Mo+Eh7h7AjIyPTHZrZlcgI2I0GR/PXTzK81WjwrY8GH5kKG16Kjc
4W30429TWZAW5fcgi6BwXtq6KoimwwSLNwNBUMQ8xKn0HGW9RCmh4fpag9LEFKmc9l7NlyHzTl+w
LykjevZDMlxGDzp3mjpvUfXsJCqg9Kzoi/oR0YxqsNR1Uu64ERlTsaT0z1jGDahYXJRmW7D7CdXW
WDIwMXPpbPRz2aDuy53uUP3JWWcRApOajSWMgeR1ecXOIY6F1J+9RtxEIf2XhHnjZnSIJpkc8WFi
cn2N6mfVUP/Dd3G3up5pD3pSWechF+kZD7q8aDPc03QL4ye+NwWHVYE2L6zknsFLeWqsXKNCtqeb
13Tkl6bY6uSFaUNzxhvvl6u27aFHZSmxVoB0jrTt99XsYTM90U4AsGnBFZx3NzZQ6BmkHvS7yTAb
Zq7OeHfMXgekxn4HVzS4ScJSgkmdIgeZLQ0FKr7lHpdVsRpU92txo8I4R/1jJc6lLiwcYXbvXNlf
4UGknACFWwMht/U7dkt1WihupKd+iSacSrrAZdL2STmc8+r0kUTN16/PoVv8Hixq1mwEwFqbapNS
atPLipwdoEa2PP5cPdrZ46juKePHi8spcxcJh5bmfLvk66CHSzd1ooxtkuntJaX7aTeu8dLXTvpc
5b+Vk7EwzWOOdvxVy0iFnG2aXdc02l8y5xCsev9G5mF/xVBa7eQIwSqep2t1NKoHq7R/G15Hy5tH
XpMHBC/0bebMisJNy5vm8c5VT//+qOaZ4aVkKa5+0j6wVyKHEhE3BhmLAI3tpElJMwnLPSnS2cEq
Rn+NnPrD5zf/DbfTykWx/p2Zegj66TmBB7uBJTg+6WqMthEUy53UFWEOyVSymfWYIJq22Jp5pu2J
Fl/LlDDj1dSNHs7zfpA7Ujy7r+dOjoBXrHKk9zg/gUUPY4NGqw9qdY4MajkVnBjOPGQVaepV5WGb
kUVOxYyQyR7IbXY8jVb5nA8JQWgs9gbZbitChr7n+CzXS0DRcnHnQNavW9si8aLpwb0FuXkh4CHY
M2rNCVCdYds03VC8jlFiPqjymST24DBq8T2bE3EW1m5iYumbsaxx3dJ/nunGJQlWN4GEHj4fIxgA
KiJmrsh84BNP63rsPe+uNPHpt6C/ZEB0EQPhboscSV8tt8snGtm+eNh0DqlLv3rVhwaB1vBi6lBp
F/Sf9Zro7nrrqIKfDMfDcK8hLk4Vsu2pDLvXRnrNujSs5va1/2HM0w//+U1VSRWueojEOF494zKy
6KjV8tLs3jhQbdMpth701AneosL/5fWBdfwSD7WY2FYeJIegKw3iprRXPbHSm5QwaXMPW0Mgute2
7tDXOOW+0xRtAcu9DDQkppVFF3StDYLKLA8mSFUZXie9LH5i3kSDqev03uK4Lm/FZ23/CgckXW3U
G4e45uHpJ5/zOBX+FvDDpc/96cW1Q6jvWVwmO7siPxP3vrnVWzPYNl0F3IB09PWy4IdkY23GuKFx
5iaHqJPpu0nmxSZRjnfO7M5D86RepVltOq0iOIynHMHov18qn45YpbvfvowPiwdiyGznFKBoYKVu
mu7gLKtZo/shrUzP3xKOWu8VsovVomlaVOGNZqmbXf6o4sx4Y14zHVXLjj6eCZFo7o4BOQVkU7xN
HZuDrlGYA0u3bk+bnOAQBPfMrdPr3GgU4a6xac0bc320sF8SHGG7HqX1NhVzGKqODJKYU0wLWlmD
N4dot0LE5D+IpRSnkDfOGa5yMadsIelbeUQ9ndIZiRIOo8maWFFNYnb9wrv8G/TSuh/Se1d94qGp
Iya40lnKl9tUtHQqEhszwZTCbE7msE0hGZ8gqIJonjr5KTCS34sJHHGy+rKDF6Y7nvUofUt603gw
SLh9sn3wQXMx1ygreRLcNfCfFRntF1f0+MabTh7LhhHSchvVLuEKsJIPJS4qI02zb5Whf0YjDo6v
twd9K07nTjonAqYMSA3vCqHhmTGJK89VUoyriULdiGrnVJc0xHpPu8hIi5FHEljVphobrm9Q3g7e
buGEFGkDW5Bsgq/bwR7qQ2TaNC6moHxWRf/TH2vv3QDnlVHHnZZLMr9SUf/e1aF1AccV330Z/K5C
S30L2EB5F3fm3ilL9c2NsLjrkYmggK+C3/KzMC9hXESXyki2XzbxHqvCd04NtFskGxfHZvvoY0Ld
6ahlXwPVvoYTrWPcRmgIRFDd4mo4FljvmDhlyRtCnrVNptVjC3LiMJn9tC+LMHqR0L9YDMRDjYny
Ghh+iKg+fKzSlKQhVW8RyxmXUrTGJcWZAxee2zjndzGk1Q/EjPktj7ocqmlJtWzRtl5ul09ozWO1
UJyU1x/UICQkcJI9pm7dGJn5cxrH3zVm7wWyh0T2zePo9BRnI0nCfm+tGJDG0CQDAiOBvJFi1QgL
XkJRH0phF6uWxATQXw1pJK2atkQtEhFswkrTrkUu8h1VHHPJmvg8shjB6hfmiQf16/xEVdBsdVsZ
a6klxRV1mb2XLvRm2RT9MRgKRLdBMFyKrmz3RaAPAI+idh9qo7sjxOaviafsQllMvFFr1j8KP7wZ
PFGvfZQaTDRM2qMpJwPYmS9hSdxbBqoWw8mMy8pEtulyndu5OFs+67TNdBB1pu06dNhbfKP9XNmD
1nSk8aaRMZAzVL8asjbfGJWRg1CPz3UxdocaQ9BqpsGcvfmEg+YOvGeTnJa75ePumFgVbCC+xPn3
Sw/9RrBZvqrVfwTC109Ctd4Gob9a+akbnJcLXO/gXJCTJNbLy0h3/vz7l7+j8pvfGgmc+8VssNgO
ykSTm7Gwc3ZBcAdVAm4BTuVZzjFpivZmIzxBbk7i3Q2wX8vgvp2YCmhtsPUit36U88XJxnzN0WsF
Kb16isOYJnwT/pQFAaJpZ5ELOaU7fQbcBFn5r8tyS+k4rNvCHGkLSOtam+ljm+na0RYaqcVtqZ1h
lwRbx6j6Pbuz9YoHKOAECxde80mDUWFxjW1BxhlQMGj+VQyIonO2dL6CbWBb6nviiiPPjiK9rDxg
CSSDi02Ydn9W4iOS4pfXItxx2/bdATwUZET3jLZHlMUs0Xb07DXRK/9Mb/uRwWJI5gEJGTwFe6Z0
vPcNQ13rOJiuwKfV1c5aphaVf5//y1NxF4k1nopAam+d0bzZ0f8h68yWG0XCbvtERADJeKt5tOXZ
rhuiyq5mHhNI4OnPAvX5+ww3Ckl2V9uylGTub++1fe3RA6pxbUIKQTFPMd52fiwr+adJ0+gtxTWw
a2vHOIl+57vu8Ob2N8uKq48CAt5D1MevvLRbHSfr30pyXJg5IpNnPjp2qu+CihiIawMoB7MhAfAp
/9XuMrWlahrHxOwUFIafHUZj0MFGDsjonIijuuLAFKK5plUOCnMebCqz+rTAFu/bOSCXSQniLI28
7eKZpwKAjbFiqMFAjvhcPlCuTKnDzNpgZDLY+XerOEAACXprNfu7ipqPiL7Vz4w0IAdJFaJA5fVL
CF/xmQsCft5a6XtyGPEvQKQLYWJ5mpASdAnKl7XA7t9EGn6qQWmPSMvW250sYqAzHRlvWUevjJ8L
YE2PvrZf0hXY3jdGFsibizfshObYsJMjnYxGGjw7kV++Y0fuudbScmPGRfTFx4LS18ktWc9bf+WU
TDUaNaQwLqoCNTWVv6NRHTxV6+96i1Rgsv2gma36J7Q1/bHseAWWeyD3wt1EuO2RwzbPVTqn8BTS
IxQpVlbwBb+l5oO8zdwfBjN43vzaRKNO20NSaleDkrRHkQz4Y9yeg8Ao173fscEk2nVKO/4xj6Ym
5sx1eLBnw3vSQmADmv+chSLaWyY8FHreaNZucCbYczS5NTYdNY7UqmXZniHob96rIG6NqEdqyHbJ
0J7mCPh7mqd4XYepP7M8R++mi9IdC1CLy1erVv+jSpvuKuY53rxdZxinX8KBFkpXZ7aX+pyP/Gho
9yn/NKoCzVyL31AbnxnxxS8jaaVN4pT5Eef7DBIpCHLsI1H1e0+lvMhFG2zHakz2o2d3hwKCyNuA
Wmdw5PsDeZP4RjHmj7o+XgfsmDu8ftOxLJVzCis2baVn7ooRu7w5WdW1cgdrSzcv7QN+5K1Qjj+T
NKoevPn9kM3vB21+P5BNIDUZk3KG0+J7FifBmYJspq52a0lyjnGbcIaTA+Rt/hvHzw//7e6WLV5h
Vud+QTPLFINfnQxkWlQYF2uzS2NCHGZyjvveejYDDUd1mb66ngGJJvabPSBvztpZUZoQkezyUA/t
70ZStOL7XXawWNP2nPIPEdOxx87P2Q8ZRfU34k+WAPDX0n5l5kG4typZ7IYyYgqiJdlPbm+8HG9t
bOW/Jb6rje/7+WUCJ/SQghNc2z7dTf9esHXvivVRe3TGgsN9XXPej1PnpZhE8BL6xmvO5frahVp/
LUuLwg/vAnFk+NCKJr84Dui1Omj0d8J6m9bo3heStgxytXEKZosiN17GqH3upO29ukl/iXM3ew+k
wQogjeeo7p7sOc2Q5UO7DsTcoh23r71Ls7Xfl+ee8y3u2QaXbNlqkAELMzuHFm5lzU7sq+FE7TpO
daLAc5mgrvmHslF7xUynRipC54Ix29oxJc9JUe2Wh2KhzfbK2vwpnWq4EpwIofMLB7dkWQICLj3e
q5O/BUVSX4e6pS/XTtkRz75+/iZqrzUdoNgCJcyGQ79b4mx9mn67cGHtBKJmMgo+meBbV0S9iJcy
C14gmnkmfnKv7xHPJv1SGW1/nOLmdegekgqfHemhB0RceQwHvT7xIFqenbqHMK2cNwSBBDaLS0WK
b0VXCNnV+8Tyq2WsG07Vxdu0orZKjNL+MCgjZNPq9ZvQG3CNUzZLRE7fdGZqbDIr9XcFrgeb6WEP
sn4uLSQqQPa6cLVd4jSMxnt+W4qAYIyY8Q/2J8yN6TXEu/q83PAp0EnWWuUu6Mb+2X/AvxaQD3Eo
oeVn6p2qeJIN/VGdpVEtxpV8HLx0BILFv65q+d2MgK5kQyeXabgDCYD+KKFo/dZjopS9gOvBzpAp
G3ul5YYZYspGsnO2y0MS16dBQrbqhCL7vASfBzO85Zm568jrvxj2v8EMqTNVXzJEpZ40D4wYskKo
69TgthzryN8sAe2YbpVTuyDcbdWnV+hI9Upjh36s55K4UBXZ6f5j4V+x+IiXEKK8Jl5HFuW3FW/L
Dc1O4BIW0vNSznv/ZOdzeyOFtpOucGdN5bpka6pI/HTp9X7X0tL0mhkQcwLFclvHjM/DODfveSGW
2m5TjZVnHZ8MdL1oLaYGPcVstO3SiUrOs7sCfjl2M31/ufETg/4hfvj1f8+1ILSuWRXtGh0JFXGd
IUAP4nNjx4O1MfOx2dlcV2k0pqPFr5L6nA9ms0Ep/1O1IrosVQe9JasTUweaH+bRXmF0ijB5VO9L
D+vNfFoSicAxESf0blKadmnoPUN2ZMQyiAZ6mhX9wxwkYFcRwMyejODVkprZUehKJ8SSj5pMD79n
FJab5WFrTOkB6H+wcqKg2YlO9YSrO0oEmqo54RRhXR/74qlSSXAqE3OEGx72fzhVb6fUdD4JT8ld
O4/BisjmYjgfbhVvxP/jRpr9LadJ6zJJ/Zvu2+CvnnyreHiWXKFOXZNuKhblc2ywgwHYuZrIvHEl
Jxq1m4aR6zOVhgeYKhFFft2dIORhX39pJQmwDMMqpAFsPammY+5w8O8gpi43EHCfdDlDbbLxLZX8
yHd500mt+LZsMjv7087c7NbaTfuoGAVz9QvP3rzXdx2VACGaH/97t4LZm0INvoZeeZXTqD90pdGt
0lH6p7jTGR0QxSSwFgIFJYeDugg56bGo5d6ABXSSklPfcsStRx2fF907F4ZdL1Ez+nywL6SO5SOA
Dbo4pt76h/EDzriiiyggr+NL2gR/vKLhRNrJcdu4hrVKD7QfmH9r33txNX16a61qX+rd3+XPJ9ke
PXt4JZ1ZcZ3f10901J/Rp8WQ4OuqNOfs+rL9Y8DMXskwyT5gXJq8Udz0pGiF2CQuo5d56kB7EgnC
3Dz30uRwgA9uTcYAGpLX9ngKPRLYFHbhMSvPi/ZLEwODGI3fNsN3f5EFE3c7DaMvaraBJtTCOgcw
bV8o1DyGTiif9CqILnkffhj8Hu9s1xnqkk9bHunTehjK/J2m1g5qIFxOL/uOqDn9CTIQ1mOqfcQi
mbYWpgGcrnZNOSDeUhm/LnBpVVt/YncYoavjc0rLimxsDUfTM9rgoQi8fmuNdv9cZJUNNX3q3xMd
RbMtCqYZmci2uPTqs+uCKJn3gcv1rLHf6tZQb4auf2u5P+8aYg6z/ZX4LE0d4w+z9IGlvTZfcHSj
xNeq2Eur2DctkCgra5mDuf5cZYH1a91PCqfw/OTy5dCwvUuJ9LGyppb88/801yz3Shw6rtcBV6xt
LfvB0plrlXZSJhdsThTzLSEwNJf5WUdF3m6S3XtqBvW1sHSCVwMXFaeRmF3mh8sXRt2sh5V06voq
a9s/lV62Xb7637ekimFuM2hvCrLjbQSIetQKTKIFLqjb8pwnhu7Kn3EP6ocSGB0cQ6KH1d6tpu6i
ZrP9ci+nh4wqZ0onfAYFped1F5kRD9TGCnsOJhGsW3gyQ4bxbxnk86OMkOGrQfthvoJ7L65c2AV0
TBW2E50138wv/90QgmywtLs/i+AY5voMMIaoXqvzWArzrFxHrO3R6dIPMxLdo2LbsGk9WN7LamKX
EmBUieddH7pjL2MKc0PeJFGU/CyBuUIm4hinYMgtHSjpSP51v1yHus5O6eMz8dl2V6JR2dYRXfSC
Rnak0yu/NDMEJBrbgcSYqTBEsir4mITkRxsN3qE3T62Vm2ubRf2L5q1bORQTv8QHa8opdHH/L6XO
NC+nBzWirQ969zss7faQloF5dLv+qGzTpZG7tE8yhUMZ+Ywo9LHN1kK2zZcXZlAydGczOTOlS5uq
J68DBjOnB0iMkqtSULbdIbmquVIc7wufhdoI6e6ypput8ZpnSgRHQR0QDXmMHSZOPyvhMMH4V/vl
DL/tBHM+vFsuytFAMXZQy3PiEwPsAgVjXoK4rYR6NEas874LbXS5di4CuKk80jai/NZ6apArxzt3
CQM2FFT7zHT5D/V0IxMTHlUUAhEWsepHI/4dxM1AXMf316T2TvosmzZjUG0JeTE27BgKGFAG/2gl
v2Ktyr+o2/90sDreWBvpAbUJOiL/d1fN2tZhsYpN3Oj35ojJQeTFDcDuZ76Ojm3EPDj6rsZHKhqP
7sJ+l3oJBBAgo8jUg5qVjAVupzBkdUK6XyHNvpue9Mel0Th8GKM1rO0yfhsG1e3vw+4u6+NzKU5d
3jjv7Qi1AiMP1daNeQaAYR9xlDIDRx07s7KhrufAqKUJx37+vwUlF+gxR8BOZ6je8lxif3OdHGBT
5NGDxJeyVmMPA7WMZmZRvW34Z3dhYtuvs9p8xPoDqWR+GI9BerUT9nxC7sYW0wMp2Arj7exbRPG0
npUJu2b+qudm4VlI9ijM3o2XEhCL3/rxp0+A7pgMuNsYQZinmPDsxoY7lzpu+uYrle+tOq+ODCed
J5p8JlqriaE7oXUAkmWss15527jxtHQrPPArvWZvVSc+tFkl8+eb5V7viQTTs5leGOK9Y92YnqTr
pLfaFiGx6CD80oqo2BaZfQkQjq6FEYBbBun75ZNYXitdM89t78dvOk0QxDINuuOxOdwz17prjgcu
a4KtWzLe+ki7Me3R3s1m/BpyaqObIGEcEXYr0yFl5zt8eLKq+PegF1OJuf5vQ71ojloRD3vyMG/S
GxlZASVSx8IZnsALeY0erxj3KoiCIRuKefi33Oud+lfnMbha5LrJNUIKqM+Doz0sRBwmK6tkiiZK
+GL7UqXDkWxHs+nm2q4I2EPkGsVTa+jGsZ1nz+jD7nWcireOcsQNNoFfqqYOqwmMab9gNRK3hbJq
TBBgCjqGzUEn+WglgwEiKaaXMQ1vndFMfAhYL0OtLjFRhlN9iQv97NUBnkobauuhocRvVVRNeqG3
7lxWrXlw+jw4SQ7i9QzjW76WY1m6VLV8qIJGdJyHaC43Rh2HFKaWkycpIWi9jrJ2DScjF85XzwhA
8C9wWGqpp7V7n5W5YDNKNw+3mtd/JpHBiuj90cbsmawRpHNhH6mIIkkqqV7IzfCvABuywx4xrOxq
HB/0usWOkKRVgsuXGmdRW6wkmPx6LY9OfpGeDMooxlWjGeYx1aN/T6euN6n9/a1yrw+geSFGW+C4
M2aD3IlJhJs2qdy1xWzokpomn9COwTl5ld1iAwyJrz7PjwR9Crf779WhXzw5VKDKgQYDO4LDvJyT
EOGH/XKuVU5IuZWpR5tonsoLdL1LIBp3Y4FloquS/QkD+fhC6BvY2jw3CapXrRyp+vWlxORAqybB
A7GNplA7Bl3ymine1rZUu7A1xHkZqnshMgwF3NOxqtLXImt+jSCQHo0sQQKp9PKmMS7k6ChphUa5
PzuVg6m9oUiyMKNP6Wgc7TktTBlDxTlHsNiwgsaP11XbEnqJ6j+ViXxqcRJ8ZX70khlRefTZU+1F
HuCKQhzdL7xiPaOOLqFQbNUeqnmgX02gwvg5NiTvuk8Vq+f7lyd4Yxk189uicrWVmFx5BB52r/pr
Xe0du36wjzA8W1BhHGk6PwSscOocQ58u7tqYOU1zTBDSeU1NkZy2mtv672qglYRSLa81Mcwb8lbq
F2s28IhyWUhB290p0dgS/Pt53FF2tK95JTYTSdtNkurhwSjS9yyKtQfkHnutlVOw1Sz8yKpnzKSS
eX6Alb83sWF5mJ0e0DHe9Uzmt8rTbl6hxhOiDmYRVdVfJoj01XITlZ27vXc/EMQckcXupgc8WVTi
sPdZRbM/dKxt47gw+5XPhChgNkm7TYB+0XilcbW0PVeA8kE65tFGADwu4Cxmv40dlnst6CySZvpp
mT7YOhApxqtpCA9gGWtQgDoQffbGfYoxYxu3db1pCIMQ/8ARJOJoq8KAqhkG6ncppsZCdIwa96HF
/PMZuGMG1YdS+bsPNzwkiRWRP6zER1SiyFaaR5mJbY4vsOn3VjPRR5ORIFpGETqBgrgMATYpxEst
tz+Ulic/UYYTpacOzq2YEy4M/gC76a7lPY/rG3IuqW15lnZlb8KaXYQtnfay3ES6/stkJMKWnBA/
i2vaHmOB9S4OsHKX6uoCbmIBzCnjW+yTeuKMxiZpWPoMDij1jC2yx2rH9C3j05Zbj76vQx9qnKfl
oxVIiytjoR5lsHFtqHJuF8wns/kN+dfrEvUTFjCHbUNTkODoU05cgFf391ioa8kqF0QEuHqKdTfT
+0Izzw4yw/Fds1yvWozI50lU4hA3QHXUMOHq5Ux2tHVXPmkR7pXloVERoFuqf6IwMi5xC8UDktJK
Nsp5xxtwRIxHBa7HzUJokJxDthrjwSf0K5PMNa9N1fA7pXm356WRjf/oGjlD9MWVmDn9c1f7/v/x
kD+AdgfvqLzMEInY66qMUrOyd5Lz1NT/LO/QEusVUw2FNFYkdFg0oaKJxIMsUT7VjcdMX4k2OCaj
vl3KxxfAAppXd8jjZy4A9OOxDjOxFgh9HglUz6Trwx8i/wYF+htRZq9CfC2uH7nnpOr+mE4AfWPe
NamQ61eWQWemLa+8JH0WPjNc3Wm1+GltMiyJJf63cS2la7yLGWgWjcmoOQNMyE8NXz+uaTRHC4ae
YeU5HYONkaz6PnutCgRZKrHs4+AU/S4PjO6jH/ItI8f0NZJF9gJYAfQV7ocIme9unUrSLjzfPxkA
JKbXTsFdEB61ONF8pf53g1qiN9SZJo5C0aFpzMTxuep3FVZDglafvaigjf5o4ez/7sUcWvL6Uyxs
gtGT+e42bM4K36dN0hUDOFa2u//dLHaG5WGhrDdtrrgzwprc84x4oUYrfO0AW+/juueKb3XOLjK5
zLoJCIKFpzCZ5UpKmtYWsAIRNH/beKwYVDVRsJYV5sPYEKpWeBBbFIZDQlPxrjch785Lkh/l9rqI
k2gbUcdFDqKpQMaDdcD3WdUbCtomjgbzUJm14lylQbmXUBC/0vq1CcpyV5Y0JA9R/GK4pfZXgDiQ
nLRXRmFhrMBohZY/i1RaIBL6hFFUedlJWlB+TLV7KPjUzDaECMa7VxlcNiry+SHk2QMc9WJvZpb2
1vf+U9JaBt6JouSAH/nkYGQI5dYtrD3HiEfqlLB99xa8U6p0qFqP+nLvU1b+Wgdflez1v/Affwb+
6A8a1mF2rjRwF4C/3pZ71NE2qBkYro+2WatVOI9QOoc1qLHGpyx3+he3ZYmws/TGW1XDEMmQNhyc
z6byzcNCtYrM/AmTw3i8+8hqXBZ84sMz4A4bAqE5/ppSLKb6oPkkNjr3oXMKGxVwbcIP5HoQ6UcI
G9omLZOvqO+oOg28+tNzG+/iEnJqnJF8rlOBpmQ/sltEJ8ud3IPSwWU7IR9IC3bnDgN7daM7BL81
5waXNP06qowMThkurZCeo7BP2u3i2dIgEu6We6Fws51ieLoO6+lX79ArXntZvA+iFKZCEjES7ZuX
oMJvNkqQRagh7ol2KHM/ZgLsdsGgAuCm8VTmifGUmkBEWOxE0Jp7Sch1LblaHGOfgtplAYoH93fX
OJAcme8/5751dafyW6dU7zGhMgjDb8rHpcD0nVpucGg766WdEu2cRX1Owpt/UM/88pP8xHdpMe6m
K2IdpW70HBOT2jOgP5u4Cg+069Sc8OKbmdk9dbDZz0Km7B3rN0g5+zBwjMUESB+hxr4Ypkmaf6e9
dyB3k34GQYflZmjKU0Xt70radsj0p4xeWnv63elBjOcOAF46DBCb68hamSkhnTtqx6PQp0iaG/yj
a2/15lumpclGCs09MjzPKWrIrfUAaIJ+ya5iFI4BZDMJ3z44XTO+oEDv0hRXlQn25qLsrL3FFcEy
nQqVLc4U8abFdAfn0SdhH9pkVfWwnO1Z4DlEqRet+KtmN1FuzD+am6PTdi6SstD2YBVfwkymr1mm
88GcIzT3pc/pzLdFEq+zhDajAEfFIonTmLsmtb839Lo7dnHrvTvpuMUhPv5yQiyWmNu0o9aJb42E
GxNg3bo5oddsTGU1ZzZR0avFC0Hx400PzfQjz+L3Kk+Gr6ltEigNyfRieZnc9mO8C/ru5Pa2BZRc
/LJxpiBCt9EDK2b00AVGywHWKfeFXsJwJcyHizvvX6MUgwNYm8+hw/Slc7Hb6P70wHXiuR5qpASy
zE956OEOdt1+3wk7fskgB3ByuJoUlKxHn6qLsNC+Flv9XScYq0oncthjDe7yfOeNwwOCYr7DAU53
becRJ0gktS3TUK8Hv3VvDkjjdTZCr6lzQpY57v+r0BrrKWumn+VvUf7P84pRHZG4mAlASAHz0laB
H/EcJwpSn6Euwgl+Wy1ExizwxINukivSDfLHuY2JsXB6FD7eHRt2nfhaaeDokXfxqwBuFswKYzy6
nwlVy+skJyVlOSQUBhDDWysyP7TIYDgbN050gajhDeOnTdVX35fq0Ldtsq9MM3jI8Z09dChBSZU/
1EPcbpUFx3icLxYiRyrFl02nS2yax6E3f0eZBrK85uOJM7D4hEY8gZn/MOzWArhLyamy2+I99CcC
vMhXJHeK8tnAvrxKM3M49SWoMlEV8pIE+VMSyOY2yrq+uF0uNxpG3I1WZ9429Qf7JDh4r4c4gAKN
eL5vXMvdVr7E3+A4H0btNRfEEnkZzCrbMZ2nt9j/uyRXxBxfyYGsrXj7BGeCqwEhvz0Nf9m2tMV4
qxPxjge2etIz+sxM0/+2BbWHQYjvcNFB/pNFelPbVbp2mewKfXIQ+8yoDfRIBCOtB0dIXHmeY2Q4
1d2w+vBJMSYIXVL3xBunViiBnsVpDV7POi/z6bBI8mGC6TaBRxlyHIjn3WJWNtZxDAa19kpn2JVT
zzI6K5tUNHRr0ytJ7cTZTYvc6AsgkaVSqm80+e+dtNiChAzfE63tHiNSgGQCO05/mN4oUl4ZCEhP
ydh++d4sb/lYNsMg8S73XTlu17mkwy1XcW0JgFG22jmMMXZDVGYvkl2qL8KHau5xpxuhujTTxE51
fmjQ33SYmG5v3COYo7qA1ppRpToEJoZISoS7PbT/5pU5PsPP3Cr/Cu155GK/vudx7muRFbPOJSLQ
L32W55sKDPSrCMpXN2XUgLXkl+tFbOpSVJq6xjTRp9XL8tJggdtiyDuydsqnHk2O9qjsnemdeJvE
HNXuO95wWjz7aNpuz2KF55leklfJX2frao63o6SAfC+o+0tMAbvlR8VtiUxwJAkO6UQcOBUx3uKk
6DEcFfaL1trHTPbDI32H9gsdLy7zZx2TtASq0hJeuJWFhccGdVhnnn8c83i8sa13N21v+0SVWpgz
XO/2rusx6XfI8zeqG5/uo7OAXO4mLJvh2maIX7gemj17D2fHvnvcLiELcDH/PuzaqXubbkvBm5Hh
nEsm5g9R7LvXJCzSOVlOVijHB0GGDV2DvvmL51g5HEpiVWEVco7kC+t88fVibarXXhyzGZ2VXsxW
YhUTtDsngkA8bdJ3yLREDnxQS/pJNxW/d0CPZ2C6uHEyBmAydOHUW8kv4UVXux/FDxfdK70vG8st
xWXJSgY1XaTN5D2IhsxhUYxAE2DujS7De2p0vWdN5/hW2ayOXXjM76fqEOeRJxyb/2F5slSUPOnk
bzDY6/22yC2MTwyf3u/3EuxLy/JumE26qsIS82TWOM8pG/47s3n5OTJqDjZoXFMf87erDWWfma01
xzasX8tS3yq8qpRcOdOG1S7+qaaelHHdq5NLtTaip8+C0ZefJvTWbd4y2F1UanaQm/vr03kWJVLz
lcdIQmxDXE1OgxHsGqOW7xNG0KPXDJJtuG2uYwUULTHrrWOHwd+mNp8r3X0Nq7F+tfzsh5qp9DeR
qB811EAJDPWlOfmJq5v1kYy01zJqZCY/RMk6cpMN5IXsqRcRIvboE9JpB31flI4N/Un/s2xZgnTI
HnvcgKRt4VMYXLN2dIv8o+Y2ZD9qrIMvfdg9SX4zhwkjPyfsu2qmh0XHmz22oFYE/UfIaRx75PM9
8Op1t0p42Spypuyd4zSvXFE0jx04xYOZzIwVcG4aG++X2g+aU0i5+KqeLXzLc2H/1y3pOJK2+67X
mbVj0vceEjkjkVeLD9+kQV43teRidBnHyjrNsYHGsEtibHsbex4KQS0dD/e1hVrr5Lpg9j3O33vS
++ew9IbVfLH+Vuor6EI2duNE/cCaE8oE+qDC+5KbPUqtkZovg4t6n2bKpVMQET4GEAadnYyBPkPu
OdlgXJxh66DGHj28Kue+ktFWL5X5q0/cVddl5Z7TME77maDvOvBjhkD0B7FcJoiTiTIUz2Ne6msR
9OkxbF7I0Yu3IIRXlDKj3hBBcvdNmHCqj8f0Ynn8rkbhdk9Wo5ghWdV1ygptE1SK9JLhZePpfjdg
WLxFroNmCrywiZsf3Gjgi+pi3wJbJXPOrHZeM3Vz7IiNPLhdpT/UjPL3igKPy/0FVC6mfjfBeFni
E74ng+xaXhpHWNtqvmlmHLuCX6OLg48Sc/x/DPipqRfbu89xisaHXEuxzfuw/v+bJbVMPCgHY5Iz
R57ybmifBzapmP0Z3HXyORcJJ6fK61YZTUDn+08G+nUVzBakJW0jowlcbqT3G28RrzMdcg/9fQcV
Ze4qBLd9sawsPKTMMu/3loMQaRfJjriST5EXGWeTzSX0bzC/y9rmF1i0omicZcvqtBQTBDp4qjCE
opUYOW6LukfKdaB1TVEQAqOe8hUnJvtPgJHP52r61lfqE5wefPUidLeLzLesO31gyk09uH8mm6hI
b3f2syizbO2lJdc6SzzEia6vdYcJUikILRjYhCQpDBCvU/UscgEYz5jRFMGohevCFz86bLFTHqbt
JsllvM9EI9EPU3nJKAnmnA0MNTaNYM0/rj1IosHsrTnlIy6ctdLJ/853Crop/o5pe+aaVCzP/N9f
0iDULd+zfDPyF2Nfes9Lw+EFmQrnFkYZiiZT8S02TsnyQORdlNpwIduCNQsR6ou3FLFfIGyPvpe4
j2hiFTMNV/uiHY/N2H8B+HsKfg7FJ+7WKx89jWa3BJnx0Z5htTj15UVAzX3DDRhRH9pHV7JSwbkt
yl8B5+XzcpPEJpVh+IGoP7WOfVQR3qoD60gSBi2yZefeYFl4S10QUq3DWq/RMnZdHoI8+gwGeJrb
xmH7Rslu8WUlAf4s7JOjrgXHbLaNkNDsVmMC2M1SSlwqE7NH0lhqn3WgcPzZ8S/z/j3rcv+5UXGz
yXXpHdy++0imajilhpcgl+j6M6Q++uYQzc1h6zS0uKLAZifekCnMtobGAhv/BULttmvpWVjUZNdN
wE6QGef9CBQRKragDUzwBq7WlH4xjDd7K0ePDn6NoqdBD8+yWNeIG/u+qf7xScj9GjVFZJtm4nvM
tHOMkGEvghpuNXcDvKn+wnf1T5Dxs6hMPesNDOZIEfIghgmjnfhYHedvw/xA63l6+YZQ2cn93n/f
qlfd8ChkMWyIW9UfhIk3C+bbb01nmzVDBjMoa5Dv1CY00HFJCigILDjV6TpAA3fgfuRFzwr9/z3u
rGr7InPTfOvSR63zu40rWnFr3BFmQTR9l6POelFp+s1NS3nSIDLtgDtB9GMwfBh0la06OVc4Nh0V
VQaydFddMz2a5j7dcFt2bHKBkSYfeu3WK4qHxmtc58lHFNOdLBgFeWZb440tT7Ufph8V5ZUAzwDI
LN8V1MWfLvCKfaUgNVk+laDGfAFZbtogfK1455xD2ivuT1WifaYsLzhn/sQpM7LCJ5IY6WX5/tSl
YuGeDWsj3o70AXYvdAEDoWnpHzEnzP2penAcu8eoA08+95hKsu9JN9b8HBvCX6rJQJk0A8BBor3M
x5HtUkQfRpz4DlXdqHXvkDqChNS/lBIPj2lLPipDs1usH8tNm3j5zRMkBpM8HXdF9/s+cVRRH63G
qvV+IFFZKMl/6wSfFy+Veq3x4K6UbsYHbcBf4s83mhL0vdohcgzJqbRgy1CNxmOcC/dooklSA4iX
Q3W9+yudaE4DjfLemMOAoNsb25w09kmv4f5jXZs9cm7i4vtznDPF0qhGrfLXy0Oie1Rw5KMJRslv
dmWSTechQxTEfVwyxHDkl1Z1E3+GZMMe+Kn0EnXzk4Ipd4wSA4KKJnFWosYsCGXSsLVsL6VlRtsk
oi7Hak11We5Fy0OHS4PZ50+o5/azQY+IFWb71n+WtS44xHDTi2o6O/XJY9izrkXJ2UaEcBZITD+l
5F33TRQqrF+l8TX2N3NyvF+JPTF5cZ5agEZXl+k+ARqCPyvVpNFueVKLmmg/aph606qmBR3Ted0k
00r3s2JnimxYqVaWp9waiSRnPqd96xpXvbHBv89UxxIzWGhOiqmBUZFcmZjAvlLNcw8lnffruHJS
+oo6a9r2RPlriyWzzXPnuaRMfBc1tTjJIBivjtmQFkzE9A5d7LdpadpfafE3chF+Iad/m6igY1kQ
LSZx/+GXACdU7j8OnTOQ3ZyH2aEP+2Nwjy1x3ZUxM8sH1xiP1YxCSFqbaSuTlLGpOC0z5n/QaApC
44XPb7r0rgqVyNPoAtlEKhrXTt9mp1i6kNVVtk0RKl6EJYt9WIEL57T2x4hT8ggdAlubj+I0VZa8
3ZWhynRW/TSBioCkQ/yNUrZ2fkgBpr9xs1Ls25B2dtPs6zPpZl490LIHIqT6AUCpvpOlEW2yGK06
cKziBoo1hnsDzclK++Z3XNhHW5H365hg7cv/Rd2ZLLeObFn2V8Jijkg0jq4s45kVAfakqF5XmsB0
dSX0feMAPq2m9WO1wBuvXkRklWXlsCY0URIlSiTcj5+z99pFVWwnGY57tFnWrTq1sTdoVv0jAcvY
FCjL3Mw9wX6CazjG5R7vnrNVi8k8at39YpB/byY18Gc0A8dRRUw16fO+tZFmqSnjObLg4r7CbGGP
3YMehhejMMZXdqmpcdA1L4dmhIXNAS8hXnondC+1ofOHLx91tvjIB/D1s3VajIDPcOmPUR85d4Ae
zCdaVGGJYwknWUNPLtC9TBJlWfRDsQk1Kz6nmj7tdbgc8Einaav1Q7m6jqLRRxkniZDmJ5ie0KiN
HMPyMpLXE0f31zBg5mRU38HgK2ZcYzoYwsfrjYpgFuflw/WOjRMOD48mNmG9TBdz+HF2OWibMNWn
lbgamml9M1JARbr+s9tW57zWc6gmOsR4tZrYeGkqrdwpzLXZiblr0IT3UtNVj0kdnGD92yhrkc6y
N8IGqvehMtGWEd+vmzL8X/VUq1OxmpSp/ykw7IfFUohdeWUtntirFXaa6uBYsASoS/QHWNfntHbF
ZRzmejfYXbZWQjvwrtN7JbXNo52gSLn+y3SLhBPRRr4rRrIV5nBxqdenZrpc45Jx8hjncqyP13sc
jAC0XsfAP+ta22gEYXI8aiJrHENfWm6uxnVrQJRLaN9rruhv16lktGhHMwXzBdRWjJKVIbZ90dON
XXblDFuhleUPDeSydlaJewTDvAly96afhHuahiTZTY7T7gtNqf1aHxhV00Wq6yp8GSxChGIBptAu
FOeeCN711fEUG+GmH7rq3GbxrTKP9i5RVFBVQdv5Qp8ZVkWaxSZglV8/78J4WQbuREIUpXsD6BF5
a28gy4x6c/uzpCm14eHa6IaT6HiEogw/G90ED/OHzDFddro60mjyGyZBW6DmdxU+Gc7F/JG0CYmS
LU4JCq+TAhWM/u3yoUP/9xQsN0zWna2Rtc+DGzC5sBOcw64IoazV1WurSc6dRXrp9JazRtaER9ps
+LGMWfGhM3iZQ+zguBwz8oyQtHLKDbpJ9LQdaMuXxkzq3dQp/ba1S0i4aXEbd6JYVfYkdhiHnixn
GUwrXUSGAWxdDSFygxmtiBnPTn1WiZXRQZRAHbBMqPs58CEZVQ1Tr7x1Xn6KwaY4ytZRPVqrUIb7
6wxA61AV4txCQKTNpbYulAw5oRTn5QiglGr1ETvKfWh1wbsWPHOQOSPrSX6YeveOPzh5yuw43DJY
iv2fW5o7AxEfWsqsloPqBxfVbYRL85mfe+hmWXpDbTdP2SThNKiN9SlwTNr46Wbmm37BXoiHq5ua
4/VmgDb/8yPiHB9oMc7bknOCeXaAUZ/c0qRx7sZLasriAKnk8NzzBtldj7tmWolNGoF35d/yhedA
uxVln+D9cuzjZBkviR6aJ6GDHBCzXqM3kn8A9wlOIDKTEvTnvwWVA+18rXQv1xuEPsEWs6Bc5WPw
x+euX5jsDNMswgyvj+QbKw/6dbsujmkxhjfXw25po2DVTEy2Mvavs6NRT827OMNwvIjD60w+t5Em
0FG7tBVdyzheP1J783GCw9KsSa9wjmkZ2x6+Wu1Fz6LPDoTkJ6dXD0eJX5jziHsRa1JiomhEuS8B
ui5W5yA2U+/6O40eZGSbgQHit6/7gfFJUcQ22gKoxT9bO/1EMkmU5W/l4orlLIC9pmj1Y52PsC2i
HNDInB/xFxEtfP2QlYzJl3qAZ2ucB1gx9GLa01UeVjvFxLlIjGvSWgFh2qkFQjGaFmaujbmrHdcj
RxkBE05CdV5uWj06tnj5jwwYI+KVuq7YYAOiP9gbCq9URmIzlscptzcSqOSNHfXdAQ41ffV6uJmW
T0ULwDxk1fS72SBysQEkojSnOh6mU7vcDH223Jjtqiapaz2aU8Nux4ChEOa70JRyVarstmEMv1El
LudYtjObjsJFdc3kjlUEvxzrbvVcDEdGcMx6l4ZOnPaBpzZos1LaGQ8wc1bxsopgCAtPyCTeQ4JK
Ntd7//q8oo1kHmj2CokObrjKWY5bkwFIt0od9L4MHRT65h8j8d9p1dgfAx9ECZ/BUW6yleWQDm87
Pc/vFTu8uwqDmmBoiRGmkkGbkBNf0nxTkR7RNv4YAZV4Dl3yG7WYgdpwtRuDKPUVEr9qPbohMpzl
VeuSyV0RQUKoYZmbFyjTDE2XkaiOStJrB7Lur9Q8JUlNhmgeeF/ScArJibImSS+yjQnFhvZSohFa
VVaFyRf/F5zxGgC0hrwg7DlwWDPdmJp53VG6HANdrfDH3CjPmnTa+0RjsMn7f0/bdgFOa4z/6Y8+
lS5rXRBXqMx6FjyIL8pNYQ9nxgjB88jZl3jMYESyH2+uGnFnau7DjCbLVWBoyWJfgI2v3PEbDMbA
h0z7I3SU+pAuwB2g67T0pgJ4lUMuoasp+dlSlFPFgOKhtqP3WtOcn/c0FUGGgzWdJhlfTKN4PCPt
er7eu94MSOTMWYrL9Z6dawCDCyDYZgxXK8vGu2qsvzRa10lCwIVdDaSE0WhUwdkXg+2eIwVBWE3F
/0Y97FVLPESuSG6IlUGOoGirOkCL7pHSTmJqQd9SpAGDXwIyhDaT4Wub/UaHdqbPW6qyjPe1KY61
/SoNzDB+snDzO1Na9CUX/lrC/IEFi8leXqDoUs27eXbUvRDuC9bSDHscKQCUnvLcOfk3dOvOAf9V
vjGYt67GcQi31pIV79R5czt3Y3PbD+p/lnRn/we0oXB0FxCFLYRK/uHfA63iUdNpZPBm0eupuC2j
at/CKTs36DZvM/spXmYqM1OAoz5kXlKk32K440dncqxzkQfGKtfcnVwCVq6LfgXue4dZzyCik8/1
SgamvrkpA7LUQ5OO6fWjUozMV9DB/nRkjcRE/nRoISKaQfUh7+1HO8dEhUFRSCXZ6spw+7OPngXS
r4RYoequvg9lzmR6Gpn3FmVPDx8hUrLcTHpin20ntQ8Asv6kJw4sujhmQsAulhxGWU6SsHcjf+ph
PtCuragQF19aFzLGoutm3OYd4KrWRtefiFuY3emag4T4iS9Kx8BawYsv1hUasBZ6xKtu1RXs4WB6
RB3hdzI31m1UqdsOUsyVbvhvH+N/Cz9LSN5TWBbtP/6d+x9lNTVMM7u/3f3H9rO8ec8/239fHvW/
v+uvj/mH//DfH3/5Kptfzg+bx79/518eyI//49f77937X+6sUUd30x3W4un+s+2z7vpLeKLLd/6/
fvGXz+tPeZyqz99//Sh7sI/8NOy1xa9/fGn/4/dfLRe+gUFS+b/9+Xf88Q3Ln/v7r/s2e//lIYrT
snv/Pz/2873tfv9VE9ZvjDc0R9N5f2tCBUYpP//5FdMxTaHaNop3YUCGxPveRb//KozfyC4k2UfT
gEfqusWD2hJh0fVLtqpztHCEBQ3UFPav/3yOf3nB/vUC/lL0+W2JBKv9/VdD/PXis+FzCQG10tWF
aZiWati//iVNzqJPALo+np+mqr64+qeAMN5ExV3SaB+U8ATSzB+JaRw1J2RUZRwt/nOU9dNLm5V8
8/SgJ9G2pNRkonVGKUg/q9VPg3KO5+ge2xgyahx9hcR0HT+nJaW7o5YwpmHvW0GyM9n71kPZY1Qp
KQjc6QEE5h2oh2ccsysXSpq7suvpzSlNuKLB4xQnBXM9BuOLSiFy2pfesXy3LD+HFKNKQtDcyuxg
TSTaQ64szUdlh3ytRdZFukI3vMI6e2EvuvSdgfrA3jua/VjayiMr/yUgCKNw4l3dZ7veUTB25a95
nnznhFJAMyeMqAE7ri+CorT8nGQELDrDE3JTuw0GSat55HLciKJJWEvoN6oB45+BTIi6ue9sDCEg
B9Agp6+5TNak2N0x0EY4gDany4Hu5zTitfFB2Dy00cylmjJ8OTC6tKTylK8cibKx6p2L4POtiXsg
1bt78tJ2idZuaFE+sy58J3Zo14rqrg8lrLO6Zhaib4QIdm7Fz20bgoIgEz3UbcMG0j8rs35wp+BL
lzAcNP6F1Rg85HI4kwQdrGZiJsdhyuG894yYS3WzDIhxyFEUdVjCU7R5ThBTgpZ1toLhcge3gbSE
moHZVD8PWbBMt+zdZBFEOZXGRirVodO7vdnxFdQVRFYPO12nSUmsi+s5LRB4qTDRi7RLXVvoAGha
RylOt3zfz98tqGiwz+ALGHZ764TlaQz1aJU1vMJzWz/DQnnBkIWEAqhAph6zhNCUSNF2vYnVQKof
ZomxwRkFiHmdWAde0Xuttx5VF5GS+ZhxgC3n1qcR2lbObRzGr4WWal7bFp9hzV/oOhuybGgJOfnn
nBP/mYn5vRHDCjxqtxrLY+uSNatntNpN2W1RDIDyTiZyTowTIgpCYXTf7MNb/rk0rpdYUMVdmYaC
+ardwod7CAVFeDu1IF9bJV7XznsBYlCgeltViGt8M1DWHCxwT8Eu0pSdNqgvQ1Y/pwQ6mXb5zAQN
eVHP7lPco0eNPbk4RG3qsPFOd4kTUog2RJu37ZzsNsRJPsfIHbKJoDC7eigHfORWNAx+JHBQQqvB
aE62EudjTMRINcXJ1elmBC1MWogUvqENN3SIDi6+LAKR7jhKr51JeAjBdgHvrL5uFrQXQhpoHOQp
6CfiyjlnB84dCgClWl6MoVkTu7LYVQD2Nt2W4KPtU1fIU8RgHlh8AJDEbT2u/FclIZoHdD71/Zeu
tVsEPjsVh55aMYZvk9egUt9kX+HT10+9xCe77MtSZgatUZjRwNFqKT6qgWYnbq/ONfcVoZnLE2Uj
9CaJFMZ0vtJIHOzMJpWsP+VV+E1I7YS85PukYg4ztGMxiO8DSJ+A47cwslWmpjvXqO7bdHxQa2Vn
JsyZGCuvSIn9rkjnUJsh0+/xrZTO11AoF0m3VdX1owBu0c2PSWntU3N6Q9WxbQjrHCv9CLnQh5Gy
tbv8PwsQ/Wt+6B8rPjxQBxrLkun4txXfECroVJTwTzDc5coElxXU1TfOFpXnFAmpSuEHcHycuBYg
meIUyOhgBpSW+eBDO9n8adP8Y0P68wZ0/W0/C4tlo/35bEzXNV1Sp03tP3Ctc7eWdd006hMw6NIb
6ahbJlN1oEWrKjV3NcrSUM9ObbmJ2uCCzg2tZHisJjqIGGzyoL+VquZRg6//67XNOf5oyrb86v5e
svyl1Pn/rbhZ6u//e11z/1n9z//xPYs/3n/xos+P9z+XRcsj/6hqnN8cJNeUSRQOjiosaqU/qhr9
N9W1NORNjssY1xH/qmpM7TeVI5ZjC0IlKW9MUOL/rGqc30yCuskXNXnYf7mqUc3lTfynt5Wqa0Aq
eXrw512DRvbfcOlzOfLUEkCnNfLylY1USsO6TrwFwumucvayTaqNhbHFJ4DgrmxfiBWMPBUF/boy
aJRGDizKEKObZ4C/CHMU7d0UPOtanu67zsWjkz90iknPHtGWP3X3CWGZMLWKb+m96coPEwDCQRuV
Ox5wVPNkb3ehvTKBR3upox/Drqh3tcg8EgZQliuAwwxVf2zIa9cWUBPkPKNnrgeT5b0PMxIcQJPE
mbWOIzVY9VraeiUBU6tG0OUhDvwyNJF5X3AlhDqpKZFCkrsSwDidxmIzz+ivqmq4IN0GNYSVtYBa
tRrT9H7uw9iDmkJ8YWOj+G4jDny93NgBFCpZtTd21Y2rLD7mdG2XhIxjbwAn7zIQ0pMLZQ4hUbKq
XAZOmZsqqOiMb2Hq+KFpHyzH/NJrzqxMh18CrfzBWDhnl46+2jb/1iFg3cqJelBPdvCXXB/rzsUe
OAbitT+7EN2SgX5CAPfeL3QWWbtcZyZTy9qw13Dv3G2tzd+TTIEf02KZdVCjJOMBa+/a1YkfmkL5
rcnMXUDfsPiMEqS8iWZVHkYGP2oJMQHZJsnpIJs1Kfy41PaBTA6xawBiKOCl0iepy/FNmPvJtd55
q5FRDNoRf0bGnNL1rCJpERc0ct1h/uqBkOFicV4dQfFQEi+N1cC4A6uCXi5/S40GV/9dlmoPcZyy
ZcCJ9YOM8bJjA1YstPuEQSkq8pYiAjRc4wJKAFIL0mqxo1iGvrZSEtREnQxeUaKQTZQcLnic+3bM
Hz26d+ZMUtyQwdmejWQXuEhRpqem1XdKkYfEbKUo6coE0MyIcMt0oY8ZMGNyK/RlLtytrAMgQHXk
1TEt8KzkXSmUz9LCNceBoJMvoc6RGhedTvbymxXPB5UyxQtc6A5d+L0oIIcDFt73cmLAS16REpEA
Yo/ha4WgwksEohW94r+dDuONiPGS1PRWdEwtYbnkzUhPVpWGHW1AItx+Ib27CZBALmxNNcRhr3so
ceLdNOKL4NolRZlokCQbA0AFhYewxqPmiwkDRoHlAqBY5bPj0aAKD6UVrjVDvNFuWuKtldozFHx/
uB124OYobIZqk4X9vl4gFD3kTMp/Ojqqsh0niKUi0Z/DKTgN9JeJp6RPTEQKBdO6B0e4LidWhnRG
9lsMprpC0Zet5tR+IZRT8/TOusxVs+SOYNKocGxw6qdrDFSC2BbKROozM2YByGuKGsPkVACRKKPO
UhLONspu1CN9rcRHJQzizfwD4TLSs9b0qpi3UwO7h15wh6kfH18LVaWK0fsForubAqiC0WFobG2D
RQHjWOWecGkU69iuCM05WWOuYIo5hWoFqDPpDy2KLXxz6QH1cL5WaLeBms1RKRsPgRTY52ICTJDy
qozU9uBGXyWeTRH2ZIKNJjSj3nkYwIZtGcmEKwmqEIIRFkepF9UhaehbyXbYmSaNaJi9CZ2tbYGM
+agVvfDwNvGON8munGSy0hvKXHyQF/xiMUauibS9fDOIkQhFveCsIHcBAghbGO8FgQjbvoQDP870
uorZp7DcG6ONeUVBaNYKjXSvMIqJWbY4uS1S5gDsx+yWwsvMx8ImKc7OnY9BJfRMcbuHQJ3jtTvs
uqpHvMOLYjs4Rh2RfSTG9ERUKoquuF2lYamddAVo+dR340HcNGQxBUK7rUz3xjDGDyNOWvyrUl1H
WsLhMqSpOZBTYrcXbQgH4K2MpHHRHc1BvxmjptwysvmR57m5HgY3PU5TFq/6sSDT0uJo2bRIhF3o
NP4wyCfLdJjraRVYREhMteHkhKAriYf6jcn2Y9kGJBRqquKx6vgoAPoLFeZNwAB46DVwoNFwp0dL
KjaAOL0RBLnAOLPN6KJOyrduJorQkKy8Q4GrytWzH71ELkeOiBeS7rBxmWnT4R+PmDTZ9VBi6aLq
9jU9XIYMQvM0aXNi4XZTZQuVVXIEd2fnMwGTygGdhFcd2bI3v/K+gMpi2fll0KMdFhVnp7TVpRnx
7JPbde8MGm0B21gnloBTkc6Mey6jmQNTbMlErJrgKWZN7GmqowBN6j2Rj97Ya4dRMRmMxcHOloxu
WpL2FLIHZYvCKlIjRC5xJbZRkpOIjMazKxfqS0xKT9oQt53EIDrsAJW3O3+prXxX+oYjna2tQZCi
BBPw03OBnNTZ4yOk9V3b7/lyJnTwsQmU1EfN6E9pOaS73j26cThvFZTYmXlT21myjVGduUa0Z87w
lihfo2tAiecUDQWwgHquoUvv6Ga7RCi15gEbT71akthKpSSuMsOG30cA3S2MspUsNn3Oe53jbRHp
pk/Pn+QXIQjKSZP0FM/TztJD+WBX5mPZRBaQ1aYk+igQdDZYx9vZ9lLoWzsxNaj6tXkzE+TOuLEj
g0RHcFfIznfqNj+mcycvgcmlgJAFMV9qvse2vbaS3n6fLLxKEB+zDiWR3imHbAYArafOI1no41rQ
TwavAhZGVAX0CQNeCSe9kmhokgCRPPr5mJMoaPAcRpkURATJBFHL29gZjdfjZWX7Q7EyJDLbV2q8
LyVa+B6Po1YmqEVFmmzkjLONELubQGX3GVQQ1hAK2prkyHaU2n6OSBw3CSlSMlNHx9Ceh7gt/LDq
C2gD486e5UKktPEtJTGrq8Q+TLz6meisAB0AQx9zcN4rI87AL3YEvUIh8jlVmlz+AcBwB3sjl4Aa
ui6t3Okwu+q0b4kGnYixEDU8IL3ECaIWwK0AkkLFx6rOVJgkVDMtbVbZbtiIZAFu40jGu6Heu1n3
JcYwA3JsvGF/H5nv2elmbOBJsamqO707SSUUGwS1gPKStN1cSfBVaJKUUCcvzVAAoy1FjYGKRLxk
ZrraUR8OgTVdikLdBkQMnEPbpekn1tglsr3UFglVNmKXiOydFiXjpupA3DCrS1ZkErs/f0XeC/QZ
qBvj0ZI7sRBQyrlez6KOdlYg11NjZxQddkIgHGfGfHpKYgQgNUiYHLG+PsjsXjR5jOYj6g/JNLje
SH9758qJEGTGZO4g5QqMo7ux5vnBmoJ2pdVZuqsUrlYFV3VVzgSMOHV4SOsfVlm7Hvye8GAW06nE
RLQlf2Rfgv4+qIbTMgQqb0QvT7ReizMODHyhIZd+0dsASOeNWrP/JwGx4B24CQ97/Ag9LEJZPo/v
nC7mM276M0SgQzqLAsgjBwibwZow1D1pBvdqgEPYUZp9ZuHczs2s9AE81P3RjLVow35LBhyUnosS
h2dsi92mzOL2yPQN98gMiKcXqPNUgQwcJK25SYeQ/wkmoKFyfRDe7zxRZdc39t7M2+Iwq/pnpiXQ
cItpuaQmSEJkPhLCZzECgCG8RVb40cq48wONfO4hc3aFzJRFnEaAKVa/U1epB70kr7gk73Hd1MqF
rktC+EjpG8TMgwk5pLQ31Xk7zvmLdAGhO0V3yvEtr0at6VcqtKhxos4qE+W5akGXtvNyjBid7RDV
jj9mCZGURgMmaNqPerAD69LRhlHfyhg4STJg8TSIDxnz0fStvCzXuHJhGbjE7iksw4NFtYRaNKzi
E77IeN0NAbzpOCTqltVDm3YmWsxNoJFM3UKma8A8N421IbjWXOclIvlJKcEijPPGaLaMTytfb2PC
zJT2khC4h32Y4RwLw2dfL/7i+pN6NMMZEa6AHEe0R9NDbWUpvj0UPUpHaRDHqCWZkiFU5oyQPRM7
1q6EW3yPQaH7ddNzSNLnbkegcEAD3Ki8tK+Ji2lUw9cZvL5nlwSUS11VLUemAiQuq9OKcIpQI3La
qdQRgzUXXgIwhWwzJE3kNXzPRAOmyJzugsq+VCFS516RzwEmFJAz05PbVmIdYIrwFfixvo6AY12m
1l4QjeyCNU+RLTm6F9qau5pwvJLGxEJQNQ82Ue6cywwFEV1bkcpaScIc43m+kH1Qb0fLZZ2W6Qmz
5iqwo+EBr4Jn1K7tR42V+FY3fiCFiPadXnEeKsSh73ekWGhHdQoe80QuU8P+iBHUK93J8N3qSyj6
rjSpkhuAfytToZ1OvhA5G/i7JorqWivfKh2VJs6IlWlq3SYNIIDnxkPXj+mNQioT58Qv8SSoEX1J
PA8ZF4q5jSpro+LSIY6YYCeVAGAyzZnHiiJ56iOSD93IBpnZUHu2qHeXZzDOpoN8CGtqps4gLSd3
O2YNEG5egLVd08qu58VjYb3TbcSC7SiebWEukFJ8Bq8Y/+SYpchh+Bv6lD63SZpvkfSDx8St3otZ
RT8DUmkgrJxxCC9m8Fyp6ffMpG6Cln0Mo8844+NQynVpDHdzx84OYLsiY6G4hKJ09/bYHlR2VsOc
V0oYG2Rx5ne00PGDwro0SnxIXf1uKuKtydKNWcN/G8u10dUbV9eYQUYOI8lh+iAp4Ushw72KeNw0
olNXYJ3pVoswSwxoegAorcAul9tQ4Ul9p82SeW0HaSjq9WfHSVdzHVKChfPdgCjAS0N5GUrkiS70
BkLmh2CdycpnroCZwHYPaeBWRBjaW2RetzVs95UxDMVqCIyPSquSbY9FU1oNNZYNcjTsYTBmDllY
KPTIGzR928F3Y5RFvXaD5DKqYpsyWsjI3NgNEQ0JbOeP4VxdaAyytbjviL1eGzsdWY3SH4OpWF5e
x+fIWU4RektGdfUYKM7OMNWbtqsGYDaY0wbZYa9rtlrcb802fLdF3ewdkX4bZ7ffGGJ8rYOQk5wz
gNWq3ltiG71BX5jJ+JeODftenpVPXaT9CF3KeSPE7gzBZ0JNssztzRKYPyN7G2z4qlbojsQy8zSd
E2fGiI3rb+j8EWL2Bj6LRdy5uhZ6EW7MjB5KXJLe2zft7M2F/jI24mImkbp26up2Ii9zIEWgwFO4
cvKy52ks4AiroYKFqaE576lFNLNj9EA0tK1q9hZOmz5bMxNEPBZiIeluR8ftKVuJ001YYLskwcIW
Yp5scevH0mbpzRki4bcdTPK9Lbv+SgHftDSg0jxRN031UBS6wYVpzZ7sWOo0G4wDlfXWptGkhC4T
JnP4MWpVe2ipWaFbRm8pGcO4I4p9AD4B33wWeT3MgxkKIdhlZLxUAXNFqiwqA5RNxauuZRfbbMlz
DcVaoW+HQYEvW2jtjEKs3VgiBk0s44DWBztMgPlvGPYFsWf7SR103wpRtcCIGpDgk0PMgot3uD84
yh2EI1LZ9emhaQeko5sk4snM2fgwptb3Ru21tZmUM6smFv6sfQ3n0KfDfxyK8IeBgA+uI22OGUE7
XRracF+6ahqoClQ8M9ItCItls6ycBh5o+WzWceqNNnFHaXgvsa+xKEFaMXnBRJvkaN0WX3GtDdtq
jtYN1rH19Tv0tiQZO0QOEWq1r6qcwskJ780qRtQRrCPZdBsiZtG/j1xAVWA9OT0dloE9n2q7rQ4U
/ed6Lqf9JNr7ucVpmvVKsGGSXSO7r5jV2R0w/vWsJwTft7XE2d0fIYKz/6qcNnvIsKtJdy5WR7BZ
I8K3RhBulTTPNqjpdNZvWvi+1fCOszv1exjQq8yoSDsqUCBxVmqJY1kX9NC6wtSgQaacVcRblJpI
4IsELUOXE5lXLZFW5vda0b+DvHa8zJY++RtQurTXtn4D27IfQiQqTUsmmusg42eB9qHXzds8D2/h
g9g3JhlzxTIlKUF1mVb9GCJg3Fl1eNuJBEx9k+T8lVdk1oZMMsg2uFjWld5BeF51FqaXUMLQmYb4
vkSKg+cuGk+gHRMaqxG23zhEzzTEEOFLXsp62UJFhAocOmYaQv/TblqHfcwhlQVGIhY/RSQvLLR+
mpjhedaUW9NB/Sb71tmMBSnt0zx+IW464v6S+zwdN5lsnLU+sLa1KFkUmjeremZwOy/+N94XtyPS
uoCO3wrVMinkSfVg9W6wijnk7Kk7aKeoHyS1IfjXAEXZNcrRgBmpMpC4Iyz6M4JKi9QOziCtAzmp
trZ1VuWHVtmDsFJwtRBOpEV0rxvW+U1WE4OHj8XrzMmH5y1xLsFa0+BEdPrUrCole+m1aMcOtktU
QWU1vhhOGfl2KFUv6Q3ObqLEjJvtIhCvW8s0tE22OKBSAsHlkNyWycjCyg/mN7NBNF22sWl3ib5D
wWc6LwJWGVF9ct6mIXVQb9HWZB+1oI36DRZNfOXtC0DT/FzoxBqYCSzVpjhhSUlJDpB3lVBGlP7F
W1FPsKPV8FkO3SfmtY55KKbQ6BzYXXGjuMFZJhzAMpK7HFNb17qNYcBR3ksZqr4G3HuV5JtKBPk6
q5EZpMNXKxb0X5feJHR9GB82b2bZQSqEsV3klb1Ox6oFiVHS+WvyDcV56ln4WMBJM4WuSTQizbDw
SMPNWGFsUDAGlv2OVyuZxi+gx8gPU3XPunVgk7jRSUdDFIff0AW0GSlZ5UuN9padlwdi7QkGSJJN
pMJBG8i98IhXu6W//UBALdtYBaohNRXds90x9gN1pHOWlQd7yocnTiO70HBmP9bDxJN28tXx3g/T
6b5vJWWtmnzxFqk8vW1mTwvkhvVn8iIOLIxAYjK5EhZkQ+0IMLGQ48ps50zkdkS0yHxoClgfgnqR
T0WxF7vabUF8Hb0s7o2ReFNhSUVOdZf2OAuduFc8wKw/oAXd5jabZajR+YCBSc8030CHODsDJxW7
NHdmUTyOmd6QT5Rka8ScZQ38IkPymeHA9AtYKj0NdgclL5ujMcTPOimqSPh8Ne+UDVanfIV4tts6
ge6HkYx3YtZTP6TFsFKB16nNlJ3D4d2uSduGTQm6KTly9ZVr1TYUD98h2W13aZl2ZEyP73pP2ebW
4dYOenU3Es2pxjPZpeMMi4HrMg+t7JAmtMzjClhMq/HbeXtwYsmrS+fCrGNmeVb1PD0nPVJ4rS+b
Lb4gsoZcd4MNa0NMBlUKBkWacMzMwz5Fh4+6ACuRttHi7lyRNL9tRv0SAzM3WaO8QuGtK8IPI0ro
j6hKugIOrG9tJXtEhCZpoFIy4Di974KMZUUW2A3HhVfCL90pVjPgHnF69IniEMUqFsU25NKnodTh
iyE5DMClElk/6JTrHpBYv8UsVQzxTK9q1uFtZfeWxhy7HeRGjxOyOHFyGYo8UQ8gSNfowfYluZeJ
FtzzH242uQGdV0Enxw6grUutvJc1WnNOYYQsxsUGKxcZC6h+A0U72OYzZ4szPu4LGx41YmMdw3By
YG662paVm3RuJ3spnHCtSyNfd3r8gZpPrODbI+KdmXMPHVY5p+MdOtBU1+i9IukI6MW0mRi3c5cf
6UsAp8rS0uuMcb7TM+MhM7pdjtWiI3phqMHopa58063wxQXOviZfRnOJwmAkZrHE8mi9uptCC0Yx
LbaMpAV/sp2b9n9xdx5LjjPrdn0h4UYiYRKYAiBZZHlfXRNEdxl4IOHN02vhXGmgiSI01eCcwTF/
N0kg8zN7r51RhyK/CiDbVSjqFRh7toeiLKE4Dz0R2X4eNpJCoB1gecqUTAUx+0+OVFdlydrExBxC
8kMR4ljmtPV4B4qFbiX1aLNyLLnHxKNLq41ui0w8jek/YSdMZVDiMwdPMBWPfhcIst/gvP5rTcLt
a3WYCp4RFvBHr678oM1TfcX2EoRJ/WqDOWN8Nh21LN/NDJfUeSqdDs0PN1M11pG7dero3ZhafPcD
06WtZ0kJYfNpIF2KYiA+gHdbQcy443Eak8PIb881Bx2tZuWxSOutGu4th9UnVuIEkczUQM3cWPeE
pVRP8zC5tMd+EbIHiOIq9x8GpvmievFJiQmwfo7XZmJXx7hdrdDI6k8hpzCGUXvJTFZP2B/5w3VX
RTgTXr1leDFXiXGkbZiL6T6hLDRW5lLyxEECSm227raJqSCdeLoc1hERAuMZKBUsnCqaDeZUdWB2
79rxrKCuzh4l2kVToS9IrYU3rceZZ3F2q78gU75at60Zu/O6pcr99LTZB7XRe8HAkTm1PCqdZj81
uDUKL+UQGxoXTQTieTyAK3Eo3PUzCbrtYUnmB+bzNyqRt0B7r3sHdkFDpuy5SeFqdn4C4TP7TA19
WzT/CG8sWpxbVafeU2SjYoPELe3ik4jNXz65GbaLfE5qej9wBk8rS03Ucf4vJt5rGTOyqtWHxf4y
jnEJLeONbzHhK8b5CYjIjWGu3LRj6JRjd1249bmKU3WunZlG2NfLIemtd4F623Y6HTb7dbXPbetG
SMydrYLRuWDoawXUklTegTfCrjuae4wFnFOzFyowtyXMjM2NMPXRb3XpAWk06jf/mDe1vMbSG67a
jLxqxNDmQUIYramIXGO5tTW7Ct37qH1E/N7bIx2UsN73nB5bCyqPLb8vLaSyxpomd/wDkLnp4bqi
HoFC8w0PlkmAZGnGovB9FQjcu9Fqw6IlkdhD+Tds/WVeS8iOy/hbDkbHAICiBPvDq1DAnev4uc4M
iyv3p3J8KCcye9/KoJquCrPpQ6gfAaBej8nFY0GZ1nEFGS3CpgF0Z4v05lBl9sfU2ObBNXtmtxwa
k/89TPN5rnleMfF8dUPn7ynDHzot7CivFzqNFPDN6MDp2yzxmIh2DJQiSKfA/ouUqh6g8LV/8yZm
eFC+7BccQ3HN/eTa9olDIWqDUQ1/arv1D2pk5JlLnLbp/Gx1GQDTtAy1UjeM5FA46OzCAfPVA2vE
FeOfpOsx/6+8U+8mnHn12oaGTYFuzm+kKboMnNx7jY7UHsd326X01rtHy25yclN6iTc4phKySblm
j9LNvI0DErSuSc8udhgvjRnQxUy/us15XhazipKujroGLZ5rZvNZ9tXb7lFkNi3fi7L8NXLrGqL+
W1Y1H/OYVqFV0kH17Uq0tIXZfQd87wpzQY2x1KvHyOCbNBLBBB965viFtyuP2m8HuE3odHSabifv
TGwwuaGbqwybhVbDzeDDal8VUL/V2RMhV7qozMfXRYHe4O8XR4698TwR+Fp73ltKWeWMxkcX++DT
Uamg6By+6ir7sJzEPxWAWGK7uRJgGQLQzC0YdFGNFRYyU4WQGSNLZXBEXRUwUr10OIIarynRRRkX
s1+Pg67Gg++hx51pIHwC4JdpTqO46VmIn0dRTQGXO4OaqEUCyT9w7g4Yn2DDnZNhM8PFlvJQ1epX
Vdzl1mbyE1blgyaUZa40yIpS8eixxmDLjFsYaVgueQNtitkF0uySel9qdC+Lw3Zu9r0U3m+RHCzB
Ln5MxvbaRL5X0EMFoG9ZujniGufzeU1MGhKoGUxiQPMvVBe9LK7xcc8IYdiamwasHGU4kbm5O8lz
+EAQ1x6lzfds+5VGC6PhBIjtb6HhhcA0L1kh0+65rqGAaGJ7kN1ecXrtEXR3XXtAfvFKTm3Jmryg
cde+vV1JwuEcR4WcrIRnMpHa+T32ySAEobdEHBYZsPQl0w9jjZG55PA5SHpp5L1jGZC9FWVljFNh
w6OqSWbyDNgNljYlLQ0lbPmvMxRim4R0GodtMNNjydLB0W9yQd8zjwRhczLx+bHNF27xXC/eQixo
M7ORQpGZ1st8kl78Rx5Lpd/B7IuDT+Axb0UTmOsgEb5aT5sw8RYntR/UIoE+tR/PCRf4oXG7SOfe
c4HhM1rQE7AkpCbz2jyK3dZhLHo/9CRdxb04dH3Kg5UShOsWWKNrdEHwHRC3AC/pWc3wUK6mGTQm
0Y9b6o2hnzAph/b4jPGGDEEIsYwD36tdo2riCxu7JwTGfVSkCJv7evhVKMtrd8CE020jI0Ugvh12
zFXlyY1Qp1riUEJVsYYVUFHCjd2La5h35iLfMvTWyILi42pMX/yyJ9s3BDvr/XtLom4a/8Ylk4np
MPpGNBV4MjxQVWGff+LpuavXSYYGhu6AlXwZrFyX1Xxp2KANSH0O/mh/sNp5QjOAlnY04cK+MGkr
wtX/hm0OHz41zmK1jGd+aBA0+q3W8ze0j4McieKWdJOyZe3eDoiJkH9VBwVYwuHRgygNLow4oRuz
g2EPxaa3WLhLNq9BswFZslPj1FqdPoqxeKgd69ZADX7aGsXj536LnsUmknNcBFN82xYH0Ci0UyOC
8s5+JTbdjXCoZftLSJ9+mGcY5plI60iimApMXe/bFxs5mvltcDYix6jfm23PLmHDsC2odiqPfaxD
E5wSp5EQ4VKRg2ma/NW7TdzkoP8Ww3qFcNEee8O8Lbz+p+UUjjZcssc0a5swGQ2yN9PffIMzDtri
UsfDMZ+GFzopp3cY/KEOcEEWD6xrjL65U4LRppyV9TJbTB7dlLWYJLm7Ar3T9n/NqXMPjpfg+Idy
pgUa38rNj+UEE0tolMNbaPDJQjQ3SeDbpgRK5ieh7TBS9Ume4BOv7PKkSR/q90mEA5kg6/w6nUp9
VOyu8Cf6n4WZfOeWepsRVZl+8+4g5Unc7z18MppIQ0qlccFB4J6Rib+iQf1CKLJcT1vuw9GzvwzL
fkYuCKpph0tu9VM5OUiGM9yQSUocHA8dxwlnjCPfHBvI36BzMCCkIIYbmzXbtKpn6IjfzFMN0ves
29LxGFW73vfa2JDTGUWj1JnA0kzLJU+q5ERK4L8FlyKxIP0tbJmVkFa90wtJUfbGRQauRaqiJMaj
BtZH8cQh1HnYioQ3YIRvKEr19IQHin3DxiC7NfOoqSuSNifXvyxjfi03pviIHymfkBqy3jr1uyxD
yP24B6Sa9rzfTYlb0kx6ki4NdLnz9mKB+0+6+Zzx9vAmg9Za82k/CRkpmvbwPf9xetQbaxrjhzdj
dRp5qgJFeaFb6oy7ddlEmHjMvEkwxCPgNBxRpX7ET8oCjuvWFCYlYw5yoOvpG51pePXnlAxCt5gD
r+iJ/WRWGFdAtIA0pEHJe9JBnw4a3T/J3Mbx6iYmop5RkoKozszS8KxP2X1sJ9elZpfmw7IIKvDX
9G5+GJMOF2y3ZTt9LJJ1SY0aLEDEYYJIK8GqtAV22opTUROyk9ZQJ22EhEW93VfYvmnYd1dtWYnQ
bf4IqAqF2PqTpcA362QIxUhs0kDBwdDWj6rWrm9ckhZYhrdFRGftlg6mGicPyakNt8xNSS/WXy5s
uMAgai3IXZRTWEgWRsz2HavLY9qAnhUNyhEscNtdWqFggtV/C6f1VXXNuc2B1lb9M/aRO6TbgUvi
6A0qlKjyR/ecJZQvFpQhVpTpN8Kc90rJOyhHKWsstwiFLG/58ruwEkgmPT8+1YPPLeNDzufACGjC
66inc+N9vCzZO2wXJgI10wBFBEg8TUevmXY729zTIykiKLvXeN7wtaRXxU6SqgDzpNxXx2VNdWDB
T+angpsJCeSgGr8K0tb/h6/8FlcIvDgJtTLTr86UkgmvMODIrflIrX0tSRhM09Ly1wyMbZU1ACyW
d/hWzZktjmuynxr5gXDRiqC1XvT6jqD9AwEE2gHmrOaC0s0ZcMlU/YGdZnozZ2SZK33WK9MIJGW5
4T+17CoJZg3skecup9g7Jw2jU4HGDAuUgh5twFUZa9zucXZAPlgdUqnqwFlu8dQ9aOHusQOyQM9C
4bCA7Mpjtietpp9WS0Gm7pRcS3rYi2e2LzAn0pM1YpdFh3HQ9q41Gb0gGaoIlS4VVox6t7CYCW1s
dYsERTBL4P2mHC6tMcIElsmxLWvihlZoh2kd/7iF+0TLQE3f92eYKSRzOE8ExME29vfUmLjGVVWf
h7l5rPxXBnms83f0EpZWhtKOvGdSSDG3NKC4R/unk+kXqRmMQwB0uzMT5mIYx3CxGKz3+XdisHFW
Dush9A4BQJqBeecMjdaRnytghd61321R/OKXfauUXYXGOHYh3vAaDomZXNDDPm+WQRPOt+10SJkX
LDZdsjKIMmnIGtEFaWXj3DCZay8VCLnZC/wGE1VZ58ZBuQYrzM49gSfmcSOXUcxmF6yuw/573i56
IL/IzJB9dBseWLxzEeKksyz86UYQwLBwSQkxHCw1bk8Uv9uT3zOV6mCvsjMhc0CtI+QyfpOUuUcS
z1hynZmIGisO3bzkH0DsAD0BHS7T2iUyetrLkTSqzNP/iA3iLUHKN0M4QmctQ+YZyLkhAbFCbA5g
yZrTQpJqSHDQ2N+AuvXo1tN3wi7coK/KP6bbXbNjfCtttCV1sf5Tk7oeGnyu23Dbcb1ZqGLXZTlx
HZ6BY1MsjZ+lYtNIHgqpfMoH6LvQm2Su/zrkyeNUr2w1e6YvY+l+j5T8oSTNN2m9z3aeUB5WmpUe
A8wZxbru8hbEBoGetvFUEL6+DcONXaijzXgh9kaoZyTJn6Bq3nJULjRQZyTc6LHZ0XCg9ukVasbI
z7PqkBt0g1nuMCDYCKOCqrH2CJpb23tRTvK0QdWP4qXzI275j8VQ6Q308mMru+HcFdZ+Ee0rjw7J
rfM9zMZ6iHWOuLsAQJEa8t1v+VgGSQtHK6ZZzvoHOUr3BK2AqDFN17wHk+Vj/yXH+ZYELB9RHsKD
QqqLzPrx2Av4eMQokadq11idGIkn5e1clowkRgVD0aMdaufknRitwMpZ3cyp/WfpeWkNHPxB4rpR
YXYLpIzmN4aSexXXTH5ybViHjV1naLlmeZ07a3OYVpI2B44sdGInxkZkQYyPsmVpDK2MlRDbtVQb
TBk9RwQ6V5zSMg9WDKInRql0t3apfjxS7pgMuppJCP8GnRPSRZe+D7N94cy4H4VlBSy/fuwy+8Ru
p47dZF9iORH6gk4kxfIe9HQ5jO+ZWtn9xT/PhN5cJ8h2I2x6brw8+ClPY1EzsVt9PABC4dcreaeC
CQUlk9ZChbmLRLeOp8ekLTR2A7jAciQLcVVs1ZwtnDT55m6FZqAHi8mCQdw6McKwkXEGq5YyYQkP
C8svlvS9XNGo2vn+if6zTC2R4kH7DheCZK8MU+FU5IYmledpVRRf9QplHfweQdA9MyhiHZwRMddu
LLQVGD29z1IP62Ky5LCfhr47rxZKX8+SWBdikR9io4LbYqSfTE+iqjOAI/mXPM9b0PrYBQlQ+GQH
m5ydCfaJveuF4KsOf5OMtI2yF+cKVfS2706atFtCTus+VCkVK/NqZhlrcaY2e9YQxq9Ahi5+hikb
EHRq7wJoNvRrQa+aELuE4oOOZVFt2OjszjXiFGt/+iU9k9XXCZB/FTFuOhAZ+iO3OD+0XsqQsfwr
hM2QCHAWY+zQMRI3ImoHabns5Z1cXGi/iX9BR3bT2mygG6s6VZt66kdi0KU/BXGzvakh3yJvKn4z
n1q+Njml/F3iI+VLu5EgUiZwTcPBeCNEbAhiyHUY7cFHxhlbl5JLaW35SdhWd6emNFLaBfZqQAMq
kyKcSEPshBrAsxBMUmzzvBC+xlPaokWcLoj2YPpaFUF2WjE9L+Rt4TOQy7Y3aVWBAhp39pALmu54
gGOLMG1VNypzqruysT+ozjijKAIvVEvzY1ogktfxQlDSNAWwKcoTPfMBkfQ3qRjmyWBhmGwU4Skp
KS3KU0M5NL5Q2QQSUhqlrT1xMl5S5WA0JLtOV0yUeV5+RcLB4LXWE3ZTTXf8DStxDsAuO6FoaHHL
Rn+BEONKg8IQEcV0k27EoRoeE+uVmyEegd5uxq5fw7+JmiMYBuvbqK1z5ysCerCaSAI1mmFhReeS
HzIZf4acWplAV99gRdfvYxK8SldwXze8p2UdxCCED25qkkMGq2VYjIOUaJAEANuwgZ9uFjYLlmzh
CEaqMjgfc0ki7Ob/Lk3v3Eo0rqJDy1GklXnSLjnbb0DVLi33brJ4VTQamG9V/Zy66bfex+sV5M4w
Ds0pji8bUGT8HUxJmyNOv0/tedXl/92O9/8lagAryv/NjneiIvz5P0x4//k//LcLz1D/5domjTOw
AOFiyLMw6P23Dc8wnf8SwI+w2SmJH8+WIAT+F13AlP/lIlkzfQgDpvcfs93/9uGp/yKeG/Ukm2ch
XVNa/y9wAVyA/6fXlBkoJAWbKZqCZWBbwsTxp7/+PmV1AozA/B/j3HpkvoCIF1bKs+x/FftCzgKE
E7YCW+6WbUhAO069wnho1kJf8cZRKDKXCsrJejT2CmdAzM7OswvmWD4llUcs6dz+9fdqrm7Z6O17
fa/8TRaKVc1+g/C0D57ymOOsegKryrsKGJN5S+Qtxavhsw0yjJdm+qs9ayLssz8TKyrZ7TB/5a09
WG53YTaX3qC9z8bmd5LJU+IJtKg27++4w+ToOte4w53sFSKA3d0wniRtR60L7mCD8okQKHY4r9XK
WmNw+ns970E7bkfti/CFBcQcOj4jfMqvZ9dr78tOG4SVDm9l3j1apWE9rEOGFDZLkhMEL2tLnsnp
u9+6Yt9ZYUSsS0hcL4bT/CaWJvbaTE5VYfUwyFJKVUs+lxNBpEl2xifAm4t2BbNUhbdqi3qyirx6
6j/tzvx0houN6uewQTKKrDrhI1tHmL3QaEzCisYYBfzC9WT4nDQlIPCkkm9ry5Wc53H5QBjgJbH9
4ipGWWhj9b7Ixf6L4sws9B6U3L1WpN2FnfO9oEeBeHvumPCdttR4qD1UCFVHxbrcWgr8q4tDcmnj
EOejd3GGfbzf7uCAFSY27orh0CblNyI6+tBq6VlU5NNVZdi3COOdx9TBa5M6rOa0s5J9lLyYMv1m
P8jPBVnog5B3u/Xy21m0dkgNZ4VTjqwdvQAMyJxRi7eUTLpUyqDc8D43ar87DS4zxBMRGZy+UblA
o8CAHhvphMa5eZtm59MmJefkrcjQaPGjRqgrBU0iyh1iww1B2ETWE+PuyWcjo/hiYLecUIOezIWS
kcXKh5+xn21SYv36hkVj/B9oQyKGh2YsX+Gd2UwgqVBoGX8tH0Id9qX0liNd8QE7q6V+FW0IBbg4
ZL13WeTcXgA46KjGOXpizBkyh0BUsYqz4/Io9QVFi5fK9GUonLeedGhrcu7ojgCZEvgbxb4ob7wh
ZfTMLLZXXF+m9vFFpBjpt5RtmNZ4HxCOkji4wyUYO323YuANhyagk6O7aEbrbZ4hen/wRwLCmkJT
cmTzAyul2HTlV9tTO635VzYT2IIyfAiM0TkZfZxe4liEzKC+bfCKV0tuFlebkxKmmvDud0KepY97
puB3vMyi+ZPilQtqh3CieTPnB1P4ESaW7by4/BXNEd/thpvC0Ug2F662LadBsQey9cTIomxK7hx7
0SHaOJhxOZGnBer7QoNulO1zijH90NhW5PBaZMbylm7MogsVR1kNApVX7SVHn3W0CX8IZ+NaUh5J
BAEBgaDXbM9ula+fpzWltUkTAysrXWkfMYUl3NdDPWGSuHQGgnJiTcNyi1QEKveWCW9JgS/pBzPF
yslwjWM2mQ7lZEHb2WBr9HL+HrANPtyGaS4/+p9Bjrs8qqW3TcQf1aMP7UuMMlnKtb5eZ+X+9gyr
xaBRPc/avFbjToR8rUT+1JUX5ARDiPHsP41h1GAUVGifosG3OMLE/KoMeSsmI0o3enlfxMt53kiq
ypfEPajuqx9Y1e5V+8VwnYvpMOTY8yx8qJeAw9m/sL74dtliV9o3zknHDJaKzNbAuZKqObgTbkh4
2UnAAKY5juSIRlavfqrSK6gzDaATyYoGRP7NPIYd5u5t45x+kD1DOU6NSzGSqejBQw1a0zmQkGZA
XOX3x7zGyFK1l2Ze/iDx8MKsnn6ZKOirqqK2Lq5TZzXvFm2+DFP/I4fmjQMnjvhbJo96ROSzJT4+
pAUAf7vn4E2Hf8yYWPGyWdzbxxvTIPPQNu6XmdyYhJmQu2ShCaB5GXleV7LnWtdGrFAdRwplO8NQ
3hMhwY7axPwVWnu4hrvdUdefN+CnNYoZApOPnd3EOCGxKi4wFKshwY/KdznO2R0cic/O5YpZytNs
ohtjiEu0tljvGZ1e8MHfgJp/qPL2VQh1Nw7ecRTZfe6NeHik/1CO/W7DkPeGFYH+5owzHlKLODUR
P7ZoUXk661NBXxc4KbE8on1Y1wr4Rvw5sBugw40/8yH+47eKTZZ8w3rBrJu9O/Fur/twSo39qzGT
wRlLfe5k/qjpBAPHZmUDsvja6EHEjru8thbbA7Jxa4GAZi3fUhs/i2ZZtPua2HATeesWV/ZA7qOy
5M/WYU0CzDLXAyISu38Y5WzsaY/vBSkMJ9CCT7HCarpPNUpJcYvVhUmlRulVDM8L7/qQbYekFniC
mr8LLj1r4tfLRc6GZMPAAopIrwwipgczRWtcIx6uEXLivhUvaIpvKtY9jFjSw7zKR0/V+SGvmDyu
BV5RNau/KKVebUvjtiucB7FhyKcsuWOV2XCYcYy07QOxQjxENktPBOY0VPBGAdoaA3W0vd4DdquC
yUfGLQtY13ZDuGTMa9xkMVqbjKyhdO0vZtF+oEo/bq2Wr41Vf86NHG+kN51JSKqPvUT/npTGENL0
9pz94om4z+RYaXs/yMlSjG9y/6+xOb/Ie+AYDusaNG75IcqGL0CV/0zb/SIZywrLQf30HvGQSXVV
oylDnDbNV5OPiqE/sbGWx7WUyWG2vXss0mz/nRhFo0mLs4FiYp5JsgDqQK9igTfctC3/befU7znF
aNQt3ONioeBQCNcW5khb3zwjxbGulOW9FfZE54+GkIbJOZrFaKKZ6M7NQiedD+3j4JavbluKK194
r/3m/1VJdpp8LB3AMTW49e5kG/g+ULVjSxzvbRMFQAGjvF6y/rjBVrgQA/YfNd0Riw5r4ibsF2jM
Or1x6ultqL89jxXrWIpfwTAD9RlH6oQRZEyeeoCIrVvfccNGRQ+Se6c4tvFnyR2C0qqjrLInEl1m
EhJTjLXDv9Zow0G2N1Jt8Yk85ZPN7MZ064/YqdEnY5inRqoobJYi8raqPDXs5ec6O9Uta33D9h9s
jXAWEjy7hn4VER60Sz1uFcqsIcMDdyFbkyFUW7RR6SXjbUEU0HHA3pcW+hN7av7ArJERXZ7xU628
hNn4aZu3fqPtN491dxrLmi7YYRboZggFjZFwlp43MFk4uqfJvEIXzZpp4T9nK/400lP7uTld5SVO
PaWt5rQSVGW17hD1bNKjwqlwVjboDWRm3G4sZGy7+9Wu/+OvRBwVw4PnWBNGRoNxECvFvlXWpca/
aQ+4/VdcNconPVenOQK+ZOZn9SJYxD+GRAgtp8epI0R4GBljwHa860Aco0/kQVaixp3GL1ct5mPy
U3D1HvBOF4G7+eyJOB+RhUNLdxGh+db8QxYxsR22cdNh0mKOtc1nAmw/05Hl+6AtZtIwSoM+XU/j
YKv7uN6oiyjaMJw+ibFj65dfRDWvx9QsYY9BjSakAWglCamdmnVYS9URBVuA3lrY+vqxBdiG8MPR
2D0V+besWL+XFo7Y3LmF3YDAtmNqjrf7EqObv7L3xb2REM30NsFqz1OUNjnRh347kPO44QdtEvQd
q+AqYPXkOvqnQMEdVb2NpjFH5bC5Db/G8Ari8Wbz539MTR5VbzwnFV6mL+ZO96P9Ry/sbETlsc6k
Q/NavjARo2HC5F53/oT33n7muv9Vphd1scMkdaP8kCjp/YGvZik+MQMvN5YyxKFu0g+n6TwgYywf
E6OnPnH40+Tcfxeoe3dwPDOcVtBsSO7rhgz0wZwfV2Pka5hsIqb864w12AUbHUW6Mg6e493n1fhg
TcYG9gzrtIvvUCEBhrhhvDo9BrYWfxhb87ZB7bhfxSY47AMt8V9MghRI/VfnzycwySzJh+FqUYqi
ePkzgwZnaDL+KyYAidDTiwCF+d2YXSGdboN2znGxASSyQ4EdpzUKPrH4GlNMo6BmVyf+aDwGz33n
X8meR0mzvCogec8DCqK1SJiDDUSVcOce9QCILnHulumDIjwYel5146X3+KZyPYmonNkjxc6fbNv3
mNX81Jn13aD0H6hXia2xBaQz7eZdI+eHmGJS71yVCrXmPnwqcTDp+W8ev5j+BNMKSxtqs4cYvRyP
58Vs3YvTefqcSPcT5lqE/Y1FtTLJGInrlxm/wmg1T0OhHnw949UT5HD6Hd9Th30xmxzWiyiA0Pgc
iI+/X2BWsO4lZrpCJljhIqRqGCJ/3H5RFs04tK4oeMhlWuKXDYRT1rlvSz1cL2nCKNtZj3Y5w9Sa
fhbnbW3+LSsvLFa7O3ICjk4KhDAXb7MtrYBgZrr5zjVoAbFmVSP73Cm5N3urhbjaXtVLDl2ko1il
xNzA4XiV/kfLK0PWsVDSUVrHVF7K3ceMh6W1fobCvmW0hpClwrKBC23j4SDS70slFaZyTvbUeOuI
3oIlOn7H5svi0I8muX7Fyx75qb+e6ri80g7ttBgsGgz0kkOa4cBmu65AC0hQOcjbz67t8EOX0CgM
SJx+8ZJh5jLqLewhtKaCRXU9JX9tz10Q8z7iiHyusdcvffcqQVpzYFQfo014trKnN+xMt7NMzpM/
/RFw774odf7C5z5unPtRs/tg6w35mLLgJKzD8GbI3CWIM3me4b1fp0uVI//FYRkv6hdZNIkgxRmG
/MA0H94W/wLW5pSE3aXxl9VO4BuxWEWmhPawyMj3oZVl8pq3Rt4VpVOjGPLp6ZaSP8OtmA3O9h4r
zItGvLa2EwwHAudsrbFddqvJFZW3RwYcGqD1zOg9Kflf0PMe4hU8fMtM1tPdcuMRKZbFjJqHUoqD
5SXbdccXiCmuDgFgsGzK/fqUoh8LPGfYk4dguBmKHJGMX7Qn5490rUDoVB+dgtt6MZbPTOkrV81o
jv3lIFWjo4kiOproIOpsQC4p1mvTGYi0rK6AnzkHqWc4bcb2O9ctOzrIAnQYPbJoHuiRif9DhjnY
Fe3JptI/s0SJfKqwhvkbt23NA5rybo+PmKWfWtE53LrpWcfWq4B6hdI7rkI4nLdT2365vt44XSyL
ZJ9kCdyVK8hwhgb32fReuzUKF32Lg/9mUm55RnN1bEkvCxXDeJSyZli2u4ZL8oI1Ek86ksmnrKpK
ZlzIkG2BC2XRZ6vg0o5d/z4x6quRGE8iTt028J3iG/cMt/tMY1PMmqJ68h6Taj31vXnfSQMi//rM
fXB007U4WSaCjY6IHAJxsytLOj7lBkUSQ/qma9eDK/5AJnnqPMxDI6+Ro6aVFB8iu6sxho/uuhec
EWGV9OVBksEXTF31Z6Q6hlP+KFB53HW5wyBsLmLareIeeRMqpaZzTkvtHdY/QB5bFH0H2+WGH3X8
qWxKVOElLXx0Yjs2yc9dm+NHQYwSHUF657EoGc/4yVB3cpxV3MAhs9KXZdxQXBDutksIKvynXJYb
6Tr5gnJyx/7idFKHujWcQ4qAJNxQ+ai03BUz2d+5yxqUIYzJI912DW4VkiNtNpuBi5kyj0ea5fbM
zBy7cIlJGv8ZqQBxZhzblh1Z1s7/qhENkDGvKKU3HXnx71gh31h43wnuNJ7aerpaRqTtujAj4DIo
dMs0YOPK6YopvGvy13itXzKem13+wIa+F5+tn17lAzQNttksur8Ia/upxoZTrjwQCY0GyKrfze62
77GQhkBcOuZijEeLlZ1H/NsuuY29Pn1jv5nMhAwwnj1tdFMl3Jqj4vOG9A43hWVd1ZuRHxvbflST
9YEk/2CsqM10rD6UlgQxspqzvV0A3PH1t8Pr5Bo8xw2BsCABDGncA70ujjWFRFCRQMTEYnruCuak
JssMl7Fn5CziWnQzIGbS7koPVd1M8E1gDs3L2o/+CctvheTamaIdppq1kiprrX9iOfwjAyoLO53+
oeNBISxC2FTpoXZzThTB28+cMewSWrWltwJhUlrhcQsa9rVHu5rvbDhQnjOxzhCQ4tTK+4rDQhxz
jFsHNSwvqdn8VlAzl2JF9FLnP5IAFgWhfwAAkplUMxBOgMFhqMEZR36tj9uEVXhd27eJBfAdtXqE
yMO/FhgKuewncbJIlKW1+Ndv/QNCiWOzk9IH/yq13xRQWHTxoaO67lS648UtbCwTs8PsgD0bK3KW
t6PtnPTUEy1iPzCQhgYB89MRI6j6PcrMYjG3MHMcibQIOq4ckChLPt8tjoCuIZ9TAwfUOsFI7Yo/
Btp3JHu2QN6aPNrOM2wB76oQOEYNtDgmD7TFihgOyYdXjk9zbofdJDib0+xrs7f5yKppJrogRN2y
IQf5nySdx3LjSBZFvwgR8GZLEvSUKK+qDaJUKiW8SSRcfv0c9GwUUz3d6hYFZD5z77l9Uv0al6ba
k/tFYawuXaR40V1Gwbq27lKJvV3Ib7uOnkcPh1ORl/amKvHHZtT6+DZDGDbtpVrdx7xDu2hEypZb
PZ614i7MARya42Lj6RloJf0uT9JkJ+1x1xEU4jqFFyeZQIbRNtNFK87Lpse7WyFBWUrqBlAlM5NU
Ftw2+TljOgjCKM3uWPj5d6Fw+uK7z/OoofSDPKHmZ9Q6+H6d6qT9kXGrD60unYKfUvTdfQpX9yKD
B7Z9sK8yyT6zguwk1BKXA8gxK/E+fQnXIrUm9sitscdmt/NnLM0N2AI+QxGcnaoYT2HbROGO1qem
cIfxi/0pfOBgWvZZjwJqKHqXZpYvjhfA9/DmBAVq4S8QFrS9V2Gn1zHpXVUR/J452oxA03dCIOrP
DYPpCMbQLe5hip4JX6xpDFvq6hNyioBPm1sbDQM2Wczew5AlVxJUsFmr+9z5e7I66ZbwqiXFgJF9
vHtLdI/8Vw8Jd4O8n2xs2kep1Vs5ZjcBg2kpfDBec0IWiO2w5k6wuBXlwY3TyAHCjF4KB6C9CUvn
BjPy2QZZyHoWP+Lo968DTpemZr4ZudRqg2UdJ6OEx5Z91a5GaxAw4Tbt8MnQ39yJ58WAWzATKi4H
FvkpUxz8QI+4lbK9Q6wb7jUMvWH3bDvF0RLt74qXhVkYHFYF6yYKGb73SGTFmzvRrkh3uWhaH6J0
96jfWgQL3EyN/qqsmYUyaobawJlEWRSTXLQzJvsk5vanh7e4HQKHgCjOoiYCuk8hm7HwCQhGHieK
PXtYrnhK5xbP/4RccywG9zqp5VeSvHg2Mj/RjETAJuZPETV/oppZdecYC/tu7oA8wBfi7yFCfXQi
Y3AOZsPL0L4zXOwYTG5MBTYx4SKZmxaPLzJJCyEZDom63xdLh7re6tzHEBmDy7m2dfKM5Zdf35TO
EYbOuJPpkF1g8s8u0RJ+9l5qMl7HAfMkkjq2CAANt15HXgAHNTLj5DHNjGvkPY3KRliBqIMFMjqR
9haZGcFvefMncLrXZLDlmfQ11LjQwFrXTHe6hNk8U5mNoLY89W+YLrII9RXrUjyXkbtH1vWR2MuD
ZWGyZDxfmFnwVhLtJ/H5pzNqnqbvM/wG9c0p1T0KFk7R4MPpOe2fNQgdPP710zzCy25EUMeDwE+h
LW7LAX9ERCtmFB9VBzME4NveKSJ+qehRvEqbGI6tB/gJA9Yoey5fIoeJx7L6ZVr14GRIxeo5uQMe
fy4kFJnRV/+qoGV11k5oEiq9bxR19RC8MvE6BEo9WiFoDkyjSATR8Jku0u5s8ii61R90aEdAZSRx
b+GFYkxxdIkEKjgNqIVRt7P/a6nzXHnEZdse1RB92l5wc5f8oWOrZy3O1bPPmWuyceDymlteBSzz
6A/Uk1FTaqFve8dXyLFLzK3/YjjTT5n0YPGd7KYs73fT0fYBUz66iQKRboDWwxBgjDY+KgM3KGuH
B8VGdt+52btvvddK/c3yTp9C0/81Yyvd9DQf8TiXx4RDoKcjjoUOLkaJY9ZBz9WEvjhXRfjP7N08
XnwwLp4YHhfO/ajMw20fyWfTfa91zjHk6lPVUnGUran5LWVkPICu2tVL+SqDNftcf7AhZdcxpy/C
z1nUTB0uFhTHXppcEyQtPNkVrWX5m7CGnVtHD6ZafqAUNmjE1XNIxnLgeP/mrRssHa8pI9YBe8CW
nA21bcOhOhNDi1S2LXhKbJP9aSZx8IQNKW4ZSfS0Vd7Oq/Oz44QZ1C5kltxOzYa0mw5nQDDBLRlS
Mj356O1GMb5mq+Dw2u9GgDM7RwWKKfgGJGxyK4lk2S4yvI6ZzdGg/ergpQCsUfWESWoecrf45znM
aUn0edHhyjUD2Hep+jzGCWDvWGG/NO0MBHzVnWG779D110ZFpVqPtzq42e3ylVWMCHwbXk3T27wv
s/O7GptXo8iGowP0NXdfauAwSKRwbA1p9N14ydnK/L+6ZfTGGiOk3nDiebR/10beH7pUkFu5RSQy
ICtNnQMbmNjqCGR0fIYZ40pJqquHTJqXVCHFdR7qOr9AssrwhdmPvervpckGjbmqaWbnkJmMUunb
yBGmMhbkIoei3taw0tpYefO7DBgyEXqJH2mijSyww0HFYkvjygL6QtY8yNL8aqcGhEkmXpWxuiK8
8j0R6sN+NRwLySNaZPLcrp6HNMmvNXxxHnUQnTd4Ec9927xNFXs3z16zwYNnZuBoYjsC1BMXuxSp
z18c6900/yuH4Qv5Enf9Zez0V7CE93xV0hbK3Bl4bc9t/SkS5Gr90uExn55Lls/46xbOUNKEKq+L
ezkeQL9864ZwXOQ8OHAwi+UQ1n1z142srlQ60kymwSEQiNPdxL/XPahRz/Me2dhT1DGSCgjChgth
kIVV4uTctsX45XOO56vB15uoRdvoQZioKoHFMkOfxG/ty5d1Cq+mqX3oUITjNgJGkGybAMgbRT0a
b6SUOAVpZ0ouB5Vw/8u2jZF90dj+ZBOsBZxouD9n5ot+dJJEY23ol0h1B2XGsIWG0mif8z4F3pga
L9IvYYMGSKyHlC2Q73enslouhD9go+fxHRJur54t/ASMwMZu38vF22W5XW+jSFBtwpTozfoQjnwv
NLFxEUY4Yd1uMxHxp7rvARkgTotXlZV3ih1zOxf+bwuwKWoPeU7ckBQAADvDKH65lQUxofmIJaz4
eUCm1XpWsTeS4s3Rw7AfBNMpya7bD8d3bUe0zvLHJJ9+W4ftsxWtvBUPb/8QfdEQQJXMf1URdB1t
0mME9V+7sdytOzdEDJTGXzMfu6Ps0moVprxHEYtAbZvfdYhGlk37mZXbg64pWM0Bx+hci3zXhhmN
NOXbIn37WtT1L78DogEajjMVxmm+tg95aMyb2cweWt/7kqVTMJ0gyg76Pb8T3lMYBWJ2YkwoxyZY
MHz79apH68qzduAcriwr69z56GYrvMcxRPanZWmKI0fKG75BOjdVfLc6MPZJKeUlCMs/DMIRADDu
dENkZpKwCcP8mwCci9uC54JkWHhK7YAkYjWmN/+6xHiZS7/ZT0N0nZH5IbEdTwv7GI8PbRdY6ROv
OLTliWCanNfQJ1S+nkEuMyzdD6yWsNAjXMQZpRU6n5n6IjX+5XZlx3CBGrIQaLSoPgytz8lI5GmL
YjcQ0YCxGEd6R+2NwYYpqrlNC8Ymozl8uFl59abyxgL5q/Bn2u/I2o0tx2+aKAA7AWlXMAyOGllH
T0YkJ+nesAkmDlz9gDTpwtHFt7XlF6NrbGt59eab8jtxx7cQORPeDJugRhIJWqIbxtS5qVnQqa/w
UEftddOes864kWX70Zkjq+MG+ng5NbE0b6H2ZGxn9sQxTrxohLdoKptr/W6hmkXaQagikxd4nmNt
7nWVEG9frKTEOdj2NvaXubf2dsqZk9hRv5sbGpzAn/r3TIF3EX7x28jnT+Ea+q/nn/PJjJ6CAbA0
UbMnlugH4KHWPgh4yiZrTs9uVlEbDtwnVX6ZenlRnrP6ehQSDAvIQ1T0+lixWDwkhfQIKGIUL1pi
ltOBpt7rmEdmwInRSR+0Z/OjC9WfcjHvI1F+RblcFdGYakosUoj61d5BFszWlTtjRvgwuO117myX
CCW4Y1X1T1FIbUansrbscRxExy6T3iB/ZXyMmzScYkyk7wiK4YdFzTfZyW9hx8gH8y7QiLgIgofe
JmajaCivFkX/UbpuiPhcxRmOQjNSb3DB2XRgSono6rsmgDJ6jyZ2sW3mvVnF/KfJVmWaj62JmVYY
ji+Wh8u1tNf8WTCBSbJBlP89m+JmNWolxHs7OGXX0GGyZg7+REWMg8EHITe6OcFvVRxmTr0hV6SC
HJ0da0/AfFoZZ6HBwDsA+JpGnxh+ggdDgZRTOmoPdaO2GAoYx6Ta2IS9OZ//+5JNRQXFcwQxjVMO
9YTJQlF12w7EJ0IIBlsMCC9F8tsrfuql9y+FY0umyxSIQHUOo7mIA3r9Jzwiv6cSXVmCY4p0EuKi
lqm6LUHEb0aThjrUYEtaxndt06irnNQ3o9H6yE/yVIX6KfVNzvNKsMORUv7fnBoM7ffANDAu0qHF
f+VmJ3NiZDU503Nz86BmgU1FVF/0+SfCqZMrQcsLfRee/xIoUNHVgODIr4jXDEipwl3IfY8/6mKm
PceD6A82E5CWg211/cMlsCV0D1IomzcDC9p+HlI3zlPEXDqxIGQGnN6CWSYPdrNC8DNkrrEt0qNr
d78805GvuFBRl6SfTT4QtQLG8hyoFfCq8rvThT9SU62y8ybgKNuwiM5xLxdvS6jf2twUe8vOvuc5
94+VZ76miL9WJXkbm7k5vrSL23LaBSFOlXQDAp0dpSO+YOAaNzMQv+Y25P13urtyoluJsGm72BPD
bpFDDfF3HfqasNCsD6V/nZmzHQOG0mhIunsjwuTEtPFJQrjdMtaRtvQe4aUS0yvlCXPJ1RtXW0kG
3gWj27cuxxUKV2Kc7KN3o8/JOSG+zANecoTx279xpB7RnQ+hxrvD32v4+twLcRYZEnHbgjkvzP4q
RwuON/Rwv7dO9qiqGNc7yjASnHTBDInhtGxLFStCqThsRL/3bPFKpDgCIctsYkuWrza/9SnS6b7v
MbkprL8xzfPW9lLAZjC/2NhR9jAa6pv6O2HM1IbtG50dan8jf5/QpKHQylbqLPfssM8DHe6KaTax
1JJgmhQjb8T4CXGNT3vVf9d1J7ckCbbHJakPpk7ezNK8z6sXrQ+kv1Nd+6ep3E+/ZAQ8g+q3TO+w
pCAma7DF9NCIVYflPfNntAcjUKS2x/Zis14xQvOzcQb9iHP5BYpq3I3rHsHljgXMY55DnF6w6x5m
yyBClLZn1xo8gTlkIhxkoPHLz9nFK8me/bWdYA6N1Aa0P5T0EmyNBfQsK39NXvFqBuHfFJiJYTb8
tUHGpZ29YXwYD2WFJxonJfA1A+J9md3yaPVodM94OZjPBZepI1KolenG6RB2RbLNiF6kOuvXHUL6
GELCpcLnem155SN+ezi/0a5nFSvR+giIgGVQsNFM7tCzcs2YLpSqpX0dvG+Dndh2VGO4XSosqemA
0703XKgUeXAMGyAg/YQlowSPtjCjF0n/vCBA25Zpd68hjoh8fgyDnG8q8AMpRfGdRsm1jBgyw+s+
QNi290PLKbTUAxwojI/cYsdOeG/YKs5+Sy83juxKswpxWAL5FMw5A8oJkkxgJjFT1J2/dA/2ekEz
hGIKkWYHJ0eA57Rg+VoQ/SHqpq3mtsewrIDhQfy8UDV/ur3pYoYB/2gmEBFQtF3++1L3QLs341g2
lxD0J/HCZxzH6Mr++5//fSnE6JPxMaY303904CeePcsgb2uWB1OwWgwKi2K2n8kjcORtMsZv6SQF
Al4yPnXenma3/UmVwLYvxC9ueyxUGTlHs5v+jSIJ+bXvvqbKMp7T+eQrnzjDhpPNMcBFkPhQxLkr
995EnVqVlf04cZHGVW/j2bGpn1PJvN2aaS2sz8zH7pDqNNk7VIE2isQ4LYqPFIGLmWOsz83kU4cv
uRku5zERT7rQsQ0wDtsTpobC+06G7tewQII3w5VDh0YJ8dbH7A0fiQfKea6w29my/CtNp9waCLMB
lObHwPReZg7vo0ASNiSrzUmikqpXLM+CpGbrVtkbq7ZdZnrWDkIUirjU/SV68weHJKwKO+SoQXSE
Qwqo4fSMse3TV0MsXPUnmRyihnkfmKgWm3Aw9dXR7OMnNBOTYW0igfUyER+svei1J/NrzJFa2sMt
D2zwF136zWe5CAOrl7ucUIS1Lggbr5c8/nJ+H+f5sc1Rua47GlYk4t/UR/tRW6AI3AX5LZuFDXc+
xFxhDbu8CcAuJ9C3kWrU5CYfrCplwes1l2FA+YxifTvyKQ/suXfzLD4Hog+4yOaLE7E84BcR4vgH
80QCQ41PDpUiNwn/okuaFw9lCx9yxPBUoMncTGbOItQ2r3xjc+J9yxuDyf/oqKtWznlOMPW0TKOr
FR5jwgWqkSTZun+p4FZs/QEBY9BosU/dCSF4SdJcYyHts4xt04/hqfd+j4Y3PjTjd9YN1YMOyEXP
nOBqNQOyiYgMDjJ9w8ojuTc8hj7gRGZ7uHLJ77r4I/syk34wZhusY50gaEl0/+HISh9oOuqbIQjj
0JE+iSDEXYRRBoVySXZ3YCObAG/nKGrS2TGKuDSSsxPK4Uj+uXEOUfB3eUCP3OdASmjkZOtGDyWb
QYyx4e9GcuuVogP7q5qvynbPS69fXEQ7q1OU4ddixJWbnbPcvwZT9eFM1RcFx4fBjDHxUrRe00C4
iQBcRCUwT8wMJDpIWXvnuQx/2YYF0zK4ChKTdoR/PHIiH1OZvMqqcfgPQ8Dc6L9OhQkH2dkGdN3v
pRx/9wPRGzM+HGYR0sGhvqQRed3TcHZBGG6kxcvCzOKRNfZ37QQvovvuONJgex/qlvonf7NhdKdz
iHLea58rKZ/A49D8GIQqQE5nQT/82B4AumKQj2Vj/Vi0ZzDHV+cvtl4ZtM0psTXqWMR97Fe+0cMX
R2epX2pJAu00uDHbFglppD6mpZbxMLWxXMy7lxPGwlbFM8zknBD20PtjujOzhtOn6C+ztpZ7N1/c
KHsq/8t19xlaFYn4J1OC0Pzci01WnAA8rYNTM3icHOxWdirbVUxyNmWYnikPnrUE6g5wXk0BVYQM
uMOxFUQ1ODli2nb0rWLLxumgyCKyCrrkSfrHNLT+GW31jHivAjkUiEM7RTPztZA4XYGqPMWDUSad
9QnO82ZVw2vgpuA9wADedB+iS3BM5MDaN88WNvD1Pc2fK9hopgA8zxqE/FdymO4Q329GHe47TQC9
TR698o7mFFT7Xg/Tue4tIH8jGZQGR4gDDBqShDpGS/Zgo4UjB5k3x1aE4MzBuWJ/pF3B/si3/J3U
IdgAeg9QvfM5W8eT8FFwR2ekcC5CrUzl/gx5rP0KEeQU4+DBqm3yPW+2d6qAFr4oGby1xoMfpdMr
C0j7CSrirsCuuRU5S8a5bxwwCY3cWTgb9//9MQOVuJTGdV7zFUdUPu+ZnQ1gqXm68kZ4Z9eFLKR4
go6ZOfIZtKh7vFkPsa3s+TBliffOFCvdooOHU1sFV4chiOMxi9WkjO66urJQCCHZFOG748HDj+A1
brKRyyFayClA1lMSyzXavG6qbu826s2TCUbzjECcWXMa0IRmwyMNvx0HHUssK0chJLxaPbEAhqIV
GvXLUnNytFEnuJNy5q2L86flfEUH+VMXhn9XWtyr2kPySIP5TO6QLpPrgPuUOtiyD5nTIskq7Rcv
I/xS5J73KpKVD+kWb9Ipk9eZSUuPLXkrqNH2eo7ygzCzFDHf5D1NoUJ3HKl3qd1DI5uLM8JWC8YW
1yTpHcIYzH+dWJoXFBDc5QkD/6bxCgIV+nuBzvGhg14K5SB9nayEAbx0VgV9g8rSHNK9M6BbaGcG
MR541xH3LzCp8W2kNpcmYSMiuVV+Od5EjZd4rrEjmPN4N+uuRs09f1tFDfljlb+Oo+2f2F4+RcO0
oKIsYVhPxmoI7rGEtPAU8n76Ttn3XgSG3Na+aYi093YiToAhHCCCuiao3UyOcGmqXT9o6rrMAU/R
Zv7R4J9hm5GbHmQ4PAvIfN2T5UbOyVQ9hY+n9xYNeVxpkPK4NzfZUr5FTdbGU0J8N4NAcRlc+7tu
bYFXwP1Xe1VysDXzrw5lz1YXdv8k1SczKP88QqIDz5ZjTGW2XLsV68tgZS05+G5Fh9otGPgRLLXY
R5lAMVhjJS8Nxibk4krtMZFEO/ga8mZ25wjmGIDdbdA59aMJFpWMenaEFZnnYK7XpU8aQNisTXRE
sGm2ioftlGff2IVfA8T1BXtiIIov2bonM32cFznxc85oMjhBn/wpBhuLJW4qkaz3cOUmG7Y2za1L
7PJqZ9R4TgEn1Qjqt7bBAQH7nHyrTu5mHLyPfZfSWGrNaRDN7sPUi2AnZu4XMfd/uOTMvehG5kCI
3naZY3yHfCPkac46lR/1FioaxaEFejCyj56FcK4ePOukZmdXry/O1GA3SiJ2/bUMjXuuTDRMWe/j
bMWeYqbT8mKH6RPo4+p3Ry78unbft+bQ7u218EBHUG1TcsaY8dUYczCFNlkzP1aUE49OHX0uzG2a
1p8/TNlhsW84rQvblrGYHIPJqEb4VTCs5NpGYWQPD3lgvRbNymBsSG+1LMgnGFjnGETXjdSnJKZS
fQVHpg5CcPXy76/jhWd9i9jJOAsJ+K1D7cORnDERcNNob1khOCQ/L14YG+ljxsxkmyfht2cH6pVI
tb8sLd2/ExcjCrHofaiYzrFkQj48JR/Qz0iENaNv84JO7547U/Js4A+/IVSpTQfjOy6bJ8zyB7pK
N7bK0Dq4WfeeBjbl5WQ8ZaIHqrW2jKFwsjNM5pGbiJIXhelz2rJsoR0pTrm1agnY+m1hUJ+BvHdx
mlBBV6mlb4bXPfrd49Ap/yAy2lMIb68dgmYEfsQAwi747oaxOwVk3NJjlv2979EJO4ZzEIurzjoA
uxoyXELtxotZJ5cu7cOj34Lf4olm3gyOclP50GRw6DPq0Ks2y2w7mt41X7kmas90QQJR2ekjTR7t
FxoAmVnzqVvCC066+Sy1z8yyZ6LlmfNd+dZNZYQKgGdrd+nilgdl026qcF4+B8P4XHw2YHSk+b3K
9hkcjPc0TR+6sJ4YxOXOGzyH9MqUttZeFOesS2CR2+XrFN0JE7QvHDHogiOCNzqQ9HGAT2nfDhPh
69P0NAuCZCsshvGiBT8wKOprUXS/4CF0uz4L3aszMwEaBnUXUxHtB/iQLMuEc7ErSWOQ7i20yNdg
DQ3y8WVoi2nomi+1H1wnOddRYZ/RkBme6Dn7ZX4YjW7YgQKn06sPRm1enap5E+3ISmIoEMTOXrZT
Zp5dGueEO7x/7D0GvOy39Lbxlbjl8seB/DckuvjHqO/mCcoUW1rM81ufrr8ifbBAwmY24mNMuFJs
4tocUdLucrczgoFiJbJ3I5XNbbB+5TgLvWghjg/YrdEHLzgv3Z1plrCuDXfbY0jCyui9ZSL/21gs
L6F3O/wyvK0/8WqaWC3OdfeW6MZ9W2p4DhGpE24z81CkjdiFChiQu6BC1SJ4csVMLPfoEMDYWafK
sX67xKWYbYP4SmN0R6n6G9USCFqJ9lkk6itUGiRS5qOPcsNbDh4dex90uQSW265JJHhqg9Naa8K2
nCwOG4/gD0jJW+WWalfN037wkj+GbKYDbUV1TZgfIeAgEpsDBOSI2TzZ7nhhl3dNh3Khr8WeH3oM
s8dFPgQhISMaKkQdkkySBE+1L14Spwh2rRXlJ+KK47AC0zje3IiJH70laQUFLKuBqmHREXVP8CxW
ingJ9CmRvwPspDuwSayanZu1sJBO5ujkDuyyvASmmUpt4gNQ2/vsI2pyQ1h2tAyOR4/Cyi2TCA5e
/9S1Aa4FzFwKHpgZEX4ZVM5nOWU/htl95bn1PVYNDKZV3VZH+Ws0yF9G5k+QT7BpBXWBBMy09tpn
OdFH5gtYmGJnY69wEoxpTFqAxOXYJDte+TYk9ISUdsJFzl7RHYrBeZ/H5dN1o8+8m1+GNQBybruT
RkiIIYnKMDUkeI+ETEkzvGG9HlZZJfmi9BGfw+K/LUamHtOeIiFPvWhnF/4nbHLwMIMH7ChElqTV
Q9iZ2yyx0VZ3Vx8hCnI8j+Hq8qWggGxIoY5U/9r44WPtsJ9r22vthbcsSW+RQz/v2LSVSIKDvWOM
+TYc2UvqBHPkHBzRFtnI4sOHpkK+kii1KwYFMST8G2WE0ais+I0s5YshMraPMHxc5uql7Oy7nJ2n
cbD3rLXvWZ5cbeLmNy1Rm06PmHXg+7gOqvmwdT+E6KClBCdVYfYxx3jqKmo+rva5oJ2EzoTSdeVr
1QTfeRJQ5zLumzbguZ/EpZ976NGQS0HXrt/esJorDvnRZoolmA3lC/gM13KO1orp/S97Lip3npdH
KNyaxz7naMSsHUM83YrlFBHhuBsWmuLRyh8C18DltAS7xa4QNpc4JrRVPzu29Y2KQW19X9/cHL0g
xBS2j/dpknwH41dpYQ1HBqWleI7kkS4eag3QxzBQ3/WQzPtiQFcDSEmS7i4Rk0LzrTH6GqNzkSJO
2JksLEtu7MR618GugsB454C1VI2uHv77oi1zxpWG+8ZqdpNnvLbSCR/++9LDU9vlGHLpuzAVDRMh
Fwx9Odw3mVW9unWqd9Iapsu0Ej5kBC/Xrhui7MYKY1cOlSMxSNMh+zRG0Ie6udfk8yGLxDZ9GCP/
PgF+27GO+skaurkhXY4hGH96rdTbEe0id2jhrHvvz49N3nikM/Anrq75mFDKbLzK/iPZb3AZtvEc
ZO42KaxDtCTdAcyxuSFSVN8EWxte4TrbTTbJMV2XnzSaA65HVkaWZPD63x+RLdXnDg/Ghnw1xgjs
4Hleu/OMLCsspIvUCEAcAKeJ9o4vhHLw0fQ8L61tOWd3EWQ7WANXjN8AtZ/EU+ir16BZ2Kr3zkev
JvM8rF/SaQ17r+c9b/BfvQzjuW+d8ez2/zwK0VPn4sB1Wsb07EJ8fIlBpGAPdtGRjfFydjKSfMS6
oTXS/uybXX9eDgIsF2JG4uvIX2SEzsdtuRvb4DfheZCrcLASeOCDpwzQhZ5IBzwK9mKAleHs1o1x
YW9S7JLeMk5FT8RWXfxlo9XdfB24z0tYHl+WST1gl25ffaS5jBZa6MhLkK0/tsuEB1MANP0TTK10
x690pIlqv+sOFheae3CYTvs8yJWGZujXeoFOnvfFviHIBdk6zKcQKO1hdjFxCdQKs1ncyM8Mdx1e
Y2J5vI1XM+v1TJt1RLBOk2b/glX45uq/aQIEYOog4IEWt67zjfSqNAYD/V4HAKnUoG+mIGDXRk9c
u7b9gp7M6t4pCNLTUC/8yhDrwfztHowGiW3aVbeeNZOn3E/+0x/xyvVeyxix3FdICfah13HmZ+KY
JdgLw+lsL8tLw9meuk4I8Tf/7iPcv64lgaF5IYWPqc/gyX7WYMWjI/55E0vcUEx/upZDzMXZjv+R
AOagOAUoYDrJZWGI4sfsknqjBsRha/0Q3AMIB1WLxHEuUaf2lKCVifo2U+JnGrIb3nLUJs3eN1KL
K8ysdoZebioVZxp1AE6zOsuJ4cgA0JlgMvtznkm5WK+QQ+gA7mVrkszhTeHP33CVjytQrIhD5PCH
Du15qLs9TIcQ5uT4k2n7qZvhnzGdQhJv1c3RYpQ9d4AzTBEe7dqnXUiWvd/2r6iMn6waejbGyCFA
Lo1gh3Vp/ivRaE9a08PBoMzPqpRRPBZMU1k4kwEXG808PdT9Pagrn0pa/ZKBQQ/TLthMXJxWM7N9
NH3lZZLFZ0cHDk4WZ1FZ8cUDeIm2nya980P31orkAl2vjXFSQ+6KqG+XhOzKnN2oGZByoKNdBtJg
y37L88HOOvV4xrh6yFEi7OYM2IVjJ38s8RgM5hAnfv6M0falbJeNai9aMP8IfLIcQPTVsYtkeGNy
gQEJfQ4zyAqtat7qJiAeTHFrWNXy2o+CSjMRBE3WCiB0EbVxpZA0pTnC1WUlvrVTdrAa69OSYsdA
XMUgrBh7IGoarZ7af9GffkhqpoGzhU5NgzZGlUDeFipTvZUVGSRD7YgDBPT56C8IuMyZSISi9dRO
MyNOeLrcsLtKlYBYsIPbpEjqsEYb9Gf/YSg32fJ/c222EVJBxGu7qu42jjVRewnQYBqxdej3v2QL
mcGkHTArp7gqlNp6YhENKwp/2dZOOuT41ZeH7IbwViwJMFmcTmJmWxZQDcGXXGR0aCuM5fiS3oJJ
IOGFX+JT0dhDJWKZzexS2Wp5Gcb/RaI4NaowTtGUIFFBUG0Z/+rYZxizz9z8mWsH4TJrld/03e2G
COzpLEX7ptLyuET2Z5bJL69X72POjQvVCdXOMqUHdl/+pvH+uELjUpP6DmzljbXco4nPv1HTG4jE
a2Spg93Xh7nOv9qgPRPQbcUOwQqhD8ez40PBCYlTHlELngsUdumPWwPR97Kz56w8jc77Scb0kkPA
n6PxExNdNgIpdjq0VrLFlo0LfUMu2aOX+s7B8Ip+Q3AUm3iihB301HLp3M2c8ZMz5gE+2ET3gKvS
IJLhmpNtAiIMlbm7riSa6pknKOGJepioxTamL0H8JnWyrQb3BQr7s59gJRkHmkki1ShWiwY8LWL8
rdDLxwBen3V1YaF5BQ90NkGt78vMC/E7ughzs1shPBO47fyZBcUIwDfbmEvx5WEyW7CDD5gmNllR
I1RMrOz3COTUJW2sV+tcWNeQfVe9WiCAvbtpPR58b3xhzHuRK109TKoRoV2PkrgEHoMkLv0fe2e2
3EaabedX6ThX9kUe5zw4fBxhEBMJUqKgKqmKNxlFlSoB5DwPT+9vQd0+KopB2ffuaEVJokhk/sMe
1t57LYsJNrNC+2wyxs+kXxGo/OjA6BAfCp8ho6gNH8YzhNvD5A9rdCERhk55P6ijN03iPaQ5WjSj
CUOJGwXxbkB13bYZdDGmwls78fxXReNsFrFgXj4zyR9/ohuCkX/4xx4uxvg+C/yAAKn5PPcAd769
BKs5xXKZdGYbtEmundH/gpYRNcZ2fOd0Z4Y6rGrvnPwH2CI8tD2K9xyjBxs6N9qoHpnqfqQ0sgrG
pt7D1XaAc0/Vr+JwQqYJMfJ4vqXd7rbtOc5BTsEt6sbbCdAT1l24UNHLibk5qyzM/kTf552TUWP1
7OV939FWDhpGZG1Qgfc7mDjKkHpXP/1Zwv2REeaCMDrEBh6cLPUY3MaMYZrWvGwMN3sfB9O9uwAz
MPwGgtkDL8dR+VQ2lw8Xxw2Bdfga/CxPSZh98AwCgRpFrmXMl1s7KD+VU4VSQAfCaNjT18o/oivz
Z0A7AfU/QgH/Uq5GSFQoBtyNQ1qtIfE93YWn7HNgXRAHRF1lpltrHxCwiXr6IWYu17b5hxaUyAO3
YouubXaTQq0MVSAgUn757eJnG7+40OTmMGw5w7CekISCVP3lOkb+0LcxXLcQQDgRVTi6e0/01Awp
1JtoC9SIojOQVNrHAUVTmPGcRzCTx5F5rq/e2fpyGdpbscgzmW9lYPAa1yjKu2VZfgvpbnPaBCaD
Of4zzD/mTAQzgUJbaWbSptDCU/PVBGaqibcOoXuhu7pCFmNpqrsytQsqUueD2yXejTv71qo2Sb5y
2zIZmKTyCJfkEZ5S8mw4FRIXlfAZwtc6eD75VqGxNJtOY2KXsGC3e2e5bVvazlLbu/WCHtYmJiMC
067WbWs+GICYN1F7gakBIiRqM/R9kGndTLRurvOeUlYyXx5mKAhXaVi/iwOy0SxPvxaX5NMS0E2c
1M3709gCTqZbNFzAeYIKFc7yy3mYW0xn+YkO+M8xmssrxyl/AyovaIhTOx2qDPP03OUpdfQC6WmD
IXgfmHHbRMYjpIbVjr6San9umvfuUjp7BBWzg1P3H+l2w71U0Fu40d4ImDYxLXC0oRTW5iOpOzKO
zfjffTwYkFeYyTowyg+06wK6M0gzJXd2mhq3TVN+YmAU9oAULvb4/OQsA0ys0e+WgaHLO4AWjX52
E3nFafgQM0jtmdYX62zeN7TSNZT02/JDlU+3l8mACymwljWlOVBj3wxWmypJGfwswbUSUIuyti8I
17QtI4/vh4pmRbr3Dk5AkRisiRpPSWo+IXYFzE7QDg2O+wj4DEXj4Dsb72shaUh/Xo7DsivAE1nM
DteIyNWFisYGhnpSR0CV1Nuj9r09TZdf/XP8e9uljNQwjm9w6+KzieTaiYBkqg7dKfjFi05/Wmx9
LGTBsBB4oaS57pm2hYNw3AbO8vnsxRxSg54rd/nUluG7oXu/UKIB+e8f54LKoVc7xBHluDdRKkDt
u3rQr3ZgHhEiNWhk6hFvfYElBnUmjLl76lZDSwcFtJK/F0Hz0YfQ5oS252IorEhAW0pc701eWM9k
nChEtgWwYInioc9MUswsS+fb75BumlFNhf7L6g3K3fga23rsvYclvXyaL7xQl8BPHk4ToQx7meRV
vA/jdGfsXJe43beY/FjuLbp4aXwZoXqWHnDnH4LR3zfjzDYQ9NxWzsNcZTXN2A1qMIXzdTplH8hQ
ewi06rviPLBDiF1vEqfcw+MR3zXNowUBPrKbZ+LpMjr45/wRAov7Nqc9J4CqFFAbRw7jKjSedfTr
6WzdQBU+bpF6u0BCzsRpb33uOg6zV3VcizT7DM/b81SedhdSydu5rMfHjE5S02qCG3iXn2sfurMo
j4sNvQIEKRq9mT/ZABbrHmcBm1K/PJbn+XKXdRV0Wd3jcMr+KuL8fdMG541ZToQR5ryf3Tpb97bL
ZQ5wtWPIQUgQQojDGGJ+w7rsywjldapaGAigEd/Nfj3HbHaHIH0ddXe+1+d7hmx3aUxYLBY/B/bW
YEE2ObOSvTF/9jumF08n2Gsv/aeLB5I1XdpfGIh5XEL7S+tATg/RaD5yUbIm/Npc6Avt59+K2nuY
F5p5ut47eoC6N20bH2ntgw9pESpBGxuZ+/YauV0u9id8hA39FyBncLmsqXl/tsSfGXgjPT+0hOdB
YTycIf/wZq/bU/b9FEI+BBlAlF7+sOlQui1/D2Ioo414ONBwECCH3m4h+GipWPe/gc/0kJ6eCRns
hSa7CVoLzwb4WqDHCpcYjLZjVDDtvqSZ727mrNp54XSowsdxGefdJDAaTr73NeKrc0z8DTBNpYnm
GAqAj7nX3Kfn4GO33JiuxHe6vWnZfzow5az+PzvnfPsnFJUmjJb/7X/+jy/Tf0++lus/uj/+8bXo
KAy/+yP/+h//ti+L5B9MIib/+C/H/7X5r//2zy/+n+/8RtNpWe6/4y0dO3JNHxIjO/wXS6dlOf9O
MzD5oQkPpmPZ8Hf+k6TTtv/d86IghMYy8CI7CKDObMu+O/3Hv/Ely/McM/KDwLJd0/5/Yunkw6uS
ntmy0GMGoctFhJ7TC90IvxOYLyg6i/mMuEzcMbGT0usc5jdJ8UzgTTXi2WqPzNB8OyvfVujx20/+
R9HnWIKig+Uz+MnniTL0O0rQi0eeXlajeYAGb8VT7RNEWq3E350DNR4+f7cf/7efBpEphGeRY4FI
//3TFvOC+h9dVTQOD+sTbrKsyOloCnRdRjaIbt7+uBDy1h9XM7A8MwwsNzAtNvT7t1P1bMg9VtNB
iaQxmQvP/zrTYeYj0icdRabkzwyazIm3ggF8g8LtqjOevMZAZs1dz1ABOIDULqNzVlIAryCSNYiE
kJpcfV+2T9UM8M+fPO8+7lE3ZQqR2pn/cJaAM78oFzD7SjKAe+yps+e+fWh94yZc0Vywqm3qx7it
gux+pOkpGZGauzy1FTR7aL1X+Xnlt7s+ddaX6dhn96iW0HPZrVrjiAzsiqgYmY0VEwNEqBY1nW8/
JZuf9JFota3GArVnTz8kqJ5E4Z84RwulULrQ7fL6pTYGi+LjTzzs22sf/WTpIbz9fukvvgcjW6CD
zGdGxH/Os4XWYhIdxxAkG5EcCDt/8pmW9fqGw1zq+iHMVeGLT42KLBorbzYPFsj4iVLexXLojClu
IERnCPCpdWF8HH4fzPpra3Q7uE5oTl7bNLbbpzvtccR+XGr24QQHFpsALS56Bh4e5N2FWmRW30N9
uptVsKOq6gC6hQldOLgkk+nH0c/WMe0Nurgo0G0mlOUK0o0SUrvOYOg9RnW+oGFwPl5QxtZv3WIL
eoCMKyzTERp8J2Nz9o1NVnII+Fx9px8sW1Ix2nBdThG9Iex2ivpCaZnU4tjfBC4Tvjcz2h2s2Zwj
NS6RxnEMUvdpMukcPnVUzlCTPT+VnNmhA/HWvM58TLOnjlQ+Go7LTJsGKVHGiK1PdSiHCaLq8r1L
dauBzr2nVH69Evx5SY0NGeLKbcjuWYjYftI5dXp1rswr1AoeEzpkOM2medR6jjO1w3uf0cKYg/n2
UXNkFH8wmsF/7rqM3HdGbD4XRVz6i3nw6vBW7+dX9SYmK9Bu9km+LvQqnAIeUwKdXIiUfIbB31UD
jSa3AtR5XdPv0ZvVhl35bNsMhlsZdUu2P6OQUTbcySetfjI3uy409v0Y7zuOk0zLWDSbt9/p9evz
n6/0wlLSLgE2ASnOIU+GNZOZqF8gumK6NxfscgvpRFPaNM0ZP/lYGcQfVxInaPq+7QTui49l1OQU
JdAdHYYSqZJTCXwXbc6Tu3v77dy/M1F/c3MRHIR4WSsMIIv5+47VEKr0UEpYh7jiJHJXtWvlfEwu
H3v4D43xyZtBZoxoY+b3/Vl/g7mum9XRCI+aaOqxjb7HuElDG3W9QQpnS2uSdA/gIzMRRSvooXTW
7LTPKPeIIniCyFtqPNPRjwnV1TAbjDNdLwVZbMdHeAPqI7ob5cqnFzT52ZY61ovFjWAE51XNKLJp
yrBeer+0i05zk9vTIcYQchTr9DYNERLi+k25h1AVgCTLcKYRxz8MDk/P4/D+F6YF5QyCnJdqnuQG
5C467qPMQD4/BQzghij8OFxNo0eXgxldXrkdrJsSeei3N+/l0by+RuhaHvQrlueHL5xqYTSIdfnL
dBDN3gnakRPAMh7KQYGZepjrPrvzT+IG62WYcv3MiA+EPT2yXVtL+90NLxgP4M6JzxswhLF/Ukqy
P+gM68vjSHtBnd9keDrdcY+vQMm1MnF0vv/EcAEDstleu/v2OvimvMn3t0VPBac7s5mRQ7nZ1Ep9
91RzbdbwC5iwmtBvHDCEjrjcOmXcKLAa5HLYMf5OvlmeiNHwtYINO8jWJhQYy4i/AIqQ/ZB9XukJ
xyJby9Ze7SonIEBHbqB1x8awypiVJpIPDg6kwT4jpqsflANgy+M7BW4rvetQRzYa+uCgb+/oc+Sn
BQZ3CUmzyUYCh4+bFroBiH9k2bFqQxjc6nb4NgVVnEVP01bRPqXJfUeuJLPv5w5z4jwWZrAxniz7
YwH3lxyGHny26qN+NOXXtd70dOl1KGeDIipH1rHQQpye9K8jrlsZ0xjX2jeKqpp1MAc7bMCumHh4
LLbJv9JuMlm7KtwdJEXruOAfkvgtp2ZzOXMrFopCmO55YerNrTe9X28C/BWBxoQWazHyVBCQnM53
M/5VDzUyRKCPy/J8jyjD1picQ1kG7xwLOCr86MHocWFRrzvWEbWBy8vnJ3SZGIW91U7Jz9oTSq//
XDYfHXpmp0/MGMp8tc19nDwsZ/PGmowNisq3RgKUp8DjfNfaMZcb2duIlr8S/Zuq2UG7RfTWbgx0
QoscVlqoqCuG0gEzP0PStplbupygMZ2wUYMJ2nOceQqdHWyTFqst/6ohTA143msoS4gKYKjAgzDr
GtEqfOkKpFaJ8QQuoxBRewS75pM2SBYnLZKtXt7Dziz+0XE4Hmi6Vm6zqVtIAADAdIKjUjCfQSlm
VdFHMlAZMvsnfg6sPjBa0SRBcKJQOBl/XwB9CwBDP7Vvkga+IhoDB6jrmDNGwRSdDOKUsHufIzDn
cZguPG9nx3tCIDoCWAKsFcoB6zbadOO7+a8TiP5kNseapWuXJ4ymPYP4crU4YCLlGYnE6qVmHj1n
qvmobTtFTHWw8ohf8/Pg7ameispZE64zMaOe9VNn3SSUJVCuoi3nKIKfkGUk7Nrr+MYN4xacr/TC
dB7uSeuou6mtcqFdUgBAVHOCYPZkGpt25HJltMEKcmLuL7HoCb/e2J1+ahTiygrwiQKNQ2K0lGIr
3VTE8LL1c/5RV3mCnVTJSMAkZktEosWMaBpyuTrn6dvV1+vIC4Y2p4UBBabVHhbHX3mj+TmtfJ4l
3s8nwhh4I9sk4+C3EBl4FA+Xm1uZzKfa+aB4XymNrEDIFvnOO6//OswWWjTc0s6hTHP1TQr05kr6
sIohsVp1sr1AzKJzq6iH8f5bvW5r+3Q3nnFa9k063vfdU8kphnR/03Ci+RuFXnLpQfBAf46skQyJ
Ee/N7nE+bw3X+qTAVMHmoCHD4SmuT7d6Rtm1gGhNJ1Q2UN979YosDEE4TUBPNjmNllHH43pDzW6n
P8tbkqERK2gjaXJbjUS8w+jc6ZBpMUY+q4ibTYm10GFxGpqnkdA7d+ne5K4rwLg1cgRcztwoa980
f+keKXC2ncuegYP7YoS/KX1CyfFYjt47hrve95jsKLfvZqwhTQTvnNbeKmusAiwM4Yj2SeZLPkE3
Xu57AXLWfuuZgQK3JZdboYzMHnkKfNVE94v7QBPwpuL+6oGyaV0xUJg01mdC7MGXiQPHY8f1nV7m
rkE+348mBFcxvQXKu6zp41y2u5Nlr80xeO8SKXuA5+2QbWpwVRuhtjMVM6oNB2esjmETvKcZdmOE
8M2zHqG37IzS/nVYjnHhvbvMl2cDJW/FWh4vpLhL8QidGmslpB1Bt8mAJRfW7LFww7ag5mSU/U4J
rE1Znx909RU1Z4rMwWbDmfXdN3QI2wN8IxAYjSQWhg1dhu69NkhJjhLnGP5laYtGaD5m9JddX7zk
ZLHZBPMyR2NPjM/qzvzXbyx6HL3bhF61Lv6cshETx1vPrp/iMtwfcoSV6ukXJK8b1JuurqxyfqXW
d0MAsFf+bkuag4i4j/CHNM0qt1PMhYjwxmi8O9oKb2TxdKoqotVTuZfnKnB5y7nZ+XAzKHA7NfA4
sirckszEb6I6R7Syk58pMVgMEAS+c+NMhMezu5mqd/rsntOrTE85pJa5Ip7QraGxc+uQhjWww8nL
pBUei3zknHHC+VqpNik6HToHK4wtOVPBARjwoEOK14ohrL78hMOSFlePIehda3v27jMkCrQSp5S+
Ena6r7iJvcmXUARj1bS413CT17VJgxVtXxcex/12nHVNOl6GWZEDJodMDhGX/SLMYmA4GHtUEFB6
wbqbBCdcEdO+cwM5Q0xxNTcbWWmZUmWjgODrLP1DLq5C6gHnrK/KfkRI36EnklARU4JRptBIc53c
JwXUxLBaYMVglB22U3e0g1aZsQW/vK6jDNW0sj2gdHZV1wP+gpX+kc6RVkT+Z+HAL23/k1WwXia5
Cja/WwXnRcrUoylHS4E3HmTCT/RsXD52JyIj8zmBFzhFX6aZnkfStpS6XRHa9A/87BFeoivQS7th
SOhvuZaNyNGLKDyBw2T0YyBveVvZM53FE9mJfJMWh06p633oKVC9fQgs+4dYm8+OLJThQHUC239x
CBK4cU8znCsH5fMKhSeHUGG+eh1aWJkeeaL2y5QqMZaB7WDv334C97UnQBInVA5C6uq9wJb6qWig
auvnQxuy3oSTUVoyU3Uwwz+uGcnpAELr0uxBOoTn4VLcKHGXEyKKC1BJ99KOjlfK+/Pz2DGVPz0H
7XPXPFtUZF3ruavzDfqLN/xNBBo78E+oAg7xEckWvqyO3bS9HYDPzhzIEa81z0RjX95+z5cINJtM
V50XwrPg+47/MtXqwhnmmdRfDtAeMDR7TFnVksJPm/XrjIzP4q/f/sQf0yg+ESYnIAeThmEB8t+n
UaD+eWea9nKwJm+fMBLDkgUsAF3U27c/KXhlD2lycD1EuhDAAoH4+0c5DtXSoBvnQ89aF9EzKpYE
eRvTaW/zUwKxoq9dQbYKFULoenrm+1DZ8TJvX8fufoBKYQ7p8tPDeSS+prtLUJe1EYX1UM2Za1qn
T96etoSdjbsOneqxmvLHFudq6SN2WkAfddcE7FvQiv7cGx39RMUjb+1TI9Y6L3wo4n2PtD3bt1DC
3ehojHSlO30OXxM2it/7nKgJvjPhqG37cLnQsMWXrg8ppACgyGE2UfuFZSMtL3mtFGLmYuJTCm+X
D95tETF5NnBi315o7yWQpFNkhewqVxZD8XKhQ7j/p2SYpsN0NkL0AIDQtEgTJKn+c0FLGLmL7pGW
sIho7zSYTvMNiKGSbeJQP664JjXRnbT7aN4+HVSYaHPaok7ZY23YH06Qbmqj2C+YJk4rOm/Lm9JK
q10MlTIBkH+bYaZKB24Pui0gZToPcNXC+uIwA35G1BPqD/1AbN2urdE8oinDQfkzYC/OZ3dv04UY
nuGtOQW0wbofcpN8MKjD3ZCFP7lzP0Iqrme7lJawa2QB12P7HZDAsLlTtudsPmTx3XjizSn/zr/l
5086G0bv3Qz2zwo/r/gTfSbbEwKUBZ774irMWVJnQQgJmMAuhbY4TsWmDCwoGRT2lFLsUCqRFJQO
SkjW259VCZzXLqQtOwNaz8jhy3Pi+qfRT6sTBKPllyJwpXu1bWGfVQQlq3pi6o2q8vVGMOBKk1qy
5d5mowd3aLANWhsiLezkxd13DJFa+bhFFJy9TyiuwI2bWIiNR3cdJAMVvbHnNWHajWNQ68qOPzny
r75K4FACJAukyPViQelwQhusCaaDAWuaPOTQwDTsYzK4zXpIPT+nVZbDRwVDl2HBmownJEfoIR/d
Y864enh9V+pSKUxMR89FmWx50O/GL431B78ZUCGH2kJmBMjNzTNCPXAGgTgOFoTeBes4pPlmKJ9V
RHTrL2d5pFu3QieC61/SrDhiN5wJmAVBeJkFqo4/QcfslxCvLID93XJoub4703ETeYzWxgQLpI+u
127c7h6IRgtDJq+sNoTSBL7hlTJFHTNlCih2X3/fkNEporB8+tYIrohYYVDwURmoKG99fHvrfkQX
XQq4gY+TwQOFL+Oak5/FlKri8VADqkOT5GIFtGE0/NEpXz6+/Wnua/7u+497sTJ2VHgWPezjQdFo
El7TZAF8gmFq70kwDKVE1QxzoGn78i3BUVmmoiVBNwP6htVAQC7YjzH8W62QDfzXtfduclRCRolP
mdIyfrQMZpR/zcz3pNbJyF0+gLPPA7k1OY8AS6GAp+apZSeYEfPOzArzt/xrZiJWb7+689qh4IYE
MHfiFXznRaUG2UyopWuYCOYRXg+S6aKCp4bxCE5A92U83wiaUiVTBdDy/rzUNz3HVPl9GYDYEKy7
1pP+wdCDO7EkFPUU79kdINcluyafGV7Qozig9aTf77RxlwHKYNb5lH94+4WCV48Op0cQsEN0+gIM
nxtUiwJ7nA520F/rNKaS7eojvLk3noslx3TWDeaG3xOx687JnutGDuolQutH3ykXaNpEGu6z/Jws
h/L+U7of2YulR8d4YILdxONb7u5KJu4fDVKhlnCSW9XbHuU/fyt7EsfxZiQmkH1s8G/62VAxI8aO
ICBGQwFGefkyw0dYxul9iUK6zIFCTtWHq09L9A4zI1MhLFXxpofs+Lx0V2xV/3ao4LfhDRWvpESs
uihhxotDOIdE8A2BcMEh7Hi7mk/Wtxftz2KMH4q9sjCuySwvpQic57Us+J2Fsdy2yMK5nWmqhKPI
OUYUJWmXkD3NVDWjZ999Lghd395z95U0yPOswCIZoGXWvha3vvtcuOpyOzIaEoHm3nHjjZA71WkF
nekk18uvJXMFcl85o/yMC64F/gvY0wEWWjHzqJxc5I3W2mfhdPrvElmHuQrfXWDUWLJPYRvvM/Te
Lu7auHSrD9344YoXG+BtQuNJNpWCC69XL4Gqq2+/qv1a2uURG9iE5y6hwkunVkFe3xlJgjbHbEPr
BZjLhyF9tZXpSRfvTsi7HoSCQdPcnyhdI4a7KgcAvprCB39eYjAV1NfMPL0R+mMC0i8hs3T5FYRW
3caoGlbxoxBhGQXd721h/M50z42AxWvxCxDHCsiy5T8MdyXghL2lH5vqBxOFaQkKa2yu4O9ETRxw
To+liq1OcRB88zeVh8mtPjaApIJjZVxkSJFK3avaKNhP1RFBB5nl32pTBhJOX6URMCPVH1TID21g
pTBd+xmFYGrGdmjdZ1mzEaYqIFLuTR+lwEpPbV+8uwaqycmkpsPfM5V0hccFRVPhgx6F8rNGWb6B
6ddKH/iNFoDZhRtrXzx6Rrqqm1/TOwhIC65d/TQX9/ADbQRZBqyOPrcj9FApRglyPdB47n64eNle
qCe9xSrTCx5Wx4fQL8fEuVItUA8EvtnYwTK6XiBvNTv3XrlE12lTBV2pgUAmFLcgeE54n3oEBDgD
kLigdwPDwMFdpMCGsjTKfc3U/K6ihWqtQmbC2V0H+2zsoMm3D7ZhA4K7GmW4ojIdOyGEtckeM06G
uhNUSfPZN/1+6Z8EbmGgApZY/RYqbsrynwPnW4noTKGL2qmsP8QgNPMw9sVzcXCvPRgzNTodSXlH
vZs6Y+iOQMV4zT3WMe6Dmyw+6kEci3naEeSfQgwFhpxOB4XHOnvyjc3CMs383mOny+LGOtebty+e
9Zpf4eJFoD5U9ulV+3v0lNbotCYXJarwqrSQraltQjtLFEWdQ7cP+3ExrtZE+EcdpjfMgNwY+bPy
GwOii588ks1H/h2Gcz3Pt0KfOQk3Ml/CcChLoVxUd/MhBUOemrVqIwieXduhBBHTW8L2XMMQDNbb
H+5Eip5/+PTAowhLWonZfRFdGxksCKED+mKc/lmRM2ALYH9lcYUkQ1hF0yvSXhMVTMpeKqdTIujp
6VKAeW2cau5VwxMKT4YjTPBfSQ85ZGPdqR9HeY9uk0/FR7WLFHEMfa/KLtegHo5YbLL+qEv2T3tC
VOpHFNP4JuZmNopXdMX1XDIlFBtX88xYOIUICg8CG2E72ckCqYuhp4KZAKMJR5UhV81Sxutavwzt
O0FtQ+jenSsqRUQGmEed0hFDZTNIAq9ZFnLIodK7IrJcCpVzbRDzpj1ePcToI9rJy3GbEuSRLcpV
nF8h9eiJXT9XVwMbLvDSB8XzWwibMXiqswuTHkGGVbdSyz+VoskLueLZPiemyFOLvIKiNxZFNqjk
DpWPzfArQYRKL+q2y6W5FnU7+UK5SZ8ShWB/lXspEpmxDfEBQpaYX22LLlRXA/KTcGojFAvHBQSY
hDNa09Gfb455CXUCISpGrcMWcB2uxR38hfYb9terk7RSYy940sUhCN2PqB2AtOQz70kpWPGm5X57
kDxgK36FxRTHstOL8+96On1UZZKTcHBPJ99EkSbeU3a52vo6gAA62yPn8tHipy8ssh5cibRKjBCV
slUAo7yUXgTqTJqT/pBNkmuRS0kt7/Zq54NjUrUbraSgaSCBdeh5t2ZQ7NAbWI0Vahl2tid3XXsM
G6moWo38GOy5O132Kgs55Ls9882QZ9n2WqWerAl+aYBUwty7VUmFRYKRGrsOSB4SlvAMMWuau8T+
/XEu7fv87K5VqC1bhk9pKOvy8+1loRMqYQftb6UpKqoqwKF2sr8W52mdVFADvU1e9Nd3RTAKEoKn
gFOUmsnzqQhuGTHFRFBJlE2GiWo6W5sCRp+LsWcac29aDEQ2D1HvrJqi2emM6zsYk1+pxyADQVKi
oi0sqWrMHtXRxLmrDdbZueuGdH9GBR2u1r3KPVdPQpRyoqUf75+DlRYNf2RL1LMnx6Pqcc8AukM0
1SfOeqa9IB/ijb5u+yY0B7jQFp2gObguXdXaD/I7qClQh30QxI25ywjweoqTC1maxS+d4H3sLXcZ
VERcN6Sb0j36mqhPURdVFVUuWn0fconXggZXNR6p1VjUTHGAqvmpRSmnZq0OgTT7UHoB0QQS5nsb
To8zgbrP6azETcQM0YLRU4VG1kOFoX+lP40c4tjsqGNknHa9PyO3GzU2qctDK6xAQAfHoGfRY5IQ
KnFY5zcx4di1UkxsoPsCQqQgTqGZTJM9wd5dsz14RTjoZAblnVTQtEEiqgUOvnf2YbmgDBAcF+sX
s6xQjKd0RmjRxtb2AiJQnYNbpBM2xTw/nKufuQvnNW8RqVs7iui0uqZt34XopxEpTieb8FW4bDIY
mgqeyBDU1eI+YawVBCSgRNB5IGTEgaT1UxZDxWOchuVzurE9ulwyayplFlTpdG9qKkrKt+X8ZVtl
RPO0RyDxslJCr79jJP8n3jd4DTTA+VH9ork1CK9w3ndvFDvDABfaMB9klSHdgb8BcOTb/oCnyG0J
OFCNXu1lwhMuVA/UpQB2Il/N+7vBU8HcNr/Tk+o+KTgNrKPabbB29IM22R8KSuWqhvQPB+FPdp1i
miJl+StZcIE0dWDsy9I6nGhpovZyjf1h/edgy84pM59JCCsu+rJce7N091UfLSnOqVBYP5qhv5JR
Qv8SBuTrMdOjA0/wxFpiLbeqynJIQii4tcnEtD2gNgKh0NwoJLSCnwVfr6GxvuPSfh/QsEfM8ffY
C6I0y24butQ7pufjv5SMu9WRzmWjcunAojIDoPx2fGO9+pk+/Z40q/M//0UN5HSez8R7tnnoTe8D
8CTqkutruAm9qPaoSJqdfJasN35VXlvBrvp1ZVDP9Z3nt2snzO6nrv/JbXJfu01QkXHoOHo+qP7f
F+R8yc/m0qEH15HC6LooQZMbvzikPLTLKNWdJn81+Y14iQVRtTlnk0P2r5YHta7QuClMT0cInrdr
oV1Zj3oWBHN0Ga1ZA5Z3/MuOr7GK4qmZ0fGEE3kNgrC05CR6e3V4ynwxIXW9jhUJeFzlP3n114ph
UNPZBJwEvEyG/v3NoUvJhjSiNMWVMSO9MFo81OXUvz5rbsF6fvsg/OwDX4S5Se6CrzB+dIAHik3/
wv91yFU1BMxQTeftz3stz/j+Be2/v6ADcYnfMRN4LWqCCrlccyFBgmtK8Oq3P+0KF7yM4r//OJ20
76xYMiLVayHopiJ2ApmCIrP+jLxSbUNrSMRDWEGLq/6atFhGTbYmSv9KogcVlyn2y7bKkSizV9D6
9hNeyx4/PCEDI8wAuZr0ebHjgTHmtnm2loPnPi8zelDU8hw7OVyP+Kyqm40eAl6OxUlGeLO8z1Xv
32A8Xab0dUaKTi2EgDn8KxWBua4Lf+03/DU/UPgZU2/IyVwHe3znaw+R1WAFtMhQIbPjOzlwFy3l
CMZGFfg09SM4TQdBYP3bb2y/egR8l+GeAKCHX3/fE0ozmemew+XQUyRR7UL1isp5LtsvjEkTrgIf
QvCr10kSaSZg1tP34wQx1KVb26UHMQr168nfJiUTwMFv52q4llkiAkIBnkm9d3GoVOLefnLrlQZc
cD8Mkm0KA/yhAXdpc1gjGk6vPMTS3RlIDytPuGJK3nsmcczTXsm+jIeKkIpqtJNq+VIqaHacPx5R
AAzOj7ZGKporwi0F7EtD7kNcq8BAWSYdZeDyituaOV/r2xQu8LfyU0o/9UdlNEpRlDcSbeNbZfnU
kZ2SBxX026iBQedcflKNPcwtIXqGCyTqV1C2VNlebQw8j/qK0ALcx0N+TbNlLeUYL/MGThfCT83t
4P3BxMEwZCnV69XZVEnx7cIMFSvrQ4WP6zv1d/qa5MCEq5g+vl9lGPfa5MuPXMjFrtgIijYg1dde
H6ASRi+vzb56faVIZG3EVDLMJbRNhFQ2r3A+Oz8xwNeKwA/3kektz2eiJ3KvI17fWYxLNBRJPnIf
FYjKKwqFsqHguMJd7Iy649XrpLzfoQZy3RdiMT+67ioypDd5nrNkjITgN7Shyo78EzSFOT+G/SIs
VAOYerKUdoNx6W+TkKUjOVCa2Oe3VvAJJ+Ccu93bp/hVi//dC764flBCD559dheUP6WRydlMvpwR
mgtzSoJU8n4aa7xamQvNyKb8a9LHYr+Ib6wsMIu+5cJrUjdFLqpwoAuA+HWCRMLzDTrjTlDZ2SvV
GYawv0E/3sV6CeGn2aWj1lCcXRiGKRrQm2CeqE9TbyRqWslBqVDw9hJZr61RaNmcAIcxnzB64Tay
gkqja0QLGjhHxR7KxNXTJpzHJA6fSLsFtQuOVHzAddEOqglIN16guc6terLffrLX1pKo3KEA4foe
TBgv1pI7Hc91OdEtA0/x5aPx3j2hvt1urRRmvQNb6XIZJ6+7NkBfwAoVGzVhulFFGvLNjbo3kpO9
26ssVGcUSi5nZsy+vP2crJU8+YuL5JvM9UQuBDW2F714UguGO5Sp8+UwRO12gm+fue41Rbfz+Gdo
sHvwdDbQ1dlWt53PKGtRx8a71lWzTfMvVt9uq/FzN1LSgCwc8qKxgkWsmT+l525jnMbdHMK+N/To
j70PgWBGdidy2q2ffGhVTU2QGQiaje+2m+HcbqIRrChCcAHyIbdjaOFcbimBeJc7V+iV025ssE+r
LB5YQjsbd80FpcGoP9w2GfqZY7eN6uEXvUWKnp8qWnCQ0q+IhiG/1y+TzJRBQFjU8FE23CJOD5cC
Xyutx6GFbDf50rkdQA3KSKdpp4dsu2gV1e22579GS7ptkYkz0VKXvwTRuNOBs6nT659cnMd0tPgl
XaV24zftRm+s70LsnnHWYVcMHaIQMRScnzMrAPLgOvNPhjS9izxMJV39Td+QZDHlz0+cinF3XVMA
Jhf+oFghzpAdc7oaYPFcq7fItuZd2ujBeGDSUmv5nMy/zoBtrE7Nwpyjx+jcrNv4A7nSHoYAxN+6
LfQXzIAyMja1mwT8dnZmJh9ZYmMEnrjcDSxL4Ey7Hop5s7zcTfRbOP5yM7JRAeRosYdOuTP8oq1e
HG9fzdNOvw+L9KHox18CMgPPY1vYCuQUGOXnNZmAsWwIKei4yLI7/ejGmHYZFMs1M/fG+KGA49bh
RX2o1yzo5Jdy3p1YFOqJe8YqUEO+6WnOClkbN8W32vOh0bR+Dts9LzP+gQrP5lJ8e+wxQ94RFt+T
7bxTw2Y+wv/bbM8X1DvS8Ld5XB4dsmFjQbSqazdWAVmAdX7Iy/RO36YTNtOvG1fjscymnUtneP1I
DRkkhrPXzjs9QguZ3eRG1JMagtd2W3TAGaxzibwCjaBbtyJ04CQ4/MJe7bUGJZQLabetg24L4d3W
KmhN5Mw7pflYkzwNIt9ipcJgq+9kcgI+x3nnc9xEK3i5IHfAGdKO6b9l7e+7eXlc8nFNfJoY/m8F
NQH4MKj2HnXJCLlovDj43CLPgl4UpDD4xWti2pL3NLY+9HPwrq6zv5qGY9YHUEVRpHPd/Sn/LUt/
cfXkrI++kvojGkPz7gIxj8ctgZxn25wR3JgAjYNxp72bxVRIW3Q5rM2vDYDVBdqOyG8/RqA9XpHd
hdotH3bBst/K3vjzbw6Mt1W9M07M+JQIGES89QI3BULFcwfXA6e4bLm6zVZn1r7MhxzJv3OXPejN
tSL2yK1iUdNjUS0fdFHc5tmpsjuD/kE9Vn9nt5edQbOo6k+lO/IS/B6qnGrbpAzdcAyC6TGG1iWy
TkS1zOdw/2X+VGIvkOilT0cXeZhgu8duDSdjlfWPhZXezRbSMZwPZeeOMI3/zdiZNbeNNWn6r3T0
Pb7BvkT0dMSIuyhS1C77BmHJNvZ9x6+fJ+Gar2xVTblvGAAkUSRwTp48me+i4MYufzEn1/Kp4+5S
WhBzHeOsEhpGRqaX1VcGQyzsa8p/w05+vWNwmAxJ+ZIaBVSZUD3L2hLoaoXe6q41LsGzZU9LXNRH
DXsexv945+S44aGTY1qo2Ddbts0I4dVbGUts5tZhWpONM1ylz0+nUL6aYoUnGcJRyCfjAWfwJhPm
YhSp9LySU9oi2Sv62kMFCQG4FbFZombGUHcJ440/U+NTV/K/5GljW3ayNJwEyulCOQPy+buRlpvJ
bZaYN5oGEWL5zvIp5F18hJjlkxkTQ5vAJLct051zrBIVtqraYCXUbiTOBimRjt+QwCBTSLebDVYs
W5NoLvFXwpGb9UuIShp7X9TD7tbj7YOcjUBwJ897JKRJWDOtV2/CZIG3LLk1As4sRkIPcqj0dmQN
iMedgRucpawapgR22Uh1rnKb2hIbAbbcMhXFr1Dubk4OaWfWXsL8RJCU+F2laIcT3Tp+XQal6U1H
wxqxfG6ouiNsOTCoZussTySKke0EBqmGlOD1NxXpqDgzt2kZ7hIMRiX8Jwn+BDEDFoSFz43vgvFY
MS6budp2OIcMMdJy3IjlYyF0CxB8oERkZd8lPszZtxlEaRiSHgGfrS7YfuI3DDGrWcsXyBi/y0rA
WFXr5DR1iMB2/bHhP7Rjtc+6a/nHfO1cR12bdZp5vAQjtWZKNBsZXyM+ijKfJCjIWh7l0RfLa+/n
zrgp04eZ+VHySOQL57R9ZJiA711JCiGPU2KZLGaJa5+jGQ9zg0fNJEid4VJTBw88NOXR96F9fdKY
NDIMkfG+wjDoepkoMWAeUEOBelqWvQ5sbmvjZs+d4AbW+CxNdFx844sM/rhqb4zlSzkMpzQYdt4g
dcPhfla7xwDdv2qyblSXhJdnrrIOtT2lU88pVqZxNOydqR2cJNvKlK709GTjIjVbJwhbCnZsaDOm
E95WVvDdQUZpcI3XvpuJNJQnUQ/ZyneTD9k6TBVWTptB7+vjZciDPQGAYqKC8ACiGwqrNKPXCNEh
5O9kmZTbLos8JnMrfzVcZyEQHtdaW48yOeUOB4Z1Hkm7lt/mndOMcAMDlJUh6RAVRtRaJRMlMKaY
fmAyu59AgZFtyX1i74xHw6t8624YdxqfQp5CwZOS4SNruURWWYlx/kJQlQfN8JXfkazHZErIcPdL
Z1/yCOJK3ejNVkZ9SPiWwSbxBK+0a5mL8gUlOMRYCsjClqLKpQt5ZX5Ty/dyKEkFdAfNLRTBSHDk
22HgepYwkxH0Frincj1oRHX1PNI20srou5Z5ZyszqcMk724bn4iXzmyBx2AGlskJKfbBQJWW02ma
jrKWmYyhaqhXwwhqgS85T482ZlU4Vxp43PUyv7g1vI/kLPJPJYUNq/EiC6IsQXboMxDVY2BPRy+K
Dg0gKdmYwiG8mscYC1EyNHPCpgP8Eeu9zHQyso1K9icDuEQ+Havec69+Qo4Kn0ECPrcsaOKTzJuY
BSJLJoxUhpXMHSTUtl50W7PyELBtUnR5LvIsZAZVY4/OOpAwmZDkI1qMiQbLyOiZ+0Hrdopn7MMh
vpblJx7ykw2YWI1YjIf5KItjgQhLVnXbJsc5kwcm78kWeZOV3+PGupEhMQGKXP48Mva3fqBd2om8
htnYxtlJwrpBLHIrYqiSnlgzJ326yISXt2oZVjI0CgQCh77ZhFG3ZOyzwuBmGhk1SpYZpo+sK1GC
7mj81PiEGH6dxvdVOSBfCKn8c1j4R6t1DoUgWk5plH6RLymfTGOv0jf9OpVUhVVJFu+BuCwrFY45
55HWAA431eDulcrcdz4sPU+7Tc8z4czBs0O+WuvRl+PpS7ZfptmpQpcwYVGSyLvcEYaAJO2mre+p
kZ9l+5SyUZbMSZIvyUZyf6aZ/0V2N/LZStPA5pFMW5YwoSljd0wSb+1r4o7iWp8GvvmgN2cjINth
WSrGbtW3MyqaQ7EOrZk0rk93Y2qRX1FP7LOj7dDusQpEaGqjWsUNQv1O6PdgzhTnqrWA23iKhrWt
SyldmzPkMbXvQ3PrJ7yXratrN7EhbPcoy8XokpQeJm9N3B0V5GmHDrIZMs1t4F43OPNdDSjlQ7pd
WxTFAENRJAqOMu9l2Z4ZP7JESNmP5P4kSxu+uXuJ9mFWbq3ifSJFlpvjmcl1YAz3GJnRVWq2mUVi
rrTUm6ZnzaO+1WH2ZbpHr6UlZXsUnIOhRuvV7V9D1oheYZ/W0PcvjVevsl7VYLjvWuDELLg+z8tW
sOLUI3WLRCq7ZtPDoRT5fKxwjkhGJTyT8Vk+8fLOutIeKzxmfPs9tvv5KgvCp2bOdhQIbMvcx0Jt
ZnBJWiSzySRl7QjkuOXYyXSRNV+2E6EXX0sGErfTszeYCOmzVCALZ0TNRd6mtC5JaDwrI01ZLzl6
yiFDmuQKg4nvegbkg0WzkxE+htNmStgNUAgPxvC+UQ+YXeIueSs72ppcS8JuMBGw1PF+dCkzo9wZ
Ts9TF09UnKPbLi/eZTtig9uWBcMiLkEDvbYZ1OmYoM2vbduMsTruZAPVZx2Yzc8SvSQ6y28XKpqP
7J4kSknEkneSCY2i8iZhiZVFJTRBMeIS1TjUOHNwlkr3qKFfYWTqszp2XzzMASQyasXwiDTAlezZ
M8veS/Qbe+sMrxjBpE2K5aak5bMz7mQLJ4tAZyGYRrCYsGryxDSrDimNfMVJ7th003sbyDqh72as
aOLpftlddpeou5SBVNOrq8aysaqlKMFKIYmsxK8uCb/LbJZsI6mcV91Q0fUssV7EwiVrss2ozVvJ
fjHBvOlq7EhJS+PggRi61wx9uJINca2EEZDA9wrzixjDORJnybc6p7svTCix6i7l7csiPmlOdpL8
J2/iL2U+X+SJghTeBdZWds/uoTcDtvXTs8HbJp2La9AzLq7nzB3vW1REgzzgjgYb16leQjzc4orq
KcrxDVbDluyVeEqy/vQaALuo20qFZvADoSuS0bFGyw9lUQrQ/TMwszcC3BdmJVmCepY5e9lIya5L
whiNtSPC5c+tZ+nP8xjsZB8TuuRDFBeWvErZsREcEOTFnTdkaZEdd/6tq3EP8sr20Quz65LLjt1v
qbvxsNnKs2ur2V7I7bDHiySucndkHEkzIyw7KEjVrgqMvWQBkpkX3bSzZvU5zNzXOZ4vHo5+E5ts
WbkzoQQhTWUBr5kuWq8dK0xx5ZGOnY+ZKgO+xBRVQSFXNi4WUnqtaZ+lXlEZ9t5y0BFHWECGreR+
GdmP3UGvlkHXVurRx/jiTVY9yyMuc1NchcSRDWFN8h5A8urYfUoWRbvzKLGgxxf7nwtxf0NmRQLG
pVBogwkFM/6hlDkKsM7pQ2ILhstCZBWOv3TtBwAlYU39EikaUV/Q7Jr1n86DdOOZSKrd7kRTTHAJ
AnAS6JoDDUxaANKjF06r4IikLt5rT6W2cV9t/FcEmSwUVeFqajZ8TUEEsG5J11WARtJZVhXvcUHy
1NqW3ruAywADH8B9uGz45D8IV0wDB/XPd+PvINy2iq6LdFgtx1E/dtuA1BfzVM8LTkPaJwvuYL6X
RodHK0NUbFIQSfQX/vk/i5bfX8qhMAvRHpLOEa3+X7teOML3oZYRgCnqx2hgWcAiYMukXbpRsoIq
UQ+lWcOvQ84B6oOClw5Y7N1Zvrt1aIp1ATBXGjRSBy/64LhwjADxSLtO8He/7Q3/HXvC/vkzS5n8
p15Ibhc5gtw0h8nwpzHY1nCSRzDQ0rgrDSYFVE3AzdJEoB8pPUhrslcmyYXrroRhJ/QA4RbG/GJD
ylrFGIhTfFHf5Cr4yt0PRAUbZ+fN6d/UgT7l9INRVLz9D/rBfwOltwmtumGAfIBU++EpzLZT9b3P
Sotk/Er6hjAHENyB+IBkKh9SPnAaLPy/ooeQDilH+iKiiDgDAND4K+mlqvAPpGv6+/748gk+ls01
4KhIMkr7yfowX80Uyd9RbyGn+rDTFibHW2iiOI4QkSABqCGI/tEYKqv8XriW5HKi1yeph4mQLB21
fx65Uqf/ywdCi1LXIFdZqv1hyugZusj26PygIQtb1mmWRrKwG//5P+l/+3Q8ld4wGunwLD5892oq
nXzA2HbpDBtkWb1p7lwMieFIlZ17kFZwgLBsOcKXJQhLg0hmQSxZCTOjKoQ2wmxASMyigWTQC/nn
j6iZf3M3kJP0YA9qLmCdD12NLrOwlaJGtihKJlSFkC9e5zY+BHTeZxg1ippsRCtNjllIa7iFqvKl
sq+XD/K/3keRGr38eADNIj36XqAnEAVh++H0v0/Re12gu9P+l/zZv3/t1z/67/XD/3n8j+9F/R+n
h+3jx9/85Q95/z/+v0id/nKyWWRP77pv9XT/renS9mdR1P/pD//j2/Iuj1OJeOp70eWtvFsAYv0X
6VSNjuT/X3T1kLMN+9ZEX/7yN3/IrZrav9AJQzrVoj9GE49APHxr2v/9n571L3TQdFV6eiodW4Nw
9ofcqvUvmvqGR6cPnTTTsIRe/IfcKorV/wL4YAp5WwefATPlP//fl//lMf352H7WP13+/y/zCfSA
7nisAo7rQOpxPwgL0KbRyq5txy2ukv5Ondp0p7oxXlqjkvxxBDX8ym+U+RjrSX4xjVG5bof5fjnD
OoLKSz2zMzN9l3oTJpqKyaYhtHhRPGxrYkM9e5bCLnvWvlSxbq0DMrH7pAt7inNa/ap51lvMu35V
4TZgbIDEuxJ46zFoqq+d1303kJh60fzkrUFVPMmn/s5IAmWrdPV47NUINI3Te9smM8Y7PcDdR41L
+9UKwucUs4gNcu2Uq3VfHY+pjQBXbTSwjDAgf2iT/j5BuhhQ5AALRNG04zzYKgkxlqYTfVa/dXt/
W5bpS26wM43aGJyo2td38KLru+VaWejfPfQojt4UnkNTDR8mowgfAi1VWJMCvIHyBHce/LEM1LUx
+F2OFLOOfhz9ee3HUWBh0Fy2I+SKbtomvTd9zuN3Unjv1ZrHYr9cbvTgZs5jz74O8IyIEjM9kfip
u0COJsX442i5NqUJBuNR592k1sWL++ShgUX/WPsazkN9hQWYnDYZJYGoNYuN5oGAaYP+OY9wZRm0
Ivi8HCmDrXz66SgZn532U6Szyw7kZbEPbCtlWAHZdsBKcy11i5ufJtcf4/eX8ep+7IXjT6OyYhLr
PJd105bE5qckQK2junVwE6IwZEb7TKsxSPCDT3PiGhucFSE9lPglBm35lKhw47Ixa+5U/LbXdjYW
lKyV5jhUenNs5aic9XrFncQzUk7dHPfAlRVPa7Vz2Uz0TfaWJVH9Wj5mpjm9BnjP7dQe+9fISpRT
7lHf5A5pnwZ8nqu0Hq4qP/Dvomlorhqvie79DuJUYXr3QdLrh9nvjOvQyv44Wq6Nci2Wa8GoZTCa
pSlbYXBRuJUFLizBgSNrXwYLRqvCPvTQUeJ8x1g5WXd1MJwwvJ1OfqrHaxyis/f7Dz9W+xYTooL9
b12WFnL8bnOIUdY886TgGJTz8Jhq5nyl5VX9VhXGLmyjC7YY06fOwc5z9swvdsx+y8VM4j5Tkx52
Ol2mruhQdFCaeyWJaBhlIdU3OV1eSs3bNfF0baY99SUgAu4NtXL9CQxfNGISECO4cCizuL+ewsiT
VKt1sF46JYQN9qZm+Qi7AO+K8KhEoX4x4nc9joZvkal96/IkewFpySx2w+xS0izdBZSfpZqk7htF
LVaxTOhZQ4vcxm7hDthyugHr/jXtTAdrKfd7nw7Ta90A+WZ4sZEa3MNQ9P1h0jUsNCmZHhSz4UiP
jCvdatEqLlrrwfYUSjBJ9KYCibwKZ1rNo232e9Bj9FRH7xR4c3MbyQudoObWdQvlWq4vZ8v1ojzk
M7hPpy+JhQFUfhRTxsdAAmVRZe0t1kZXfhrHewdUxGb5nGooZEfmxGYRU/fT6q71K+NFN8vsYLi5
iqkSp27grnyoibu6C/BLqsoh3Khd1O+7zouvlo8We80A6gKf57h1svOEi/whvS4sLV7pyHK+52UA
BCxRH2sPdf2oc0NYtD4qk+Zc3ywvaenVN9Y4/A4VaX5E4JH46qruGoiSALHFevnXKd3ObqFpvTJu
h0xT9pnvJtdZ5j3kUzMczdD+7sLDgDJgf/XzSMRi1KchUOhJDMN03VALloCrad5+xKv7donBaVN9
n/FooSBs53e1aYcPfulnd66HBrbRhQ/ShdW72D6jiJJClQ2TbW419R3xTL8U5jRe9KjWL8Drmwsi
zr6baTdemRVg3MDX4ag7o1aXe+pN2nVHf5SGaNvpxTlQw/zifC1NW7n9cZx6xm/20AvT7OcU2AUI
ZBqoiiDhbvERPqTATtdgVlHWOp7O+giXskQAzycL7rofB3JFHTCPGqCan//98zpqXsbapq7jBKL0
3SU9Kgp4ys1DkUzosYwOyPTGQxd8+NZiI/nea+mTHqvN0xSOz/Wg2VQwp/GxTnvWTLsOQGo0v9XG
/ctoQAMEmSUdppsOeGnZM/8U4FunbKhoGdauaB10ZjAlOAUN0G9jnKP3YGPIYC3zPIb2k8ynpjG7
k6821Woi2UCvU28V47TEm7AtvpoT9oo2FCVKZKbDeMjd/iavJnWtBEZ5vxzlU1fdKwNzaTnK1fbL
j5zBqTvgkjD66NP0mNQZ8bdQz0ZYW0ZxZ6TTNakTlDBryA51nsSvUPSOGKn596npKJdCN57msIxe
mynwdpj7GptO1aPXaMgmEJpu/Ju9gCvbkV+GBUhJ2B5oFqHQZOsft/StMkWxpiXRzloCL9ahxC7u
35NWqsfYq6ZLSV0Na/PyoRprfDK6yJMkhjiShSs9xeittYbhFNrJeFqOam+AjayOYGK610k168e+
4Vu5wasSKNUOj2rAWzO7HAe/wa3apq/qPBeHbLYK7H2z9Iaq4qn3fRBJy4iZjM0hdEYd8ERrPA2g
rwmGzcPoV+UnNQ6PndmEt0ps2Ye4pzVrNkV1HyhU+JsK38PGxKQ8Tqlzl2xy3LJof7xvP9u3mB8l
j4PZzuiL+/oRnLV3V+jhqrWa6NFOrOixcqr3LqyhKUHLb7aUfowt4Z02UUkhY4mipQlnUo0H/abH
PhSR76Q6OBTmt7EexWt4VcSHVNOxw6uLVa457bVDzRL/IhIoZXRrRM1ZGhInewwDrfnNrHclsfn1
8eqoDbMZhfCPCNdHBgzlQHWIxyDZRVpT3WT5NN44tEV+HOVZXF9PFpWif18q9ZxiOp58qyQI6lMR
lg3oMJ7DbAbfU9ewb23/ayjxyuoM0DF6hHC5nHpx1x9qs6efUzgnPw/sU39Ve5NzauVluUphot7p
gVpcDa3T3BKaPTu5NcVCOpbMz7LvlKi0Dk1QtteTjbDbajnMykJLwX5jVKPqN+k80qb2cWVJZ++r
j4EXrJl0egydyNi6TKXrysuVs5cqCkUexUZx1dy0eux9ncPpq6NXzlXexTP0T80+jgzUHZII91mm
2MdEXmowHwD9SnOAiUMxGEdJzFZVIKXFMNV3ve+Rytfe+OMaipxhqTZf0OTAdXtww1dEaBq4B2Xx
EM5VCWzKC26jojV3WRXVR1h95vU8Fd7un3PcRcvtw5N2dNZ0+MYOVOOPKW6ceQEYsho7RL1Tdnqd
G09Wn9NrkHpUprHbpyxDioEJ51qNob8up8qMxir1+nFTtCK81Tx6skupsm48lPo8xFTCLOBRHSlK
P858h5FVUXGOnVv5aLaq6lNpR+tJ0qM2Mb7HtYIHQOkPt15hDPAVp+Y5jUr2BME4fVX1AOeyEHds
O8B76rAsJHXuDqflJR6AZs1mt81iGkZV51TrwbWns9cN09npfeqHhaqelCxn2BZTclJtyuzjaA2w
Ztphm88UQyG20e/pDK9bpXndH7P5PcoH7zsmGpeJitmXQg8GcVGPnouyjNhplcMdxZxsa8RNfzLq
wNs7SRvt//n5OH+diXDSHctD9dr2HPNjoGW/peg+eNJdUcIxraq6walXKw5x53yJwUPeLi/L9Ri0
1fhMae0eg0njpRuD4ICPp4mlOmlbwTS/qrz6apmXUt2ubEN58QJS9UAdk62GYeBnuT6jihF5tGGd
sNbEclk7IwSgnrOq8Cj/BfRz5QfLteWnVj7qpxQ+Wz+rB0ctH5sgcNemmfMgrLQ8O7jck/cV19ag
+/c4eX3NNTd8gw1BxXEctLsu1h6HfMo3ma9d2wi1XWZ6iz9eBnq6IB/0x2TqPfTLZne75ASWdhzM
LlkP9ejuVNkQQC/D7iNX/O1yGuO3flAn1BPCvDt0uHu+lVhzUZyN83PV6KW0I1paQMH0m0m1KAb8
OqkM10BFk2qL4UgU/TXJrOk61noBggKObnLuKiN88OrA2KYq7pE/5kesQuHP4eYtRYHaK9+7/rGU
SDFIpKiy0lglRm9sjTZh52uaJ9ar4dqH2rdSrDgAeKpbR0ej3BY3dXTnNlp7wC8MTSXyhHGYi5fE
KxpUy6fywA0oX9jofx7qEljKoFHwKDsTLpka33tViPd8HrQoF3O6vExthR1c1l9wR2xXBZ38TenP
wWl5mdhNnHYFokpum0TntE0tkEgVozP0ra1iden9wIq8c5xK3wWjkz7VbfPsjwCNFN3JbnGcKrc2
8h87i+H9oqeY+XZm0ZxtPSvOfTAWYod9qfNCOyxny/XY8FkI0X/Z5Q3G1rYbbMgsrAcKD+YD1rCf
o7zI9kMxYU/QUKtuEm2+Tyr7CylFftbQr30qDeOLN5NDhwE97rcpD80vXj10G31WxuuwcsZ7r/yd
kqfxsYiM54IFkp5mAlhjsqUPRQQd2AC15TzdGfM5Zaf+ee69EAmgejjHvpbMz6mKpJ7nzcVFKSqI
waNZnkwlDY9VOxj4Io/VQ+ONKjoKjbExKm1c144dEJ3V/KIqBsoaXnDSCw/mOhJFxc7PyW22CiWt
cyRFtFzJq22pluOq0ezopnVj5DbmtFons268tE4bAVeOBYtcGi9TGx8j79M/RzFt8VL6dUaw1LHK
aLTiTAopH2aE42M9PnQhClHmMG161CcfEBW1b8zM/jzKGVAkFdkk2kBmmEREqhZAgD/oE6ZerB3d
NOGE7s7DVjeDVUX1u75SXXPYW7gjnDDhHk5NLRkiQ/VqdLFNnyMqa0WR4ykoR7NcW8oeeTtlRyIY
gNwovKqMPr8YblHfVqknVJ9i+mxU71YTvi6pIpXGkz/3gvbxA2JkXYCUYobFDXC/P+eE5xWDyAKP
K7VQ4GV4Y/nJMKxy15TdtM6DroTIaRnnLsN/76pUzLtK9c5DR2PsyhprjS0Cnouz551cO8G4pq0d
2elP2xIVxHMuLxMA/UT/EleA/6umvEnBgR2rpew3Rh3pj6wNGd6wK1Rdg63aIE9gafQUf8wofVr/
yNUNpKHRjfFXjRFT/SxifxXXgXDZR5O1xacRRFQHSOtcJUPZh+gsmRp2gS64evchbqbpMcgoCVWs
7mc/rp1rcCtYp5rkdPpcROsl1VmSHmsECfCbofQXGUOXPMXBAkxDG0V8wD505mK9GXCPT4od/rEd
UGmd5tzocAf7qbxfXup2/q506JnlQQSrWVG/Kq7P2hYg9RQVenaKLce4m0FbBEF4HRwdKmznslMJ
Psw7RJRU66g3fbtt2vbLXIXlOUm7QzUn1c2SdTo5YKFCaat9W4KncMYqD0HzYeg3DoWyh1Iebzp3
nF67JAZcteRDNTwuLavyi4+txmU50rENxAY6MsEvRjdFhdstdkLGp+UI+1TjU1jNW9A+/Y0lkXHU
JmU/1tHrkvWivmSeqsY96GDkTxWSzk9ZC0VZweYkyVOBJ4yhj6Cj+Hfzw6Rqoo09IA8ml7RBNbb5
ZKfblF3ZacjD8RRo9sV10gioVZCf0QaJ1j4lC2DVSnYx8jy7GX3TBe0ZmKvRafrHGs1THE2rx+Vs
eVHHG02pxocgRXclzzR/pwxtgQpSkT7kQweaOKlBehoU15vZ6q99m7JVlGG+qVlu8gK95zWgHnqN
gxY6bNF463WO+8qeEXeJaSxuJ5T2Dr0eVFgE5G+RW2cnyq8qW16Ocn1Qd0Oxj4w+3f+oVYXqozob
LmBFX3mYavDBUQD5KkiKszEP0U2Ek/qVYUY4rOZwA+OANHI5pRKxp+hyYivrvDWKT7cBBevfjOW/
kCqprYiCJS1ZZMcY1NJy+6n+YEZBULRzTRUu6/x169TNDWESalfrnAzFcE6avCxHyzUoEeHKTK+a
oTSeFN/61GdGf67krOmNT3VRxcfUi/dDE9gPc5xRbqr7ERve3Hqocq05eiP6x4NZqUhqtzZcBGqH
KKm4G0YejNKRo7gDMgv536M+Cm7mx5GIl4Z1H+EAW0L/K7pPfRdNGweG2HFKmrsZyuuxsKyZoeRc
LXuEAbfW2+WI+ucsgk53uep3G3yuLARgm+KFKnJ9pXf+BJwxL1+qFAgYOttPfeGQ2qQoYXUtkoW+
G5xzswxPJA/Nek7bfm8aGpahbvak9r31JgdD4nr72S/NHQXJ22bu+vtyDspLXM7vWZsqNwn805VK
52Bvp5a6XUq3nvpaTEP0KU6NdN9owDPTbNj4VB8eWMWQ7dQz56uIT/Sx5T6OS1HHizMw3CjFDPWA
J/FYGsd6cJ56SfKsCckeS7PJxMqaU4FXFpGOp7Z5iIBkPYV6XF2HkR5sUgNS7z8PJ+tDpuFJb58u
taWiHSCjSapdP40mPEDM3Mn07tpg2WgfYkXrH1RgPkcryopVN/dXTldbm9hDtiBeQvty3isdmYNh
n3vD5veCztno8eDeJk2yrbUG1GCSskz1QbPG1/4tLMLiMR/Hz5NW+N8mBZP3Uh3f0RHHE6p2p0s7
JRsegLFv1bJ/oM6KRVo8Z+8N8qpTmH1WYzaPtpWrRyTadPKA5F6xfeXJ7ht8/4zg5LcJmevgYvqi
qFW6K6PYeKqnFup2omgHizs31Ia3X/K/0EndrZkaKhhd0sG0TJXb6uWf7+xy535KX7iztosQO4Vd
h1qh9RFJZM1GiVRIr1+7RFC8aWsL4JATYSzr969eESjfGo8WTqx3SBVJgEvKGXiI41Duney7P4/M
Es91P3opfZWVtUqNZO2qfUrW/N3t6/TaCvXmtmMnfBVSWtjEgIwKu6fBEICz/XEUci0I1WQdqoWd
nLoRfGdoFdHGnQv1szX6V0s9NQ2LCjq4W922feocNbNetcwRIKqamq/mYt75alfT+jPw6TGNm+Ul
NEPzxtcDelSGF6zTeKK9N8iqYqePmZ2PN1VVtPfGOKkn3QaXN7jNfa266yKLRCqavEFrMXwdg7C8
cWKnvJpdlEbryUnu6P+4e13Pw31jxS1MLs1eL0vL8lL26XfLdPsDW4eCHVtW7hM7bm7H1vEh/6vP
tVIENyEuuOuybEF7B32/LdokXAdWqxydpHxWx2LYYBRuPGcIUQ1WXrEPQVrOdiCIWmwTmZpsfxR6
L0AS6xARjNCj1/7vhvzf9Qw/hnQPKzfUlQE6GZaBGI4r3NCfJuEw2bNmTZF2zSYwvEWSA56mV3qE
SqfFFE01klNhKE+tp6TnlCx/xX54+hyWAVChulOBNkJeUuBolkPWXcDL1yh6teG7X78DsuvRC9Qg
F2TRdOlnr7jOa++zVrfTxZCXpjW1/Y98hI75ym/am7jI8pcAxPO29EomT9adkq7HP1hv0+mqdrV1
bddf46JYe1pZXqOmWNw1bkUSUQWY9NQaBBlG3GjDEfBLsvBiMh5MK6vvx0Jxzs5odHhDe+WnZEqi
dZkHw6H3zBjeWdXhJzSFWEGlL2Zb5ttq9r/nWm2xCrEOqGPt7TUgs6sS3WxMhpRs3+RmfQeDoDzN
aXcbhs2hnG31yUUm4ZrKQ/QjP5fr0wSLTzHfa7Iz0uj2KwWDc2O03oPrcCubGr/sKjH0XTyTQcD3
6by1oXm3UURxPWHH/ObWJdIvqvKJXUu2TQx1OLhK30Bgosvf1p2/6jzXRTBpnnGxlu66FSblgeDJ
/slV0SkswjaDTvXe6hJfK73/irL4+BtkkP0r7IYirAf4iJzRNjTx0F3Ixj8NKNu36DLb3kg2ak4b
PamKc+ll2H8nXb7r2traBjRRIJdHDxNw3YuOP/OzPezzpIHSZrX63Vjax7w3rGcI0foNdHSKEHKK
8+K0DzLcpZUyORSN170MhBnbCszvOVUfo1fsT7iGQfBMVUqYYL13swp+u0b39oB8eE5ph8SU7UK7
AiZXWdR5M/1SS7z+91mT6fqfZ2PVfOqDoL1kcaPt7QkphyBNoCrqJIfoen8PjGw4jlkOSKQ17Buq
4TP1izA7sCGo6HzWGTk/6bs1qu6qdGL72VSq4kpP7PHNyvprLZ6m3+Rpy+70z/C/PALgaMBfEIf0
AK58WFj9Ibe7PpunbVp435w2DE/LC3XpP46oEG6Rf99HuS1kVOMp8DWqv4na3/cpPdxByeKvGVqR
FTnx58lxseRt7faU9xFtPeomKPX54OyKBJ0vJUaxYoTfeEP3OTgOM5RgJ21uklwv1rYedpsloTcT
/3kyekTzJb13LOeZ7ghc0sJLb9wBjOUckiuGE2w3twpw+MGjKi7WRZVo95W86HpPDSA28YhLXTRP
xui5pWlzR/VQvW/rKt5PylSvmhwZ0d9ESVvu2M931FLBuBEeHQ1kOF35D1GyK10QBEFlbeviFgOV
+cULfcT+ZJqjGGHvpqZQdvHkVWtDCZpD05Xli+H5n0J3NP4vYee13DiSrOEnQgS8uaV3EuVN3yDa
Frw3BTz9+VDsHdMnYvcGA1DqkUQCVZn5u2tpwPzP/c3kY93huMDmeGhCpV/Q+FwX+7DL2rfBce3j
369HnYblYXOMGkg3g58VO2Fa6SkeinEzmjI7ts7z1LvVc58Pw4tFxYOloTNeItNDjT2y7tV5Xu9d
XP6YQtfFXZzlKc+gFz6U+uzf8UegfRwIKmWSa2wi5FT7xoFgUZYu0w3ZdA9gJDs+/hIP3YaZnBUP
L0PtLuWzeVU/VWOeuU6wJDreLl0oy4aRUyb18smboU6UXub9aOxjVDvleQQk3oTLnWHUfnM70L+1
l7y2kJZ2XfAQmYO/Ls2AxbqSl6CuT60/Uct1theR81nOh5EujPgljGvNwTVfLT9E7FRNySrJJurF
LnUwu8QfHxMvYGhppvHFcs4Kvx5RdmCPz8RsVp9ZOqyr2AyRDYXfB4ql1yELHsJeEsbRet/VPau+
/tdVktn+1nVDqLCuMK+Ty4S9r+LpS9iMCxF2iq/taJpXpwkGPmKv2ggfP9GxLdL9OFF0ox/YBVFl
fLpQVnZ2o7f7UXj6J4GEm6EHOWQkcF0C48+u6DAOYiP+DEL2tqg16/tpcq1D6kNKAAZ+sGKn/nSG
LGVKS0Omvjc2SLJwJvHUJO5R68rpFOYk2aveQebZWdZV/uo7+VM7L4l/Vp5+tuObGk+X5HMiIB5T
HBd19XJuo6XDg3bcun5lHWrbq7YxTdSHMaDnwGxRv4e4Vb+EvrHPzWr4HzWs9+c+gn22CecB32nY
TFDw/hjB9VWn0QsmIcaRrr9pmkURyAPT2pNAYijCg2tk9nstEXQsrxcJ6VPq9SIVybYqnWHvumAI
vimsoxrK5Sz2JKZG763aANVXexsHYztrTw7CjA/0NHsFovOIWasyg3BWNm2IWCvRV401xdge6Zs8
Z8ORoX4p7b7+UveiXcuauyILZLGJHcrMoRwe1A20yIOtf13JUBQnGfLkMc/IEpLmCvYzrSif1Bls
kvIpxgATQ3WtfBLLWdz11ToLPLlRw+N5jnyU2GjWVQcR90VwsFOtWssWUR+D0gdQ3OAqC+P096Aj
b+QmxHj/cVgmIfBWhlXbxsW5MNFr/I/V8g/bKHIrljRW3/GxP2Goaeh/+NYM6LT6qXPBE4ZEhjuG
i8NFuKJ9TCvMCqJs/ChsM16PkxFey6ypz0Wg7eqq1hCKBSiw6H+fbeYqcOfT4IdTnfq2Cn/yWEfY
DRTJFajku8SNCzuqMPhadcNW9XZjLJ+YqpcffRt0m0krHqdYl1eRTN/Uhwoz7D1q7PClx3V+T8xR
eehtH0R6GL6VIbocxwnyQ1jnwdVI62YfCDyEhlIGVy1uDQ/FuzOuSlqv/ZTLCP+Mqrgrs/Aeel39
QhmdnWcgELRwYvpCIvi1jB3COn1ELMt7zgwSxyya6ZO6jFppb7MZX3J1KSFWnuYa705RAPqwRFPA
aYSPi3EkrdCOfxbLwjxYEZORuTxkER0vC4K+rQMc1XddZCT3Ve63ezIIZ4aIhbZzQeIOtcIde1Qh
TdB5W3XJEnBkQtE8a0nwtQDk+frXSVHH3zTaqJ3OJGjNG83q28SZ3LawI1NzRnVYGdE3XCYeWI/r
VwAB85C5ub+TcTd/1Ky/Ri7STUpXfXFtInUATuKTHYfBqxl2B7UWjSZDo8AJntrICS4hsbznKoJp
YCdl+zqM2A5Zpt79hBkGDdMS34euSkB1GvlIzFh26JsSeW0ejv9jVuv9mz/Jfbv49Lg6pHAkJ5Cu
/qibuqZpLU3XS/xcpH6oltZxyryYwOTI26nLNjORansa63Jt9uzztY1cv+ivTVmiXOvNAAea9IfV
1NFWQcwA5OZDbBCJoNP8tCkzK022GN/k9TqYoBrNGSonV6uCZZDBGxsM27rN6g9vdsW+d6O7yLec
O9z/UfmFrfkIQBVskuWsjNtH2BY4y+kg84n8CX7sfjEUO9OcC/fFm3KojYH86G3AzK7vLoJ50Ysh
7RZh8CiPiNTt9yiT97qbwL4tLUiWU/jVFM30MY6o5RMXm9qIGSSJ2VFx6GTPiGyomHsV+h4+wNrJ
a5foJSpm/NYlOjQuibitz1NhkTzpmdcYtvZj2+UwP63mog4+li+7ssJiTF32MVGp/30J+oPvoz5J
E+425HJQTRQRf2weTSQtPXTDcl+WbZVuS5+JnrXMKlJ91k5lnyOw52G5E4tsTaRjd1f68X/OyrHZ
l69/f/3vM/WdQjpPuGmab4OsNqkW+Z/EJDaLZhXopZfDBX4gsVsLnSQLjQ8DmtHG0eLm0or4bCw8
ycpmtdbCQd4byaDdYQEO4Iz9sz44+tOgow3EVjC6GFVSXlCw+dxK2nhI8yWIeJl8qxm4IXx/7zJ1
6Y6OBUetmzz5kWcJweVZ+tYNvb1NO+OrLCB5FjUlH2RW/6jrDDR84k0fiiAN1yZP0R3+TB/xQs9O
UXcyd6sxmasLVhbVRUYzQiv15TLHF8A0BTQkXItGs3QPGtwRZEOV8ZiJsDiPMhXbdoGu7XrfNv64
0uxiemX5OhZlV3z890/Z+X9VORIt3KxocgArUeL88bzmeRa6WqDPgLst6E+DHjlaJnci7p9a22tO
xWADvM0Seo5OelTdJfXRkOb85AY6aWuUgkGRaEfHnEG53Lqy770RCz4aR3NjC28lTF881agNnsFJ
xmUVV4t1I7NXD2HjvbrKBeL8YXysG927Rpb3ywSsewKseCnc1jkVYogOi6ORNoZc+d58/OOMLl4/
FvlSNPpoXWFeMR6vDR1NXmHt8zS/Vxu9k4Qxjw2+ZoxyYN3WjMJ0Expqea4JJruGztDepCv/Uq78
k1Ju/f/Gx1u45EvOh+2jwfsz5KOp9aqK2sTbB5En7qUeRMUqFv6b6uuHrHI2KO99KOKgUbFFDE0n
Vz1jimxtYuIA5imrRRzYPnVZnlwFlZd8TUddO7Se5r/MJXaEy2rTgCsdizFCR43hg4IL7Cg099OY
eZvSRxK8wq9tQQyRdTsHQFVMbiAW7kBmSDghosHbiKo+mHqFcp1l7V60DdL1mAqLWT0D5gBPcUWt
kywbO1MggsT+odwOwDQbQp5Cwhk5qLO/D63vwiywKx1j/jHcBIKhscmMFLBIjOnlH6f5Iv7myV/L
Bmo1OEm6FY6+vckkPJxAPPKQf7TwK/yUEkVWnth6ox1cgGJTeNRAkqNIvceWzn2lVgm7CH9qkeFA
nZMtg65y2qZlBUCnkJCpTcrDIMN5F6W5va2XGYa61PCN2SbGYgnlY6+pAOM+Q+wHBzbYKmFK6FTp
ZQhyqNY0eNk+zLL5GrrZk0JmMpT+1yoonoQ3TOQJ9wQU5EFzblwTX4wyCz5DXLnTxqS/kTBMjZr0
Fg+k+C42oX7HBdoIBWDChgeOSbD2//cXVR3/978a4f248ew+ZrJ5o0YL7+0ySs4MUZuNSBPzUKaD
d/7nmVNg8bgwmG9/QzZXBs9sbFz4dfQLCzmtH4QWa2toAu290Wd8bzK4zkUrIAmadRkd7a4Vz0BZ
b/gULgxlvX5WtUk1Jl8RjlGEMxa8zBLxeFME9fX2QZY9xQkafYjBRtbuoULKu9Jt2z06tt9npZ4d
I6c4DtJq945I5B0sohYFNmdyea21xstkhsNO3Y6QblGgSXKvWjlxyxj1vUgDfYN1fQX3CDauGMvf
mG2ri+Cs2R455z1Dj0viO+MhhlRlC+dlgs30lId6grHqWJCJaKX3oEyEceSVt8+rOdhfojQYvzBj
N7cWUl81sFaHxHO/LEondAExRqhFcN+W85sZ6eZrYpkYjfjONa/M/pEg2oNqbMp/XSVu3T82qXdw
EomBwiheGRC25zjEwlvtS+2gj2vti68FBcEQA1gCQkAc3JbrqTa/UsznICshwqXS/qWH2i4aIxx0
/KQ8K2yKbctaFdiTHNPQ6La3D62hSVhTXhqXdjk0Mq5xNMUtQr1WsuLsAdJhnnTz6+DYyXNUJskl
in71JtwGtZw0Tj3R9y63gI76O1icjBI9JU8+ifa1UbdvIK72Ub3emf7AoqGNO8UWAPMnJFmY9+pK
9ADZY1B0pCRCPyfaMrlT6ULO3DMSKAfnjqjzm9xgCoMdkpt+ZVYlTqJZactT0st1Dyi6bmsvfTbn
eTsLzM9ujQB3kDxNHXqSCT/+k2rD8xgCNqYxhxt528wrmHCaeIYbF27m3E8w4AHUk4H3cms3yX2Z
15po5B7vn/pOQwpPcm5xLbF3wqilJcB5od+ogzS0dEeYFVZX7nSh9kfUv9wNipfU2fFM09NfnYUh
rzqKWhc+0WQmFiNhX+09XKX+wSOl3rvWsmgvwxgIuu26ofY184dE723mdbiEZ0ZbPChRAO/WJXZx
BxhZL4FWCb1bUE1aQjaDMfzsw88bsBnxhh/VXulkcJMtowyOvs+Ko8cWvZpipY/m/CpqqeEEG06X
3H8WZcNTuNRQum6km9genE2bVMZV73fqV1K/gzqkkHH/e73yp6CQstQnqdi2kZbbOp2GvyCi/5iN
h8Ju7C5utH2Wx+F6MqqvfTv2sA/C4NhRKIMXVOaXWT7PorR3RpdkoEqTuzNrOe6rQRiMiggZSfPg
LWw6GLYO7l3u2BufyWT/8qYYy5YwbMgGd/o7zCNIHdDDe5lKGWzMJYghzekdJxnea5PeHTTXCs9m
Hmnn0eln+K12ti+sPl0pVUjp1dkDucobpQpRh3io0o0sdeZZWvMQj7p3n02+u41nybCBPXZvax47
n1URgO2mYt6albQPzljVn6n4WWAZ8O5XFEV54ZGhgvOLWgNxr9H39eD4G3PhvblCfxSOBNqIQzaw
usbeTpXxSdJsokHgZVwx1D6lrXYXaFAjeosYkDHVnHvd95lI60X87JnaAqrFjDWlk74ZYfFoZtTT
wIyovpySpA9YHldHg0jYOn1yKKUfP055/mWISwjBiuZnzD1OLrDOSmNuD35MO6suHVevGR72fIRZ
9N6z/eiY+7xmmWvfNXcIFOdkpBcotl3i5w/DchjxOTzdiC63P2au8I1uBMZ9GMR1x7xIvzAuyfcK
sWx1FltZ398Ay0RrT3ObzocIV7FJaN6DYozSoblHveZZGaLR/R9MXmCCP2feAZ2TTlipR3UNHe4P
skdVuEMe5Gl0EFho7ypg1isQ2KsxuObrX1fA4tarDk3wRGW3xR6o245eZh/rwJ5esB8d4jxaNZk7
3KnvrHNoY13LZnDburXB/OGVk3tXOCXypLwoSZI4+kteutZ69n2M1OYlk/lBVYlJiNC/N3pGI1bh
wZVH8LiJhKs9qbNU9L/PkCQBYmf6AbHD3jPko5vG3+NlAqXGUHpRbQq0E/cgvtWBXDKYIVXxhXlP
d6/uwNqtvuDf1d2jXjVflyunlbiwIxvbaN40bxt24jcpmaQpysUYnDPbgQFUZFBF1eiZTVS/UAc/
IuWtDuOI77CRu0gRrVBjDrT0Gt00EkBVG9Eh80Lrvph9f2UlI0x/WwzmVv2+A9DIOk5e/bZhJ0wL
67afOtow4u4XE5YGNkJgjdGHuzLqNUA+Dq2czTcdx7q8786NTkFmZ7gJ4tga3WEZJG6HVJttRD+t
vS3ciq5S+sEJv7ytvdATk4oSm7Tv72md5Xti/bq11bfd0epN5v/MhfEvhFCQTnX0mi3if3xuanqk
Ktqaqt4qLCfcqy3ItkVy8vCRhLk0JIchtsuNRCWw6gebIXI2NS+Iuvdp0CbPLZQ2TMwHDZNR4HQ1
cUC3ebarCYULdkYaekcGKVVwvJ2FUMEn6Z+F1847C97lPmJi9mkKsmqSYn6F91xcKt2BmzHwekO6
ohNHOdaYPmrAhbyr6LpWGRDvom6tTv0KzO3G5yjTj7ApYUkUWJgzCBke8p5W3C3L8ACK+YAssTxO
HdN8hrn5vTYGwU7ggHrbk//79mE6ytH8nzAUXAeAKCya2VrQtqFv/9f+MdM04R+Whhjk4TAXeAgY
IadEu2CgMFQHX/o4mP59jW3PBirWV5lm31SPoKV+dp/L+Fscud7V8G2QcN8m4lAQvm2CHRTarF0c
C5m13dqApYq76tfov5nGbrq+dxAe+ot5Xv2sJu+15bMw8KmVWgxTAST2Cozr35oYKw4fVF+Tx9pa
TcSEXhNjlu/jKQfQ9xzb3SEYwG5V6K9aATxqVeVBFRsoqnF5XS5V2SEWozFyL6/EzptHC+Xa1m6D
6BU8C3/n1IHcgyKZ31E3mI41pCYYltl8dTrm83YSZI+O20cHB0mBW0x0lX/JXGwTc+jRsSBoLK9R
ZPbrUcP5toHnV0H4x1aKbemvK/XbLFeuvsCSS7v+19d+/+LUqnApI2BRbD60Zcw9xd5WkXqZVXRP
EjxoHfl2eB8NrbibGfesgL0iaJtq6NL1AXOdeaHl2pXpfpgkGAwhMs8+st8INhhOPSqMjbkEu5Wl
5f6oe+INnWb4yr/8GOEr4EKahTt8/Zznohiyi9DkrxJ/mkd3Ehc6mHRdBU7ypA65Tmk6G0Oxn1va
eewZ7YuL8/iKqZ8HWzlxjrh7Zqu6bNtHj/oUTt+iXzaD3t642diepgS41lnUo7lJO3vbQvvQ2Iq8
C1aKEOUJQ5yjod/GnjPeqU7Ts5J7HzIzc5Z2PMJ0rV8oFZewTuvdAVLFgKfr8etqPuzRZ4yn5Y9t
nY8Xzbfvb4Qw6dqf6AGMh0kLi22PUcIRIlL85mXRoafrBRFa/qGIIQb5avWbNe0oTXEIlmVQVN9u
zzxbEAZDQTfs5eBNr4ZXvIA/aTuZDBFJaUVQrVBODOfGhA67E5WYeBKWj8jflyudUT6mnispIeby
38IvfrVuFmzyCcupqRUjRmZTEO7p47UlQbB5NN332w92xmI+6RFYpMgr9quFCOkWVXLKJArspsSj
F0oLenFvRMZS/NKKghJsysmtuv0PzLKXBAhm8iGttDclnYn8UB7MeIi31ArNPmqJ8UVXhMEsTyKj
SG6JKeyTRy2pN0nJ56OTZINV2jLrt+cTUlBxn/jY1a26OnzTiHc7FpmdXmQs9uoXxC1jwE1VzgfF
1JwtOzzqmCSZOq6PC2lY8YXVge3tpRBlTvtQNsfBx3FTn9NmNwdR/FIELLoYWPWPNw7QOHyWTZk/
YhlCaFFqx7uxaiMIzqW7iyokV1SF+XvZUzsChgRnpuCfN31XRKSGY4HCOq5AwWgkeEgPE4zpMcD2
Dnq7fe90xe9DZaLrxEAKS69ziTfWtV3m2urgO8N5QELJKBZYCqkJQEjnG/cFBWuKV2uZraJA/FS6
swwDb8Ce3NwHtVa8a1bobp0QEdGgZx1jXA56Nv9AQVuf2TrhroUQUlxSfHjD5/aiQHPEyuaGrj3f
q0uvcrxDUXoT6sxqcV6wi70qWeovt7fIxwoTtlN+STPowG7paNvUKS0knAVTgrn0D5XWh92x7EXz
2ryr8hoM+BlxmdhWcOPebcG2BoPFmPRordb/hnJMPQ5Gi79kE0t3qy4rQKn9jQ6OTT2OcrJqkm2y
oJGR31uvuMBVsAa1VZiO0UvTIOhykZPv1T4jZ8Na6V7Tn3G68NddLi1c4ZvorvJ82Ht8ljrUyb6r
zrc/bJqsq6JTLd1h5BjF7SpKcRUWyfxWEtediso+tXUE4cKyk5g8F2osdfCXsy439NNwKw+9eK1K
s+Q5zJDk2XDgULd3wTaCk9B+2hSpmyaLmkuZODsQiHCP/Ad5V4WT6SpN3XTdaubCrWZquNSA0SLN
BZ77maXc9g635DHWuTHKgNzAfOrHt6ELf9WwB+8mkbtY8/UoEZb3uYzjHQNm70VMIgXnmsBpk16p
+A4QM/SPjNAyhRa4TffTVfdvWnKLN4LFPVtcThgHPkPhvGYisq8uuSdnr0+rbZZSGw7A/2dEGkfF
tdAq/Z2k0+bNsa+R17WYfaEkCLXizWjqVzuGAlwsbh1p0b4PQZ0+snBL3MxazGUirrdDn8drd9bd
g+6W9X6AXPQa10jHi1B/QbmFnb07vOuwokYc6FABIHZJ4+l7miJujkx7TwA27J7Kw0ZYk/I48isy
0ixwCojcc1yJLwst60kdamO21j3hh+0nC/QqW7gm4wJwmnVcPU/4GS9Lld40EKfKvt8qEpPl4ZS6
alLnrp1kdFQ3qras5T3Em4vMHztc8O6iktKoXWaitRvDuecxX8HdEkTxWahuDLzYlHQmSG1oFq7x
PmKXAeriMtg04ugO+aq4HYIu/Wb3RXtCWxuxZ3byoObZ6uBXq0qm0T6DpbPuFyGcU3jVNVmiDpdS
wmmr9tEkQGlzu+2GRd/e+/VNSWpr5nAsEWIhUl0qnVirDng0tvvAotIJxqJ4GSHf3nexATSDdLoc
eMhz355OAduBUsk1blldci+GxO6J6l0PfXeXTpjZJ5Z3AWsKHpTEqBRwJdQZeDJBORULbNjCPMgq
+ppqYSJjp1FeLG34yfxqm+Kd8mbY7biBNuRe0rwfcRasg516v91kqPGYNZud2lNBCOCD9fW6RB/0
qDc1VhB/nemNZRxuW9WMGHzlpe5LsrzF+fIWqwMkuQ89yZo7BvKHPoqK774x66ve7b9WWWKeUVKM
+yVp7uTxCN8n+TBvwhj7hha0GgvCCKVPOD4ojMruJ2ZrJfqlYo7oJkUTb+JgGh8MW8TPcmqCnTfx
RI2G8RB1MjjqBepl9fiFubXXZmRXnmYNe0j39j3ACI/gMgCQrVvvabKi3QhJabX0CKdI5OUJoRe1
VttbjyL6EYgGJkD/qZpIdUFimTPrP0qa5ouavY9B715gmEHNqs27W7U3G79AC6tVktYUqAtMWdPH
3FZekLtwbTDx26ryKui0+i6yjO81/ig4kV7HqfN+YBcgV5GcnPUN7zSMtjoH4xKRYcePN/ILw/wd
DgkSC9BFoDZI73BbqUYbT2HQpjH3oGcv2lt3PHZm7r9ZzCzuW2czlr6FQjqDiOA27pNj1+/qHUPz
wx4V+dVlsBLvKe/K2+sBKBe/s/wwDYya1PtXa/V6NN3itSQT6lo3xTfIc+wcXtk+9GL4orcwI33d
EIQE6MZdo/eQ3cajlJ6280LPewLzJxcuz+T3hcKvsSC8uLGbryYnHq/Ivsq1k0/+F5dsPDDA7ejn
5YueQlC2yvSt8QbrHRklBZZrv4ZUcbvGpfppFiVKHOT9AbZKzUwA/NOItfigfFMa2hOtM58qInkd
OHd36SJgRvO/VLTIUdVlHCT9OuymhhqNgVMskveIkLi9HVgeNs3Ceuur5iSHitg6STeuqGj0Tf62
LEnKdmqbjaKBNI5gIDz2MoWN3kKKp+wCpW894CzRsc50Zrd8hWt70u5E3r8HsJXOrDBw2Jd7W93+
wlwi5JgsneTi/GISdHq2lm9RX60EQRWsohTSzSuiPvxbkip4reR7uwha3M7I7qcyzVdZFOXX2HF+
9rmXATK7866OrOnD88VnGBUQ9UTgPqZ5gWakmj7Yg/78LhIZwruEeHgwGRe5Tup41/mvs3LUf7/2
95mIInbnov/9fWWYVndWxIdiWcXeq4DAhrSN7meDvqfK6/rdMYb3PobVqLNp3Pl115+Q6ZAd2bUF
VDp4nPtCqx6ZLF9sPS/fdZ+bUQ70jnL6zqv9naIEN870LkbPPdhTSQGc8cesaVHFTgmb44wapwXI
xWWH5V2t6kwgQTar16QO/LOfwqOREzZhC+Bfh6hTw9DF+r2q7HPhIedWcJdwsP1Mq2p55Guxlbm5
CC4woEowTXrEqfP3mXotWl6bl9fUWeKLnYhCEvgWnbwDxg7w5ucnddmZ9WlIyMt2pWhwi8XBAA4V
thO0Qbswi5iiprJFTxGdkDTjIaDDRPWnAad71I87pw5YDDJWp9saPWFxFnrR8Jzn7vBs1fJLo4MA
RFE/POt27+5riYOi+iI+cSN4xGSRhUt1JSI4w3DowEsGGA6TBz3YNO+7dujPQz8Y26YM7HVWGca+
t2cCSRu9fcizGvixmGxu5MlmPppqJOzI7Dp4MAkwNG1f8Iht2LYDOOxm/Gh5o3kGoyP1fKEZaNmH
nQXxJ/D3uMhyMe6ZCDUy+RNTx37GETM4uxmW1PawHaFTnf6WwJrRYGxkbzSENsAGqfV5adebdRKn
1qPmmL+ahTk1NWjaWc7BP+zausyDWEWx7X5F+bdENbs/MBHIVn2t23u9DWlTkjbZZiihSZ0CTFGH
3oHVmYWMkkixufWtVTX6vxu4Uh/IcPTiLz6bHQGP//lXI/Zsm9mOsUPgxosGpG6lNzebHqsh4LPl
OomAO0qfPUqP9egbLiX8fMfHFW3kkUkLwhV94l8F0nKko+RDz0nZfMAcG+mkfO8Vi4JVBn8RpYHM
zyNU2/dxsIniXqilNEaHOYn9rVbqYn2bXFuOi/2J1j4oEX2yKOmbOXzSNVteGuOrEnoyysAaPBDi
EJnjb8uTzG5QMVpmcbVQba9Jeu2W5cXd/R6Fw21b82PSDRY2zhnd7vC8ALJj5Q1vmZCAr/GTAr0c
o6z2RtKOO2dxCZLA0SdIsBtHat5HgJcKHsW2d9AnP3otcvsx7Ph0bnTfzrLvy0SjiFpKG1btHSE/
7Smcfe1KZc72tJDewcVM8Pu8RgXqp/UW8W78bSZgDvdSEifMyW+vlU/Ch9U41mI2Sy02a/Bh9Ty9
8mTGyIv6V28BPJh6GNDmcMFBrgDbcTEPQVZOnkbQvFRup5G4sBgrjfmLqhfG2YNczlXnmALzrkDf
OpPkQ2s68TWE7JX4o/mrjwms711Y8nVqbzRzCn8ghPnsMrP/5C0kt2d0y4dR5wZcloEscn1m7Rbm
9aSLwM+2h29DgaAQLgU92CKE0WLazcmro0tqJt6rhmKSGVF87MEGdsZAt5c3g/bYTJbYz5mVnDW/
ZwYzZdEus6Jy6w+dt6fxuQwLFxrKDr5PcMRPsQUoxH2WrRKDLbtcCEAiRcwRWUP/DueyDZkbpKOn
X3BXyC7Q6JiyLBZWte3cGbCu3qDc2jst1mDaRS79V82YDAcO69Lm8kCjvylFcERQZf7890kUeZdw
RN+jaUs3aeTdXVAwe8HbKz7hifLF5UeccbvonsIu7O7xzMLpqSZ4xKIaDGO3PVXItXdWpbUfs5sd
KC2y73mAWD/SWNQiQRo6G85eRosF16j3+3k5i5bX1Jl6TQh4+LpW8dAOgbEJm2WlmryTooI4zl2t
hfyJVffQt1nzlGblQ9Qawx2U+hwcj6fegGStBwl8AcufH3LnHUXEgH+kcJ79GpN1Zy7HL8ggr36Q
EftU1yDmsmeJytJnq29DbHdJGggyRChDEubbZin0x5Q8GianjBCcnexZ2Kce7mrTWMN6SvBUMIEo
WBKAZZPBegqsnNTBZeTAJx5s+whp6eh6+So0Y1z7UAGtM7+dGWSO/+iM0EOUO9euhrVFIjkYVfvd
7uyV4uk6vf3Z9W7wFlXez94xprVfyOkGMxq4NV3hPu39LLt9N5KHb9Lt5Vsw41jKc9Pf2aj4bkDj
FASbNIdSFZdyXqvHqPOn+di4xrwmE/3F4al7BnVPVprT5k80v+4p9+H9tKjGv5jOu2W9jsJMP7Na
pgdvisydapl5uQqS7LO2q5Qw80mu4zCMj+6PeIrK+ywzMfDy5pMWucWxwSPxauVBzKRQyz4DDYlX
lfZ3LUwduKP6ryE2xsc01iF6CObTLDb9QbopQ9nlbFZnAh76bXaxACerqO/gUIHN/CpkFyNVFuWT
N7jaUQ1Ow7mtyDSYipOXwsvEtIbBpSgDIqaK+dZ6+p1ZwR3rY+jxVK3GVPvH2xYfGT48cTktvnYt
DvBl3VNvrFozocVmWXtenDnUW1kGLQ9iWv1UnnFt14To+SOxUdILjChbvzGwGGgIcqn9J0VNjExg
IzSu1bqMxwjjzrw/qzN4092hc2bsxNAbkb1b8fS/QCODGWenHtPTokmjheSlxjtZ0p1EKyQytck+
Dnordu0I/y3Xx2CVoMV5GLvIP+dx7G3SsMq+xeU6zDTjG6ywgS0Tjk3QIsAPxjL//QXd44a063PU
9sYmtSZBlktTbau4I0xhmSAkBZheFs0nE3TqjooNU9P2AM+r/FW61R8nMmsOSaCFF7vPsQXMNZKA
Gog1OYYYmwCaJbEpbCt3Q+Pu3UKsDbOY77qFwdYsByO0KvIUnLOw/WLtz2Leq55j9iI8QwZn3qjL
zPLFs/AnQi2y5qwcPm6cxgkvM8bmBXS0BZuwErs9q0t6ZeNkYI6/Vq8lfWPDfGWChZKVoBM7IkwM
EpR81CfdW4vki7o9Kgey1grzpeLcUq7TAKMhB7Um1AJQ0ov50JeMlsRG+aiMQdQhXIh2bdX7Z5r+
ndATubHaGaobJt+3MmXgpjn95gSknbUii2mtZit/T1mcUJK1YRv9EUereeuOtsb4kdlHExM5Ebtd
xTxuGX5Q7kEx8C6Epmph8KwXhnhJuY9XI8lUp2GKope4dMv9vExP1Ff/j7Dz2nEc2bbtFwVAb15l
UzaVptK9EGVpgibozdffQarO7n374OI2GglRUlbK0MRaa84xGWDHj6kUZ3yK3WMY1QBCdf1Q1jCa
CmeKb4MEjUUCT/Ex5slbFBbiGpeSRJA8/YCa6r9MJXa+MUIMk1FHftm6RHlFVn2B93cfUtUfS/qw
q386QiXz7o0jZbPyIC+vc0/276arTjVXyre7NrvUJTYRVZyWk6GXj2RMyvSLnojFpSoaD5QFj8ue
okgh2JpGShTvfAxbc2fADZNzSSzwuXe8fs9SeXoIIqk/VMucTgnzaggs38HMN4uNYQchi3yQmTHb
FbWGb8R2154A8jI0Db0USAYbTj3qqzFw2hgzB2tRcLiLcdzv6HWgIcm44Gb9+9Rf4qJ0r/cFlYrw
RCwD2kqpZKv5frRSVXtI3Ogu8/cwl8zxHOLAMiV6m+/vCDIy8OG+q9jLt3bXcEIzxP2xlpEwFgwn
3tucLPhgcU7a4BZzRyK0qntKwdi6OWZv/QlaZxUAJ/g1pk3NVFm4r9h0DAh/s92dXvV6Ytz0uFgm
9BGqtp26+s5XaEWSVLzGHsuKwqAbv9im5nzyuI/VN70U7Vkxc1gHhf0ukhA0WTh8E4lN6l1f//tG
WZwKDR4sUQW/c6gLVpkwpK5YliWsf36RVPej6Avzw7CTgvHa2LxYBroY8g7aUx6IhzzLMsTntYM5
T6C84V0Dvp41OPOtcL4vnh/99/Oy3n9AjvMtYeW1C9wkuCmS7zdp2UffnJwxiRnV2mehqc9IK81f
matvkT2Blgnqkx2kEPx6Kzwnmeh2NjK0h8En2R3bS/rkApB+YHVhEw5GbE0fMAl1ekDHeWJRcybt
b1bhX2U1omRTxCOyVg4e+yr/MJfmo4GnYBrbfLNsJiVGlliVa7qTwzNeZ1gs5ZD8jO103cyGHiHU
x7yBmF5dmt7PXsuAsWhtK+fBSAZKaoT6D46kVIqiWeihG98NQRNkRuupSD7FSW5/lgXgAKQL1XMj
HbVLqWpU+Frq7bfWa6bvE9S4FVz76HHkgn51fSACVedN3+tgfOzaIl67i4aeuv/O6SaPHduPGf0U
gYOCMsvPRDwwUyoLBJ+s9KKTbVbJphtdls6D1aw65PTXoPbKp7vtuguzl0Wfw1TAv6hYPy1bNFmb
Z5aBl7QUp7bIe7mmwfqt6zxJdryXPBctpR+oohVkfOYSYfQnYDj+aMpYrsHRgSG2k43h1WImNZVb
5jfNCcjYawqW5UTzXrtbc2BSfdPatHp1W9TuXT4GG1o617LvFMU7l/cqzo2TN49pl00TD7lb29ba
nMGJ3UxBWW4ltUFZkxc+eVTIKpt6/lTmpywPSPqSzErTj2HqeoCm6I9qpyDIaF5AIgIfSWqeIc7d
AUqi/2r3lAFu64nzMjw35814eqZToU7JfHbvWoyGtWXGRECxmXptfXJtArMnJ7+gLC1uoLbJ8Bz9
mfhBG8QEGbd1cuopOz0tPpKkSMts03lRcrDH9kDh5pz0RjO3edbRj+EIPS0/Urdy7rf4+ouVyDNt
K4IAD+rUmfqp7Or/uQkbHSYyco6hC3K4y0Z3gcnaEFcXiNcxIip6SoPil05imtF2v3rXtd7cNnwe
3Wj6zBwAmWXSZM96iTUm7fTkPBFOilyk7MibGuwXDB36yVUGA/N5EzOaQfYQhNFlh6GTDQIDPMiy
50T5KPYqYP5GaNtdjBlnXCCRObM5axBiN8WJnuNLD2kpso5pXpw4CQ4oDD2y51rzyyye+5jPrjHF
p/QzfCMM7JcfjkuyWGfk/v7eZbaz8LHq0jlSe6uHmBMVCI/n2g+3i8ChmreULzbLtym0INtVGf52
X3RPS51uDlG1L/ueOZfDiiOva+2SxzqT6tQo0CdQ1uZOomDlMr0WPRGCeuoTHk4n2BRR94c4ycZl
/YckJ3uOQSx+GgPTLAg1+sHoJrH1igMr9ujFmvtX0ncem3A4LPKN5Ycmin6dqTDeN5X58HeGOSFz
QYdsHqoa+qVjgnKSnWZsx0wGz7bjl2u7beyPKC6/RqMPfzc6cqpWjV8DPYKtXrWPnMjMe9PYNp1i
owyzWYuBllOn22KOQja+BSOT3kgVTzlfynlM6AosAoD/bFJABQ9pS+4YhjznHM2O7tIYxLcCK443
RFiUo+S1nlfJ81bvN8kr/u/D/dqWp+5nR6fyUMSVv2lmalc1sQbySoewFXphm3Suar0UaFxUTb/b
edpmywROLUgkrUcKUHAF2MZ3nk4RoD6m0Ejxtu6W5y4/+DIOfZWoq13RVMyROtCJ9IZbbesHi2Yj
wja2pJ2Pt7p2KqyQTrkGCXyt5rO4lkEzjcr+pvTJrdd9nuwKD+8y19OfFhJGcBTzcrtqaXA1Yetu
Bnl/1cvfHt2pmQuxhAKn6i/3c2qYmvrN1/VsbUEdpuLiz4QGojE0LOC6chUTK+HiPccQ+tVZ0eOy
FyxkN78p23M5nFMX0dAM4Y3ntlQ8nIXBmsqgTX+VKHXaebnbNVp26lynxUzEyhDncP7JgI8m5uw/
7dh93Lq8mIr1LV9bsg3dCijrLGVeBMxxpFM59ZKY9cW+M6/MaS3QsDTgIS7HCtNI46BQ9OuSSj5h
TUbn2p97dLyZlGsy6C+SPtoaLZyPm9P13WRreELtFu9vrGkEKzr6B+1g9y/mo58MYmRnCQMjvOhI
AT2u8sLqbiLph+0/t3CM9LcQbN52VHLtA33/y1uU0RV1EhzstBjplsJ0ZMXjodqkoe3EVblyrLa4
UZl3V1pyHZqwMgL0HmvFruybaZ+7gdzKrNE3pdZmXyF+XD+klyYsOrd4gd3nKUPIW3la9lBP9UsX
i+DksepcW93YfIV2eU5nS3UQYuJpPPGR9uZPu2AxbGd3ObqaqYdp7wNHhDiRx2ALeoDDuJehiI7z
LWFxRQklws5lc3lgecrYNQ3mqiw69fOtfx6d25r3f+D+vHZ60/H60idAJhqYgyJ1NIoOBU29tR3z
VSR9R1FHvdo+2EHBDJCewwP9SH+1GCAtdNoEroTPoVb0L38bmwMjZ9+92cPUXv/rEspdQj0blcTk
GpasY+r+w+qckoGPjyQsQzAkgtLaZWlxPz+Tg25jvpjWdVTulqM+7ovwoPv4m7qu6B9M2SWbJXol
7bQXn3ZVhe2B3kcf1n+GmXxltTc77aZfum/1K9b+f3uvzQh5tR/rx2Lup3UMT97tBgvMDFVR5Qq3
PZxrHS2KNG1z22dei/YC/lxvsa/H9Gsv9rxJJ4CyIpu2eMWmvdNq9UM1t+w62HbfDK99ayYiOKLJ
+9n3znjpzPq8GA0Y5pIyzDxsXRkdpeZyp5bnW73W+4ucu+E+/WgO+yy+JGN38oM4+x1mRNT2Y/a7
DpqT5Eu769HQuG4qN7IOnGPgs1XlG6wwUnlo/7yV2dPyugdFOEtXZQhFwufli/OyUIO6EDwxxTU2
DtNBYkyxGBk+F4hmpDMZxXa2tX3pfugNIqa5T5xyqLFQy04iidSLwJ6II4wZey5JkRIhQ9T8IiE4
bmqX/IzlL2sJLWqPOZjw4+GNGFNhyOSZLutvrSecw5l7xkFKgczaLLmEXt6+lr1+0HE3weDSXweS
K47kQVBBzfW8KqP46PUsMpYTS5w6T30nmPQtZ3bdwEZWpT306Vlv1ltuuU863tVL0PrGe2TEzgVz
TbNauIPQ/NxNFcVbglm1h3BmjhT28GdZdc5LzKwBBoeGptuPTGhWdmAgvp6vvJFok9NUIzBm3KJv
7HjI9yOwoafIAlEyX8OWLYfrV2tMxsUNOvAb7hhubJuFovTkj9mI8cdLmTyjLVv5wrxVSeBdrZJY
VEHGBImMLBu9RouvZs+8ORrs7KfjEe9p1D/w9zX3JwxwxyneGTz/7ydUZsxAe7AO/3qS0HcyTZv/
97/yP09YXgeU3vDSeNGJcjs593SKV6VWic/BMnokJdEs99amF6tF7TnfnwCo2GZmbh4Shc+6JWto
eT5RmPm+LtNiz1C4WQ+FocMA0P2nYUr3yx4Zx1P998IHQ+3QI3ujdJzrxKFw6PtX5eekCdqmiCXO
0gUN5o+OfrLimGV34KVnGrPL1y5sqPtCzAa7eS/AyftD2B75oeWQPcoUAVg1zzcGo7pGuWvSIrBo
epvdedTD4L64I7dr3Ocq+7uZQZ3dV3BGxziYyTJajEbFC9eGM3Sfmue/x200/AZGuC4DWqVAf2EB
lCym4nH4MlthnmrXUIAbuEiWeuFhPo4DqmF0obmd+e+dZl9UaVe/9NZ919LE/0YGcL0DCEmbhIPx
UcZMTiUGjPWQAhYoh6lal62XP9u+DRt9cOU5Qqh4wiyPKy/w7Fsr5Rk4MxqmZbZQ8dm705cedQ+B
35yXJcG95nMdjmcXm5LWhCtbWc2b2Q7qWM6wMarg+tpMFFnLSMkszeCJ6oX0YzJqtu08i/TwC5fY
DSdLV9sud4dLa/IPSZ8YlDzG34nUnhzCJI3elluU+uHfW1TcrP6LNdYgbDHAOb5HSHynpdCdMMQ2
hlX/MjokuH5Z5G94H9fTqL60JZwExXV3AU6YiAKgBCgUeJD7shbkr5TebflR+96dHeKR1fWY6dMx
HPIGmwDduWXB74peUBN5P7RRn5mK86MOxQKWGuk006X0pXnfVybaqKIR1ns8BdtRsJtQIGFP9bL0
0RrA98ikVd+zZtg4s+E1YMG3cq1Eew3Jb9o56IgyLywwOqKsRVPCO0kxpq19ytldVkq617Nqq8Gg
fVg2baaBa9GaQPkH9dLEMvuJ8Q6XFwsOiEoh9Xc1Evtsu9X9ROg4Kj6Cc/y7aYPXv18dYsL9RCLl
k2bzgsVYMb8qWDrjHjKwEEQOgtjislw68CUHxySBv7ucuQug6xtpx/c/EPnGT4/x3WWpuoJy+iwm
+JAeVg948BdrHHO0UqydFKYgaNcxZtR8sg+KIgusJmFi2kC39v6iAsQmcqAzupzEtSzqTiDt/nsz
LWgwChIaQhXFX3mI4EEkU/T3VuFfuAp1T0Coyk0G3vHR9hP9obdVfmhyw7wufTELBUFSiugmDSXo
FUwf/mTUz8t6u7ATZ82RhlgYrwCArv8Pi8H0jH+jfICPYiVCcGGQlulpnv1/2xZq2gH4BkR4qB1h
b/Wh9F/zwPd2bYXiEJKQ/xq7tX+odJpBy6NIh0c0LsH35UGYys5T2cr7by5PqKGdTsA5dzaarM1y
10R2y1g65vX+O36Oo58p13F5kIEYGD30BPvl0X/++vJoQyzXwSLRZ916kKWmvvUp4QhkT9FIDXr+
svyoHNluuPi77Czclwx0Y5NQPXAaLe7PMFoPWT3pM/ffUsY4nWUVfPzzb/Tg1VjjVNkJnmHxgk8y
OVayGFfLU4Y2oSoqwNS1zktslPKyyHYs5DqHUpMkeiyatlZZL7ozORuGrta2y4SO79Z3T32UGw/m
fGuY76N5Njfmkd/hujkg7gmcIxCFFNtl7ewjBm/rdqbARi31Qxd46kGvtIxKUqNCCRbeZzEg2BOV
cUCLUD+VXKO6LmkPKPOGCxlzcEDiJNn18yZ0TjLhCoFU/7vtBv13L6nNTUizn1ZhNR7pG7+hqqlP
GuP7p2oGJ9ZGfcy0x9Ayxy9GLsFqgb9CMHsoHaSJqI7091r035Y+uWbineqKEd9KSHfDr6pVEUQm
4QLmvNumVN1MfoptJeAkeqTY7xdfT9bUKZcBEJqjz3BmLjOm1D+2QrO/tA5NjgtWiCU7IYlQPwUR
z7nYdt7Rc+PE25O3HpNcEDkby63fcqcPV3N4tQjz4L9v4Sz6X/f91/NmQ3JdNK9jk+ff4oyn9tiE
72wkx4mZuNSSAGxkueTZ0hX0wx5hrY0JG0CAvFBP2Exuh4c7aV5PenblAg4O6gfOg3Rln6Y+6i6c
+8s7dsRQuNRTx/koXC/bLBIt7E4HofWcc/OxPNwNz0Ur1oRJZWulU4IVJpoqk2nTLFrWRPg9gZtb
KY++QGIAoQJI/LwwcAov+ODzDU7LXdZEulSkH2qPUK1lONmHozhMXdmwPxjmt3xQ4pAzCsXyXf0q
pN4YVOfQA/F7BNswjO3Hf26FinleU2rdUZtthnYrJEuI0Tyib7/LvcU4Ad5i+bTrUlOtFvX3cp9L
0B5Rjd9r+ndgH13/s5y2AFWwfyc+9trZ6rX4vZLQJSOCM3roUe9W8Tiellv//NAqdzgIr7k/45/7
nTUHiDgbVWRsmtqmb/oftiJsJW3TTQRdePboXhtfbRbx7yIYQ6KKjZ9OJl7UXL3DdBL5O8B/9dgU
xU+ZOcW73ybRIQJXtSnHtFij2vbYqTW1t0uvphIdy09AoSm7yRCwMPCad0lq7XK/KgJvy6J4szgz
teAdKnD9umykA6LfML22oaIb0CEhEcMItQAO4T+HodkxfFzuk43bPSC3KOH7MniBsACJqS9pe89H
+FBWn3fXZqI32apQhKDW9ObeXD9+mnSVfgIdZoDj26BOORynqhxv7TwYbaPGu9KmWt235rvUWNhr
4cN2QimMsi2At0qyibW67/NUE8TJh6P+jCXsz0R36occWf6MQSKeloZ3FtHKMgx/fd+XEzE9lF3Z
gkLpzHdq6Q3y9hGZTVzf9CB4RyLYXm3u27QMXWQq0eckTbU3yelCG8HHqwztSKsqfx1qTV2keOmz
RCHdcWAFieoVRfn0LBJt1k/0vBMLsK9ua3RXkZAWUfz3MFiOgHRw3iUS5GKZqi6CXkld74JPxL7A
9Ne2xK4plMtop1Y7EBDRhnXC37cy5mjSWZj5UTZ9ibbDzW83/sYmffShTx0AwVLZrJVcIvUshSVO
li7kSHMvs7L7M9+IYud+A3nC/cbyUNSLjaGXq6r/aXXkFULnGi7O/EO20j2knTJWQZVVWz4+DNBL
wlDd+pxdjQ57Te42m6iV/WHxZ+Fue2zR/j4FYMbAb7IUT4ZtUzre1Z9nj6PM1JFVFZyWztVuREPt
KjNEjOUSSbGIKPwyqI73HcqKixtGEusl93P3ASIcJ/N5VOGghHrJxENVCmedw7WgisQvuipCxzsM
nX/siXIuK/uGDUf+PT92elGvmOQVh4bjm9Esp5+kSuIXLpb1OZiaT183OMSWR22N3Gkzc6zyB90q
Ymzns5xTpd4DllZ3tZzvlh9BOzNJYWpsBnf4rkzDfzTsyn+keW+cnKw837f+c7/f27RiRVChfzF2
yyemSS/asWapmFhgcPMNK1kFQWpfmzB3toB10n1L/6QFHSoBq1yL1KL/vWwWBZfznDHo8mjmTQnO
c4c5qS33y3sbcALehinaBkMIrmNq0EwYLQRVdCO/3XoLPyD43U9kAJa6U3/Lc/MjTSrzENfxetkj
HRJWDl1DwMbiCHSu+HyDp+V23hTWEYwE1xo7YmrlN33FQFEAZFR419r2l5Wn0cEsbFSnPteUIU2g
6RB3TmKypCnH/5W7iwFe8PJmCSrhe+DkI7Qew6qugmZvUz/dJwvtvFkmfrSNOkYfSec9Ls9Y7lrW
yG5q/v0FJ26nc92jh3xeokwhfc29ibK6ImSeHkYEF8s6oxkHQqV6p9ku58Ay06JjRdWNM9OYXrNC
Y9GF2LhaQHqGaWgPy9KhNMzqEga3LkzoUy+mYGk4dF39Rp2D0bI39EvL7ynRexYC7bx06aMPdcF5
uOwcVqb2NwAO1hVLQb5SqRlSeIU+Tg51yKJy2BleZQOkAcSoK/FlS7Ad5TC2xzsIkfTylIDkwHqv
Mc7RbCufFqXHvGUOxHikZmkfKptWkeOhNLAbu9ooMw23f/H3yGaRAzEUyBNn2yWpfvCiwXnB1Pux
iBo7Gwbk4AATCPW8P+gihhdWpluy4vz3kiiLxVDkFtlNZ7R/dYPqD5LBcqdPVXVoi0y9Dl4IgZfK
V42wXpG5tzcAN+0GkK/CB6Sv+SCia4bU+raE5zUz6UNNNq/Jru9+JaIdVqGbaD9A8oBjZcl761z/
PWIks4/xE95VkzKh2ZHXTLsCMFSbvi641Md4Lp1C635pYbqul2FRBie88Kb6e9COLkG0pfGi+hQO
moBKZatJrJZTnr6UzRpdmU0/0MnykPStF1WvS3m6iPOW+we8Csc8il0uzE6zs2TtHXw/c56AsrSz
GZZl3fC6vLXlB+YR8CmRf+kEdunIAs1VSczUcYqKwtUS8wnSGhp/h3b5UI30JclyqqVXgMBvIv9o
D+W3HANDsLKyejrONudVISP53NWMnexGT57BAKCsmQEI1rRdFuWRTIpHjeDV5ZJNpHqzt3BDru6L
civWD6ZZ2/IyRux6vUVeThY3EJ0WfpIX+5eF9eHMk8CxUVBbRrc5igG1xITscnFgiaoBsmvKZL+4
s6JxriGV8QCC5FHN5mMSyrYOQYQwE3TB/L4IuNTGt6lsR+hbdOc52JpDqGi4L7cmmxK5xLq0n3z1
Y9mtcz9Nr2UwrCqBmjaOfflYuWJ6HGy0kPd3rKgqLknYhC8V79+OlbgWGl8fCoqcAdOgHv91CwjX
OnPIdJkL9ZMT5Jhz8xqdUxb6LVY/A5fGPNCGnZ5clJU8+oH5tsh0NSNydm2fiZ00Ov9bQZejMIgW
COP+z3yDNtnwJ5Q4avnvwHy12pb2qKN/xH+wvJ/WDK+ekVprHV3owYKc8NzYdAyxAde3e+hqHcg5
4RkhOZaD4Wejr5XSEwSGBCQEflLcjMpOORt4467MDe8bgXhvdcXKHt2/1z27iRyxmurTkzN3ihd7
RlVE+1DvMQyFFtC5KsvJ2/HKlQlFY9Lj8Ronzd8fU2+OVzSs10km+XG5H1TX3wdHxE/HXP9ekee4
rGAtZTZnq+6qlR6W10WkCyGAGtww++dWkggKlT88yrlMbGkH74nHbO9+/2byLmHCa/qHvXMH8DDo
WrdJC3pf1t/vHBGsotfRaL9TJEnwomjbx+ZY4il9ydvJO0Wu8bPz85zeM53DqUL3abimvlnioO0S
ZK9eAb0ZplrfWU5ufaOaWC/zaKpC7VAq89kw25//MH6iSiuvLnH0y/iu193mbwCwVQm4wi4GsoD+
y6OBQeIkIjp9SM/qdRsG6VpNBCO7lmc/dIEZnas0m6VSoj5ocXqNUQ7cOUMZbZ8NYYHjztFEhgyw
nR4TrdJOUnTZFqL92z0XI+TUp1cvDcCTn3Zr6ADy3e7qZ8W40xTKzNZ4adAwI0hR+q2ddOC2fnhZ
9lbMMB6p4jXCOIvg4dCOkzOpB78InvUu1Qg5NC7Ryzj5x6DjnihtCX4lDLSnhJlBJ5xwC7Ku25uz
iCCAvbW5hyAHIZQB1mh3Ye5yhlC5zqK9DvaF4w2HpTnhAZvMAt8+a6SwQrcWCElmnVo3+MFKaYGx
a5V5NjKLJFMpIQUV2qrMBYnUectViwXtKu+dR0v+8NuGOXZoQz7xn/0ODrLXJw8OS4EmL15i3T9D
tH4a0Eusaf072Gin54Gun9MV/qbKyhNsZnaNEOmHjqxHdM64NXuuSe1AiHt/RsQvNiqmw9oraEXM
1tMGTkLVmj6xU9YGiiYYct9wVo7n7/SAVyzRv6yNhsPbCtqXpkoGXAw6fr/mcTJ8d+Mmldxp6AoT
aTyMsW5jFWF627R4WWLGxe3gEYnMXzkPkr/rZUC1vOmFJiuWxdKHExRuiO+yHtK+tdeyEe9QrJ5k
mstNN0gXMaQidTfMfxW2hk0Zk2gZ+Ti8GYJmxNeuwtikBwPLQcsRV9fR+GL7jbf3swaGVm/sKDGO
vWUOB7tyEGHntO7hsq4133yKZJ+tGpCv66gcw/UASGnFwfyaTTHTjKL+UbQIzOVXa3wBN4VIIHdG
PqyV5Z4JK4o3AK9JT2e4i6XAYB8JCtQg7hdAhgc3097nz4u4YACDkQ+VUxupu+i22CzMtpnNIqmm
j3FwA34V9e+TXaUXS2u7XWqDDXI1tfWL6oULz0/UktB+kOU5+U/EbQAKGPQGXCgwMKLi9Kojs6wv
r3KuxF2vEvYAvc/gl4jsmAC4WYup/07bbKUS9Et15la70Z5YqI2EfNZ2SILI6N7oBvzsm/y9iN1b
OZvgPS5Vpp4aW2lUdKzdrodXrN38ShzJRBQX1Y2HkCYJi2cdp/PYvXcUyutyco+ayn7bikO9N82N
7lg/2ly9xFEOGLnVd9kUvIopUxvLm1+UiWMomBkhA7xmK41fcqWvR070QjdD2NNxyQdNY1ehf7IN
pKuXuuRalkwjGMJEl2sWmvng+2sXbxHZwSm8c0sPsH1XLzjV42vLKa3GSNk2TIkYsALdEYGJh+kS
1CPVkEn4t259yztomV7FeG3wNIlerjZWLtXFChTjpw0L5YwDFFKYuyKhNONLDTh29finKpjrS6ax
gYqzbapHRyOqXzyjRhPbwqHkdPxe9Yihsj7FMkN/IDDhPMek88F6roCzcymPtfbLTAEgR7QIutgO
H8yqe0RRU7Euip9zkyhBr04+sLHvcPaMaycuR2TrcxfxJ5OjaD3FI++DVOBk0j+G2Dq3U/WblUy3
r9zwyXI63ohL78tA1lerEsOWhyowKLJpg9qzPTa5fdK8UZF60xzbkeajMcdVT2m0TV28P4ZzbnoW
VcMofuvlBP9gVDe76VBQOO3VIwd7RaTRU6m5+NK6BBtGP/1qGu1XQzAqH3sWrrBIHMKZdDjN2My+
uY2OiCE/QJgoWujMmnzjxIxOvx0RTNLqyLwtPhtWMEXw5Wd1fUgwrqzSsJrYl9Nw08gc1pYWU4qA
Lu9ZapEY9p7QvUBEYbKgtfeJqh5dN30SuvEpnCmgHIzfWskSGkoUGUNp4+6SjICUbjS/wbZITjJO
9k7rseSqBYpLgfAWz24YTxLDAtkQBjY83bf3U6XeckVtIkKkoCL8lUV9QiGLjtY79JlF78i6tBU+
o8DIP4iMf7Rakawdjo3OrOptJIkZMhRIh2Daq6aWZzP8aAIQOehF1hPJvWuIiasMBOEsGySXyUlP
RW5xMRxEsrJjXoc7VFtIb49+U3+kkBo3lZDgitj75SvqhOnbzIKLyt8mSWJ7XL3pRkZ1D3Bg+O2F
ZryZ6lsU2d/5ZCupirdpCs4kwqxdq8+2mpBcWJoXor1e+C7boxMFaAvCaeByk31vdIPPqduXDb31
NGLwjjd80J9wIelPQGcR8AXjtm6iz1xp/WrQzE/LHtHHBcFHE7pqr9BmrYVJu6+W6ca0O+1Soudy
LI1zD4g5Iv+QOJPGhNmCcgekDF0Egf12I2KzX49g9/dxbD9MGulehbcbZ8O81wFqgGN/khUeIMfv
X6R1qfqk2/mB/mYqo11l2GE2ZqA363YUOw0AOMbetkO70MaPMo+AdWAEF3a6QarMJKS8KStAIRfW
LnO6Gq6iObD7VX+mRD5NKY38rgNR2KwkDuyN7TgXp26fCmk/JPpIf7RwPpjMdbRgv+uga7aqbwui
ZGImNRbVbS9ejcT40FSE/wSPTq1jaPQrn1iRwH3Vp5IoGo80h9jvj23HanwEM9WVY3d2+dxWZtt/
RoHajjYORQpLBqgGjagiUC9BsAq80djF9A5XinDoAIr02enT38B/nnPN6rdMJKxVquG+7GuTvBRn
CteWWT7Lvtu20rl51CucgPi2ZE3IjK5tvKZIL0zoD9Sv4amuQbdgOzBWTSJ+Ovb0nE3GrdcQVzEj
e2sRlh6vtFR/Frl5I3ZyvBCeviHw6zumKfYdC+4AKYUwat/ivt4bI+NyO+CFOcgNVyFNxEtif4aG
dqrKNt062O4JNEG93ZVnD5PBpLvrJKeW622Ni+CgQNXkV00vMYGSQ8tnyfmVgwis2tkrON4Vke0r
Gw/dxrW9z3xOR8+wVHNW9F4dGTy5Gp1rHWRRZ1IIIp4jlTi8yZY5mEyQSlQ0yFAXBNuOYg34Xrjm
evLA8sl9QMz1xDFIOBewNhLJ5R+3jl/aOMgxT+f1qp8EMEoEoEDUhltYfpZ5X+Dsk+RnD1qHb8Am
QTGa1hZsjm0VKo7TluTdMEk3aQwrn7RbYN1WN+FgmC6Zyj6zFgqVTZcpq70npJaV/hkGWQWXnEVi
iesnbvqt7KDv9qx4PCr5BPagKaruIWl1mFOaZP3Rf5h9AkBPxu5FDvWtHFqPmPX2jeZVt5kGshSY
r5NgVmsgygyW9mEXequx8swNPfejBKvAWC6MVyYSgS3tQIlTNE532J22AkHO1gtyUtBcUgV9lWHp
mhhYlnmBvbyJNobKQPD5PVcCPf3R0JJjyoEc0hHFV8gHrAv1asVCcW632xWgYYu1T7bXLJtS0ozM
rYS/HkyQQ+vO/IjJrbEydn0TocIrBuV6dLauiCRnrhB3p2ItoMw/ceZ79N1srnB0JAcmCpse7lNK
p5K1OH15u+GbL/gIS3MGsSJ10BJsXFyD2X3q/tBHW+kmNwJi6kPXK6Q4ScGiGVPvYKVEPvGBKwsh
rSXajatYqxl5zGhqHLFMT29DWZ9DN+XiNXK0d4bz1XnhUdB1Pyd+/JuyhuC8SSkidPjk/NZ6IYjl
1Y/m9NkfQ4FTN3dEsrF8/+bNdDFabrj70I00Rc6VuUk3MbGH63oy41XdGQUgHeFzjOM5ZTWeGlq6
04n4XLv/h7DzWG5c27bsv1S7EAEP7EZ1SIKeEuVNByEpM+GBDW++vgbAc815N+K+jkJUWlHAxjJz
juni2ohe0xxHbaUjjRpM5B1lk1Eehel6QB8KVBQPWWAekIleTJt9U0LrtRrwHjOsL2GA8aDVpN5w
7OYl3DRK4hQviqmgcQVBu4K+Nd+YdWxEa2KYEfiV4TVCp/5mp+sct22LZoApXIGFrrvMd0vHt9eg
V1dr8pqV4AXGyHs8JtuCH2usk8ag+9rOCYHZs2pAcD0kO60JiYRm62HplAvkLq3Vzho3ql/e0T6A
iT8pANnol0Z3NZF7msjslxuzodLT+hcDDPfUGr8sBS28E4TahsnaiYIKvqSZ3wXxplqRcUZJExDd
Jk0sEbl2R1NMLqtaa7uelVdv2NHKRcW3Fix+kOBxxAersXdOtWnXfFEod8EQ/rJFdiEglq1cpD4o
LeKzSpEXBYMSMW39aiIDccMG/rt1sK9lI1epD7qpzA81t0IqYJxYBbewrV/Y6z3l6SOPApYBlIXC
iIpjxzIdS3VNtEP6ZKgwIbs2WsH+QFUv+teU2UVRbFt7D7D12w8Ic1UYqm/dyHQI2HjW64lMeJ2b
lb0b8wz12toQAmoKh8azIufFhra/btF9184kdrqWWAjvrQ3nF1fjfCOrbv9r7LM9CSli3zfdNrMj
/ezAJFdkwIIom/J1+jAjScExfmIJOzrxRHABNY9ngotZ9cFdCYng2lXsyWGI6+xivcoWdHpFYx8S
OvRHuwi8sUOhPNFYTdDguGYUDXETIbS0gT+NDx639uNTT883VojRgoZ/e2KdkZT5GymJT6IU9tpU
WBuOfZWt7QqgeJ9A1THd5tSGytvIdnOVGIz9DLXqqZ0R8WRZYczDJOdo1EW2taPww+4ZQdlCvwpk
u7ODSHqNdoTpA6VI5uHaD/wXYbofdd68k4Kx1qUsdpkVvfh4YNYdkZ2r3Ao+bek+IiQogUPUw2aQ
mdwiRDs3oG1X0CgvEuABRQmFLyK1eCuwlSFb5PzvfXeLFglBXn2H2J9rVN0nY+x7jdHjXQmNfiVd
JPqC6apX5XW4TXzacHzfezX1CVGaUZTkRwBr5IykSstJbLXateYLfZUMBm0ph5ewCFlOm/K9DslK
ipyevTDrrH2XD9ci8scVGIXh3Sl/cZDykM04sGo6M8eFOz1g0sOpF/YE2SCmLUN2uV2SYk6pOM7d
/rlpmytZNCaOOecDd2GWdq7XpOo1CZWMeuhXNXXs1SEToirFpQu9Y+XH2fAEhg3HbVzBPOHx2Uab
QnPKdQR156KGr+4Acm8yJIth5H5mBhvFmgV7foczcZgIjEzG+rWRCSxw+sMkA/9Vqp5p6h4mHYqp
LKW3dMQTGr3hEMyIiSRzf4aE4B68Hc0DHLq16SN+DJAymGZBkdsEBxCGnobudcT5GEYzuiCz2fLk
bym9xgqr8qqdn+PZ6H840XzRqpYKBaHFip8z2LYx4nJeTDwG8Vbk8QxhWtVtg6unsGGHKMmDIDXG
sJItSTPa2sD7xt9BZWEr3cqojXIj0gIcctCKAzOY5ogo9Q8myqNs2y+M8axNaXvX+aJxn7StWuX2
Og6gRw8A5g8mvLEV/iFnliWsKlH9wT31o8FD2eSaeSVnLT2yNjj3pc3CtisdTwhgmOykTazWihfU
E4SRwGGVLeo/mnWiwXQPod+8oVN9rJQQtrwprzijNnY46NeoLPWVVlj5OsqqH+z4DLU0FQeIDYus
bOItD9vvmmVaVxXYZuPQIyHeYFz8J697Z0MZH8BqK38EClIntB+ClifR3AZblRl4dqu9QV1lJR/4
YkMC1Nke1Zepd6ChgwENABoyyqMEzpTnKm1fhqhw1qo+vusYZLkx6ztHKdKTINOHOe30kI/RqbMo
66SV/JEMWU8I2lausDJqQbU+tn6E1icMBg/YJSBINhlIGJQ7XUuHlWujS9T7bFf0/crRjXOOvGc7
QEWydRv/VRmQDKb7p2GQD6kSmmgk1OduaHmOcqWvLGVIWb+yLgwSibnV+k2e+jFtX8EviY0L8n7d
wIdygTCuofTlm9ighUa3wvvRq09dXRpbGEJoQONNo/bH+W+3BqvcTtaR4z5hCJVxpHbYNFp8QLlC
LnbNw9ZqtsHQGV5ZNp+u+gd3G9MgjASrdgQfXPVUrEkIUwzD56psh99FV+eQTIh4q8M2YBLqVAd7
wsamMu3e1AZFJHojczPWRKDWM7MA5zctjRgfAdBRKEzwV6bYZGrYDi8IxH8ihqZo+5u11pDCx9MC
pNzZz5hAxm0ASYIpYVaRWSyG4CtFgbfW24rLuZt26P1WvujvuVMqnp4yJBtQewYmhwFc2dla/YJX
H6OBxk1kKuYLTFiDRk19zOPpO5ydunZGgHrccFTrAwiYeR5DZjpsTIWfv5KCDbPCFe7oECEoYzBB
1+mo9pfZiHEjnfLo9KRMj03Mk0fYZCXaw3PPGJc25Ed00loNou42VoXrjehuR4gfdNINDfgD8x22
2IG2A5k97Cs7rVe+ofEft0uH9SIXJL+D6RUhclC6f7KemQDbCcFyfhIrgHW078FakLp+VLXixCp7
ohzhxvBhh5BfPZwyrfRSKyhBQwUEAsMhgzZRPSGd3cg4vmNqMZGbOE0YIOxDhitMZNM1TgLVk8K4
Ly1GYwMu0ElXdWZvwljpQ/iIBuBUQEMGjGQzORRfttM+1U55TYW/AVCLMzcu1LXZq8yRKSFC8p29
rlB/0MYTdicdicONd1nJw0+ANh6TAKbCU4HyDZgJVK5ig0N5PxUVpEonxJPWdU+Ia9kflq2xSaml
UT4hjTZqki+a+B2rRUY7QnoOROCvuG6rB7PdmRWWz7EIcKfr89RE74h4ZCdgZ+gT0v6A9q9er23B
1EyhSuxLeW/kdAPgihlkO3LruxX6tcomxCoRD5MxaWtGvdFKJPTxJPaFMUadgUerAa+eucpP50qQ
qtFLHE2eks+atBqiQJBHL9kow73wrVVZUXSRgZ17vhhg8K19YhzXlc1PJxLRs6aBRo4GRhnq8MAe
feYgUtWHefvS4Q46tkHQozG00KQnieoNDunmc6YaYuPNLE+aeHYKoFs7+uA+ypuXyTF2mizLM6h1
hxEkBpih+raUCN9PCeGNzGe5dniEaxhKvCJOP7ta+VIH8VKnBIzrPdj1NJI+EiiwGMLHi65Y0cnN
iMoc4ncrAT5cQAOBQ7WzJju8CzT6Ok3iuepcImRCEvC6ijFXf+xIldmSTJKvDZ2eFQfrsNaoTFdu
juG3bHLPGAW1tWY+NA72Eg3x/Dbro8+08j9Kp3mIgXbVUaF7Tvw6JrMvJ6FYGqdwK902uO/ykmhe
Z61w43rMVPK1oNrRC3awqpZckLuu1Tp6ERUXtYvbwstqv18zTtlFprmtgrbcaK7yO5uyayhxlEQG
Z59uJQfXn5gnC6A8jlqbWzmnIpKgTcFV2L8R1st9FfXvVoiOxQjUWVObE2HAmYMG6k826+Wp+uGc
b3qtUY6xP24ZRv62YE+ua7+694exPGlJnIBmchMGYTsQTPiWhEqyq+uMpKjDxRCp1ycI64cwmdNe
qCX0t6Qi7xAhub1huYcVNpd7o0TzWuFfHW2qh5ZvtVH5xkwTrbbxWov8AFHqNQI/QNUVZmsnZ8ef
WEiJhP+eT8ZHyZu16lp3nlO/JKlrrVVSc9c4Uq191WjXfhru8sHmgdZZ2i4tf6sg2vO+3GMqVR59
DL+73Ky9CTzaKieSOwoyz0ib4UgV8BGMg7UmYDj13EYiGeJnmE/MuqQCLcbiRW1/8d892VjOgA8n
m1AoJx4TAbUUDGU5+1uCz2Zq6b6E+0fFQV+h6cxb/VczuHs9CY4pYlkTOsgRl+q9XZHe5MZmvNW1
czhSm7q5UfMmoano059KF1z8IHpWVcY5D5504yTsqxICZyAR5puqaX+3G6ghHYhYOP9uoc0Fk30u
8oL8u/5LRdKFKyU9tbn/gdUwWE8zfHrKzaupIQ0NTUzTvjN4smYhxWDjG7cYCTY1XpJUwlZ0B/8y
JR0nIhZ7t1QiNrpXvzHQdkrY/lMMc5R0I6IvkHVMwAYtN3jjcRwO5Z8OlyywCEYIhBKsidfRKHkK
phz+9FgmTDHaurW3g02VrltopmyBFz7gWVZVnXmtbP/HZQ2KJKRjfEInC2pTrmo7LA+YQR3Ug2xH
ekMt1yZ1E4Vm+OP2WbcJ4kDhlKuRaZnjVxLKZtfwbfX4hAwEHE4CMhDXEjO0XaT27Q6hp4XSE8Hx
wBZ7FaFZoxY/R5heHDCFaF/YmlWKtUd2xCa2p/Lr/XwrT3nKRLtFlBizo3vOWEbhU+aapffdEaB9
aGuu4rb1C/SqzbfqBvQCwv2YY1EpN4N91HXBuqg5LCc/uTrotWCTNnRHHdW344HWhw6oOIbnl9qF
Uy3fxuDSxmqSrAhDzBkUKUGq7rho53tSCC+Kugd0qB2ZrhkowjF+B+8DPt6o8dlpuwn410HPk1MS
D6cRQYy6qwracqM1UX0XyZMdb7MByLGpAoLjMWhPBtuxoDnjVDIPU088vIUem3E/w9UpyVdlX26F
o79aMniJ1XVMdtfOjI3fZsYTT477rhlwm/QhGwC4INLQCPRDkmbqeukhun/MJcID6Kv3hJsTzZdE
e8n0fC0dnWxzx11bdU6EnQU8wbdsBwasxljBAOSd6WR2hvkacxeT9Ia+o2MOO9R9vffdjqXKgMhR
77vyaCD7ikZOdb1wAfGVr6M2/pZvZdj5e3ipNFmJ7qz0UuRI1fP8gpn4OFWq4zVzSUhqhVYzwZ2C
NKeQRTQ14clEkYgKlbZXjr7XCgtVAgFt28Y5anJ4J/2AGAE00Krp/jgN7m0So2K3/DIH/QdZyBZi
97QapNy5Q2bvU91ngztYHjSvDJSavdNt/1mrx73fqOYWOHXGyODSTnNcBnbUldb5h0rVPxVB6++6
56qNSKhCgQcw03pJsmo60ef9DCg0ZZSCJB775lCbGTwU/uv0jbwzqTl6of1Hj8RP3HLCmTrlfZIp
d0bJSDW38s+yCWgr0B5vI9keMM4SxuYnSIPVYMsInKbnfmix7QPlcleiAdQSjH/akqVVLBp1M9rd
2RSUM5bscdzFSDAz+VIJP9wwWvksCxal6KEZklrJhIXiC9bjkw3GdxOrhF4AX2XQWz9V3EhUDjqV
kpFmm6H9bbmgbOEK4k1ZN0VChIAzvpklKsum44o0BsYVGvPPLgRKFsD823Sx+ZIgSAkr/Z0dw1dR
lRWDE8VD6GA6pC2sxAhej4blUqX5iw1kBxC76aGhRp4afRZ59JMQRDzzhNaIWSfELMz/h6EYN7p9
zW0QhGH20Of0Lr1ihFsN179RkOrSSvRhgGlOPjOpdRazpKncHZL2bJfZ6q4jFx6pL0tzRlXs7jmG
TBZ2IBLXZT7DMkSaeJSbqyjkpjAL7rrY5tsTGYJ0Qz91DcNjPeUwbthbR4zwGWxWclb4bxUlmu6F
MQGQasJT1CteBml0GxXhr5ot8UrE8xEPplZMjFKDBECHijjHIGviNLDsAMY2EwP1i5bKdp0J+9gU
Xe/lrOqUxP7KerKAmWa9KxWXk+Zy0aA8BESkUvAAVgp0/UfpNHd+VINUYIeBto7oCr2M97S7h6EG
Y5gj1zCpGzdDLz60kQFiRvjE1R2gPhbzMyeSzdYxlC/dKb6EbvzJzS8DxPla71Vk60n1ZCOTUQAW
8vxvWYrDYK9Y5Kwa1j+71q6efKGWh1JRPcPPun0VnFqZJgc0Qow5lcpigu8SHKH6v6JkYE9ABkil
3hEN3O58MhWQznb8fHgjLLutt2PWPDdANreQELm1fC/N7C+fOxI0i/k4xfi0KWgOrq4F67B2n53p
GyDbN9tq+wK8x2/MAGtG+2jHRraVqPK1kBNGy/CjkqRgdPcp0Za2w/OvrFZx5uq0izg4aTAlM019
3JmRvXPmKDFX1nixKQaTqUm3sVUcGTw/lI0To6gAs9oqv+W8KS1B0/NUZsjtZ2xvUBI4G0VRzhVK
d0DHsCAYUx/0ofrUZ7tp4ZjlUwlWMbJOlQPV2dJq28NjZ+6sJrBm9ouxVocw/3D96CFHdPiniE0Q
5LZ1x3KZ8L6aA2k7t3I87Ppvp4RjFRbaIRyMQ8Jo9dInZXBZ4K/C5WYyypiliGMD+9dQFFJgFPhU
R/ddD4YSrSWdmsVio41RZleLwr9Khm1ezulIeZo+anWzQS5U3CEbbdbJaJRe5ig5PC39BMyx3Tu2
VT+2AXo8oVAy3l7OkRAyQxPd50nLCaCo+0L6yq6Wqn7+12eun37Yao0WYrZn5d0U3DE7ulOZKM/S
UxQTgcirE9D+8ULs7l6EPhoIx4FuDCfA65r5dtEH420c8hgxQRmcoT4Yb66erPEpRsiPZyuKZEtb
4lihGtL1y+ISvnnHB93Ym2OsXjJUhy1s7UvuYrVlYWayGgwJlCF94ymx7xmKGeiLHFYYSdPku1L2
99UcON3baCMd3c23nWFWB+j2cuPgp+eKh9ZN317cjyZCsIXBv/yCbuP9S/AMXIdsRAfvwy9KLGIG
LeQJyJIJYF3+HQKX7AuBufD7tcq4HyfkvTdECJs3HbYfCncuWTxjUfRcOtHtFWMuvsH5T8YsbJTY
jfatT3647yrp1pkFHUswY1q//PX+Rkp3yBuN26eIfi8+T0xst1eLCH3RpPtd+hqV+I8Xx3keGyv6
EOtThsrr7a/pCUP4ygxS8DRt+paxZawMHlFPLVIL3C4ueQVtnZ8QEnpj6pxSuiZWj/hvdUmpRRan
uTPa+pKaqvVuoBtJ6gofjKPhSQt751zpmXGPKpqeF2alV8YBwmwt+FUJ6TzkgxlzoNcdVicQNvPX
28S4EuT1hlFTeIs53+p6ErXIgb1leBsVNXBvJB95q2n3ipnOj+BAv+fOBTHMcHNvka80a9+T8yRJ
s2FvyuvMl3SaS25RZ3XnhrHdXVeP1dXxgfdZAndux+wycmXhLckpSODJf1L6hzJuz8Ggf6pYfT4n
c9DWfkhgRIvler3AqQKRZZ7sqvyGP5lMNaNf1d+k3X/cosLUARZkIsLpFJTKLKWFsgsNX0PHbR5z
Fac+9uJ6myckpdwU/pUQ03WikohI6fs1Gmz1dMNJXyoEusixI/VixFly5BEYgZZ0j+PsWMmWYBD8
dLz1fxE4JgjLHmtUe89ecXxv4ngXZoBFlRATpagKlq5zuF9sz1qRidJCKSx/2yiGcWR4ql4Q65Jt
M0rr1dWpqbJxPBvRDNJWkZEDd+78+BqP0nXRXCnzrJ9HoW8F4yEOzM3Ct2FYc1JV0Zz0pBe7JIcI
EvWDci0s7nSlRv3JUi7YqCyqGEJDaetVdV+NyMMGyJo3LlFXosWiCJZe7JAUbnROviE0x4WB6AZ3
VijDC4oXKAwAv1ZsXvyNBF69T4rwa2HBODj/dzQcaBNSJbtaJJv3TpjdTfOr5UvZaPzOO7LlR+ZN
N0YJxuNXRTdwXuFlOsoqtbeamLpnkCysmH27fRbDksrbzxgpNIVsu3TjDc9XuG1Cv9pF80vU9PFK
w/G/S/ppbtTB7QRGfE9EdHxdQBlaiZwunHP/tDHttrJGV3Q744x/vkY1w3esEgAqp8Rbji/N1ouD
7WC6knVVnm9vfV+JAdoW67ZZohsrki6FFf6lhdvLWqZ6dJMUJ1vSuDmo0PrPcqI4CSJnR3CX4YFW
V2kOM+ffEEhN37XHvu7IcB6pRrTW3FtazDs+tc2z3712ODPub2/FGPFXdi37noCzGJsAn8WOWFdY
4PcL/aeaEUAS2Mna6NHs3L6G0W3D/1LsigGuT1aL6h7NluE5RckcfaCAWcAs6B/WnPHjp6G+O3T8
Tdyrq8Jq4l/C/LWYh+xw+iFmonxNxJh7PeAXlk0sZRbhtjFYH3pUdXfL7d2G7oelZ/W6ETad1ILV
t/0oPigW58hyhypu/jDUMn3MKKKvTll8NeK1Dgztutj/sYxskCYqh9uh3/fR+MBcvc8MtInEUeg4
1rUGlUGlZXeAP+01I8fsZ0yPY6TOIpJmPCy2piZ37aO0pytnOfq/UHGVQ2PTFeK0mQ4icBDvyKh7
4rrbL5eYO9sAi6I0mbtyiaUqWqzRp+8GCxx8i1SbvoxKPhHfXD+jb7CwiVpwy+avR3exlM1XjDHB
U1J9PBQjyxpIANXBmlt7YQYGwJaxZgeoqSlzov4M2Sy/Urb+9QFJnL2ChNczY9B2Mx/bAxs33s5C
urv2UXU/4PBYT2kwykMXjCkl7HNO1vSXy0QCVJc/nPvAZSJMIbRf/K6LmalCtIv+bVjFIEa3S8Kx
gkgCmBaxaYuhxG00A3l7XN0pTJZDUzMZQHQ/ejCKQzlKdYegy37Iq5L0t9FKv4tQzHCb9qEHLbeK
iaBYS7RR54b4g1eMf6u4a4e322PBiniM+WkcM2uR9a7KMFsM5IAstJ8F7lR3HWwwG0fajPyRIx0H
iqqWpEmkLl5tutpDh02dYDbraZo/+AAlKQxy51h37J4BLa0XTt4NnSficxPz+F5eDfSAZGVXWLSe
J1M7i6SMvscQDX+LyPvOAM0HfaZjkD//QjLFO2lExpvKnm4HzjbbR4qSvM5/cvkNy5/MBVKwsOlX
sOyix85RLovxVKlN9RBnLDOVUhhvMNNR3eK7UHDdbRp6WmDwMzRXb5FeRpGc9/ateafpEXpbarb9
FOqXdvZUGQl9jhPN+sax6i743S0iQoT9mqf0E1p6Ljg7HvFcVo8ync7LgehUqXPoKyXbuIwDvLLl
/x5WyAfZofmEnerKE4SGvSXlSD9akWOpgiIsZuuIUDjFLBKSLq7prvoyzJ/Lhv182mbVuTKa/DkF
j+TlXLhbQ6jZc847AJ2Xns90P1kwWk9MOK0nOVLtT+CFF6JhqFLVzTNRcyIhljhHQLvBRR2i8iNP
6oT/a196S16npqofeZmmm55hz52Si+PiLCpN/0XvKvV1aKFPTRzSvuV/haVE/Df7DZfQtgL0QKUY
1RZlkSRqOyVLKS/kmzCdLwha5p/yNTet7o9l5M86u+63jL5+oxqivxT03idLzYiKnxE0N5ffrXgb
Q/saKFCHKmalsxx9evZjF1wIDKPvzKrISgwBFo2p9CI9rH4cV9+qvsWeHdgPVjdzOzVyIiSGY6QD
YL4KbUW9sGMp2O9DPjD0sPUMRAJA1KTxYs0vSclRmG8z+0LpEBwFEwx8IibxbGYyvWeppZOdAGkw
E7Fj7m2pnV30kRd4slmdVLcXy1fyhIHi7fvQHZqDxI7hBwcdyLrCjzfLy+WDainaESppv4+LYDjh
lYUcmEAf7Snx3HhEB9iKaDst1Yeh9lSkMRQkdp3vZCG4LONkeqmkTM8M/j782P4c/mn7dsYk2Rt5
qKIDoOn81y/gSkxq9tyyJcIIIzGqkfl07olRpHuBrT/U7v3t1DXSEqV5McV3QU2wgE1b9VY24VvS
mP7vCu8UaDXnCA3BYrYMu1/ziQE3qyx9bYW2WzAsy9cd4R7SCR8NWx4QqF3MVi9g/LZUmQtazwaa
M7HTnaLia+S0XJu6H13JvQDBBYh0V0DOXY/trMCbrDbYGRJYHh3ls3DYZEPwUgHtm92DaOw/rWFT
xdvYClAw5f1pQVVWnWId3clndzeTK11p4lUY2x5TLjMtJoedCrnPmP3YIjPzzX9PjxUzZOXfs2Nd
07EMW3Vs1cAqjg387xCWSpOF0soy+ythtLfMmvF4FN0HuPW3+T8/cxm93r7WcCMJc6peQioCEcQ+
2PYwv2eBg5YxtLKHMchIuisydFm9658mOinPnAaCQe3EqW5fRC2pHeboiEh1h6vSlVeVreTp5nNs
EeN6qlmaG+ZP7UqVQQ6Fr78OgPjuu+VDmkwUvOi1ykzcL19PiAq82KH4dPmXn5xCS7Zmp+LALvzi
VNmGu41hFT5i8n4skujVtIT/4o4O6Mj5M7YQ+brPIK00SC43hJwAawMmOX+IalSaQeVU5+Wl7qv2
xjIzr/DZWCiTEVxClQ/LZ3qovZbYPi+d2r4lam/ddWanv7BUIkuu4Ah1AWtk9Mk3CKarYqE0reah
6kFXNj1LMLt+KzCVbAnrwiQ8f/DTyLyzXZXv2Eme21Z/v2EEHTzJaFVwYEdqwuqoAjv7v8R9m+7/
vDxIGxaaSjA9EHz7Pxg9LWqBLLLH7mB1pn2nxzODkJGhkRnh1Wx1Mp9Nbfb1hQkCgsiIpKfMa84Q
q5ditepGkgGzAdHIpGnpBEsZu6tb7ZdBjj7digy/cTt/aw20jq1W/mhWLPeUipAMdAX5p4Xpbiad
VzQoJKvBDe6Ypd6KQAvRrtfL5zqJp8clf2Zwsn6tEqmyj+ckmpyoN9JEsu2QGjU8SqgacgjgBqDW
OkbzS61PH526d682K96n/35/ac4cvvy3G8zWNdu1sDtphI9q5pyn/vP1GOVB/f/+j/Z/KyrZTDOF
fVC4+9dqXEAjVhvJQgNfCA4t9piVsMLzEkQa8ZjeImphTSvw+qd44xDKkOwmZ0Zn+rYgAgwtHmas
MgL4IEWOY6i159Rwt6wYNj2qY23FU9n/nkIXnh5om0J95JlhAcFIN9zHPRu0f5SWqtrjBy+b18BA
vO0Mov9h2EKWtP2Lsh6BDg3GesB8fEDFwM3X7F0AsPfS+AfpIBBDtM/6WV4lcUkF091iPgyIOlhF
Mg/u6SENojLYxkSdiSDC72mIcS/cx/MH2Frm2dTxLo0ifYeLTqYBA5TbZ9K1uA2a6aoxDt5OQcPj
MYnS+9Rio+eLez+OAkDYg3lv6nCtzGYTt9ML7pDmoUGf9ABR7HW0iZshs1JbFVWATrx2BAY31jS7
thqci62m7qWo6tFLfC2ZXuuskmzGM/+M/veM2ql6SEgOWRmmGZ3HwD6D+AyfqlY3752M7QXIUtUe
LstwiUxIcTd14+vyiq704Dt9vSFUs32divoUtk74PSg2I1QppruoazmiJuu8TEtsRJ1niDk8WpfX
VlM+33idECjKO6UYsy123/Key38sS5MwoyjxFuhfKOrv1tTCB1tVomuAznylTwrjwCgKPKrYkDiv
pjtLXUlOdZ4Fuw6ExCOAL7q80Al2Idmq+8hvvWTo+LEr2h9l8P1nR+2fffa0ax/21N4O1fqNpPnt
1Df1lwmAaSOENZ0cbZBE/wH3g2rxRUGOa01PtXtjCn6iKbuojejOyAH7M0aA4eCTsaxSy50zzEqz
2xpj5mr5PS1UW8uoP8rIP6IpK16cyuyPUcJF7JtoI25gtP9+d9r6/7w5mSIixiUcTnVMW9Ocv9+c
Wlc7EslYfrT9vjjL0oqeBxPRstHUV33Jq7+RSIpBc04L1gfRaHhJrTbjh4tcLQ1K72aab9PWYuI2
smpayM5ZKEfAe6yeakBNGh3teTHLDgkN2Rgm3XbIoCLoTTnsEApoh64Cj67P04rlZTO/DM2wWquK
haVp3oOFMO0el88CLYse61nVrGnhVcqAvDRZUT4gJ7mSWcYMM8Vlv7SoVduZ6zZCIEZVCEDELvh3
Ekuc5UCKHZnDv3DfiafUke0+KzN05D36hwDu4aYx9fAunLOkF7qsnccK397Y/y8wOGs+BP92SDoG
GwHNFbquWzqy+b//HDg4M0IJwxxzZh2uOjN77XUqdFM/cvTwgLPdghhQPfmSjKd55ZfPruNk2BvI
+/StHA6KH2MsLzcQel3U4kzeMqoGnokSmGQssnusqJuFaoMs8DNPs3C/JLmZmpIebs57vbKUwxiZ
q0ajI+nhv+4D2GJbR7eGz/nrPr3fCtKlsSfz5vcyKvWd3GDWE/6hx4Xy/Y9Xip84a5twiCM2R/c0
dei0lppy+QAEawvLrjv996uZp8Z/vI2OqTqq5WqujjDuP541saZWdGw566xmprpktWX/aIX2l+lc
DswRuoQg13CKZ/JXmDzfLt7CRG1T9M6TFU3KOpjYOGoNkeZ51XErM91fLe1gzzaWdDXS18speM16
rdy3rfVdRAzdN+EcgbR8TUTuN/fVH23ZStzAJTmNAJLYgjs/26Xz7mX5QFhReGGot6oRKj8SM/pu
Do52Z3RsypuwwWQwW+bx2D8bijLiDg+HS9ogLbRC1/Da3PW3WiidXaNn7o7xC474RH1YGCVqVNAx
Ktk7QV+hF6BJ2yg1Xm6wr+FTlrAJBSzYeLqpyUfhbPNllMusDIFbc8Hd8ioUidctY2CsI6Nb9kXL
qmiUbb5nrWeZe1wDIL54K31f+YZ4WTEaHs+5rfarMspHRFspqtCQavm8fECaHG9v1Q4RvvZuRPxY
cwpWyTn/54eQ7pe3NvJul+VUKl/GQJ7W8tQMbAeE5xCARudBHi15TegY53wMXUXcrlrdY1mo4pp3
3ygW8B3Ox0LlI+JsGhdRmZLdJWUttqG0CSmxhHqiUjlghzDelLSuj2qNzoGEPcYUit9tOO8CRtZh
9FC7PeIXBGlna4pfbtXXraijPn7tiq7C/MBY+l8chQWfUAsiiOr6iVXOtFug6MtvGObfj19ZrLS+
Cy4EFf7bL4ZDewIEGp+X32q1wl3/91vF+I+61nEdoRo8jkyaHkud76R/q8rY9CaQ/tXmIBSzW9uO
xCtbjEID+sXToEY+SnZHuluO40FM4oE9LVWuPb1Me6OZ4GlgQHwOwjhbLRMJ+P74qtLpoeXcYyuR
moeZSfX/CTuvJbeRbdt+ESKQ8Hil92R584JQSSV47/H1dyCp3orofWOfh0YArGqpxCKQK9eac8x5
vp7c7EL4K88v63ejrF7SzNB/q9FL603XkMJK3jfqPE2QZ1Y/rYES9qs+1tBACrv48OKHEh/R/34L
7P9a+xwIPbqwqe8B/jjGv/CbtMQDw4y8YV+I/ux2wnzNWcwPVal3y7LIzVcLV//GrwCi2vNX8eCH
K1Mlh0J+VR0c5tCIBc70OcA/maCdzVH7lKAcSw8QpCXuRzfAH+ow7aFsFe7yL/XHKdHYJ4MyRwgw
2EhK68994c++NqSsb/Ek9A+2ccv5gkYg7AFO9MLkPYa/iMcLMY3upNcymNCF8uH9YcIqD0QdrJmk
BuhRU3HSu9Fh5qIRLY9afaf2exTDwYNBRYo0e5y7PnPThN1jsJUZI1OFnLSbNXdBbKfPsRtaJ9hQ
P2u9TZ+LYCbDsk6AiKmb/VR6KDk8/SIPqjUZ9zPTcf6PjZj+X7BUGsYUKy57dZ1/lfavDyzTby3J
kJcc9F7JgckwYfAU41NNw2DZ6inZMkHhb4isdxkXKcVBDdDfqdk2K0GY87SeNpJkVpR58ygPSVt/
p0yZC6X1mr1oe3vbq8ygXDTt91pLiZRjlibOr3AS+4Q6BI4prWRsTSV4yXFRNQlgc2ZHYar3qyxl
VPG/P6LC/a/PqIttXNdM3dCgRGvavzZPjoaheBSau0/RGgAO0awn7rt8wda//3DreaSWjN7FisQi
79F3LMdhjskTKLe2lGeDKooHzJfTOR+yE7EK4bZufI1SqdeWDlCqS1eVgD/mG1cpxVMYNuGbmqG9
wHkGhqFQtvo4C5mmMQmPaHXKjcmw4erTpUEhwZdDkwer4tMt0/1qRH3y0CJ5AbGuRA9TMFY4T+rk
Yg61tZm87gNztrnyZ7Jpg/9uCOMQq1+1HIFuV3R6g+lUwZ40rf5ZTd5yizoa8RhyqxlMqLklvsnG
xrNTgqdjbFusJahoICXSNxH7s4A7p2hQbewUnAX/OWNyES9p/j3Ke80btfRWR365opmMh1ZoF/mc
6+2q3hGcvYUF/os7hpYCBCJi14yJ7CYldLZxV4HNcn8jsSImkOYzYz9SHnH2shYFcqWOvBM6d3vL
dJEB6kzrHAZnOqnuDzdRvyW+M4PVtlGhOKmtYq39ADOaPFPgsV6HzLTWulYQBdZB45+vAoXXDbTu
hHDjaZclwPwXNlrpr/KJMsXvh00Ej+2nlhbzykuPW6UW+Ud6IUwbRbKZFglyVyU7eCpxQaTHrdDi
lSc5r3Rixjj8tDeMYwmm7yQDXeu44ogRkmjS1nVfoqrMlkGVwdTWbOdL0Hg4M2VnuIoBeI3HxF5n
8lMaGal+Jq+mWvLxDX+O0U8kDwbd8+m3aAxzPzQtOnTNra8+D5+Fro3Jw/1HjE32qUM464DLuOw2
FrviL6WvhlPmvSp9lLI70ei9ZtTtoz+0O7bP49UUzfrvSMck27l3Yge7P48x6KZRpv0ohjo+yuxv
cIe7RE+MhTOxHCtEnyVIui+OoBvvt1tip8bj3wOU6hE4lz0goejEgZQ43sgB29VRGUGD/+/b3fzv
+tXlCScs1bCRiCBu/dd2DKgl0IgmCQ7AUjt3aVrx4l5DqsTXrB0IoWt/zLpb7UwYtNoa4AY1p6sj
SAKRXWzh4hWYRm3s4OTmne/vZBVY8TIxY6Q5QDNwJBttdpTXHTfzUvZCMHYJlF0FZkM2RhvDhOgg
49PLJHKWU0pJlLYFGHqkOvJgWl8FEX8PZo3QT49oyNdOCQUCmvl+YNqFMv95JC5p4ea+8m2WZ6XJ
9JNg572UCQ1V4v9JaNDtJl/Ekeu8xFBzBmpy/P5YL2ow6Xag/wSbU79YLKyZqU0HY54LyVlRERrV
zmST5Houtg2o0I5t6YcIiDx08baE1tMMP6IMu2k+eN9u0qEMVOBoQgOnkzmPZgwTAhThNMmRMPI5
bbEIjk0Q64y3ctoH87dMQkGMWtDekeOIaEx3+MsccBdY/yXIl1DEneXqe7TR3VveqN9Ysbt3b76X
illoM08xxqbSTlYcFQu7HYytiO1wnVnFcGZq0Z+L9HX0zODmhABCHRWm3mT6KwM14vK+p63imtlC
d44Mk1F6RomqOpcsDTPkxlCJIdV8yDsFLqi5tFA688SoEfV09UNZNS+F0Q5EhP15+d7DjFX0Vej/
fGG8BiaR06o7Dmuzz4iMZcMhdx1ZaerLQi4rBvA6Ztr04Ms5/ls3661iKEQPxkYwq4f0bf/1Z+nB
SDIW49Nd0UJeTp0xUYM5Z90irBVDFcNXM2KcFk7c4UwbcRXBFsLt3U04IDptvu3Zqy9Q+64krU8S
/PL+K/cse0lr1Dk4TYIxiMIGII28Ixlash6V2vgZuSNmUXbzgWYYZ01ww+ihujJKs6PN5wZPUw0y
3stf0ia5w4CdUiuuSRY9zzw/kssi96vLwfqY1BknK7f7pYgi0a2g03ftJkqQLzex/aVX2fCSUVvN
RMDwkEai3ZYzox/lKwaosDQRwtoQSszlELf5I5mzyixC1r/6wFy62qgeIgXjCUHxKfMTpdhHUIOR
0fEeA4gpz0It3S/hbqapZis4Z4bMf54hfOpAv9tLyPl9cU5jC1G3NRVEZNJgt8U2DQx7BYs6QpRk
ul8OvLS9hJo3OXjagJrSidGfzZUb+lXj4pfqxql5qiHPrPZK2D3fewPzD5NBdiJWYCrB7cWXdjLB
yzY27cssU3g0Wk9JZQFWS5i/GqxsC1tpg43buO3OmAqxzxUHswBXf79NQeu6MLW8OyhIL2+d659o
H+OV6oLvHGYQ0UI9Hm70jkPdxku52rh55pxLUtIull3dyBFu2GWSL4eu6SZjRiFK2js1hgxTVEPy
BSCPcZfFFjeKEDS0kOC8nKLBqFMaTbhERRb9LBwleq46mytlXJdIVEBCs2K0frokm7M62i3YL+w4
PEMCqIn3xlYUVd/oZ6I2HN997t8Fvebw0mmobOKUpruABpqTJLLvI29XeVqR0lpw9G0xmuayjvL4
RPMQdYdA7iwD6hlsQhcaWVm6Isl38udIesabaTfQ9LQAFoy1u+7n6GsrhfzTjFR6KjOIFcQG+/X+
/0aRR6ojGol6hsg7lZ0fyrb8iAu3OdeICGHI0HdGC7rP5h8OyQ0wuMhsGALXX0re7n300q8gDv95
WX5Dr++U3MYYcL8ayqeCiGwrSi/mzMaUB2hw6bLySnKZ9XzrIBjb8RkgH7f2t3arN/Rgq19thEg0
afOFxmf5UfU//o4YeT7hYQxQbXdNzpQMO//LoAMfze0828Jo6Ak9IyBt3Se5OERVaK+HSSseaY1t
qtztkF75YiOnh35aqlu2LfdIszyYeXiJDU5Uv06ib34QLfwpxqZ71hREUoaF88MBH0ViqIrmHmRt
3UXmBpR1tRbzjlSHVoNkLBRrPZ5296DaMUGRNqfPIhc213IwE7wOUang40O/R1rZMXRU9mAeWh8f
mvatzEbyX4eh32ZB1axkXrEf/FLnXmejEE/ejNl4GumlW+Sm1JtSrYatIbJhM6oaFSKI593odzyB
i7bZE7IbLCWBVHJHk01tzFkgdVAxQzHyIwL1J98bNiWpVURAUiDAvC9WatQZ6Chz/SzmQJjuaket
tffmCiiw6+HIlPK1JR94kWC7/bRDuuiW4Y8EUk9/JMJW3Xmn+3tw3yBZVlvBAVDI//IKg8zmuDwh
N4XUamOnsdrodyu0+CCLa5MuNA8nCK2E+mwlPfOO0NRBNcjX2vnzbbfhhXZQepTvq02M8DwJKj4q
3xv3TLEixuFtucc+aDxZo1Ltq7yE1dzhBrK08MOIAuIaqur3fMKcyAHc1jNcSbDW6DmD+Y6+4Fqd
CpvUhJI9HOVUsM2jlwREI0IYVhABVW7hwU1P3Vh9hX26dULf+oUL9ccYgfcfAjfL0X4CPchUi9iC
OelKnmWl/56n6iPP9eloGCJdZ7qTfyoBpgvtuZhK6HSIUBcgjLbs+budk1vNQXQ65AtrTugdjfKE
d9jdOF5A7a87kKNz4HBW54mjIoSJY0df5o1tvihsx8/kUqP2nnD55XldIBIwHIKqK37w/6NXwqr5
3ztRR3dsR0XkZ6qWbf6rNK1xY3ZDFnr7+18V5/O7hFT0oenS5kAKdbAxajsirzzRt36axjfdsn+l
hkFqQg34R53Yd8rLNFEvvdHEFzfvVUzxbMZkm6u3o2Ltz169Qh2+UqPAudqP1UMh7H6bQplgf0eU
qoYmadW3TXCy2JZZ85S0E+HDgBzzHDtWhvEW1vYsujFaN32CqlZD0FsAI+8ITKd+bbqA52h9r2OF
rqE+jkPtUOs9/ko9aA5wZM115+XaKqYpsUMyHK5CX2sJQEojQswrmsjBkO/uYT1511kLGMH5Dvtc
jJ8ZSWtm58FeJHG+lLdooaYlfPwVYbr/cIojnIFEkZPmG+vc4pHrGet6noFrtWsdgwRvmu0QwJOL
FM2drPvC2vjhqMY7mypt188dfpHb26LJxscOCbXQJ6wDosddCpppVs9FK/r1yXvQT6/0Ka1HTwne
RelUJ3nw7KS+nymaV6+N3uETxKPWQCIZ9aTW2f3aLg0wrZni0UpHOyibdBNqsIWLJWHrVwXoMsP7
7WUiu2UlXse2SNP9OGtcqeGqtSVCFipHz8+d3Zf7WkvOk9LkZ08Zq3YFjR7jaRkWy2zqrH5VhWV3
0rT3O8w+bIgZZR+bJiyLscB0h9LBCFrv0Bbxg7z6e7D0jmQFoZf51ZnyY9QKd5HoAp1xYxjPpjJN
zJKds0Bv+TiZk/6oCeUgh8m1ts0bs7n2ZP8BZGrjnRz0ygFvhgrn6uiH0UKYd09L7aKBPdKoP7qx
lzzoGOCejKihT0rInctAFLUsvmnN6ZiUyBF2jIdjVRdiWCkh+zIry5CWY1Xm0SPwvdJT4sbPcqFe
FT4dNKTt7gnQSb2t+2raA2rwFRIPZc8+U2gUZp5FsKdxikoju6UFHTpz+NmaiodyYAZgO1jEtmpd
NBctKz9R2msvmTHdr2R9Kr+WGC+C6Z3iPnfkOf+yIu2oIQp9913dWKU2IqTaTsUlFKgSZllc5lbO
ziaJcqFU7V3OOrqquolmCoQs9b2KHaS8HEL9PY1a8xFV6RmnkP3Cr6XeJaWabAUofWwQ5jIsLnLI
7pntt02E6EvUgzmlX89TeDTcpdv1+iXDCQd8J9E/HcvmHmnADCQUFeOclUPNy3QjX+jj2O/+Jmg0
elVtY1jrf4I2Buzu9z10FEDFdrFJn+TBns9SJ615jixyRIUoqN+Q2urwlAHHAybMzhbNkHs/v8wP
ycCiKVv6wGi8lWrCj9DjBItLMaNaaApc7Wx8Gdvo5mdj9SUYEWfz1rPO6udSJM6bxx50zOcdn03S
YtNZObI50FJOzT5FPutUa6xv98WVPgPz9n4lzOYjr5k8fc3w0cQftsk0lOe8yQa4npy582ukz9iQ
Z3BDqLDytv5gl+e/36x0UbxF+PX3+/9+g2nlX1SVSrMfiPBJ7Tncwy2vTQp/loC01zyuyo+qmXuC
WWDvOrCR+Pxs96C75pYiOf1pRIq2cB1HufkgGw8Nft91E5QkwiCYXAxsB5cIbMaL1ycezpxmXEop
ZxJmO22CzYDtodrlTf3ux6b3PdrhsqW1+hO5p7NIPWZXsOC7rXz4hEPxa8zrlHJoQTZz862pX8wR
4l9eALEn0aGsjkxQUQZ7D0ZZRx9p/SbD33Rmynj282SHL/lgdgXuUKmuUxm8pCpAfvn+gywkOc1L
hl1haD/tqtP3fxeoMhIrT03HRTQo6lWL82hflXW9g5ckbm7Iv6tpM9YmHYajdEFFVfJAawDRdZ4i
SinNdjyxWVl4aWmeWY8WUpuOAn3tA+cYhkoHO44HJhoM85areXGhCQmIi7aAqXYc7FI5x01NxgWI
BBvQqPwDwBNhKxvTWtunmvWWaPH6/gt1xt4BGUnLIFGICG1a+mqagsctw8I9u9eKQ0A3eSVZ4Oj4
cEv1hnaKqTReE9TgSatHT5nhPvqAO1ehyNQHeZalk/owp+UqBDYfqnjCaVcVPkHKHeq/+3WaZtHa
Novq/qf/HnKzf/cqRu9m0qXVIpgT5z04V/SKCYXrOveEeFGcZTSFCgfmoNvil5/0eIrdcnzis1N9
u2aHpnpMqst9uep9ElkIgsv3YBPcFXFm43vcl8z1GuOPDG+ac1KyCeiSrqhPDdi9zeCg0WWaSudC
EORNTfzplEn4gNX93FlG/giHbXhMJv0YYlN/wc9o1JsedzjPSOgus4LZ5nd5wjbooukr0bWO5F+z
MaWjPfcuM4Zu+6KvvirVCE6GX2cnz9ABSEyG++wneD68DAqE1oWAD+h8r2w9iQ/D7NEpwStMBTwc
xUiL5z5J30KNKE6lz9+USEV4olPWKr9jPq3AQiuBLqVptyDQX6YqDi9lOZL6WsTpXsEMdxFq2K3o
uYbvCK7WIwP5Z39SxqsbBnMrNnyH6atsJrJbNvp8KSZ73yotHvspRcePyF96uPCMbgsz7N4D11DW
Y661h6Auggem6L9NBIqOHfOgMors2hZhddUHQi4izWnpaFXDrixib+cEmX+8CyMTHcBm7RhrNyIq
TberOflaZPomKVAspyoQqUGF7tRYTfEUYX8hzWd4s1Tv0GjaVW4mqhJ30+SAA5QTdkOx83jtWnSc
US2sbFI/X9LWHvDKQi0sAjCmhsX2U5uticaYaYvC7Dq65mI9+e5v0PH2DVtZvsMLRwPMcNurk5BM
CZeFNord2Qdfn3gWCbxj1ajlrwPv8kD8rtJhGtvqQ8WuqW66myP0fsd+1WMD3NpXaxhcYAiGt4RC
klIDpWiDcvUd8lAzi8zbTdXkyo6QVOz7aksEVUGgqPwXysvIZcAgd4l0kapwAoQkSGBIJrTTlUHU
m58ayrk1Jtj5BW2ZXP+pjqPzUERaeM4sv0c2SPAls/6bVU7qsdDjCmhY15aH+/1Dy9LaevQkX8Iw
3NCNLz7oPhPBW3nTRvcK9WZHfopOpmoeRzUC3OaEYifdA/K1etclXv4oX8jj3NrZ4eCQ1Gm5ZwWu
3CqaXQs8jzBuKZjrsqYBUZShEypTT50tEdUhahwm8/NssYrL4jHs1PuVQrPt/kNauKdlPW+pKo0Y
TCPIUxE2AlGJDoTYQGDIDYJ/mvaq0jw/QNd1N6ajOacx55/ngHNeDQRy/eApvAi7GS4VDsq1qMZ0
QdgShMNKddai7LNTVvPRnhzqgRSVBk1x6yzPIOn9OYsE0+EqQ8ZcgABPCmW88H8jcE3SD7/TlaM/
6DsmE94yInbyaUCWuCR7xX2Sr/kDXjq005R8KmT0ZScF0X4LdMjv8+qBA+EzMNnfozDhDMDGyopI
8PW1ja4r1qdSJSjQjCJHCqumL7UbXPF5TD8sJmxLwwUcEnRDyVI/F5hhWiG+akOYAL6nvBb0kweI
ps8Vq9Zjm5EkOr9sQXQ9MevXFl0T1hutFqyusY8ZvdWT21iO8ZHpDVzg3uk/9CCCusOa/6/vMHT+
YZkD0b5LP2fGQQn2/wvHrQkuRNhneWg8GmDyC5ZpLnqwlwxasbCSeCIObVv0D2zRmwWoulN3D3OB
Y78OvammZo+9M4b6o+z1NRBSz01QIZVXuPVCM7C28lMmP2/8MwhSBTzRR1a0CyGb7CFLFdcxxBbk
wa54JxXxipnyxzAYwxMJPy1/TiGeoeGNazFN2bnmIXhoE7owvfcKq00KGrsGYWgpnCuZjOcyRQU3
KvEzg1eemoycQhfzhZba5Ij28Hl02kqlmyhnmqJL8JkIQ5DiJfz5s1NZV6Zho5pDAAyKxtLdVKX0
ryl25VvHr3qh9BaJD23arP3K1G9ZXTfrcD7z59fkmXwN8Hl/9WEojelMDp17KCCKqwd8g/FeviYL
m6Ds+c1p3kwawqynAIu+uV3p04Su9Q3dJPWlDat3YgijX3jyb+jggZmYjXaUsWWN0i+jmN1QiMdm
VetmdBgM59Ew9emVujrbNKQTHPSqF1eT8d6Sp5P9MwPjCAQkhYe0l46uJp2a2cgPYGUW4PrRWwAC
7MUWLBd0mD9jNfc3sZi8nYcvDnEmobpogFBIujQNT+IKvQQ7h4+IypsPdgSgexE1NI8DwrE3dhwy
/yk82oug/OiDXO7uo2jiiaOSY2qXQ722+lZ80Nt5BEVmPfp9ajHG5IFedL74IHgqgvDYVmd82eDV
Yjr/SqUrr2d5rITIb3oinns19t/qvjUOtAPbZZHY1rZ3MRY5CToKNp2/hads6io3f0+cJPMr85di
B+l14079KQpZMwOLAqH0enErFdTGuXCCrzQD5aU86fhFHyyvdR5bdzzGFqT/vEoSSCOTuYoyJXyf
2gm4je34J7LrmREAKVxUAflLU5vlz65gMIzzFsztnGmgocxeq8ptLMLw5JCj8FD5/cs0+E9susSm
qcr8XFNznuXZ30PVOtk+6YyzEab7e+lGdzN9NTX7ajP4/64NbzOz/H7Q0K1R9oLWJ8hJy9MQB3Sa
n1HG2yvVEHgY8+IgDPYQqjIMi7vhtPCCXTHQUSCHQPmEvb3MC9J+Opdoqi7us8fICIjOoNDbMoXs
LkrBpinznHcFmu1ODqPAq1tHLZiQCzN++Cvw0BvFXk6oyrYen8CLogabCY77aURWcD9A6+Sp6ZU9
ms52xpR7ZJGRGO45A02XWXMQJA6EGQCxl76nYqOymSc2hvXQsDMyQrP8qOedEZRMe8d9bT6FYC1w
imzhE9avwjONPZxGWlBzjVv22D3+87qIkm9iXp7pIZr9apLhWxpgiSQqzuRHfGeDWWzT1DO2rWbD
DfqnC+uEKrxft3yjvQWqWMRvWZoWe0HtQfSVinmRNgq2TLQ/rpyTNXr3jRwcQpXNOF8xXsPO1W9K
Nv45DMVPGgfttdJy4/6y35vlAndFs7TahrSrudNPLJMBYMPL19MATXTZQEDOh/GRDlHwFJmefv8i
Y9525ftuT083Z1jpqx0GogHgsD136go7EmfP2jWRk95YguLzkPZozrgCSebti2B6lSMwqVRVhjo4
Q3K8D8XmwaN82VLTn4KQV0aQGnLxdHZmZSiQtqWYbkOgQ4VWGJPUHiD7xozKddsY6skKO4aGIH3Z
L2pHOEvesZgP8kwedD/Ij2LEFP7kzwaAMUNMYRuJ+0ghpm/jErnNfW9OxaStTRqRS0Wtvc/KUrZa
H3jfoVtecLl0Wy+hTpM6E99GOcTubdpI7Rfl+tVKHGU3KCLfmYNgHJW2/bW3sGmU+Uh8uupu2UW4
V3nA5Yg12tZb5vTtn9cgDDbHe807jcqvIChfx6jQeZg6zCgaNszysjEm2MLBSLM/UE5D0TEIqNuJ
nJxZ8MQulb/VFwi8UvdryPT7SffPyfwlwjsWCvjVz///9wVw/j5EU61UNbrQ+rF+TZX5gH+5fTPK
tgItHNcnJUGRVbeev86tNHsXbXLpA24qA/EPdgplWDGhywk8Nrr3JNkl810n3NjZpSkCNpI2AqPN
36K0K8iWtZp90xYFVqL0o1Bck56ZWq2byi62vfGqpbH+FvaheTLgFTNs5TKirFv4LdlkBdGeXex3
R0s8pfPFH1Wqm2z7zMea6fPhfMzb1RD0IegTDer7bH+Qh1Yr/IPXwA8r5+kaRjjnmGFWWDShTbnl
D+NTZw/ESc25b4UB+gBlllE7t3T2tGVdhwlS828UXoSTseM7ekrtX5oJEFXd9sYjI9etZVWYi2yU
LqU/VEcZGjYUPRthYEULO+70Dxc4mAOb6GvoMHs4bZad3LYk0pMMzUXN9JNuGMVZo4sNlLb+NJbE
DxmB/xwC5f9Z2c5vHSP+xukhAgnVS47TCGq06WD1tGZOttkYwAdl9LIfVDd9ZJqdU9kRIEfx/q+z
ABzV/bVIntHyXOHpqnfcbEf5+TO6WsG3DOBVXgq85My5Pq3SLX7wV2yDuduDe/EaYotjbbN2WZvo
EJJJuonint8yod/I2hz3PDUifwOUtWCI7T9n7VM+iydMhq/naUhMBE1oJnznEe8GnLKCPLyRfSVC
gMk7Sg/e6CQK0g7j4FmDciDpvb7Ghr9Vm2Cm63Ol5824SjM3gkRY5fvcxRd9H/f+vY4IaFqChG23
YnpqurC8yd9RIIAb3be29YCszusOvmX23/NJHZqDPOl9mxwVDemeBhr4WKUZa9Z8Jg/T5NIOKPyT
fB39yJ5ZQn2Wa1kMaQ0mq+7cU1jTMUywi6sAtXDhIr2p22+vjhc8keqfKYagZagW9kM3+mg0kXzt
9QJ9WZ/V+nKMVX/bd0LdJDp536qqf9aD/bsv0j8nYabzSaxu/pSnqyBnriObv1b23ZuN99pBfj2R
yhoxh6QnDDZKX1SZ/QshLHKVWZhzt3LLU2e4+q66KbySMhS4L25pNT4ZZcMTmzS0bgUqwgdfVbOt
9zoki/MwNPnPpQeI4mFsvbVs+xESMx2zSV3flfZpqyPCaCekCiA+5bwYOXr9JK8CVXuJM5cnnEFY
yEPfadmTV7hAFDMx3NRCB1dId5+0JY+dquEd3fkgzxoyeSE9ibHfJ7LL5rjdbwSHD5PjhKe7cEbb
xrq/klyF0GL0aMShf7MzBGLCFkx+Ixj9fQfMoLF1OD+yH6SEWHsr0xP7YiSyc9Rc54x7YUK5FdAb
9ePwS0ubY5cW1CU+c/t5XVKwg6xyOrpLDfLA/QeUX3DzB7P0KNT+E93dF1C/LR+YTGChMtxGusUY
MBjb7ypSc6Br3cVWNXtrxIY4/j1MDNrLBfoPjNTd5CwJHSK9fD7IM3lAPx7tPDe5VBhrkFBmHbbu
nvvFS5DvzWda075kBTvP+1sGdqpbhJCi1/Tg1YX0N0ing6tDEAulACGp9KcM9AyI5triox5Xz5ne
PrVOM/1g0zVDs4QObNitLwoMQIxzjbNoutK4ENn5ZSlt9Dih7T/lkzUuO4dRFLO7HqALK6RRREfH
KJzjOF8F80La6L59SAPrQYRoPkn8ZH5baiQPNHmEzd02sCdFJCrR5HbrTfF+/+CIBEa47EZGOCLW
VclIH25OPcdrVQ+1EEzLcFmu5TCiosfQKJWxb4a4O8Ib7471fJBn8rXB1ngtdOg9Q6AAT0tMtGcc
5OBCWsAnFxy+omj1bppt4byDVIuGVi7biTeTqqZdyb9ZOEVzZsHZyhpdhQUKRgBG7N+SXZ7JWt61
3fiYDvVR86w9VMn6fF9kNDPaIvBt8S3/VAvv1xQ5Nk808XZ/jDVTY33pqIT8SXd/tj1BRnob6iik
8FQ18ZTskJ/u3cljB0Pww1qo2XoMjOrZs6xkB7LG3frYHZ7NSn+Xdwoj3x9GTRiZ7SXqqS3nakpR
9WU4FnRSKjUCBQf8Kggx0kfCyNYkQj25zHtevLZot2Qmih3xIOOTcAFzeVobf8Lf2ozY8eSf36SE
z9RmOdwKlW4d2GF9rUCr+Ji/Qx2nX5kdJ4+8TS55AGQJa0FYv+jjcNBR+2EzqcFgUr+JTYZ4HgRt
/1Tkvtilhpq9W6yqMnM8VwF3cfPvW7UXm5Fd9qNuhwieIrO//mlqM6ZeoDDfyZ8qiFNBA7UZQVKV
WF3n5jick7WSu8U+JEwqiiqcVAGePx/bXMl04mCVtMkjZsmoPeKhVL6msv/u6iR4HUMXnluF3q6d
Znla0oR7uTePBg1+0qiOyyQZASRFIc8hIxZECKpquS1Jylv6M+xHa+vqWKZlsdF7pHgSfqYqkD8Z
1rFxJa8BB8xqoN026nnwFBgqfjru3aXjm6+K4g3rgeLumaX1R624zUPSqu/mXNXXcE+UoKsJegXq
Fhf0P4rU/ZHPxVAUNtsWre5bjy6zm8lt6PSGPQoMfTG5ibXTKXHvFXo9l+lmN25MzfP2CWZw2KVV
v+1GLwEqj46yLBuiY83+Qf61UigFkYEbQ6jxtjT66jlsLRzn2rW1sVxj0MeqNtrDe5Hj6lP85JIk
E0AWE9gcGkrtBZ9wfJaXY5mGx7YMqyUrhL82PbU8TIAXl9MsPwm0PNo2vq6t+nTOCp6V1VZCdubc
eAZUVp1NIiqvpeE61yzMy62eAe82DLJTFzrZtLVKTs0dSFeWUPHsmqYB+OQNoEfziaW2ftCJPpMI
FzeK/MP9Tx4M/PGkp31GoaP9mE+IfbifYK2P3skSOFhxvtFmnfnUpunjfGWCMkatHS9UUFo3j6Wb
sIna30lhmCxn5WvYIotNRNqq/EX3Te7dcLIsHXRI2/segZa4fcm7Z2uaE7Dm56nchHiirnbxgABm
IDPtmvQAlr8Nt+TXJc0mudJV69SCQ26J7MGf/Hwfhi5eY9Jvzw279PuZyOFaRI4jlg3g62vlC313
j/c2203pmjzkBfaYSq/Fyp6S+FG+hiO8AWbeanvfGMMbfZfHVO+sZempsDLwMUHLNkj+TMxhHaMD
vvYugbRgQ7v7WTWfxZ7Bgtl0xutQDZeUifULj7Z2h3A12kYZPuj7+8+84AcJBTNPvXizzMI+YwiG
hN5P+VsKR3JLp6XEQYfIyRvJByGcxrkw31hALtZvWhgZN3kWTcpjkE3Mh+bX9cnId/aQauWXOpZ0
T5hRsCd9lEP+yCiONTDytaooJC7N3iAZoG3mjXKuBIoXSxDUSc3pLhMKEKRDIBUbssUWuWGqjznY
Lv7rf2a4SDFiEL5a/T/Czms5Um3Lol9EBGbjXtN7pUxJJb0QZfHe8/U92FRfna7uOP2SF8irU8oU
bLPWnGOy0iMprB1IlvPQPCVMHvx8e/YjmDsevST0mjHJ4FmBauFt+RuA5Cfk+D9VB0ZqezOOTb52
1RdCWeAYBRklL03pWHUUcMYUYrKI7+sfohjkepBEGcEAHOUEnN4HpzlEPalhUpBAW2MEFCKI/Yor
w9pjBNeucsxJ6Fk0BKJdyNM8yiKBrA00dohGwdSOcedO+7olz7Oa7xkhhHnSiJmzZ7W4o6zgzlU/
Wd4rZOwCy0PdBtoFBsOzodEccqzOPlCzNJ9Hk4TP5YNSSqG5kk17nRAZqHiT7azyVlFWdumO7L3y
5sUYQVbPw0ilIyWWz/xCoKiEQaIHzZJls+mlRrFzgIhSjR6Mtywos1VGLu5Ce4LWbq49M0ZdbfFi
CKc//HnMNf4z2DXLK4A8e53NVcDYsrauEyLfwXS8Z0t6qOoQhhmrFXtTZwpg9rB8A+irwlsLhq3s
BNci4vEPyQb/LJnUZKxdgIZQJ2XVXCW1g4U9pz3gBs5trALzKDWCsOeq46DkW5zIX0uKffciVsYn
v/ZuuVp3V0Zen73LrGvh0UL65iVXKXCxGsPbMr/iQolI0kXBSsbrXIHWTXpFqJmIzjLgMObRYDzI
o15JxqOOCWKVuVDJRad/UcdYv7I7+k2zNLws31ddvlB0IpaOnsvj6KHDp2tn/tw6dfN7+d7U/H3S
WuunIGO6YVamjEFJBvBMv7WEC6Bq7jyxG0kPg01wqTzFGbVbWuhqywBWWOFG/mlNFrlrrdXry5CD
UFtkjv00p1NK9iTxtmtYj7/jUi2upGhXl569/0KRZNR5cwdkxHEVtZs4DcMVI7d94jttgK2UwwPy
6G1QNvpt6RhaGTYiNkSXgGQx+u2ldsk7ZThHxffIM58yz+hwlrH7Vfy8fafIMdc8qV61UgvbmKV7
WnB5HsCME5qRfbEkuPNcLu2lwdPXUV3mB0wv9UUe+cVYX4L52jRf8/3xv9+NXW+9dFw0IhmWz+TG
2i7vIlqlI0RckYvi0KLJvfW0LLdJUdrPtG/9tVcr1ntiDC8iG9TfuvvSFInynDDUrxuF5mmrJ29G
6jP+SPxJ4A8XTd5Erci7dR1b7Bs8x7g56ujtAzguK9Fk4mbmqbhQs1y3ZBjpqxK0/HYRL5NXGNSX
cDSqS/GfI6Dp6rH10NcWT5KUNwWEqvjaUz3rn+qhkSfyHafr9ZU1EdCrZFm6FwanRkLcfTiXAQII
T0gV5xaNKfr40UqUDHZ8OWxFqbavZafEW1MLjH3UBt1rCCdsHdj4MOW7jTtkKxLN6uuUZe1rJJrb
kAQOeP7KREro6muTjv86ApR8VRJneGy8+Lfqh+brIv+EfrHTGp29XtdNW7VP3deibF+yZLQuKnM5
Scg7B/k0wuUEslIHNZA9VF+GJKRGjXvQWGI99TplWrspH+RZ3av9Ifexhg/p908hieLRuAir4Hsy
J9PDFECBouokmIzhW42z882PXahSmgnmyyuqE3BCki8q75uOp+QpRqmLM85wvheEYldD7/0KYnc/
EKQq8ZapFtPtmtLyAsQYLpovfuaemW9xCHbrdq5DovCfc15LY1tEeCsFyXufYEwk6N8W/Uo45mjy
itzRdkpCuLZvsfyTmCH54swoirGMYAYOXnTqqlC/66a2+4MWSqcHSPe4hUrrC+uF8STRjwVWvoqE
YjlehmkJyshriYZJPRDFKd+tlBZLkE5SU9SeqIi1sUjJQRmUjduzSZAUJK+Nx5NN23CFDxcVZ70Z
CR28W143rR0dD09cxeiiSw35j0hBOLQWw4WO83K54ZcbW9vG6qTBarSg2bMjwsQUp8WqyZrh2tho
V0M9Cr+IdgLwjrjpJwoJIilIguwVIn9ssPebLk5p0MzzTR0r9zJsOlhbPZbfJsjn6aLASe43G8kU
Lkf7IU2r+EVeT+brqQLcKPM1e5u44cTKvwuOGOrEi1Hkz3U/hLiOfTILhH1uUDTLTmjo5fRQc23p
i6aZ8ryIopdNUM6Dc9E0owW2kr06TDXnzxdwAP88lW+MOfxKM0UnmXmY7RtYdD/qDuICSuKxmFBF
LlV3q9dd8msian3IBg9j5obrEHUkM2NOIVTnlp4H/GWYH0xiIRCLysFVDrP9s21OHVNhAORekHrX
qR6FjPnZn6WTBypN5FXrgXNIIq+eMTzGFy0LiQ6w9O66ADj/cyrfxeD+5119zID4dwH9XUKEQz30
31qvSG9VIcCYeZ3/FnpRfOwKkLHy3S7JQEX150VNjf1COzRlK8W2vsC6O/KruD6PbgMfZ0b6wSn7
PRkIZtoI4jkFbCQE84r8s8xhMlmQ9qb3B6ckKY0iEDE6OI4eW23elFNek2c9Z/pcJJNnlPNI6fkV
aiCHpRsSIXlwLKsUjzH87rPudskmb0ElC5P6qq8QsTdfp9WWbIpctc86pndqWFn5yO7/wRBh8RbW
w3jqg1Fdm/NpVNPkj+x6IxoLrVOmq4TzzhSzkV8Ynmlz4wmit+G37abTPH+fuO4KZkDwHaVvjX6J
kaQs8+ruCE2FpyuUlVMpFUmyPahfRgVWU7ERQwwsW+DtCHP6DYAacSmy5wDf5nGwfXPll3Ag0rHN
MFAYDo+59xISF3FhfAuetZmxJYzsSQg3ODkoxE/yiMgFfHrjA+JoGs2zmAa8CCAURsCbZkf2Q1OQ
05DwwV6EVZ4lXnxoiHYEZX0vYHKgoiLRifvzXAQp8dKRXV0MLSXEOnLyt7AcHCIAWLTJLoeSd+na
Tzu6mDpIlywK670TGHw65AYrjdY0KA025UiPSUW1SlrcgplFlipbJ2yO7G49/iAFRpKZPCdP5Yvn
Wiv7NaY2bppX2A9/nhKzr5MdMZckGrTWt7xQVNbshTi5RFVvlWYwVsvM5MVOcsPKVp5jTIE8mSgX
UxbHQKyvaticCGH+kc5TiVF3BN6EdUGsyPBVIoHZ6H8jP8rcL7f6nyVMRcHQIzBkkf4Lu8wOShx0
q7g1f/y7q/b/cC4AQzUpcILVMdkC/eWhR2GlULejtlJnz7ha8v1nizis52nIju5hrDZPQmmmHURJ
EjrViiIMG1rZN5AdhL96CYabTbvI9gEzV4HD2lJ4tNf6OsDnlv8uZvu1VJvJ64vubIguFc2bUzHl
POfTRFT2wEKuoxh/60nNMtP4Ja+4u1I7GU6BgQuPHqqzLWwG5zbtupci9MeTGRGrJt9tmvKuDOZp
wi9/LfVpOLHN2ssdhoPzhLYrhnrUiGGlbAZUh2s5B4BiDdE6tGs6DNohchncKz2kDGfks6GRgIfa
qffuQIjNBrHvbWEold6EDt9jyViaubWiOIkCu9Iw7Phdv//3v5i2cA3+Bw/JsXXbJkKCcAbNdP5m
c8yiefAkGtDYoQtP4RTXTwPGHQuONyjIqtjlRh0QKseLPhCDt6QdeDD9t32bjafJwKkhHXqZTpBS
U0X6XtQkADpm3e8SK63e84FEqbn0bqUhGH5kfhev1eM7/AcY5IlvfXW0hzTA+t1DTcP7jiDbc3j9
bNvwi+d73fB+yjqcSru1gC37QF5F/TgNaXzAaAGdfBBzFEBBUVUcAmu0N/7gXtCIeL+IPT5qnTV9
GB53Ylc54z3XgI4kXnFvphizk9xft9TUd/Icl5LYeXVN3Gif4VEOS+I02yYqEP7H7FnDnOqZ0pjP
dUQIFsSa8CJPERT4+0khR7YoXAuLpCjR7WIYHbyBQPnAv06VCsN7Uot3KyWscUKshel+io4Lrcfx
clJWtTb8RrI8XU+m6MynhoXE6kTvBRQQpJNpX81N+tQe8l3ckub3uQslEJRisRcTSmVp4z0xHJ8C
I7Zf0VURIEzqjVWgNlfCHx6hu3M7lqb2P96t8uBqZhaMVKVy7kQtMP4olrOtI6040wPQYyQ7pKSn
IsiOE/usvdHU7lOZkNRbsPV6XT4IEvgParLpYUo1KPsxarc8FmI7VWyMi7g/2wF1GulwFXOPQ77I
63lSnz8veVl9WchOiUOQZ4YVF6sx2vVFe9dgxd/YVKj2zmT/roqE2UYbR9b3RIqTEu7eOsb1xbIh
mnJPWtT4lbwQe5dyuJO3rq6Mz0KMznGhHEnIBFCvPze7SqqJCqbmyZm1MpL4ZIqHMUqwg4DAWqnj
wOAE2/3UJDGgPkdrH0XvttccLwG5tun0Id9QtTg4GaUY7rau2Be37KnNRHNyracP5kp2RzsHrWRa
q7tqxsTiG3R2QkmhW86nQ4wYNxTmvooGCyftfDOkJkWw3iLwEMScvw0Hj6qKMHs69jYFHv9lATUF
wWpiCYtvlvyenN54Tnn1J3bdQ1UchkILn6V/qmHmWbMucQ7yZk5DgjQRH5wRCOGTCVoDpJ7T0oE3
fDD5owWciObYlzrxdp01ZugnXO8NzMSxxVT8I1DF3u+qawF956dL5sr8JHb03lcGE8AXNc7HrVqM
PgRX8VV6FCu6NCeMvB/yTMUtdojK2CT5qlIOU9kk+zgwo9dRKRERKNy6ZTqd1TZ2jyPqbLyaSvw4
hrAcZ0uprLZ4Gcwn1cVHDGhV/rJo56Bodfzbw2A173NdMR4UQAW1Hg5fdJUsIWmQlL9CqFoFfh/w
TXpcKWsicOudSQLqo3zDaEHzyBIMomTSN7op2ZvFON5KJxtvlPlZ9YcDaJbWHdAgdKm1Ue3mirS4
Is3EJ1OVcutVaig8mJVLSkpTvZY8ea9Wb1m31vxV5P11lHKq+QWKJMKq+cXoR/UC7BIvW3WL+Pyb
qPcJzJZ1K6KwszNPznpOEJNbCZ1i3dN8Juv78oxYh40sCmku4M75vZ6xYI3D0Nt3SouKY36huwZZ
LHYb50yydQjLq7Oy4k0LExx7fh7vkmxf65F5Hl3xYc0KpmpWKmlTiaag3eRp1LxMdH3XOI3rl1yH
+DfNR8N8Tb7rF8XvmB3uQzfq5TOim7Uss3ttWT7r8LxNapWK0jl3OXq1KtF7qqrne6vApFDK0d4f
bdLpJANNxSu7ZzvxNbVGhJq9mlDOGeJyL1VChV6bZ6pykHRZE9GFaq/C12n4MZzKF4U+9qopPWVb
ijY8svJ/+hyL1DEpz/Vo/2N4eqJE9cfNnrh+vTdtjZRpt2IHr9fL17h8g/LLHHt0lTZ/q0lxB7h5
3FrlUT75NUzo8zK7Nm6crCUnrXJ5MNnQPDamajyrZryXl21PK1jXevDZDF+5sJNA7z6pw8OYILvU
qsz4YsPA0cn6uLrFdI2SKLlqRdBta6Trm1b6cUrSBYSnz8msoGlA3LzZNkmejI7GVMOW8IgyBpQQ
bFj6j18thG3Y5PHNumg+meHIxEipc2wRYCVHgJ/Btdbr76iGmb1DK3+pegTUPVh0clHAyox2oG8d
Es8el7UcXa577YbKrW/8dmeiT7rRlDZWWaY+yAVu6Jj+2cerTliB2RN0Pvui5qMhIDhHHslryL3/
vDu0to+/RzU2n/9neTSEqYMavoOAbAT4lNXga8Pm5hCyVt3JpRpBcusBIwNBdr2Ir4R+KQQJbeUQ
IAcDIx38hw4fmkd0u16qVznCTPMwE6T2Nbdgl+FShQ7Zqs7582iYcI5EeUcaUTmAAFTPTjn2y09r
eq38QZElQVoeMlv41zpgvNIrwis9kzQ0wqnDAw2zX1KOHdqD/5grP6l305kwCvoC9UiU4jQ7FOAY
OJs8VvaN4m/k2Pf5O/rMoX2plTSRO+VAuJiFIo3wDttyp/dqGJZFUuk7G9e6SvNiW2TKg2FbD57r
WXvTUixI8j75HnmX76OIaow8lS9D1JIaa4/11SRSaTKSr5EDaNerHQqPntriEkT0ID9ePNNyGhxM
R/rjJ3kJYvqqlws3CEvxFa+rslVrW3+IFU3ZYsULRRTepKhR9iHDqj34ab1PLWw4LZ63ZyYcSOgI
ZViGKTsxz7BqbDw3lkGVnfryq8pjfiowQKyWm2/pR3RRTw7oPAzIl9RlUNaH4rKMDJ55dhAXPSZJ
v9f9kULJyGjDzBMcskL5Jr/gEH3XzlbqGTRtAt/6rotcPxcDnRaLcsp6KFIVq9b4Tf71kO02TxXJ
SRuMdQXzettc1Yjc9flz9noC4XoK/V2Nv3e//IaKESZX+S85aXUNSic60Z+IVwW2qYOIbPuSitPi
cXVq0BaIXDbhhH2ISXoVNIN7ZCiYyTIj6jovYYayqveu0rZl5mVHlZjhnWj68TXxo4eSeJ8DrWBM
kqFdPXoY3dSypu7ezP5QAqAk9irN62+DkoSnUkf6Ro8JuTfd3ShvtOeKM9nrDYNAe86JNpn30Edk
jxrrXVs8j1H95CE8usruq48ehvEoVLe+Lp4MGgL6Q+gp5m6pK1gNxS7N3GZe5L8UKeGvORmj3E9K
fVzuxNK6gqFmBzWGH6k7rnPmhA/Wpyn+SW06K0adE7vkUlifX5yW5Knl1E/UN8eiv2J4rGOWbRfC
/n5jFCkyl7jS3zMtfZD4xDqpcVIMxo+giIjanMb8UVMjiAQNHEenAVU2oVtidEkBO3fkJlY4UneN
MiUXT6vQgBYBghXU8f+A+iTsrxxHYEy0oazkydrX7ebyCdaSeiMDd+nG+5NClPpbh/hw8OtUrnMc
Z/kGaG617Qo24odSKb6rdGxQpzMYSI9hjlJzA3QFwiR5NFMRaH8cc2z4yGswvGuceshODGFeu0y9
VzNQB+GMf0qFvytRfJ1Dgx6HFB1LWTIrx9sSiRCxacMQ5QYaXyB4Vbq7ICxGapng4/zxT64TyGGF
hqg9sLVS31KFSJJcscmgn+8Xszb0Qx5OH9Sd2rWnV+6iHpgtEi39gReDu3HtNyGh30Oa7B3DtPEO
CBKW56M+bDEoyz7HMNM6qCewESuV6koP+9Wg8FYRvj5eMcUuLhCC6cVdkk3aPhdnQSXmwQWht7xL
Olh7coKakq83Tn9cy/QdgpWAyr+TaDJJKguMrpv7k3d59nn989QZG9yxk+pvGzo8c1d4fpUCL98x
1HOVrfHUpBvkWMWaOJb/ftMsXIAX9KgXRdjYleku7BjW69EYb061TtjZ3uRLbU1MioGPfzbS9Ga/
nEOgP3qE+VybvHwuG8U8S3OKtKn4cf5s+eOMUkute5wf1LQQxzG3oNTPCJIg9HZF4dWv8jq+gQx0
mPlROqaC6UIZX+xUJx7SfKqaqT7+A041U4tQ5bOKU6xVVjgx1p+uO46loKDqTClwHNLpoErAg+k9
dIFzhNgEMyEYob1vETTi6r57Ih7v7mQOd1jTlB2Vo9Wi4pbEtWIGEckjKU+0IoGzf363LQPvqBZ1
YH1FaLQbdAzZk1H25zTLneeRRapLrBy15fysUuO9eZl3IeOK7a6icesFsVV+z4mjvle9urgbRtmr
Tf2UZX5ZFQTIz+hBaXz4x1tp1xcbeVGtJqbLwm3XcI3yq1InEa4gStkFdJEVizDvFM41RDhvR9SY
zk2UGWNdPcNJ54dwUSxOJaj6cBymbUB7JSr6jkwmWzR7sz1arpte6Y3b11QxH5UqKh5DNrVDlZVf
wt58Xjp9dHtJwhyqflcjvlhLveCncvDzjc9rdQkAOS+KYzCLRTQXJ57lZCfoAC0FmPnfM2cBie7Y
MGHG8gm0TgMa/T9/JcdXCaggoW7+myVeN95DNqMXI2oeDBArltWXD3LM8HyqQbZoWfFLK8MY2PsO
w/wDE2CIhsPUD9U4aodpTl9RECUhqoi1J4B/CaAAUzvJa7rANK6SqCTfNMPUPcej+UMXdrW2keUe
xzHHJ5RVPDKarm7lqWNXeBbVzF/LUyrh0QOM3ocg1jTWplCy05695mCavzvIJKeo1b1H+QJw2zD5
YMF8xekxwIXhcDN6Bwe0pkB31UEf7TZLWoq8E5LC+1Lpipns3Bl14FlqtAZzCNFh3g0lbSFgBZgQ
PefTuHC6x3wgZm4+82hi3pfnIk3xi4vJ/9bABrvJNoLo7Y+itl6qpb7opV75Ci6CGrKufq1RaS8/
2QWNu5XiXIfy9dZ0JoTTcxtCnjKdt3uTsveZ+Bn/4IvuHKBZvspKrFHp2cUaRvqf4Fotx+13aMiJ
t/+8+bXgtQKZtQnKod/I+aCEfncNs+pBsTzjkmJEXu5leVvLFwWyLp2DrzSnuoP8GU0vJ0Tw7W9V
cUZoBjJ2JivHdmPFIjoWYPn2YeSWryUjAgJAY/Vn7kN3dJbiUt/3bNTyyjtVW8Re8lpFIWjd9pO+
ZX9P1CNOxWNy+RSPkkCcPSYXKeeUV4u0yx7Hk5SSZgCzPCMJL17qfJHfl6UBrgYBYa8VX1dewyF5
oRJn/UTHeomwg30Rqr+ZKA7T0bK9gzGFxltTAgqacUbSUzeVGf4LObpkbm9hmWfpJeaCgTwqA+IJ
q8bf14NX30SeEgA/+whCNySBpqX/21X8AedxNXNShwRlYqflPRa4CKZt1idn1a7bvWs31U7O9PPk
X5gpSe1wqUhMGZmWOwRRJ8tP3wju0iulfysmzMV+AIxU/oxXIS72suLUTdHmryFWDrYBZlY8uslG
8+wK8syYb6Vpvq3P1RBOb3E1xCD7nJtnNbj5Ix7fLoFm7PYAtLMOzarHFmUV9ErI3p9ZeL4bfTOJ
CUqbcxWzulNODo35yrODy/IfoMTGmtZ3X6gZi2vRkKUu8LP7fEl7YmXxuxhv8lYaqL8eFJ/QHv43
80oaf/MFUZvRKuuhqFXWr8Av158hU605MSHLZYqSmc1B3qNyJRQLj2xtpIFzToGyXwrIbLizU+/F
0erfy+3kPfyNzXdsyi/ks9DJdC1D/5uE7ZqFE/bCOEr6YfzUKfkHAkXkCyHPYUcSy85A4LOyRhWE
0wwi9jva+Sz1r36/IJhAz68LvYkoSOGxD6uKgTSzxkPuctvGdpIeVb+46l3e3eUlaoHFTjPxz42o
rJQ+ce5dp2orybE0UvunNQtLtXzwSZfLd4qZtyc7YOFFuVz/YlkdWl1VbBFotlQ9GlC+PdhhjWcG
LVJD7ksZkMgc2wW2NJbQlX2QlJpGS3xEgioN/8yc7rFXfOtKIPFaaOBq6JOfimMFx0gFdMOiOr3n
GUEjLSAzJhUOrOFAVdrZ8sPNKVOUYa9k7NZkeSnIBe5RqzzK/S3NFABOdCbiYoifTddggDYCYs6x
Aa2yIB1fvKp5oR0UfFcgTa0akVk8ZsBF9JTIQGH7xVtcEJKRFJO2k4JD2oQ4Fnpvlfv2LLVV6ieR
dcV9bEDUVaNyyfr0xQjo7Io2fmoVF87DPPCWMR2FyIC2Kdj/nqQcrmkaEu7G8Zczxh/yF+6Vwt7B
ousxttsfoxea5wbXntwZG9S19/SvMbIR0BRmOW1Q4YTbPsW8TZ7x1qQoNYsv0U3ZiC1ldwDJtxIO
9h4kF2NoLtrtlGIrkXq+lEbDeoEFD5VrPUGHWEHEyq/4ub9KImU5QjwEOJOtHTZkN7s0un2Jy3Ql
35XkSuFl21hXEowZHkOfopF6Ng9ptNecHZK4aV2L/t2SYEW4kOq26V17m3eqWMlSurYPIv2XNGjl
LJUfVcjPuRW8d2YlqCpT8KiGIDubifcjJBzFyGLlpkncaGJmc2QlEXN55hbzr4m4V62OQH76Nzvq
4STkef7UNH217ybVWecOf1j4os0TYGIkA3PbKUnbiB47MjEimhFYRAYNdfCMH0mEhJWa8EVTRxM9
EfSbjaIqa49C8YNELRS9g1w8HaId0QE64s1aXXeNjacJ9+qc0LOVyy2Rw7QdWKO5cTmhE8ZFJqGL
5M/tNcK7DlZNxLtiqdlLHDTYclpDvzvTmK3rzl+Ry5x9+E5MJHNE2Bv1gunuI8CIaEtQyjdmjgAJ
gJoBnmAap/IogKUe9HL0sHBrv8zBZArXQ+hLGYmI2GKefbcELpQLUg4d9w+v3PbrGMXs3A0qKrry
HlwsU7e/uFDNfMbCWxz38aGt7KOtIEL2e7vexWCW1nL6kS8jlSCE7f8+KBrq32MifRo6eZpqmbMU
UfzVNQaN0FqZ1ZnHzDbf3cLxj1MXhs8tYm9qTNPKtKjbyAIjAEKocJGjHdhnnjTVt25EVnvbwjOi
CRReou/4+BOR8/bvWeKI0fu7XGV1Y+yc5rNCAbE94NBTnOG7omN4FjaTkuFYzqWwMoVkvCx8/vcP
KNS/iX6uyjWh2QafkXSCv4n6apUTAWEZBOYiRN8DdaHu4UXi7Ln5dA2py1F+5oNGfheyrlYhnkyu
dpR3kJNig6jGLCfK7VTW2mPZo84XXZjc4qL9Ls+6TMQ3xem/Z5H3wqfL32t1/g6ZFzmIy2r8kbf2
Wx31xd3HGn8mUxvVWwbc0je0cGdFQIIS3WHwxNw+lcM3hZzvTdj46qmcszmrARORou+ajoz7oYuH
YwiCfmt30dPoFfZFNfplvVlrNnrgumYEJwD0YUyJwjWBENSObh4lWaRp2OrzKJcAlw17Xn7zCE7e
7MqmsBL12UvUKeFaZxQ5Cj3KXrTYjNcgX5vHTrH8bdUVHZJAHvIY5tzVZB20gmpR39LGUV+0fEJN
+M0j2uBJbsXUCIxhP2pPM9oBdypwBVnORUD0g0CH4hkolQpuxq6eQX7ru4pC8Llw3OhAwoJ26YiC
PmWa/kyGTnZnK25cJ9oX87L66knIk8hyZQcehezSWTtU0W88iyAADMOKI+sH7xLpVnXBuja7UWrl
pAsC4EPNTO8SoZEOpEPEYogR7gfhGjf+rAoN8msqaJ+EczU+NWN3NdGeIwzKr7CbxvquVSblMWvc
HZFsw1GH2LQNO5tigp7iYGu7FlebZXjn3vJiFMR8CwrxetdM79X9cqTOdJZMBwrmAso9uKVbseJw
s1XfxOO1Sp0PN6urqzol9bCygA1dl3O3yc4ERGzkJfmiL/+X4arQ7L5Iq2gVDvuh7IZTlI6/543J
2Z5y9dEa4oP8s2R5a+5yhkOq1j3878DQn3MVKejgmN8XOT2tR3TKJL6q7dAFzMSo6Vuh/PKK6DVw
SvE+xbS449gPjhYOseukNa82HKWfSgGeogXRtNLzVcFCIlzVfbBNdKv75ekoq5yx/FZir1lBR+7e
KkUp10BFCVApnY8xjsKzGdUhpjaO9BDKZ+jZbFAhGciGm2y9ObntQ5ybSaBl4XZ7PbHezdCaDoGM
0Q5ak8anNrsUQakXK7om/proyHSG58+YY82kKjaxDejYyxyAdrKxmsti8lR0VrfpCNe7haZ4lyjt
vCX3tTdG96iqab8VkIq2Q96r15AYSWlLkC965mnbQg1dPMbpF1mvHRvSzYfkuz0hPjOiszmTuYux
gSritv2KlicVEb1WP+zEMjaTp5rsL/DsFFn6bhpqg4UMI9FYNYL+cntoTQPIrhL+kL7U2sbXQgfh
piplfq/9mFAMxWWMMVO49D5qwgLARGeXXzzLq3ZmNDmn1o7odDi9xoNK/RE34XWg7LQfen2CaRG5
rLD8GpItmMe0bo85NYTnvkLXprtV0B4dktFhD0XgjKoXGUqhWQ9dABFJVrnlS6oE71XIzNfH3R2V
F2inpoGoNh/5LX39VmnsW2AhRLKM/kH2yzyne+pztYMlCbMs7UAoYnhyT0EysMUVsbPlXw5eCluf
+HtCEPlToY+H6lJjOcqKMfkeVox4eHjMhy5Hp6FN8ZNGnXntjXAApK6RYrq+nPZ9RAbwNAug/XEq
VlJjiywbqlkyYdnCzrD2a3CRPb6OgxiK5OK0/TEjuIWiHP1fGjTT5Sb7wWRF+utFuqn7ybSRLV4r
RyGmNWN5lfeWjZ951YoEjkqabeEUM/8E/q9kts2rda2wfJzJuMpYz19lokMLoFjnc9MicnBvMUFo
cu9YgEjdDyZVq3oy6ZHU/Ydw1nWV5T+p5frrdGjBKyWpOESMPYsIzWj65J16Q0AxBhs8fxaqePO2
Q76AZqFGT/Tf2mr7ftXmifrQRE38gI8Sop60Bo4QiIyOTs08chaYH0++X777KpRmMtW/y2QNKXiW
0kqid3H60GTeRV7hb0w/c/dRir9VEWGzUxT03Ghq4v9nJSP+9zzv2GRPkzqvEoym6XNA5z+intpC
J1IHiPhpyIa3UTIlgT+ITZaku4QcCHKbfOvZYl33mBTdSp1jxGHNmc99qX4L7Uc9GuydGg8qNUpP
3NIuGjw00F50/uydySOnjHD9iirc9zPNoo7D7L0EDSHRGJYZHeqWeNpe7V8mYABXqSHDhOKeYnf4
kGdB++HKnbgZZAebJ2uJKtbIoJuRBf++AiJD5681nktyjuvqDh/fUk33b6ZxW1YEB5FCeFJQXW17
chA3Yvxi10W069qOioVm/U7MaFyMt7CqbrrhJtSpjOxj1OpjFELXkEs5DFDRYx5g+RufTPvJ1gKW
7k2LOqQetW2X0TvQYu1K3eS3XYNiWpM4CBzFqsqzabj1ttJr76srSL3QDkkW5F9JcmN1n2flKa7i
16x28q1cVTlGnEJBcCbAyVW08gN9OHcsNiXHOxqA0waR1VynEqgyOv0fAwfAhV154Mf7tghgdsQN
egpTZ6/XRv6a2QG9ftzTDXLjlrtTOPDU+r4+R5HwoDdYA6rChNQ8xHr7aoCCYIAsPZNWZ7wp1Ii4
gZwXvkx2uyoNPwwJyG21tnvpgvLWqNasz3OUh9pJyj2dkQe5X46FvkuVnIfKj1oK/aAq9WjKHmoN
avpsVx0MMouEYZtraWjUaxqdPQyXsxwZRy8jeMhoG8hhLvDSXA9S3ISUyYNGt59zgS7GP1WaqPaD
1lEyd1KWYcSAFe+TZ5NsiHRkl6uud5NHfpzgDbaBQacGRg0ANs3RUmLn3pTOzTLT6C0y7YvEaJSs
1vNR+wLwLv4YfCNCuVSQrm0WDZIzNgeohA3bv7Af0tYaVVpKr4p6iv2WBmo8VXdkijSclLp+0436
ZzOJjmkZQi54oMq2nGjFgVspxXOvY779L8LOa9ltY9uiX4Qq5PDKnHdOekFtJeTYyF9/Bxq6li1X
HT+YBXLLCiTYvXqtOcfkiYvd5q2IrHb+yV+/hLxNSpCyDSHgzB+gtAn2U2nw9+GjXXYCznxNX2Xf
GPN/1sKrn53QIv83jZ+ipndWWjQC4/a75H4iBHXVjniv3cKDCFbV6mFI0VtLIVEWteHBIYxqvUj1
/ETlFNvbjF1wtGRma+9iCQNg6DwBkd4s/ikrqLpt6vo3OSLXas+6uBpTiL90UHOvg1xbFCB+8GME
PVE7nfGmdz5AI6bJG9YR4y1TCAqOZi4+q8nuN5SlixSyuplpHiWUpaDUAfyZe8DokXR3PrHwgN/M
JRg0K2YPR1kepAdZjfqtiDn9SvLalI4nT1OsR0tNg0dFrW+thmq0JvSBcCNsQY5WDmtwhc9V6Cjn
YaaqRKrrfBlI2PS6Y5fH7aNcB3IoVmunnuyVZWbfUR0X6Nfn2OFlKEIOXbjqB86wFovbErru6312
F6fFmXgNczeajrMMSzy/aA+xQfKOVYRIYfyxOiCTrC4hkpmtg5wM5JFxg4CKrb6yme4aPlYpA1XX
oQe7vx7VFcm72ICJqMgzJWMMMI3bem5sVHBlKbOK4bJE7KogIh6JM9AOQ8vpnm/8dytKzLcu1Dva
At14le9T+IMzDMKRgd6aHOEhk9SJBWGY7+FeuNj98CW16DWgCRh3kCA8+lH2z0h3rKNAQLCNQRpv
Kowbh0x1m3OIqWkdwpxex6OtE9XGpk95QvyehxawzIsf0r+l2HAY52elHiiHHsHDPopAPjmp8z1s
k2eTtu0rx/i7XgloMIWavnysGikhq3jU7Cso3eBZcD/QygxXipbpO4l/loMR+QDc+U1UhnlJSLug
GxfnV/z6/UYPTOdAUdxtp04JFlBfN4qvldDNu1IY3zM010c5BSxpStPk4T0OLfcbjFn/wCEh+Y9d
i7bsv3YtU2XU46iqYyGQ/lMbDbOjFFNdTqcgir+PbYiJRJ2mtQwoNRDRrtPEePddzd/KXinmGug+
LpEKA4F2FyebUc8cIcKTbLEPxYSQMtWuiacln7Pvw5hlJdosSUrMu2UfxNswbSDQhcuM8PdEBeDx
KzzawwI/8bx02MkxgTHPCkhfLLa2MWZbzYVPbjHPvs5BAc+oAs/dSLDjWLd8EkBTt3k37PRx8ujE
h+Lsxp31Ojei1CGqPvwaVFZcMN9gWe5WWt9Oe1tEzMXbCKuwkYcs3ZFOcAi0jKwdmgXt32UdzaSs
hlSBRvRuxvEUmtJuVNyCj7+vgtQjs8SpYN0w7JYz8WUCLp/nNt+3+cg062b+Sg2vSCI5hJOJ4W1+
TcINWzaf+zHSH0urUk4w+r0t3j4HjjvWbLfXoy9BT+9IlLd44u6SfYcA08Z2UELkNVWaPVVoRObf
L3HNz9xVvaP8E/3CxNzmmq+yLA364NQFHpneXhptyAWeDiwN3m4GsR6Z0Vn4K9njRpt4synIw23e
1u7ZZ+2+yR8kWooFzp/xcIWOY0++WMyZvlJgFaHx3AeK0LZ5YPk3siWQSyJCfrcMVtfZSTRoNB/x
coM8m3vNKh/BJpyfhsK+EReG4FGQhVMnGgw4NbeO1VSVD4VI7mUIVDDkKmrQq+SRyaqF3gmOQNhI
67BWTCDJxLHJHzBJjH0U0RKeZyuELOTJF8JO1H1glOle5pTwMh5dqv6O7KMOkfnBLHuGa9nIvVor
3TeonB12G6Ax3d3CCIhcojBBfRlY7Y9yGpMFCuZwMvi2TABxxFvjm92r+VHmjMkHYSGnlySIIOqK
o9xgKmek+aRr3FHxo5or3UUed8HeiHPh2N+qsBWPRp2AGiKFaZ3Gg7dNu8rfm7Sp3jltXCKd02iu
1dbZN73y1NDsuedA5K2MTOn3bagO92MNCyYqC7Gvmq30YYkRbonqWcOmhkwisWukaBWrwLDNJ0YU
oJgCJX/jXFrvhVXgWgbnQnuF8CZlo3T03hqzL/ZKWyFbAtFxsUoddhqnIrKuvpa5n1xNlHOnZQfH
zzVtu64n5nUM9aPcfBUVFcBSXoT9D1kTRaaxdtIx/WJ5YKEbLHvxQFBpoUdYiBTjFUOqc3LJqXq2
MuXyi4Y4amgjoK9bY0osjMyfKFmal9REWeTJwg/TPb4wXc8PFRFJUZyBhnZ79i9E1ILgzjlAQdOL
nvJx3m5Fo0Ij77N6J3v4Q9dZG8P0CZmY5Q1B57D3elDH545lVSLs8iy6hvIwOsWZvXPmpyzAB3SF
3hWIYXj24YovBsqcOHAFW9NWCoapsEuKLbf8KEa1XAEN/FG0wzhX3ryuI011uozeZWvaW8UfjZU3
pIdmqIEHw8HaSgndiCtlqzeuf4xOEt7m0+zbsHXRBqVW2qSBon6fmkTfd5KJ20Uhe9wwneWbKNz8
JRJjsxGj2izjD9lr0PNGXycIY1Y0ML7IP0iGZwVFs7OVqHzIquS5n5xi4WnnSfSsVNMH/Eixk79a
lmh5GSJickCcBAS6/jZzaOGdj1TqAp6II/ucWETZmj+24Ul3hfoB1MGFolHSBwSfua0thUNEVYzI
mIz2ThaaC6Rm4EM/ymUHF28DuCApTymyhT2C2nptS9AFWv8BVxixbsvfxDYhr2NbEXu4ZRlWvZG8
LgvIgF13GmpiJ14Lp31g0MuoeOb3jY3mXXutwjEdP7deHl3lt1fPVWOfIYmQK578SxBeHsOa9A40
u+MH7CH9xp0CdZfAIjunTt7iTW/VXVeXoAVCn9sq7XrSL/pii9OkvwCPNi85u+y2HAg8lprfINGf
C9F6X4vRfi4SvPG5Bd5lQjZwLFwVUhzmRd2gQ8EZIjmmWhde0hhGjXT0asMEdKdnzRDa8PmLOZFy
4+B+//3Q+vEcXF/dssktj/kYv+hUeV8HmpOGzigVV0m5EsAyN55WM+SfN01X7p8dh7zt0mEJ4CCW
hupsQhmpXYIW2Q6qW6GUV9VzZSU/pWzIjmpOcyVGpaT/4Zml8lUP0YG5dW3cIceRU6i4DuZvD9ib
vKxh5k/cIDmHtJVr2Be5wRUMxVCnAkNdLa5A11G9TVxrG/D5EYdjBKa68i4LFJluWRAqdi44groR
sLDKLayDY/E9b33jVZjuTzMcsruSCLpEc/STrE+cS+917oWaYjh5vXoaOQaRUpHuitTSrmOUEKKQ
YtbAdFiX6ouH8e/dUMcG/Eb/pnCcpPU0QHfqh3o78g/qvcTc1Cagr6rvts189rXDojhDD4d3XBX2
OrEKfd0SUbEa/Yq/Bd+qNf0HYr4JatpIuYVKe3U1hSI/NSauQZbUePu/uxq44/5VH1p8CWybmZXF
SN+bk5T/1u8JU+YNzEzJOheWvXJHFrtozobN7O6JXVmc2hwvYF0aYq+Y+F9Us+iekJbtQqYbTBja
eS7dW4CfX7n9mjuGQk8mrQ2LaCu/1PTn1GcmAcMXjpYZxnclA3HfLfpPzNB5lfTf41YQ5zhVxqFt
5yymNH5OOyu6yhsIpAdUuKj9SqBfcFHzqdl1ZtxBm8dsRVoKbCSPBDXbpZExcW5NBn9te6Jf1cSg
EbZFX6ou8Fr5uR7s5FOr0vJ1PXnP8tZaijQcj4WdT9dqudE4v+1IniF4ZC7SnNZK1wAkdXQpKYyc
IU20FSZl7zkodQS7pukuV+H82mQM4xpYxqobAlg9eIl3EhiCIu1nRLLafulwUpU2GBPwtiT5FF6D
UKUvgMkf/b1W0WOond3UoLCUfyJMg5WkEeRdW21cLSSYrMNTFdbxp6kSpBeLCZknV31U2R9totPs
lxabv9jFBhF7m9KnSgHR1SP/tJzlbG4kTwtkxETsngMj2cIJbR7MJoggD4iGponT/ZIRhsw99mxz
hPCyxu0wixE6WzkYAUvKKWl3cQPgk2Hygjcqe6mHDQlu2L+4nPfPkL64F966oonfBr/h6JuqLLtz
e4Hw5xeDaJO1nyKaLwOyTBrf/SA1sl/nliMeFG2qOZr72qmaYjCeJO41s6Vnmr0o8qFw0Zu4hY47
knujHqP2Ona8obVrQ0Z3/Lt8xOlB273+D0WM9e/GoEPL1ILWxeGDpeiPlmnmO0SEwno+eW6obnvg
sMLO1W/zheHry4UV19mb2ZafKKTgWGrdLdX16dgGpbk2tTC9WLmPfAc1TMUyeIwRvq8NS724JtpR
2QEby5LZhe39WCog1uytjHlBPhbA1ilQX5CNZVlt/SQ/CqVEKKVH9VPtUFWA+gEyWY6vPQ3ar/X/
XyRK9xpWKkT1uMHRNr9zEtMokmmXOr24yJfkg1ysK14nuUNcGC8G/7EWWe6fU3RPc23PMen+O5xX
uf7nWsS4yE9JlU/PcT38SmNGanoBS7mSMnNrgUSn89LcWiVcRn+KdoNRa6BCPR1kK1h6tiskmvmu
jljPai9XHkI8ytc6Uo4EwvkPxtT7D/kEQgGdM2nm82vyIaAXPUsxTrUyTszibCLHwctuKxKBWdtq
ciwH7rqmvJO9VWeMn6f5Wak4FcuA43E6iuGVWjqhs76OBZLhy8VtjOgCfUEKc+VB188gxMlTYlJa
6kM2Ajiw0Q08dJ7W4mspq32OYB9jYXxGyVvdpqEsN3XgJcjzGn6GzEcHUCKTbuWDHaKwi6MYe9qc
ZAe2eKOpVvjQzc/omMQbZwYB50c5CR8mgvNaJ3mZaKZXTZIe06lSF/2fq5afwtJy1CiwJwqleTHm
kXDeJMmNBLh1YyvrJARgzsBaWTdGzFWiB5taXs0/RY311S1CwgF4efkF8y81TWFCMDQqzDf6TtOy
9rN2RL3O0xxAKS6wvdP0R5Poy/uKcLZFE+Bn+argjE2QQnaDPdd+ny8mRMZ7RbVzdsqCzxn8DYZF
nDNKW9y5SNKJA3CvjkHcHe2pdmvnP/UTwmMyY0erW0dmdwWVQDVQdg3OUffYWyb6/TkSaEiMszVB
feywuYc5veQgzLBLbbTYOJvq9AOUiNhkRfJzGMKj0yvfcr0y1yn5F4PlfJnaKkft1borW/O2AVjJ
tMw+pwismKVuFL2kgKn1V13Yx7hiuhNhw7FmjK/yLdA0yp7ZbpbZ4fc2bnAhJ3Buu9E78dVV2NDg
RBnRLqoMvOkDvyMZLiONgj0QAKK+YpwUJiZtaAQBcYQtkmUCbYvGbsmdUU/9iHuagNhk4wC/bHal
zQm6qNKXvvGeIgYHhyRgwg+i3BLxWeUmmxv9tHcdTD7ZytCqfeN0tzIIdmMWWTMLt94m/QtJDOom
aev8Ai6S+4DKG98U588UOzYrkJ9q42X2FK4SIYJHztY+GQ+cZiYErFn56OdZsOsncREV/r8hKPSj
ZYGnr72LUxveyi1ik+2GGabLKL5N8uGkZPmzbevAMjldcxK0p/UczB203daO82FDwslKy9iksUkc
EXK8V9R+rK3TpYTASzjggTS875NJU3dSv5jaPTidZKWTc9URvZQ5AhHL2O/Hxvne5h53etw2B5fY
8Lie56bO9JR6McaUEOFmp5lHxvo4iALyUroiap+nwjqNeUVlYutXLVe+15p2b/P7jAQj3al+e00z
++zEeG9AcF+qju9zQ5m/6pWc9w9mQ9M2Z0+J9LVWY7Jh8d+DTrBWc6ge+y5In4HITndwcU/zvXUr
cWVg8mT1+nbysgeR/1SZh/sG0otO/5jGxN4OhAVXYf7sEQEKU8kQB9NTkf81cz+oDS+uWr/1eThc
pdRtnK8awB2zYVkrcRQabqq/CrK46Y99i+rRo+mkprvSnVR0dmr3FOf9qY/oixht0my1eR+jKxcj
GqRkdLrmZdRAgIZ+UT40ffPq5f0t1Ybg9BsZiLO7OIupWSdqWt7CeY3vXRsZH6qPIrvlXZZvminb
8xNi3sjoMb5kBtj2dCICsNk4CCA1sQEYu0Fvv+6wWPh8ZANvV4b7NobkP/83dk86FW6ILnIY20eC
6W5YlNa+/Rq36aoZJxbtlGMF+hj1Poq+lIaHdpI43uYiwMaH5Q/TuOBU53h7p9oH4R4Cknc6LLqZ
uhsGkD3RKg3ep9beO8GVYHHTX6XRe9+664rwERPKge5dvXTrJkSJ0SKLyYuPTqO6y+qTVoP/dP21
piowx15JL/DWgfoGieZrzsJz5yaPkoDUtrm2rkwfmlapPHoQns5+SyfPh8eC4ZScZjs9a/ksITEu
RnpSB7feTMWQn/OBeqo3sx9Ba3kbUkTDOw0ORa59MXrwIOSo9zEWHN3vVyFo1TURknjLzASJCUbv
ydH9x87316GbkecJ7OeUdB+uBZyldf3nWvjZlm7P26ipTP0LvAJp99L1SXVNWwV0tOuc+fapxygE
NFvPw41xKtgkVEPboG06+ICGzy3xLurEMjKWIj0ONiD2vGpBeg7c6SGxU2FdXO3RvNNVrA0VIKU2
+Vbgn1Oqrddon1AUGqJt42GVMpHZtYTTjPUxSCbzCNTkM/HeGr9Qwe033zCTM6/vUu9e9nOqEF+U
yz6cdOseA9fZ1EV5cEu1QtA2HGw7CS+q77zLNhP9VORSbqavDUaoIG26/DAlHuUb8Ltt3Ov5Y1aU
oCInodJSxC9jtwFRvQaCEbLtDCi4NdPgwjFuRpyOO4GoYXlN/hSVV7Fh3mcl196IsZn3F8WjMPLs
vLo5UuQgSlISUhERZR+J/g1mLM0zXJcyL3r5XzNPtAdNqzwXmSQ7A4FhMByDrSe8EOwT6MVp1rSb
5VjTztN9hIQuoijUcHkbj2sdYdmWKkolYQQvppyuNUIZd17mmrto1tfxkRmLp3ZsIUxw3pp2krVJ
bmBILk+McktSRG2iY0Iwq3triHDcR80i6GB4yDFwflok+DQNELFbCagxe7BENVJnoef2dull/MfR
V5tDiP+OjfG0WdSIZNOzXQgT9h9Cdp0q2MZ9lZ4biwMbtd5wdd3G3iR0MNfIpsPzMoeTtTtuu4Ng
uX+tG/UDnQyJod447Xo4btfe6zepyTLYqc1TPjnKwbJstPsspNdWNh/7MP6whLVp4y5/BVVxXY6r
RvFdCx9l8RL2PXMxIoDOHmkKZ8JJklWUEUdB+q3/lOlEcpalTpNfeHQzkvbEdIw5daAWI3YY5bkZ
+BIZlvEZWiVNAxj4+A/VCWdvnG0yqKqsS0Q2loKOlTxPcCuPG/zT3/oJqiXNqelpULVoUwh2uD7b
GFZVvSnOPNPNHFADrWm8TcUxrCrnlkaduB91siDnU3daxfE66VzeH4wpyeCoDIRbe9PP5ScWfPdm
TFdRDdjHZ+E35HnvyuBrH+Q5rmSvusq2ep1Wn0rfZsu5tGRX2XmEdjKACau1je342gYNDM7OFeT5
Ru15jDgI5zP9tK2vpQOZLFUppKBJzOhjpubhRcrH3TZI7pz2xRkMcVvaokCWm2uC3uduGKOzxPe5
DCAfM6s7NjP1Y6xEBpNwMB/TtPjl0vzft5+u/eu0gzBRdzzVc01ojqac3P2t80IofV8HuFxOvYwe
iIqupOdJplJLN9YIdXHn5Q5MFce9a7OhWxmlEn0vLWr31vnezakoQ1XZaLjq4SiHPbQOuPOG+FDU
xlaBvfjwyzNk4Jux1Xu4mFeDeI+A2eNNT+Pionm1jcaeQPil78ZHDlLMmGA7N9E6mJ1/JXIC8OEd
nQ/Fnvq1TGfIyEm6yIiGkDSmI7Pug5mEiHuReImPpcUxgqSi6vDKTVDUw1V+vXTXoqQLs3bLl4G4
5Tm2Wr0uTb2mOi5IfZvgt7OE7bfFJPiaDeWH5TvNLeph6mid9rp4bYwJJ0/j1yzwXzRTWQsXkLXT
6AOe5AS1hyvM82B2/Uq+l2ww9XrgVmd4BgtYPrhflree33OiFox31hhF7wNZUfukUcShTCL7Zerj
29Rp0EkZVzZsi6tMMjmKORXGmY99i6TEUPwLEy9crkxV/hZCtLCMWnaxlaOalNn4231psZsf3PlB
GwwsCbJhb3YF5hR6xhuJ2mhdHANo909G6z4tcwz2U0byfuVuRBUifU3hTP0KhDL1VNnJP8SeY/j4
nZ1ec9hIon3Fy/e6Uv+oaQOeOQipO6YW7gqrSX6UroZ0UK9L05xJ7BdCQXFs+FZ9W5KsTSLFgJ+F
JAu1BEYtGpKyx6217EYRVQoNI4By8gHHJVS5eUQqn1oRaTdZnfrEYWBxE4PWAmD16gcpF5GvpRXZ
UU3jfGlA6x+1QTPvfEerT9aIkXp+pjaBRVgoV5NuYfpFzrKRT30f9PXSFNEhC6x/Tx6mqmv2Eefp
pY/GF+6+jS2b0p7DNaPnUoFNhSdpmCPIDUQOwP2zdCPhoqoIaPU6TbmX1WxMb/zoJsVzXGyLxMj/
JqSVutpA6VEP1JV9HkKdJuEQJPcKeAEEcNiKYdOkp+VrIRq+U4yCBflrG+Qox/+9rFj/mvej8sFh
QyvFU102tz96KHTGXa1Qa3EyaOglIDk4s4dknMxXLv6y28Q0EzyCZj03laVvzJQRLrxr+zltwnE/
FdG40eanzFjy89hDAFeL1uZYE+p3aZNd5f/qxEOzLsj/0+8W3AvWK0IimvbU45x7r1oiKeiZXtP5
wbRI3qEqIDrJo+Yo+2ZHJjYe40AbzhPBWKiWHPUDjThi5ymy7uK+1u5rpQ+gTpfaR4pSHwUN+faL
Xd53q+6t1+ZpAJEBikPZiq1EPBlFPv6HfsL4V42gW6aK200lmtU09T9tD3042zHLsTiRC3sfh5z0
XEvT3wKkCDAijfiumJxo7WT4nsPMEgcxtCwu84NsnPRpQM5jwEmodtrb745Nb7fD1S5bNGBtbR/r
3sS7o9kKKK9uPNmZ+Vgow3QD4r1dNs3QyeojJ7eZlOBO0z0JKP0+nBRlU+MFevn9VGpgxITq7n/f
WJr5r0kB25Vte+SCGphP2Lf+2Z0zAhULA+mAJw1MAmx1Y3wc22SRjcD96Sl6wDUReswdo4+vccPb
USXZxrczVK5l9BEk4mMYi+DrfBGUTbatU73eyDNn3nC+UzIgddlgzLJBhGqSkFH05kDtWz0qfibO
Q5O4d7pG6AvZb8q2q1SH8AT6EWrrBY/kypWHSlOnQ9POmYE5u0Kq5dvANMYvkY4kPB8Q5xb8WXt8
2+Vb2fZU545rM0UDsBlajJQCI3ueeuJCVPqtk2d5r4XyQxLWJte6L3DorbFrBk9QtLolwUtYbwIU
Paq03jjWYkx3Wm8bh0CtovckpeWglOXFmk2I3Ri2t3aIv5A2NhwNo3J3YKUBfRaVswda2jxKDrM3
fFqaaaEbnyxq/zPRshPzAR3pjkG93CqPCeG0YaSp77pbNQcVfIQ3vsQak2d+GTcpISMKp/72UYnh
WlM5DJsW3BRNGuTjy0I0uULZTjbdNVUJPgNVGd8Zi7UrK9ceC70KXp3SfWB4nX0b+meV+MHYnzgT
WzaMGCUP1zKIe+xoDukoF72yje4Y3rCQygeByO0c2zSKZ+Pbgh+v1XDawoOcGCpY8b0yWh8yHrvz
3OLgh025xdCR7wfb7dc2I29Gh3MUlCw21OorCVLWEYh8CeIcCZCfKbugGJNbBEbib1f91KXrkZMQ
2mTIRuP8wOan/kfXH1DAn8cHz9JUzTI0FACqxnr7z+9DFyHXqseE06FPV0W2VlEb/LSswr0zMjJW
81zDP+PVb84/878xR/AZ0LwIokI8uTrpXPKqT6mjC5N+mt3VT+AOf73++1f8vkrAhtr47uRSUxj4
fIqEjOT5TEiMRf9Q/3VlTuav1zgDfpa4zE5STTMh4z8thZ3agMY3p3KfUuhcXccu9yRpa1erepbV
l50+5FXkf+hpc244d/6IUwGYlEReJMqMjenP63z12Pr881KzyvKqNhhKLNDCIKHWkBoE+gcbq2+T
t6wZy6Nvk12xMOhR13KCITRtH4Y5HiXcNvvCd/VroSe0R1QFFpP/qFBnt6sGzMIlMcrqPEdP92U+
AOGJh492TLa9VfCpqyh6xlIRe7P1okUMPSWm2Kd8F9aN1ABzRgq3dZ08tdJAMmZ4vJLxTenL4a6C
P/CgR9U7iBj0GkPSboOuVw4YNbXNAlwJJuwBWabtUjWPHqWKKWX8D+knJbVWUfAcslRieX/UJ9N/
KMbuJg0htjslW9L/ciCcmJCWVrelh+22UiplV0SFwfePCMLet+95A+qtVELJq0JofGQIP+uZTmfH
YQSCD8Gm6HUiGwWilpoE2r8RawfrE5v7dE7tpiWrQS3ICEVS6xst3DiXhp40JtYt/2TUPXTA5vFJ
E+YUjXMkgILua5ShZBpQjIMnFDpf4H7Xk5JWW8mOnfjXb9xhsHYCTsEpRBK6llmKc+T3JvFVBHXk
3TKcGupjOAAAzRM6P3J0pfMNIXCjdNeyxhIW213VROAAM+1j9Hx15+gxNZpB3vdEm/8BhPuGpHgC
lLV4LRsdjDXKq6qkfO5VEG9C1fpMhfYixWb2kDdroyH8xXaU8iNSzW6XR9gvFRTeT39c5RkbtTao
F97/e6n6bfkATrQfPiU+PjYRj7laREt8Bskn7khPzXXMta9ZrLq4DccDDbJXw/Afk6awXvA313t+
V+tQhbyZQM+0fPrIwzZECk/pm1t480eam4cJmx5Nfv/Yjb24Rh2tXqf5Jn3Rpe68WrHdPS4elLyH
fGbjNp9pduQHZOekZP4Q4pkNovwKDVu8zLYpyfryagzWOq65iQFhYTfBVf7NK1o+iCeZ4krOuXyI
A4Il5JXd7zB6KnCf5n+VbMXIB7RZ095wyh82iDGEDaq9Hic9GFaq0hTX5ZJz5Sm3I+0YoqzbhDr2
5GPq3FuYneHON+IgSxWjwBOXhGQ99r+GjXb8oFRRspbmopDpArwE/nplZt7HWek+/kch4/5RIlMb
s2QzslU9E320+2dNJ6Iwj6pW0TFrz8faQIVUaLcFzNHUC5ubGcABUqgHtllDPWL2CmbwaOCEQCzi
Lsl4X7ogZ5Nn1riKKg+IRFMlF4foH/pmq2U1a4d2vBWV2R9tIpL2uiOKB2bqHJc4ep1BNrdrWd40
82G0gVa7aVEobfNRj69li71ovkVaOtPIw7dWSjMZv+G9dAvUnMpYOjBczLL77dhiEbKYIqymwAqO
DrOCB1fy5axswvJRPOCM1r8VQfL7gh4PgrcCYEAYe/HJQ5i9djrNeo3LZkDsnNe7Cljsq50lDmqG
3D2OemS/zojolTJis1crn1NDo1mnxHfRYoVa9jL67ndGqswNBNJU1UmbfRA43bWoZpWhUlxsK0Je
kBrNHu+f8dLEXrhtar/Z05JHXWcYjASL4gDA/QcVnrnrMo4LGzT0YBH6hHZsbV9+PxSpGaH6aIgs
/ecPGm28E4mZbgzdATTmAjKSJxBd8fw9enDgHq5KXsWkNm+V4b4mM9HVR+5hRFlywjOuHUjzWMRQ
8RRWK2GH6lOaiQ8mvXAaFEt/p/rGoDZEX2nFhzhaTO9SuEUG7aizz9IQKEJipeq4RMBPzKnQcM7I
ZqsQJqvK/HThiQiEVlk+2Qhn2h9Mmv0fafKiwZL83oZU0lXTfEDxMNEEU0fJB3++ys0CNMWoKTtL
A1hYj7hvNdUlkhaj9iPaxXVZ1vG9fIle/wxIFlWyRZHzSR9weO3s9ifqkPRnaq9BXpg/6Xh/mRx8
GwgLwFXOzdBo7tvgUudwLcYjsZKHHP5kSN4i/3rddklrCssjbG+2UernjfwHRUqqQbku6EnMn6qb
TNV/6AQgRP1ZeemOYamIobAWeS4nkn9WXoj3B1rQaX+KHCM6DQW3cTXegqh/CMYYXyeWvxAycGeQ
rmk3+XRvx1huslK1drrX+hTxyh7kJhSJOJo+5FURqeNyFf71mvzpQJfwb78uSPJvKNS0s+MV42XQ
QQ3XSV19YPqjJLby4spy4Z6TiEyINmMJCXzlNbXG4WooCT2Q+WlXeNPB1nw++Plpa/TeBmH0d7jj
3hocof7S9CQZwJuoD1JqyAyFp3hQiZL9nhLjBh9caRAVVHG+x1oy3MsHOujJOmWChM0WQRBmXe/O
r8hK6OarSrBtJklU7+QPPAe2Te7pGmkgSUBEPDm6Rjxkz67ZB0fweGyd89PcND80UJ4DJaB4BFFe
X3yUABd55c5XQNUcapeoV4imG066yNurMtwkCrAnf2br2W0LQQWNv6YIHZBfNm2IaE6OqvRu64HG
yjvrzaoQb5dez8xzbCRPXSAakEP+KqbNwfjC6J9sbAfrSQTx8vtJokNGD/xX/1JzcxNVGYE3pK4n
55DoopvfQxF0vLTddzn4VpEJf9sCaIIePf7CGoVe+us1oled1WgEaFTRmV99kf79oSHKp/Gb4iRf
j2v8ozkk1mM4CbQGQdZsgzn6LdVB8RBaU576nug3KppHNWtRUqZr/PlMgkK/Piu5Yb16SMtkhZlC
mz3ktqJsW7zfqF16dTvM6W+ZzTg+7t1nRYnMZhvP9xBG1DvVjaAC1JXYSI/8b7e8NM/rUzOdCUcJ
LAICllrTHB1xpxXpa9OpRCBPwMGUmYamgXjaurZWbuhkpBudwxxRC/x0apkDuWN0VDjuEU3TJfqF
W/je7tck+w6foVMy90vc5gSv13h0/PpnIlJkvg2S/UEwm7N78V4QmLKhY+HcqOB1GLs9xsBRvIOk
THdibl0Ytch2hpGmO0ckw94LURoKFtOV1Xj5TfHU5M0kSWZ2eqFEH1ZEazEjKCLjmhrJtDGNuPpg
7HpC86Du8iwzaYaiCbPDSCzCMPlUZdq8ovpc+ZHgHN30NV9D6sW+rz4Gm7hDeCHZLhQU2KpSqps0
dNgHg+atRlK4r3rUZygZ+ndTzJCrWP1sW3XakKaknscGQ8FgJFQKcyho2mPsWZqmY59lF51IjhXK
7on3grxpkALe2kjz18Sb43nUvyR6hY/RQijaU9QLENssCgdpmdSL6QmvNNrUgJuBqmNWsMM3C07o
/vJjxChIRmG285koyzOBst1ztzK+0R8S8tRqMWxtSRWb4+V+/wC35wCVxzHvOLeu+ipM7lwV/oLk
+v8fYWe2HSeydd0nYgyCntvsO0kppTr7huEq2/R9z9N/k0BVPrb/33WTB5Bcx5Yg2LH3WnOFI3Mj
uy1wuxdV/yYKEA+t5q66iv6xh/zr0YgZLXeW9jKalTWnhLMvg3m7EgLa2Famr7FlQoaRrq1E0d+c
Crlj4Kn1edkfgOpuOq+8wFLP1zRmwo1JcfBZ1S0AyJ71FR3SJY7qXasZBw0XxNlGp3q/+NYSCOw7
FSjNR1NVWNPZ0W20/pJ9nCtTuqLGQmdBCtnBt3Xr3JdDenDpGRmd9uLaIwlUsfkohYneOOzRncHC
MaeTlmQMqdTphrCh2OilwDqBNV0w4c+uSWsD/89Aj2kiUT9B0Ya3OqfSl3W7o8QCvgPRwt62I0Zt
uUlrgrR4CEpusIJlijZR88xITSa/NxXv9VTU6p1bW2zbqaJQJlD5Uo3nKyNIzzaC9VU5aycx+jhn
3UQWnzqa9+DX4G9KPYeMBifbx4549lQkGvDjl+BpxQD+OsLlSOmOGkle3KoZzqCTqaWHTn5DU9qu
KrOFYyVFdUGNKURrg89yI6sbzXtv8Yjlyk2pdIUos2KnMq+6+Wg+bmy1t60a+2+unnV3ZetioaAB
d7N6CmnM/Gjm8+Hs2xrPlw1YmjHXtMoz4jcqObJAxfCWzDF2yZxqF+dY4NkJOWsaFPqGdAxjIycS
ttc1l2EcLujo7nNLtF8j5F/yILfyXeN6myTWkqukWIX4iQARJ1eiosOPHX7rdZhzWzv4S7fivQcE
5a2DAbCvJyMl0I2Ote0awzqhC7aJgUrcjaTcXRL8X9sUvd4ODU57GKyZ3kwDseah2zHCnkBt8m2s
mw0bBtJpQy25kw3dsbWas6UY1koOHuUH6S32WTjTpVVx1+CpFKuwqAkoSDqgpanYdEhEv+UVbnqb
Z8xWronPTtPEVXab0vFpvtk+5WnZ0E/wwielJHWmqBFDuyr6wH5806AmbaT+v0RItkoao1gY/PPD
jpqrW3edXj0YQslxNTfVJ3kkEvvjSF7riZPnNfuZd1r32MEhudMsVI3B/O9WbWzoMBTI1fOroxWV
zkNIfgb/Ma341DXc/ale5Set94f7j21qCk24TMgDFlqS40yxH9o+uxap/mGGKgw7vdN7QrCkxMEI
cwunR9bCt+vFtY9pVvQQoVYZXqWNbBV0mqddTWwt1eidDNP/KqNwfVX02wgk71aymUl2jPYfSJOI
oVDYog5abFxNV4d7mzDBdZnXNZSe8W/4DrPllxGzwryCaRo7MXMeu5aQMy6OZYvjgrLwtUY9FxXa
r38jwHwEppqjAf/GVUpGoh/67t9OQU3mTHq7SdC+Eh1Ov3isjE9ytz5NEWPsvt6Pk94cCt8cF550
nND1rX3uUNs+QnqYNo7Hm4hgqfJhMAtmRAsieEo/B579qs0Qn/9psyL1YmGCtmRdVd6mxFGO6O08
O9sqGFTflKy+li10QBjAd14SGvftHCAkfOA6gE12YAbdi9tDPg9Hg0ceAOrsAemxTZhlVx6WVlc1
QzIye/rLG434Ysbdx4elJfFFXnP0YT8Ec1S6W05/ex4GILnOMk6gVyM9HXmrX/vU3f5//xtVKNbt
aBI8EdXVSiIlffIk2BM+KQhDX7I6+jLGqfZlPvBVTaDu6vSjRATXsKSRElxLi9Gg4hfDsScYUQlo
m48c5Fr9uMwpYxORkmWxFI/QfD8hZb4OdVD74BceJiMLvjej85emlP1Jq6piJaPGVD9Qds5Y+2t5
mqSOO7Py3IfeYG8ZzwW3nlbFve0N+ylJ3TtZWapDpUBrsrE0GfoXWRjiCUiPvlO3WBpnYp+F8KnF
Qgwy0gxXqumZ90aVvTNHKK8ij9Rnoms3Q1Tgcfd4I82YFTfWyzPGA/9oBdMOEN14/gXhLK9lZaZt
vDb4/h+9E+33IRBwakNXZycxLb9fh0ANE26GZSi/FgUzUrhureaR2AVDmB48LELrTsaO5n2o7WV9
TnLviTrAP9WGUW30cTQ3RtW8WkJvzlmvnxdHEYXbRcncDLmX/SZ/p/KnGORc8ib3zUOjc0QtTEhE
pnjHtiNqfnZADrPlcZo/wO5tayhGd7nRnUQfhg95rQxb4qXDS1lpqMYii7aUCmEEe24/t9AIbx7w
rHXquasdaxMF9FNyhF5rDBnJ68fRt2V6PO/fyFIrPptBPTxbLk845rtjHZXma5iQ+szw5T0qguHY
gmyfhHoHWfW77HQAZVTviI3+Lhsd7KjBXQa+edYgmksIIXYscxOp4BfY8Lq7qilzOmeuQG2nPEW1
7TPE9WlFzXuoOiuGHJVXjkmI0A+TLHimLvFKqjaliNMovfBUddZTFMfx0cSEso1G3dw5flXSfwFn
yXQIGrDoh0sYZY9h05BPnpXTcQpoaBoBMiNUpaj7fPInB13HQZc159gZvlD0lhuBUn5T1sUBaTm0
13mU6Vqj2Jtzl7UFnLSTs18n9Qo2EPiJymjkmevLBzvGQFlO08PE7OLOb4fPWkIeoJ2qs6ucX4j9
qUzr8j8SwjT1t7tWt4G3QP8waPkAwvsFz1dpvY7gHfNIURQRAcPjWdJuRVggfykK9aRbrX1FTPjs
Q6tJFQYLUlFT6URoL/IUNij2Xcdmpp+FwYNFLBp3T/KcI+MNmT/wuPYswRzR3gZLhvB5LQw/vFUg
/dipJQ2Uycmh6Rq6dx6NFugnWX2zx97Yg3kkpiQwaVe1s8CE/oDLeGPcqSqgKQzdTMY6QN36lOsE
L0zT2zJmLeYYKU9jAA3RGa9be282xOHKoGV55CjJE47hfm943XWul0bDUJ9kvTSfNfgvn+Q9OZ+R
jr13InM/ODyU0kKiNoDlEmoo2BGkcmJL++ENjXGnpxP7ulghjzNSWu2CPxOYmMOyu19Gb2b/znNv
HIbww01eDWvGArRT5yYHPyYDh1R80AC7XCqj+Cr/Yh2xU3fzmYbRadVJVYwVAoohndvZu1gyj74V
uFcymjHZByy+8AbaSyU07EYq3CD5X5GnMcAdXLLh9JqX5bjrRQpEy67PPfOKYqVW2lisghidO7PU
PD3UqriXNRurSbODbgwVPcIBRtKPs1sWAZNcNTqDRIXUsTYeEYiJV/SxOxnAYlK/yVflskcbognu
8TgEb4lPUAUChr/CiAjgcuqT+wgd/6GPBD4vqNzXISWYIZgr1aj33ut6NBGJpPYal02n3CaXfVfb
kGvbAOXx54WmbMRNh1+78yxdheCuqgeFQK2DQiv56ruKRc637nxCga8O9vHnoZ03tDqlHSRFbvt3
YTvpyev9s6RogYaq7xWrf82Is0rY1J3zCipn7GXOwUwJfWAE4R/ls5pP2c4qYVGmjX6Vvb+GkC8D
J8KTBi7vxeflhQglxLbNJF3L2v7iM4xcBsdF7r6Ppkt9q8b9BUiWsVZtn2ITI2dG/uS1FbzsSSwN
a1JlRksvV+p8GtszNzttK1hhFLjbEUu4nESrmvq1sILoPwQgjv5rrxFkEPAEkIaI9FxDzF//H5Ue
Y3GsiUpn80bxeHpjXHmNb5GJNedeRJkf8MJy7/Vq9C9NSKN7wWgH/ksYeukNkS/+jn+vg4h5UfUo
PBZaqi71n8ubGgxLl55koAheYlJRUmgI9JhuRhF/qTlYd5Pr7BYfbMw+7sJDTYHlklWXTOlT10EG
MMcx+tQbcDB9Hc6ZPpDqNZ/VWvxxPbEL/dFEN86YL3vtQDMc+8aEKzifZrRV9po33Iedq1+VbNSv
JZmWBzdASyevxfMXSgV1vmgL4LMNlI5uCtHsqF14KLx83IzxhNwvio37ICvIJuFp0O8JgEC/sa+T
yv6rz8SdgdXyqyPQBf10MLXTckVwYOs0EkYnVDZ9yz+VRkx+UYymApmNU/I/ihrrNyWmoVnc2JqA
3MpIyPjl9aCT+1wPqUcMjTP2Rygixjnx0/XSBHcGuKVlyzhCTZonMqPijUNI9XJK21Y5+RhlVkqL
B6epMVOzIeckhQD4kuL1Ueq7RarbjmugJu+20SJIY+Ygdk4AitRoyic9zq8Ob8FHTa/SW5sHRyUe
4mdR5ieFm/LA/WHeq+StbLwu6F9U9iorshn6v2GV8/Bb4S1v02odaM6E8zPyzrnhhbupaIcH0wxA
bmU1y8V8NCgZ8HaLIUjZW69LG0ItTzWYj091lpqruiT8xGgRJdqOe3QznUQGGkuyu+Sp3tvokdlR
zXuoeJz8a0dDGrHzQ8+wAFQOj2klaUESn+C2xGubZQQ/lFmf4jmnZPK7JXcMGFC9xCW2g3fS9A6V
cs7e7JNmsfmkw4ASx9PXbUfxsJJljSxwpFgo9ijNTdAmsZUmW+oVWMZzrpP88GGQbvrAZtya9Muf
/OFqSaQYXfMmmHxJEOx6JTi5RVzdDYYSPUFb9nce998m1rw2XptN267yJJ2OnZLsEWn2N3uONRvQ
+FxM4STvmH403NLnaUgzGnQqT0TamHdp1qhPlZFTJhYGYwUl3BINp2MVKtS9HQ4DCypSSfkxqV6+
A7bpLwkr8lob48pYuuNVzPhQlsKgz8XOoHexBqBl7iqtCTdKrhi3oTfv+kFo95K2W4MhxvLlrHrR
x3dhCoRN6a34TjGQdtNlLYeCAdPYfJPquayytyFCtP94pn7XzUEItjHEqipKMZM81J+XTeBcwK+R
35/KLr2IuUto6nOuFca/rXxEWqtQdormf5z6cbwJBGW53tjn3HWAUildsP33tOR16VsakKoUyVhk
N/ZdMH/II4amNgJzlhRm5/LyZHbfZ+0sPpokfgoMIh4A0D8Wrhk9yQ9j0MCWBeyo5KlSRMrdn5cV
afv9yV5gGPq8TeKdYTBn/1WJiVe8qTXNc0+EyznbIlNZIIb8W2UStFl6tf2MWLjaoVFjtDnabFsQ
GW1y0xne8Rrc8x7Iv1lNfQdlw3wPim7chGEW3Nt22kGczcuTrgNjnMmmuq4N14jUJHtWJlgd/WbA
pd7WVxn8o7xJ94sIpwBGszL8vtOOkYl+oo4Tvty329wpxZXKd03iuL9yqvKotXbCTf9PfKI8EqIy
Nh3TJnjzZfKQV6m2j4jcXtGzSehIIllb+RUvRKOuLvLaSP7D0dEJjqvssXoYFfFNkhBG0Rj7SbTa
VsyIVBdCGlEplbsZiwQeW4PTwPFoT5Kg8fLzn8zKFEKbqWJ1s8Nsn5ZjTNqbPqeCkZjnEiJJVFVA
u13Qg59/2VrZD8dUgLOXd4K8FvQkTWSmHuxMqzcOf/61C+33t4nJy2SuFlCNQtH8pWLoG7jusYO3
dpEXDC1sEVitX23HsInNbNyNEguDaKBRYQZcVXtJOgiEuFRyRmtN/qZjUdrT6irI0VCZjbvhx6l8
diBK/qMzUH3cjoNhkwQwj1vJiBIHQ+E3aQ/hI+NB8stmi4bFG7rl3iCf4kuWGPYq8SztoVYUkOFk
cm1CTIxP6TAP7xM/PlZxrz7XWAVk1Up7lBKlzYeHyXumTxst9TsAIAQuLoSUWeBJzFtMtjCviiol
sDosPNII5/cIEVX2amnLa6TLyIoa7AXESeCOuxEayXrqzeQAwpmB5MxgSeOuPKVx8933tfLBA1XT
mnZ7Iw4baoaYbb3zaTeG4wVY0+flDLzPTQ/G13ZiZ5YwUtgbU9o9GyneabBnxt6aT6MIOFhFc3Ut
v6qpFa77jNCjolfGtbDIFGx83T6WxZDsg8r32BTEKC51q4MgR6CArHNbt+kvOdiO5bRo9ENXkXAu
SSJFH8IZNAk1TgO4HhYyRQn7c6ghaBOPDyHkQQa5czdHiPypF4TPspQeZRlLq9vfwnErTzbjsj/f
mpL19tOKZNK3oXHLRlJlcfqVYKpbKT1CW+/PUEyGPPPObTA6zGV20oGk2l19gF6z0m1+/yu5mOTG
CSVFfbFdplbEH9PGN/ScdqIT3yZ1zHml5MnNH5qPoxx6XO5k2V1lQgvrp9bdLWwggdiph96+9kK7
emxKLTjZbR0uOrCqd1IcwZGykc1ZZjLpaqzjG95q5aC6no+TnapDBiEMET0ChA+3VLeMo4+peFe8
/PnnZP7e5TJNU58bXSi/TUu4cz/hf4r+smqCBthUeU4Dxj+T1jdnpHBaelZ7O1tJiY3rhT7KeH52
WcS4AelbOQnxYnm0rqu/Hb3k9oUVx4B9s6y+vIOujV9b/MIdhHazsJa6HZqxvxmYoTOcafNufHFO
ct7jB/6raYCxCWLy3JNCyy/kv9L198dgF3hufa+2ubty6XhV+RLk+8HxkJtw1OPxUco8jSkrL+xV
tz5BFxswkQEsOFN9A0a7QoVrfdLqHCtWE73qfsV01Ynth6ZuHy30pNzBvfFU1/F9WRALOjpqubHm
xKcy3w1B1z4lRl0zstDKQ5I03hZHVXcOm8m5wzlDHnxNe7QwsNBqrGlnbRjoss9jD6F4d5GFXGbZ
VIdZf5TIT7vsK7Rf/V/mzFX+kZaZWN33ZU8NwUNWljJoRB55XhYfFs2V3mMg0MnC2ABuwgGW11u7
1qyvBlTJYJd5hXMu5pm/1FaxKXukIQmVHQoEsULEYARloV7lUTQf5V7xXvrKHPBSH4M5YpNZXXZ1
bROyb81QE24TZoZQbAfej8HW0MzvtG8Z0Pemjf0I7aTbJBP7AlKbtssKOBViRN4b1Q+0/Eh9DMmF
Dn3W4ylQ+QL905UTm8YtVimWhtEbNtKcVhmKuW31EGhdbgVrSUUvrJF/59SeC6WFzD15qDgkS7wX
anYgmjZihBiHYmUMolg7vZc/2T6/ECUKhkup8/ccVQsUgubtpFwwjWJzlSTBZ8cL0YCVs1UvSr/b
kIPJSg2BGlZZglCjE9auHwCq2WmRQFxpn0PdG4mT8SjUvcLyVwvkC/mntUSnlKFpbnM3sEh4T5oT
CY2HH7/g0DerbeVpHemAAEqtecY7KGp5l/GkyUsCzPfadTBmyjo+mt2ZZemaG1GV4V4UWr2JR884
dmRJn4JU+ziqE0XBVqsv8yPWcx6ISG3ok7EA9UXwoLipcZTiRtnCtLrgk8dcj61De616CJjOxG5N
/hzk6RD0+2n0j7LXE5pNsKGkxeAExuBWdv2zjWibd9p4COCPB48gYAiH4YaGGb5FlePfmNwXT1Xy
lnnOTRonuyLwV1oZ5beagM5aeKfB9eprp/aEJYRIlpYKAgfoV5FT3coNKX5j5TKP9bKv8ZDWj0YH
KbBxynBpSZQi5K8YxK/OoL3CXNjFit28tDfpxBl8y+Fl1sNrnI05Ztq9I6Ma7h0bLCPWIfVY+FFO
a4AFavawVPOHvF0j7D97t8ROD39oRKFqWth1e0GM/Yy8jbEak1tSn21pWfSszaI66S0RXpjoVo/y
Q/OsY9oyeaZ7KB745xC8XUUIwqdUv7SuEW2IOjjIBbDIy/a0dBQJimbIZVrAiDAY3ySAvNdQBZa5
9mjmTbZycV4dbG73XYS+70zjubmozJG3GGaUp95GB5bVQ/WsRCF7o77udwzRq3UDwWgTWPq0L2Vy
wXzalKaAYdRuJITdY3+JOdA4u6MZ7LyqF/tQdjbGImS/Uo0XCXw0C/M+UGooLVoHqgzmgrpOdXQt
SUsaYc4CeRcH4bAJyyC4YHnWriJpUYXMgU6d110UCnNFGfQv7MA/ywMl9z5naqc/CmQHKwmdtQSK
4zIaTj38PH6ESYQzJKRvKLdXYcaeNFPpPBgdXR+CzAC85GjubWwvyAmiCNQLtf0qkQf/fokhrJnU
z+zL2ueyN8Q2qPv66PuR/5YLGLz8UwDBRcnJKzX4+pnuoPojTyXr8PcXLnwY6I+ygqV8tM7kxlbG
tVGcu9HGeCGD2HgvFhtsPNFG3it4nNHzRM5l7iRE0IdwIdfjRQcBij03gEXUlA8dLuF9385Y9V7c
I23Xy78iJ3PuJUm4iHrzmhD01aP3UlMr3Uu6MTmbgb5qOtY2KEcD6mvzabFwtyPJR7ijzVubOO6q
8uqPbJoh7UNSompvb+L1WSOmpA8xox/lhwEEQL5PzYRhVo7NRsacy2UWekD90GJC2DrV8FJpIEiI
Bn2QHyCSHPBCGhrrf69Fdp3cLXt6ZTaB+3BLusQMUcr+Y1NJMW3g6v33K5JoRwNcOxMgdzcj//cZ
SJKPo1C9TpFvnaS4FRceIm/SGhN+YmRjxjcfPtjaAP5zWnqzjVsup8hBs00ymWIn8Ps8lN2rzMD8
kY2pw+hbMa6BTJjXL0HXGU8TL2QaGhvKb9S/k4n6phmGDn0HunOGHdXJU7ruXn5vTNr0rrK0nTL4
5UZWtZZDmowAUkLOa3f+cT1ARvTjetmg1OPpRHhIWo8VAcPxlDLeyb+/MZ+6YxzvZHPZQ9BFRNej
Ryt/nzUi/xx9k/9XWqpnWDbNYZ+TosrVpBA4PjpFvyShq27JuoCGRf/szzWjkE3Cn4pry7VUJsem
TUyAaf5qB4oy3RiN3EzOft2WL6qJSk0Vsf8qj4ixUpZr8sh31fXkBF/kkwtalXWzcozlQUaHVZ9T
InpWFOeXxZdNvz2CD9wDMWFPsZc8LqmfB18cn1I9vGkzilauRcZ85CKb3DOoZljRTcBvHZ53GQvc
uqpKPEg+bH8grelxCQdfGiXWKeCx3U3sdF6q0fnbJ6fTyecIulB8GsKRWDrTDu69OhifRFE/y+vg
wLNt1IUteFzXeWF/gNnD3Y/1MNxwSJWPfR08Sf3eCFf42IbikbZIt5KbjtCoiLCuw+FOLi2LH3sp
mPXwGU/SwZ8Y5csGIt497PCRUh6owu8rW9AT7pX2Natu1swfr1TNwr4Bu4n34u4jgkfiYnvHrPZW
LOBdldH9j4bhmIDKFWUdb1LkBHoVoO1XU2/Yidi7LCXpXIl2WQfHEe/4yq0L3DOlq7/laujsxqzt
dpWUJvo6mSeausnKANVuZlSAePjonPHNRFiwXuq/RLU/23abX3NnqC91BrK1nmXkYRRCRSK2Swmb
q6706swi1Na5Xgd/qRVJc3qovxVmXiKAsT73oVvco7nzMV3f2kht7xbdzRBiIFPHTvDy6RrmVmBL
NM+m/ibX+MGwDLFeBDd/vvf1XwwV3PiuzXBVRU1usbH8lWTgAE5TCIcFpJE6w99T0ZFwbsFjFhwZ
Qc/v2+ozEun0V0c48UsWJDrb8R5DSBUSfSpHfH0uzEuB+Q0EJTUkiSmbombqLY+Wa/NXM3nt5+9D
fMOgUImzbUom50o6YKOiiC9x3T38+Z9q/NbcsdkS4jHD8gfpT/za1wzUjqAG3enOAP3tY2qPVBLo
vNdprSLrxOXeYSJgZGuM7+kcVBE7+rPJaPii5oMCetY50tCP4JrOo6353RCX9nRq+/ZGlfxxKfTz
K889DyO0kLvRgGMH+nl8F53S0/Fl15wp+tUTdJXRpFkXQNb9pezjYjtWlYp4wr465FD0gKTfWU5J
Koqz76PTIDDOwuc//0DMmQ/607Jns302cMsarklr4ddlT5gWg5PRGM4FUBmaUBXbyhkJ79nDkQgZ
5a1ync/10H+WVV3jRIe4SZ5kdm1kVuJkF+53uaHWMzM8Dl21iw3y2H+AoeRRmkWYTkQTbkfLtsqt
2enI1UfaXlVfozv5V87saJ26bybXXslrY0tib5Wp5nEoC+2F+7LTX+Thwc8qqiI3hxIyjyLkmuq3
4zGsQ/0sF1evGEnBxHt7YkN3seatpDrVN0Z30VtqD/2WQLT/ENg4/48fp03IDOIXm3BP9dfmoedV
QBZg5J8WFY3RqB6SGYEzKCbzQ9plYdG9h7Bor+ANkg34ZN3aWwYdtFHpgUJMTrHznKS40VFUiIrO
IbWOxQ2mWXHL2oYF3XpTmEtcCj0+5VVlOCh2ab0EQHc3ckfhZdOJLI/szldaxMW21oByg6/H93vT
oL7FGXD9VhtOcitVdaa5CfHGKLQoC3d4D4P6aQgz7xGS3NeuREfJ68Dc9xlBck0LSFceVfORJCyZ
JC4xp8GWKCU0AKD5/Rq4cDIPileCAHLrCffVBYeNiJIZnNHY/j39zXPZeT6TjzlMVBcA6/BsvdlZ
Y21FqZIEN5+CYxqh8dU+6jc2CrbnjMwfwo0qdbNQh2/zmeyq8ivx72vfBTekA9WW4/CsFc55WVz/
/NwI/TcTi23ROxYOzkkN3uWv9CF0rU6voLg98035kYVweuqagGowdnfIVeqdk65kRVO5TPzIunkz
Qnr6WTe+1X3zd4H9hC2Gdy+Rj+SWpVsXr/tOcXjfj72Y1hLkWWoqlvq5El1kLIZwj8rE/FrOqS1T
PLA+p89snfOzTRZioXq3ZH4A5YckGHlV4nyIYJpGA7UF6G2ndaS7/EDoMmX4qJRx1CFgTkaquJFQ
6ALIGaE/1aUKZkrhbE5rHUJtm6nmPTrFzECLL/44JaeK8hqll4Ew0deOY1JDOkBe8dEjUrM+fJRp
MiiWrrrX9/tsMP9qYLVvQ6fx4BbOLoVQt3CZYM6TT39r6NfWgh8whN7XRC0CeDCM+Yp2HB+hDyxD
vlxYp+UVxPS0PskeAxQM5Tzp6sozdaPfqB1zwVgRyjZLTglsrqcARe7aL7P7vMk7UnLc4Iwsjg1e
oXtvecHLjmzSz5VqWytfm6o1YRWQbjHWncjLJExvvo3lh5eFYJ9M64xij9pBL/ZKru9F4yPgV4vH
OBzvQZIrr1PqjmdAHiSgaKH/JhQ12vstOn8iHIOnyC2+5NOwk3pdyDXVpsF6Paae+oqZl2xHsneW
uxgPHDeR1sP0rBzyt2Y7vZ8VOJk9422aRwhT5Jn/wY74PTrLVYld12mN4Zm3KRR+7qdqaei0hkNy
QTW4yXM4zunvBaLLSMCGSw3t89DwLxNtGd9ycriZUbLgAh1nQDs49oc0HglvtxtSuPNzG85Sjjop
9A/eqKVX2Z2rY8JoMNPjxzPyk8TzgOtBU2W56nmgteYB2ATsH/vPCpG6f8uDvHnuSNN4Iu/PXPu5
iK66FpjQjCrtIFUzs0QGQlIFdLOoHwGt6v+xc7B+W/JdgbqEKZVt87/Wr0s+NQFWrMpWzrkgVrRo
3gmJ7uP1MKkBIAmUyct5VjP4U1qiMil3+ovVNq9NGrRYzUDAyQXMxyF0bko4cPIU/F27nApnT6or
kL9QJeMXv91V1emQDO38/pjNLCZ9+hiC6JvXZ8peidDI+30fHoTiAxxRnMyCNYW3gUaAt3jP4Qx2
V+PaMaGttpbpe9/CTH3K4zR7T/OkRUoJ2Y7YQRMrGUk6rS7+7jRDfVS6dCbARMqXRCsh3/fet5g/
GBSeS49FxLtMuUkxu1MVwDGdxlhJ84jecFtMQVrtXUDGf16LNe03kQ9teNAZlHQaMhCEID/fnxFs
3LypFP8yGvz1kqgnQoI87ks8IuobYlTkSJKp0o3mVXEYKNF+hqI3t7WoWppTaajf5Jl8ffpJQfR1
ocJ6RwqCU/qI3yF7rCzHOkUhMYs9DI40yY3vGd7hQiPUzTPyL4Vyl6MAYyIw6heFntcX/Oc63Ry7
fe4o4bY4W5RL6KjUQYW+LUot/NS4yU5WW5OrgPhVCkxdSmuffJ1ROkpKZTMKBJjmzPCVpAgJpdHa
hHFL2JzAkzkrui18szeEMGabXhwCnWUN6uER1VL9CITH2TVRoa7l2j0N0yHVy+Ax81vwfvrwiOBa
W6nSlLR0KwHm8tMEDoqo68XO6y/BbOaJJo33vofi39GUXWlGJc059ONnD+FHQun71NPt2Qobk1zQ
9skRwzqxWW1ICWs2tMpi41HDhNLVmv7CG3UfD42xBAmnDPeStFjjeV4h9CyebHU0TowTEbvODbaj
0MP6U5/58LjHyHYOoIjqh8JM2EwqbKljO8CjCORylcTYFml/nZIa8vkyf0AItfdLtn5KVrqrGr/y
Qcy/18ppj4PHm5E6IQY/CV3Zxoq9jzThPVnsCVcNOaWrJTFL0bJorw+uQwONbOgSkPl1tEFBqj3O
q2lytasznHuFH9TQB7NngW+InaeF6IJnZUBknRsbqJRPCb+ps1S6yH2sGwCvnWoXT4FQ/c1kE1fg
pd3OhkP53bT0I+m+8ReXIQ5Rd3b9VFnZIZwR0HHUGockMJtbMUSMOA0eNUlXaZL+WpljsR5Uhbc1
eUn7InSmo/An5V7PqnLTduHVypBJIzFhzM476scqnI2UHnhm1TtVb+Odr4YtMeT/HDlO9eRq1X2d
IcDsbLV+inuvPXZtZewMMD69VeGdypy9tIhBNv9qTfH4UFaie3EQuZp68mxWxtLSUmqWZUFg0lYg
4SzSbJepXnKq516u1gG8VLHDnaQPITMxkFbggSFKmTtp35QfHRzpbWVV2urHNXlkVG15ppN6FBAa
7iJnHPdNlljnRYX/5/VH/02e7JIqiRjG5SUDn8v9RTFQOBbsDDYtZwJVwKE0iXljD6yf9JQs1wXp
PV+zGwEZ4lgnbbw8zfKRblBjHGLVYG47P+aFaaIbc4g9tZ26OYcz2UHarAbzxSkcbblSNPZ769Xt
aRnn1e7FnxCB4yxVtljJS+x8k03aK/MSSSSSbCKIrD3kDx8XTmpkh9GGs2D9x1rsztDNn/aT6CZM
Jq6EiVtMHCS84X9Gr/EIwb6YnXx4lh/HDFSOiq/mKHfUwp5ooYvmBfaPwWpJK0teHzR03EU0Nsc0
zxDNNk5HJ7R0jtKtJX1bbpBOn2crF6FRxbsNE+UAtZ9uj0UMrhOaw0M02uEO2vGAEz+IdvKanxIt
HjvM+my7BrKl0dXK0pvjpe4Tw69D3RbFG+Nc60y3hnFZFhPoNTUWmL80Z2ZsEtcSTNqWuZNyyqo0
u9NmUNjgfA/mEsyQSQXRlLCLzent4sG+dqEV3cMhXNNHCDCzcUl+GE1ebG2zx2D47zX5LQnAjSia
MKTN19VCXWEdbe+sFtKViO3hcxyDipRZtDKV1vNoqqg9l8KYbbpGsDed0je1JsW88QnZqExkFvOI
Un7Q0qwfIi19d51BPWpgko+cfY51w1Y3of2tqzFuYNDQuv2ANBUhBQhXs6yUOyUsT39+UH5jkGF5
0GmvqpZJI55OjP7Lk0Jd2DRKHNhn0tOt/SKIHZVuto6q01YZI3ocbRjQJbS6+Er152P51Bkao5h8
XpqLrj58+z/Czmu5baXrtk/UVcjhFgxipgItWb5ByQk5Zzz9P9D03vLZ9VWdC6PQTSqYIoHuteYc
M1aMaIfvPIDqWyk3tNi3BDKlL1g0N2ODeqYZt3KZKVeWvOdinDfRtzolzfOzFWwT60P4WOSFc1ev
G+lt7Fkf7JPEzm5VQcoTnZrhKAE2QO1gp4fNvKkz5UfRBzZdFjMFnk4QtiPbZlaK4IfbBBzwsrAf
a4tKTgoJ3sKnLWescbYf1anCD5S7h8+pOFLepswaV0FOtygjH7G83KkYtXYCk3QgVm7PaqMgA2T+
u7giQCLcoY98etbyTRmMaXGt6SzZA1g1W/t+r1xWZvieLcjL0CAKQR46DeXiPFokJFtBtckW5IV8
S8+yUKsrw0ts4VSauYoQdVIGVFgjbd2aUCSr2oKv1CVfw9T/RdlKfEyEnGPcpr82zr9FADxkOZmY
EUPRXrKl2OMui30T+0zWqCUEcfYBSYGV/14lV6zuSjc2ORWoaE4patRDrlCV/XfKnDG76Jb+1Beo
ZaGId5cal8Elt0hA7aCTfPcvxlxhmXC7k5SKVUbkXCcue4oZsiY3Yt3fsVynv6R+3Cmk3ZxEO4Q1
KPQXZIvtVojfpAMqUDVzU8eI+1TzdZz7AetqmkG10/Q3cEz9/2eTxS1jCRr569qJSMg1FD4YoB/5
p//32qnTOggGNB1nxPZb7H0x186IpLihLg/9cpDDz4Occ0APrKaMCK1goudJjkRZHNQ8gDKE7Onv
SaMLigMxhiAN5elfz5djeagK89qZw7SV3+dzfrb1nJxDAiRXn4/MdfPPT7x/s7yzYvy0MOU03rUo
psr7oY3C6hC0OrhvOUmuWXWQk3JIiCyYeZDLKBTyQzTNOclg/5yN4MZXWtWWq885+RTk8fz0z2f/
54v/M5TPk3Of3yZgF/bQwDEbhFUdRDX9OYxmA9ZaM8BZEfJzGE0TeX9f24knT7MKj5mXiio/3E//
ekIrYuNB8eOHjkY7r9XyJJOQhXmD3ppXUH1DGrjPLO3koqlc+aHzi7cDTdzeMNdYEsjf2Bt1ejWj
etF69NcUCp/XQq6fHLzOpTk9ZKW9NqOb6cB8yKNrpgGQaeKOfn4QnZSk/0X8wy7KXTSKdGnRvm8M
yz82rZNtp0JgisTtTirC0K5Eg+M1mW6+ndDtspu13po64IocU7+x6Ss2ggoYtyqfN7jB8UpOhek5
c/Q+4YlKCkTMdF/TckassAQRIzlblZn6UqTtmxsKqgShZm20SlvrQXgaRWWvnYJ9YFHHp0adSFn7
jp0q2hK2skmN/nve5t8AupVenMI6wr46zO6BNJanxu2hLwXonODvKz2XnzH4VgZhtFlytVylTzy/
71WP5eMty9Un3zoanVmsp9pHaL933yyTZW/oV+em6Pe+SxacsyJgBnZQ8ct2NUA08J/4XEStdkPm
5mG9vNUOhVNgSfm6HyDxFOqpJNXRG3XtGKsrEYlfBiYDnQXpus/CL3n6pC37ZnMHAf7UZS+JUdQH
4EQvdNvYNAZcymbzl1VNz0XqELgYPBoEi9hKGK9s1uF+AEIS0M3KMEiYUzTP9Vln87IKVDrgXVZx
aCH0aIb9kOpUQpZ0lAqAoNE/G+FcecVM9B8NcCx8UXXKA2Xl1uCEWCTuYpu7oV9/a8HAr5WMuJUO
nUytwpad/R1hfaEHXowsDpWWTiXsU++al6R2H/lcKrwzbRUqFrwGtpG0u3qgYa2KMo6s9w87R7Ze
FY/dSM5XMEIeStPvhh9ba5MszwxMMQb6Q+YQF9yFhEOQHsHipfox03PhFv/sx9ELqv0NBZYn9KQj
0sQbJbafRqlejfpDS9xdkhwVignoiq1Xx0ZjkVf7zhjsVeoauTdr6qtdKOss7JttppevQEa+9/M8
e4YO6TMwXzLrFg2oLHCJr+q+2Op9F6HWgZQeNfiodIIj6iYbV3ES7aMeFYUd/cqGm8nbGkfwO30D
bVNNwUttjs9xzn2j0t7zWDyKFhLVoLxj1SBRq9UcQNUkR/r99Er6eOUpzYzVJCpWTa4RLWLjpnKN
9yLXySzI9PVElFaqWwcKg/m6KqMLNRS2Te07BN/e62g5xfyK9RR5xA3+ykX90xjdDv7N1MyryS2H
XQ4hxi6DcYa3l5eQlv3i4ATzToxiehiatDrQHCgPE37T1Pscuz2V2KLvtvLaJA/y2iivT/Ls8wF5
vZRDiFDqonwjIHa5JMrrYqA6XBLldVBOyoO8FqLEpXctx3+dxvCN/EzRd5HlThPb1aLPD/IQuoPF
Wzm1idUzXAQvapYf1OWWI8/kc/47/Pcp90eXoTzL7t+hJUmSwnK2lr/+538kz8j2W7rQ+UEe7veF
z0mWQaSjyodQD/K/kK/L51PlsDX6yMvGINgAnuI10Jef7uAYu98r5NnnnBza/AoIeP59jnz4/tWf
T+9y87uBtmhTNp3WHK3ljj2Q4PDnVN6E4U2E1ADQbQxQ6XdmDdBI3tLCOSJKfcW+yOfyT2y9EFzS
wmU9EPZT1nJN5NvJcdAmbyFVS28kD9UzGsoMmG+NJ1UpezroaOM0uoJr2UJPigL8I4lCMTtw4XjU
9DunmsHcKYRxBnbruVnElW4KuPzVbbmrZ67prARGHEzNTLrB1K+CEqOLXw3qM55BNgYmJBJm8jDT
uZqkCSoY5qzqm+IU9cWMXI/sMwxlyw5LLmsjrfc9AmhAeyzrwclG2KU09h5mGqBZx3SsBxESjg7D
aF73QYAHaEjTg24U+V6CXKK2QtsM2Hwv98xZTzYHaqUXy5zsw+wE6JOX8jlb7qgdv6T4b78E4yok
GocCkVd8KQKVzQItIfYE6Z9Oh+x5yIOcc9WCFsLyclV6wwVnRg0kq1BSLhlYjQEKBXIK7jhkx7uq
BCeQZVb/kpqKf3A7vfREiTZg5UTqsQox546xnp6NKf5tCI1cI6hbT9weiJRSombDq5R8cHe04bN8
F3bcrJ15nBDOud21nGmboa/09Dxxb1nXKJfScF/kSBFZ9DKg4pOj+wHFH2xK90mxB/fmJPEHyAXr
FINtNyfzlroOYXQNqCzyQwCPBxm8fV8s5TyGyMPwwia1uZJDys3AKLs88pAabNnKZ2S26e0Tvpmt
0bcZEV6wcxELGs/yu1lO/Q5MzTzLHzWH1s86DBGtTeETKab8cctlO5Avh0JEgFzNNACz2n8Lxsb8
WE7m1DY/xrH5Vlil9TFzgnJpfCcb1YszvUMyF1nXKnb9C5pC3ZNR0oaBslc+0CwPGJ2+awtxaC0b
iWTuW5gqQalKQ4S0QSAwPk660j4W8eMQmclrVIbZozbjH14gYf2U6/tJEfFi8ve6eeyvkv9lO+MM
ZQshlUa+26Oc67XSPkSW/ypH3QLOVoPiVlT9RVUj8cRyw37G/3lAA5w/R1WzA48E+aMPtUM/Vqc/
qlqm7NyZdkPICmIE/4ePb3zDuFVB65yHKyF0CuiksNjb3OEPcd6dqjSJUeUpBA5pxkyHZvY3qZW7
L9nyVjUq08YIaN5cd27VdRuqljfb/NV8Fm0Xy6wyhatJGvKbEMMQOHBy5BBzY3gZOmjEeLrPoU+y
dqXC8Qq7VkmJq1LfjKZrvMZ3xcPQps5jkWcwHZO+/pj1iPVoYQRPnW0qJyT4ODuWB0o1OmYd+kTb
yPMdJGLywIn9DWPKY5roguMU094TKJNvpFzwfs/Yng2NectbW71NoH94pMncHChr0a1wZV1VlqSX
NrG6W+lq7WoQdrKXphI37nz08ARyTSOO2UzLg7Vmkl+TpksewnLwXTfCCcUNepmHWxauitx6IsPA
Oo8E+9xN0YVfxR4rIcTDc22dLahoq9Hmo3enXI0O+SWL4aubCf8dyLdi4z2OWzfJk+3ItfksD1TP
32u7ch8acmbvU3K+iXOkqUEPdp3idUtuEoUR1nu1B4OATavVf1Nmtd0hXBZg7kWrnqPhTbp58aju
m8bBdOOG4WpACHfux35+bkz3Jhrdek+tyV1TNA4OShhObx0tKS6f9nurNO0D70fgYUH7XLgu8Yhj
W75ojiDaq8j7vVPbxuGuGA8g5O3uEC0jMGGg2nSt23x8aNS8On+e6Ur395yZDvRy20a1HsyGfHW9
JBArazHMyQR0tfDPrZXMVyUCwUDyA3Jx2sdeUXeZtyRmrP9To/6sVheoKtZ6ttj63QpXwRKxfs9Z
N8v27OjzVoaw9wFB8kNk6awoCSRHEJTfIj/pN3XrG2cc69OeG7Gymx1dXGj8mGskWl4xGPOeCkp/
c2qCbJokoau+DHGfJERNOGQLd2p/cxPKnHeoketP0/11NWMH0kZqPZWNVV2qHvGgfL1D0gNXmeJP
50yPtGc/bFi78neIrUpdIRRdWXNonsjKGo5FlDYA7wgXMgR5FHBxyqPuIraYRwemneLgKUaWlyzQ
t3mMqncr0LoVHZl+r1QpgsMo26Izj77m9VB5QzlWF6ufgteWPU6Jh/orXZfqCBKP4klXVs9CzB/j
nD5LPJzra+chn6uvc6+JtdWytUkaVvFx40DJd/MfhtUMD3XuDGcJPZHDyCx+yyl5mJF+7u6el7hB
4M0v6j+RQSOKNH2KloE+YdMy8XnIh9yIS2PoOtODkpNlkljaj9KJxlNRWObLkGBoz6qXQQ8Z/IoN
UCy2n7qnOBmo8II8Bm9V3YyktdhZFmfSgopnPbOM6rvjdOU+wLFpWYb+2yUnGA34+EOw06ID7zbs
A4vvrRhiuv5Io6LhF/1NtC5V0d0mc0y4kxv2cZp545K8swIfWJkHM0uug4jLfZW9hkqBfbcbwmqd
S/Yn2pwOfgN7o9jM4d5oRQLZkdSzukfIYZfvTiT0jaKm084eyuo9cWsU8mX1No7DrjFj9rih9pPi
dPLoFFX5WDuPzielf9aEBcDcVLpfiZ/4t2COLE9AXHiamT0Gnf69I6dvLWHmRByIVc0i6SBZhfWM
rYs4zqScwsOw0LKkVHrU5+gaq56ZjSk1bDPZhJrd3yZn1taNnRHqR1bQLUpGRNNzOyFx4NGhbowN
WgfWTvRtV8IZi4+2Bvi4AKosfDnkho3KLYZPg4HFarB+TMk1yFsMN8LZWkZUvvVp167BEeZ7Yxm6
cfYBJXK8JkmnXELLfY/xoRl6WJ+DpdkpW5zLlK3WNYlXIFHv8ipduOCBqRCcPnOVw4byDp2WD1Tb
23F4tEJ41bNl6Y+Q+8jaGfJ3tQW2/zlf6W63pkbtru60VD83n2RzVAQwTQxtfrerHk21AnXFD6x2
H/eYFKZU8b9PxW8gWvbXhS8juwr6yOcK+5q5lsOUu7RmhPlfobAZdwlvjKdpMw01dV9ELCvqGdrD
iEqTzSrv62mg8pNZlnnifl28ZdxzJ6VObxrE521ZAb5Ns27asC/QT2jQJj7NYb0NgNfcYjui20qp
3NRKFRZemd8IVO9JsgidXTO42a1WQbsIfeGdju22VkX2Vut45mC9Kc8QI4ZDUSj9Bop5+ipqsZcW
OHOegxNxSIMn5YKZpp/IAYg8W8ZFFWW5uBBTglrVGfVIhsYmGFEThcvZvMx9ngVDQ8fn3+dR4qD8
GO/+84TCImVmHHNC3w312NjYaDQl+98O80J8o9isHCN0WqtK0V125z2rQP7KvIxl0dNYnT5wQEdn
2QCIaeJtqn5UtnI46lR/rbSr9mY8GFd54HrzoYDb+mtKpXB3daq1vjzJHrnfBjjXHmg5ZateReyo
6qJ5xurfPi/Bg7EI9qEr3FUT6PXBxn+GDrDWLladFxvLL22EpUG4ivzBeschf6vcQPntYjZ0lStu
reSpj936sRDqWW5f/h3pJggX2iD2NjAoJGgazQDEOwSL2jautFidtvw5w5fEVSP03KYnd0Vyp1SO
oHjkM+ScfEbesD8XpGPZhK3u5Z6hVIKTxh74Ue4ZNN0qvbFsIdAtO44k4jM/C3veyUfTeoy3FT0J
4G5p85APyG0pfs7tt8Ca4MrUisoCD51UU9bWQ2kYaGGXYZbm9dpakiSVsnXOJqkxHv2hHS6K/B2o
Zbjhz9CdCrTxZ8UdWBr0rvvNqJ1VYUUOWyFu1uDhR1IM2+LZzTLKzILOEwsc9aUbFgpi40c/3Sba
GVNUbE2fpUAR0Xvm99Kf+aSJTdIl9P0GG1EbrMddTMXowlyx6cAgbkQUu3gac3G2k+paB928n9Se
bppL2vo6Ch2gkcujbfobl0rBf2GCkOfkRDf4tKyIT6YHk0YV9b7OHS/57NZbPptsQlqS2bj8b+e+
nI50X/4cdD1Aw57H+og4yLxGNMmPgRs6wHKH093uJod50p5mfVr3VaCuGlbPKwS+uJmMVgO2IE9F
egE97nV11J5gloWjhwm8OMsDi53i3MzpAETWVFYReIIpNMRVdpIpbakbc07Cjewu6y1xAtbigKjn
2njqc1hic6t9CTLdeJqWxqr6AckfUVtiHyWCSroQ28butr0WPgvW2FfZ51eM+DlrMFnPlA0vRuK/
Dop4ko9Xiyxg5Nnu8uw4JKBj6MybJc6NIZRXQ8zzhY1pysJsxlZm9CZoLeOtK4xipy/gtdnKzGGt
ar16SOVqU2vza5o2G2X5QMK1YoE7Auawu5rGyzIHxwgbGVK/LvV/ZkZnn2srLb0Ixf8a8RVOHaXS
X++ymUgEWyM0yCmHiTyhA2ajGG9SsiQr31We0PKmSP3BuS1Ohyif2wPZqO/BrH0RMESDYvpmUD7Y
0irItvJ3kb8BQQhelpYtcg1VP9pF+0tzfbGh917fbTVZOf0ZhvW3RCnzJyU3pqegOcqvl4eqGqCc
mws/3snctUYaqErgzggM2yGNVzIz6a8iKURitQ+b4mthBu114CPFTQruJSne6ajenNIenoRZkfDJ
InBV2TUCHaYITlBvDbHOHrVNeCCQQ72yUMRDPTSUB0lJBwiOVmCTOs0z1qoMnXuVnUxzcs4diSyk
59TVR5XnKxGAfXdognpdY0LlzCJtmxfsyKHkUfLSEiCkeo94sJ4eaczeTV7Zv3YvxQ36TY52fpVX
7ZUrTfLz/zmhIJDeZ4aFvKUE/Y40BPJOKp2g5KX6w+4KqEMlxC5O++hU5NVva/nAykMHZupoWe1W
kZ9XOdfqznQpa+LI1UJcVduINxJraA3q9BhQ9jj6ZvN0n+qTfH9nad77nWl+39/2pGxrxjEkWOar
wZ1psee1IVQaNvyEg7D+3PZhWj2MUdizAYjyo2RKZvSUusEscPFUE6UxYe6IuO03xRhZq1ykuDxn
041A5sNsiak74zpNEQzaRvTdIJq4cIbgXdemgHyKJUcDJOauNIGmSd2bktTOXg6rKS8ujcbOYGmQ
zhmJNnZL7qSE2nzOIZQ+d3ryZDjFUQqL78G1XY2Kyo41Wk/xkZYrRbwpLC61My0fn8U6p8RjuEVj
+SOSiSNJN0572bzFtmJdbDFuP9Efc65wAw3JD4tNvN8JIvxj10bt81hO3x1hDvdRgqx3m4HmXvsl
FhuDwIiDVs6lh+iJDm5S9wfJsfDZWB/DsXye4DM//ilyjhXLezUmubhy0GIt1gR5kLh1agN4f5z5
2ET97h5aSNahiTPaLdZVIzqA3qzMkiB4T0FSX8mAHl97BGZcFnbEPRAJv1xZwq76BXEpP8pRn2bx
FUD8Vjz3Tjt/gAbS1ukUglqq4/i5J6fRkw8UTdJ6etkTrGK0Pduttt5IwfMnPFIO3Vlng8qufKvb
sBA7s94NsEPe8wbI1EKpm4RCrKQr+lPU1+ml6QaPF4VGgkW3xCB9+372OTeUiJfaycIPaIfP8LjJ
CZ7L4ATdIzmi2isemjYQj/T1MQQRXHIolZpkD1usiq6cvml27G/ijtgYtXajpzA1dhgzE69G0Pdo
FbM4awX15bzSpm9Zob0UypR7jkEIiKzAWXKdpmQujRQzF7vZqE6G4qtfoySyWRtnxZmtBRo/XAzE
JAH0y9yovTm9zZ3SjPpfqCu5EyMqMvVmPRPGfYwq9c/hc1jZXX/gziEm4kOwSOICqj4gX/yQJ04f
/HVSIYROqBapLcFp8FXaxWqd41LmUxc4t3vFR+9c/MJUALZDnyikvJrZ/v7ZN6M8uFCgg89ZF8MG
N0l5wRZxlkAo2khYHLP6KoFQQOoF+pjhNdVQiMhkpHII3E0ttO5+E8iXYYhhdGulZzRG6buq1xgL
CqQZbbCbstn/5lhi9mYqW6ah2I+BQEaYaGa+14Kiv3bCgSHTpBEbcmxYgdBzEESUUOWZCIzxnS0p
kLTlLLfQqCw1pBV0ArA0bg5DH43nSoINra7E9zYP1bF1RoCqT4DUhme3n6w7CicKy9JLek2FB6ck
59pn+6i42XOnVixOezfwvUIv0720b4QNYUJmPb90Sn2lWEk5UTUBHhmkbG262BFPgbaSz0y65Q2p
qdcMCf/+zly+fzwzlJ1hB8BcIjF1oZIqm/qeO8cOakDWTErr9icCIANo/ss4a0W7SQVbqzHI/zxc
BvYNK0G/18lDuEobNAiNfi6v8PSmTSR8e58Ify1NRkFlspGZZyqVXUhtjA+X9C3N1eBu04FNk7S4
OZmOU2RRzQLtXmURdyNNm6Hu2QtDIfWJZ9YMNswuq9+hnX8W3WhcCf8M92JQ4ZrP3ATbho/qXLnT
xhTduJG3wliNwjMpMMFZNU3KIw1Qz840PDRO8YfuU2GF9xJcldQYDoirvrGK0laNEqaXYXL87f86
K1Lt70eLj9DohHeHmI7VEB1CerJSqlggkoQvM7dnLUvti9wU0sP8ouhRek2jmk/rwvmNVHqXc5dq
1zZyoj2FcMxRACcfi6D77tTac2BHCXpH4u7lWY5jeVXS4j7PfXuWyubBjnj5smm+K5tlAUDOaYIW
VPSjWiLWkEY3R0JBQk/Pei4+MR7/2bWahzms572hBekjdYBu1VSsStpZJARV+JSRxKpfKkmGaM2X
MR3dPwW8nbzdSaFQzUZw57QlxKWFSVIaVX++MxNS3LGr0Yx+8xPHBwmWdzS13Cmlru6HJcrFiKxs
ZdSNgkqRC6YnJxV0D5M/HLIW55b86XU9wRTRSUfMlxpX2mGJLFuLXhC/lTyEafvA1a/bV6IVp7Zy
rB3SN3yUcVp9te4eICN+IbgKMyX3iDO1jmZnBkjwQSzRPIPU8yCi2nqpFBAG/dDn2N6zeteBSocr
EPsnVr39KxwMT+konfnZF7cg7CgRfDXUiQxquGG90IaAw6vfnCiwfs6I0tkI5t9N1ZhWGfQ0Aptm
zRM4RHkd9epNnsFmr9+GnuuliHUQtXWPJH+52bp87aWHhuJIS5DaNOb5rsji3eTAR8zaddog5wfd
5sW+q74PxItvffz9W3XSNndqStWGFiQf/VnP6XSMFSFHQhP2V1hSB0uUNcHt+g8nqoIv4CHsrVMl
Yt9ZUf7Y2Vq56oh4+2EPXlBOxlbXiZemXzR4EO7ar/Js0DA6tlN+kUsdM8FM3FIpIlQtyU6tBUrF
5lui30rJkbRgdRSkixyVZH5WOltsIyPtXivFupa6K/bmjMnHMCGETE5It8bAEYe1C+1pFe/TGsGF
cKBoUX2r3zvgJguDpx4zcytQ8+7ktGr+z+mheyTozn/KleLWp3X0nCheS30Kkb6ioSAAmrKyEICO
swif3D6OKZ0RflOZnXitVUNsMpaUD3JISGO86ruqP5pBvsBLw8fOh9VGf8/6maLASBCHfRig81fU
opNr71TtIW8GfRsTEn77fK5GaAI36+LDTTWazdRqj6NehC+56Tdb6kraOuf1oN9I08eFwQWTnUgd
F0L/Bl0acQjtP3bPcIrhnZrHeel/yMCY6t4ZmYm9qfP+IheOGNcQEqphiMyeFByuflW9GTNCaSh8
LoAId2LXONhueRSGoEi7oDjdwemPwcQ9s0KHc5A34lqvG95+6C0IS2btKqxviVk9F8Jxv/hGSPxm
Pdi7VAtK+mm0P0dzxCgyjzgnJrV7pLSB2P4fgOEMfmLfxfB35ZxpmkCEEgIow3FaXOwJfZ44pgaU
EGf0HobliYLE+FIOqIIQ3uOoaNPwPc21ct2xwTu4YWF9tR/d2EwPeccWSMm04RlUxEpYIu9XLhtd
FT/ME7GZ9My0lnBm8M+nZungYgbU0MqAFbaL+Le00sqDfKlNl6dOCjJLuaeAs/ut0jXB8kE7TEkm
Dn/dtZa8l5isGs8khGZH76u/UVxuH1i2I+1ZhtHSHY4057ccBSM84dEYL02mB+tatezN/VNf6VV1
0LLmGxlW83rK0ERVi6a2WjS1/soeTePRXNS08tBa5pfStqLj51RGgtKCTkx0JflZc11fsqbzGbNL
A45q044B26WIPEo3M8ttqy6fhDJ16BLpS1972eoIC3JH13TvIJ0oMqbzcJabxMbxA8C9oj9LlAXL
vT+Pfj5PPgUo63B/inwgsFzICnplXxyduozTd+NWrl2ApSZPOUIIOSpKuMx/6PwAJx9i820s2pZu
elGt5imuf0d19jiVtLzjsmBrbtfKW0scy2pWR+tlGlMTL3DZPDp5PKMiJdIsxWK2c8Is+3MbG1sl
2RRLiWVd2tO5Ma3+MNoZggBrIXGbk4pCRyNMiovEl0xM5ZayONcNM3upfXIvFvp3ao75i5ZMK9GY
LC4HVu8tIdCrOrS1jUyCpM6sr+7r4GH2n4wqIdRuqY5oNglvQCOD+3eywZveh1ji25euTlbuv1Py
C+QzPr8+CHMury7OQDcn2IIOf/bA++VLXGRAbOWcRmTZQ7MEkqNED59Zc3+plpi3ihb+ZmgxB4qU
YFgCez19HNYmpNgPkfBq+u6CXvGJ/GvJUdsVta2/QG9D7GMl1o+yr4+NEYRfR3JBIOvH6RGD1UNv
OcODpcEcmwGB3qMvHKXbNqkrvoYBfZCIMKOtlWWi3XN76jwprJHSkMDvHJA3+nsxjM1TYw0H+ZtV
TUx6cJP4h0JT27dIsPhefmMXDQgdyrjfpcLOmnXq3SsK8QGBVv8S6ArMitZ4khBOBHukCg7WsvnJ
wYlZqAXuZY6uBCHD3Wgn/8TBMox646GgJrMxF0JcW9C2TkIgmMtIHoAmEwNXimJ738IgxO49J1XL
N9uc1gaNHGJsZm7QFZWAXDd/SZ+VnoQ6fWjnlzKE09HUp++ylPk/i5ryETO0L2ptr3jRl2YzH3F9
OYDEYeEHd1ROfV4L2NysrU4tQdxxeVBaPwHQTiqEP8TOQxSoyh7OrX+peGuvA70ZvuI/hvv+29AH
8Qpgoz8YRTKv5LASWbntDEfbyiELtnKFdMPcoeVuPNHYsKcItJZqnpAUOM9U4yX9saNymJQ3mEcj
VgqteVa1Wj3b9UPRuiiAlDw81GNtvhC6q+2SwW1X/hT6p8AeXmWUbGJEE9nFgbULTeyzq2gZG3qJ
v8wJJi+fJrKT0/ruGvu0jmX+8Ne8oYmzbkYhAi8kGkWP/zpzjNdPhQZdhfQfAQe59SVaDSnskM+I
Kgd7GiH168rtaR4lUYODRcft6ArIplajHKJ/weJtR3wODpLfqU0OaqF2xRckpt3K5SZ0P5Nzbdzs
0YeWiCMr6kLQJB5m/n8Hy6CgHjTptOlNR73hPG69hNi8HxrhgNL31tn61S7F+I5KcF6JxCbiTsv1
VWyQe4HKC2XfEl5klVAto8Gsj6oymK/N5HrG1pU8DyPJUsSRVvQgK0C6Q/hXoJlrt59DLH8sE7lW
TOQdKSXxUBMs56iYD3JOHhofFq2PnUQY9VbPqYCnqoVBPWGRd/HbmHQgfXwMg3xaOUE4HvTJ+DFB
mHlpsX8d6Hrqm0BlvwWLK+ZP6kXEbz5w6zS5fhA2Q/QCvVg57toh2wai0h9KNg6XLIEJYGtI8/oi
mB/k8POByKRqxh/iBz6UiVi2KX+UC1B5KDuUyBorspRwObncJ4A+ONdjVx5LVV8FCwNx0IPuNIDP
kiO35TaYxh3ck+WOF1T+3ohc2qnyfYgnn3IwxhLREhgPEwJq4OcWU545XU7dS4PwJ4chQvNWZP6h
RlwBpbs5ycLyvbo8AOaOYGeR2AtcyU2q6Dvtj1Oe2PkrJb10l8TkK5kmhPO71acN+12NEJF7j0q1
T3fbape1o39J7ezPocmSFECGQvgZDdZm2/QAz8Oofx5otKz/11lR4WIV0ajuaKaWGXllLsSRKv9C
oWKpc0ch2hkiGBy0PJzEOrGenqo8NmNA4zew7P20QAjScXgLtQ6pxTKyc6Ql0UzVZBmNtvbL7fpp
G0WVcYLIqdx5ApNtf2vsunzW64BgJNoW6Pmpt9z36FVm+1u17XsElaWwD7WqeXJlm5rhHhLlCFUS
Y5teNPbOVhPnrXGblcRAZMu8uswDHiLgx7jIF7zXrWZdEsm0lvX80KIi/KfzUVkVATW8iJXhf69H
Yf15neWrS6qfvsmVusVQP/4OHE27DgCn947G2l7ekHX+XPdhFVv+BuOK9qBShdsA1U0f5C1GDtMx
ARHrTvqqjP3+qzH0FLJqFi4LOClFM3sKLGE/Nj1yporey0ff6T/N1tCfzUbXDyLnxZFfYKrLLj76
kjU5bsg63Q5uVe0TaoZfSOy51r0zf9huR7e9dONLSdv16lgzMWwmLe7I7rNLDkx9yCz953IijOp+
Mi0zgxGdgTUYPydOcMyb/8femSw3jrVn+lYqao8y5sHh+iNMEATnQQOl1AahVEqY5xm31bve+sb8
gJmurFTb3e29c6FIEgQ44uCc73vf56UpGn8JWqmxJTh6O+2mPYiDA0pR4zIRNf0QjeS4zD330vOM
fQYhaKHMj5LTlEpoQa/jtlMYDA3z2y4ldnHo3JavdaMnarBpTLU44IQsKQx2xUVPm2TZU9977DKW
jkhgvJccOOIIPPyjYXVSoDACrylgHjEQaqnWtIv8YTy3Inl0Wdp1X+OqOlmRbD4OQuK5KoFEboLq
XYN484hr9YSpPr/InZg+xsAHOwo6T34V+kcduND3m110vNn9/ult+Gf/HcRVMvqE/v3jX7j9lhfk
sPhB8+nmP9z3/Piavtf/Mu/116N+3ecfy/t/ffjtI69+O9yvHj4/8pcdOfyPp1++Nq+/3HAy6vzj
pX2vxrv3uk2a25PwQudH/v9u/O39dpSHsXj/8/e3vM2a+Wh+mGe//9i0+fbn75KGA/if/n78Hxvn
t/rn74d/+1/Z61v+f+zx/lo3f/5u/MFKnpEdhxdXN9kyOVb//mOLSM3C0nDP4v6iI/r7b1kOq/jP
31XlD0Mnr8siKddE1S1Bo6nz9j82yQoHkg1Z1UV2/P0/XtkvX9HPr+w3VrDnPMya+s/fZU3+/e8m
NEOmjUolk/uRdojgZD6R/wcyNKJoJicBeNiVlHqJUl+QA7ys9GGJVPleGAc7w+dYuikxOsnRIiaH
UIWyY/7g6v6TLH7IPj01oFo8qr10AGIoS1fPqMTU+j7WL5K+yUNUaCB4bWBOi8h8HJnYvUE7b0w8
qpvkzRp2kUZcrl1LMK2LZTCHVl5UNDN0/8Ups6XIBs08Fo+GseWU8XX80xOwilVjktturUTTIb1i
mvZkpFYwFKx616pbosxazylN00X3EU8HHRYEe5bOTpDtMnoPu+WQ0GQzbAmQQWja6YtACkX04Ctf
oCJqz5mwDS8JthPyHcaF9oSXsQX8ly9K385JVIK8aip0SKPHYM7udJMvprajw9u/5i4EGXf68O5h
FnREGptg+Vyr2ghrOVqrLy0sUtIPVuRRLf1VkC+YUNXpMnfvunW2QHihLTwy2D88A0UUGrij1G/p
3iIWz2HULAynXqrrcGXdV4oNN/RVtivw2qvoVOzEdchMnU400me32CvWQqOlGi0pcGl4XNNwpebY
JDaDdeh4PfAgqkfjqw4mefiiNdswufe8c9/chfKDqu1yz6GToqebpl3CEFC/JozxBFcilVnghPHh
xtHxaxdDsBzhPKBu7ha0G2f/i0/7fcFKK1iM8UKL91J5yKajTHizvlIIbBlX4zapNs24quWtiWBA
ZqK06E1bQcJ7X3xTP7iESW/pYTwmZ8LL9516sqY5Plr13826JoHXSC/MavNVVOOnK2LlOrbboIVQ
G31YRd07LGJ3/zPMjbdhTsag+l8Pc8DFvr1m4esv49y8y/dxTrH+UBnOsHzT1rIMXWPL93FOUf+w
dMkQMcCajHK3LT/GOUX5g6FHVAyGP4AusohB/Mc4J1t/SNg4DNPQkDfAe7H+O+OcJBu/um0N2RAx
20qmJQEEBODwOd8DgW6A4KHlAh2DHyAOA0FNQbpDzcz0a41xZhS91xy+iZOnbbgjJqe/5ETULm4P
gM763BDZ9JDnCW39BOhkElj6czVoyyaWi68qXkpbpVV8QN01HqngVyhwOLSGBkyU2vEp6frUVce6
W1tTVjzmsYTRkQeoWi/hHgFjrVLe3tW9mCyZCbEYVpvjxLL4NAalSgU/TF9rnepciAzjUilSth8V
GMy10Kevo9jtCE2UMLFU3aa1PCj08w6Dfmf6kvFF09uIuLjUX8dqFj+XePBv+8G4iBxVK4atZOnh
Q255d+18PB1TsB31U3sQUQvYoydXC1IIdZanFAIPGcIzV5XCNy/1lcN42/D9v0EtHxphku2RcGxc
+DAXf+xy22/+IxpMRLW83Yzzg78fb77/dgD6yv0uSmo+Au76vv/Px/U6/oS2M+XPx7zte9ulMbWJ
cS5AXJOTyqEYvUh/qL4z29J4HPgV4JTor0WtcIvUCjyW8ettm8Sl+jBF+cdtm4+Q+WB6OI5vG0WC
fvaJSnDX7WaNFWDfowz6flObtG6XywPfEgBXxAqWtKUuYjInA5dtAti5AlTPVuJArmCmiDC79UFd
FrRQ17etAdUSG74kzYr5wUEr86kNYra/bfVS79VTB/F429XESuureXG5bRMCLsctha20H3QbyV9/
HHJKGqmnDcdBnUihs0LUs01FrVkK5GOQUif0fFnBbTQbRX18TnOxk62eAR5hgNql59YR4n27whUm
HIfUxGtZjsGJNQedF2GITl4klqshyZJT6jfFaoiy7DT0NYxnZC6nPBXSFYD56uR1akJoVtachmru
08O6OA0W6kAv8vrTLMpdpbDXTkGXAOxmiXQaWpr6KTyVU04L3/GEQOPZdMuBIKSf0p4rPexj6+QH
HXK8xvBOOTwRxwN5fva6WHMGXwjPSNdVJ/Xl+DxIvsJWFeyYSborYLHizEggchSzPA+g3py0FOrz
ULbj/GzdOUDx7aDy6M+pzyXEU7PpPLDIdFKzpGWZxi3Ha0F6dn7jDHmqnVMPlcygFsZ5aMAh4rO2
zkzoC56NNaUH7sMZIim4DJ5Et05vossQTinPNiSXoOoTjtfkl0ALyGRjunYU+qo5GVLQbWozebnd
knMZjdN8PyqHYNOH07dP90+cdutYqtBFzA/7uUOPVmutdHW2+Hnf7SGNUsKiFLz684agC1rXUzQA
bfPTqn89dy6agdtJkfZ5Dy0a5BWiEWHBG6Pxdzv+2DFBi1GAU0jjFf3845HmvUJ4gSX91w2K70mO
IbQYrv/acHsJeTpVjlK01ucNViIGTkaZdPlpDxH1AtoP0PCfNkhx3C2BfyjfN/z8TDzIKtSGc1qH
v36AJTUrW+qC6vOGFOasHYyJ9HlDhgXKVmWsUZ8+QMWjF5w3crn6+by3ZzNqS1hwOZQ+b+iySiMj
sA3cT3vEAQk8dTYGy6qt84WUhltFkgyCHOOlJhjjUyph926FOTeNQLkXnSm6ICI4qKdQOBYpV8FQ
NYNDX/Xi3tCIAuxIp/ZEuf5SWcIqnQz9TUcnSOY9mSdRpi6rWV87V8bXYpNPLhz4/iFVrTfd8NQ3
MW1PBDJa8LtqFaSUkbgVbeY1NL7y0fA7/B1q/rUyByw3RlCdeyJFll6gPKV+Ju9zzdqngp9dbn8q
s8VrmmvO7ZauhJxTmhAv5TnJKo4mTErlPE/P/OQ0hMQzLaQpN7cUNA+3+25/bg9uiEWa+5v6Pg6n
8lInZxXY6LnK/QqlNvr22Deh+s7bbn+M2cmdVuGJ4Pn4+5/RmvpjUlGEAbA/0cc4NFMx7iWB6gFe
0Yssm/FFjLzwVE780v+6qxWS+OIj3wjC9ny7O6h4OBoFFzyU9n3n24OUIXisCvBPt0fd7kpbA0ZW
UuETmA9/u6+HL0xFHsTKz/tKuqgsEALF+fkMjdzrzM4xoPw8HkqT3vUJBvj+Ar8fr0ybjSB5jAt/
PYce5CNSHmoiRIz7tiR0wkG3oGZn3hNKWWVJYhECGOTJj3Wr6StyWkMqbI6gptMjCJrRLeAYLz1h
NXZ1crVKaw7BA3wZ9Fpy1RqhcqgTs1ACAH2lBJIta1HDwZvrL/XoZ9fYGFO7lEZlSwZAduX6WWH9
Qts9DFN6rc3qqeIqzGjKxMeaL5WiN62bqvLvbrfS4Z4uSPDYIzUHgk/RPRBJHqXJHKnEJeGCnU5h
K14TnewpVa3VnV70KDK8drwGRdVDWBOmZeJPT2C8+xNIetVRhDRyh1qerrgcR9vyAuwzZJNcUw+r
g4xeax9Q8iPqTLrCvnEFwaKgFbbpY9K9alUiX9GeReRn6feQ99OdGoOmCVpP3lGssxaxVSvXrgDk
GDZV6FSS8Ohh9DgR7dE4UTcb8qKB2IFA110q65MtEdu79VO/v1LyyhZSV9eH201ZSA8AZONLXQyv
KPisY0+Wo8kX0+mSegdqbHV73yQkjsepyb+NKZglorkXcTqaWyYnOSlzvM9eKiSXTOzcUTOwCB7q
C8cQK8vFrJ1TASUr7PZHHjpWm+QGXqU4ffZLhRHAr6Sr0oTUz+XqoRk0fZlVHQEDrbksFEG+KtUc
WtoO77f3bQ5kh1lRN9q3jWVWn/SGQMg6yaFpdqJ6LRMioNU6aDe3m6anpXTLFflgkMZyMYYUiXro
oqbx7npd6B40nttSIuNaofMAdCe9eb2sX/s+JY24oLUZV7KtNpV55Zsjz09gFdrAFroGDedQV6Ys
ZFvAjWqp33fVdIhSjV6mJtyhIzgYWNA5K4vgAN8WKeocYTJCH7HAwm7E9NRkU3VsLD/dzjQl3wJf
okXqwTf09KRdoshvsKL1G702Vhg+1HtdkDdyFyvbgitPqLaVS08BZVS+bFH1bhi/tV2SDfru9r/b
n1wdtI0ZEeQiCpobttiwI8NfiVQ7BiQZbhWIb57Qj8sBYaXdj6W3G3vf34Hyw9BVBTzNfZf12t7z
GnFrZLGrmxNhSpFvsuaHJStGWLoUE9hSQwQi7rIXqzYOokqAOgiVfCUlWXcXoWWJC+u5LUGUZwAn
NsD47wsrjtAzBwWQiOCsFtPE9LKhUTSGu2qakCHQ6Br6bAXVEKduBFelkoPazkQL42ZDJcM3x0sV
E9rcISPOaC+6gSC/kJ/IIG6II8R4+UvvF4qbj53uGlNzBCWxEnI9/cJASA7cXSjaI/xTHLPWLrNk
2MamiiaCZjr8gw22N0Q6/nEU8omagflBDi4DUjO4ZVW6SiDAY0l02fFAZY2PcaDODUi9WxRp+XWq
9RUui4NlZPdmPL7S/4aI45kfvaKsaa5j6ZAd5i+J46vWS+9J37Tx0BjqxdTU0vFK47WX0+UQDyCW
M11dlpr5WpXxVh4tOkIlCRgKbiWvKndSrdJbnbHEqJkWOQDzRSMjNPdtrboLyooCcU3kx1hflXQO
eGeqK0HcoTuOq7sHvd6jSFoOpQVNCFtjh3qbyxwisKpobXPc6WXYrcq2RbOSqKELYKK0QXdyjeVn
mIuxtbFkZSNXJB5qsIrtfUFwuSAa5U7jm0mH3s0R1S0jmDCHhEjZSF9EZXZf0HV1AJ+UTpDT4uvk
M7nJJEIbEqyFBlz4oOyKCq1wjLsSs8VzWuHU1EoJYmn4TYuEzI778rGcoCqQuoPkRuYDQkKe8DER
ijsZtloWriJoK/mB/rdJJ4/4EbOsjlOOsgYfuqCv4jpa932MXTneWBK2JKuF8teO62TsyoXf6sPC
J8NKIjVvQYvq1aIGZsHQcfK6xqGthsejV/JzSggWyvid20otuUmIfksSn8w2mqg+GXd0de81IbJT
tTx3Vvw0BJEMlTSHLNAglYx8O9EKeQcGdDE12jZOPHHRyTlcpSznXPQJBdWGFfBNSna8vaXMD1QP
KfC1ehK6xRGxuIWTksdNDLX8imEydT4atyFZFyLps2BTxM09WpT2MD6gIYNEnQLiSgxpWKQVpBw/
yxxBaZ4IvH2RLKijLZJMtUNrpvEa7WxIdNcvfMHu47FeepkiOIzkaAdY4qXEXUueP95NwO1G0xRn
Yj04z+I9gMJhg5dAPhmpyS4PoBPW+PEISQpdYYT66lVubAnlZuomBX0cxISyHwBYVf5e15n7hBLT
haGUXkoZwFVj6P1K6Yt6VYic5KoGMizIJeWo0X9fRBNAxzrRmHCKw943B+XYTG7jj/1xGqd8U8bd
o58J2IqiiiKkHJEa4sUvmiREjs97UArmkMZYZuT+ZizOxpwZgW49srLhp8jIesksezDF6KKxCqwh
0MViBomg/iI0AwjVpMBIT+6AltfVtjdHykQaIIoeJlRu3GVeWRyIv7iXA1PZD3r5ocgIZ1U/R+Ih
ztgipFfaSFUAHzs6ccF6SzxLdg10hcsYs9VaMRBgauUu6dR6b+EMj03ZNgWls9FOSYt1o2XBRxSs
i8L3+ZxN5ZFGSL2AdJJtRXXNoKwcgmrfS4LqVHnIN29m3W7KsGao47jG6HIpDe0LuPZAPIlqL72m
Pf6sicTRUhPVA8fCPxTvA9BlUtlQoCBdkzRivhPV4wcYjG3C1bQeDoo/nsZkJaS5cPUmU1vXhnCQ
QGms8HRXy3CamqtXVWiBw2pY6qp1tDJZ31jdHZl6+T5XvsHPxzBWxsbSggG70PzS3HZ9s6cDmh2E
FPnWjIBD4B/RA5Qfu8Q6Q1/1H+q5FCbBkOwigcYibnBMdSrwwWZAcpY0a70HhUv0+rhMJS/c+9pH
GIv9cxs3latYlQSmZFEX6ZsAnmod1m1FYYEUhAXgBLf1gb1wzhPUknavyMGnu0h2j2PR6CtN6XO7
wI2T116PTGZU1l4UR+uBTEzHiv2XUjCKTTYwuUkSDXU8Ys52zFHxJ4WrFXHskmz1kGVUuMmvQgM5
SptcCiEcGkV7IF7lJVAqEe/oZG2tejjppi+eDMpfsK8G4WvkRTgv4Jou6SrWB6vSEE4KJH4hR5ev
kio/9gbCCn1Emj3IsuZyvr6XLafyFJbnkiLZwSMUWxG9OZlP9gk+52JnB4WaulIgGFBO9dEdmwJN
gRqcjW6o3YL0+gWheADmsN6tWj61CPO6Xvid29PAPpltyB/RWrbzvJtvdloqbQXX1Ux8p0hJDwhN
jzlAAucijPo7BBO49JrgbGXvBRYjZ4jT0EmKLllhInyppeHVUyCH56OR8D14Oq0D6dmrox3VfUJ8
qkFfkn7B2CV6NpYrtFtSchYB38wFQFarJq4SrRRfe2sjF5Zg10a48OYyHbWfVwoPpELi8NILbymG
7Zp4B95e8GhVYrz0cxC7nfTQnpPMoP/iwYEa1URaVJre45O0DJ+FN4mp1HE5lmJ8i9psUfChLCZv
esVTtepq/VGRmit2B2+jCYGdTcq4G4OmOAiezOAw/48ZzI//eUonkBNeJ8hJ5g0UZsh+nv97+xNr
Sb6ziLj924a//VceVeh2JS6Q77uYfvl9v9vN2/Ph5BVctdOffz7nf/Y6otzaVzWC1Nue/9ljtSyu
HL+ccIHOT1PoCqbaT08rixQ6fW//6W5Wa7rzPy2X7y0Xk3brf91yOb9X//a/f+m3zI//3m8RdPMP
MMb0OXRJUmRay6CZvzdcBFP6Q5FI+cGgaBgKKC82/ei4COIf4tyFFvknYSdVJFEh4eBH00WQzD8Q
QRswnRWDiANTN/47XRd1bh7/JJzqimqqlqIZMnJmaQ5imuOZ/kaHNgOZnLmWBmnZi9B8tCZdMnt/
ElDMQ5ksn1AN40gWQkQkpWygR4XUFxcEjBaCsihN2FuROqzidk8gFuNm/Sb45uRkVXsnCsqW6T/y
/Te5Sr8OIokffnufye1HF4SrsI0crwhdP5efJwUwDfVl5B0tQwlOeYKEaKumTQ/Vx7p2JSLOyNB3
jXxNSWJ3OnrGDXgXyXrWasIBMlTci+XfvsgfjfhfGu+fPxrdVMS5jW9pOLAk4zMaObPIkcYDOEBU
SCbbGri0YpamjdApaMhMXwUAWag7bEkqlK8FRETYc827nxlAXr1pdKzeQyfVHzrM6UuVBR0cubcK
t9e2h71aF8qqkeE/5gU5pVEE7kwmjEHIhP/HG5F+FRDoCjkIikmnDnkDbwZJwq/fsSZbYR4Yhej4
GdMaqdDPGdN+1orjxdQzH/ghyG4ljvxt/SCOBhLtCOuHaErr//snCnj880uhVSipxPSQbMXvjcH8
15cSKnWOtz7tnNhKt+mdLmoAkXrFwdTwgJbFWLOea+FPMV8AsCG7U9SRRO8psTPoFsQrc1q1EZVP
rs17lqkIZ0SFZnLI4tj2K+vJSBrNRcLYqoly12HmImeu6krZaVSnFgbtYGTVV2sI0nVdKgCxMqu6
RogcSjjM2SieIqxbq5ZgdHuMTWTPtbVkQdNuPL5lLQVwpYZpsaEALa4SSqGEAPahEr/6rBsGJb12
k7glpM57PmRyE74asmQT4yYgCfaLh6GdomWmBYukpQtoJdVbWXC9Fcw62jB7lWwpTqh6ey2MlAB+
vMFJUXVGsySLuPQVei+ihHRKZY1sVvIqJlCazgymfgkFZSuid7AEzTt2HuUxHSaKydSeBTiSa+SR
r0OpJodau28ksX/ITriTk12atK9DYYR7dMgo1/xMZQn+pYK0t1Y0nfl5lO9aizwdJF3PZdjark/8
7KX2QBTonb4yq+HkDRG0v9GAuZAWpS1IAFd6MX7AVq8sTY8o2MyqWVBZ2rMllzZ6mmyHc/+1wkFg
58R/r0ZF+6Y35R2Bf6aLA7vaj3pa74Um8Zyup5jU4NYpLGDEAU1DdHAIijHkrwZwYYQ/dg7pG5DC
EmV0ytHcmSQKl4IvveL9QKeg9d6eYIjOITBntEU53CnlBMi39GaqTjmssiLeNa3bipH/ICZIJmgp
uz2JP0PdFVchlBpnAm5h+5rurfyqoamDHdFo7xngAIfSTbejChdLU0SyTZanEPkF/If5hB/tNoXT
lxTqKVBzaxUAVUd9XNJ3ZtlwBh0G+kk9FuB/llwPXGg11kkgEW3s9QdzFgOWdf0UYtIXTJMKg+cX
bptnEqGVXUE8tnRAPW9t+rdm9L7SMYtmpTvL7RkPVnf6XZ0a0Sov0maFUvODpuNCxFAIyFshF4rP
gs4B+TIrOWMBJKbSB2fPSxDxhru9VwUsHBYhfVm8XYaHpJSigjFGNBKJBckjtJdiNjar+YSpPOKc
JL0yl5l3UtI0Ofttk9giys7FkNfJSR/lpdAStzOBU1n2UvjcGIj5LXNykYabjjJ5xZaSBKISWT2E
XQTaN1ReTd3Hy/8N0bbIJFZgqqwJ37oA7we8Nqe01NOQyc+F1eyCHpULvkrivmpYhllGCkhWK8+m
lDzgplAWvRzh5iusr5YQ7YZa2eYaIJgikFg36DgwSRQk9aONHpQselYikobJPSJihnstlTeUihR8
SKh8tzzrYcrTwKZKlJ3rUtt1FC0qrRofYvR5/LAUuxJa7SKL/N6I5XPrCJFUN8gnqRn3IwYdjDPY
JTpdWcWW8RH1z3E5trPhNWXJpDG6ARv3xzlovDYeFUwNrME5DUqOugjxeixydGwrP9tRDKyBfwvy
itp79QjujVN1rGFYyg+NmF7USTmIJV5oE021LhPWEeEARiIwMQMfWydUsqWsYMSNI2ER1IgXakQJ
lH2ddmqfZMV8S6bKf2xJRNk2sfdUKubJSKJVUUmvXjyEsJbrwPYqAFyaNY8+X0URHdFUcxbE7b2H
qXhrjiVK5SQZXWl2MwnIx5kOFRCq/OkS8fvmp5g+m1FPRTb0UNp6uJGK3nKICS5XRdqJy3mhnHSs
DYamIJG5fzIiyNgFbVE3Ur+1ci9edS/Pz9lg3umzm3mIayLWRQof3qgY2zbqmAiTlhaR+kjh0xQw
h9NHNJV+GTS7rkdDloi6vC7iZjdFxvzrRz8aFLn0auIGJMfIQcOZrD3yLhwRxxfpRfek4cXPEMXg
WyALRQGuGuD6WwFtbTAJ6qKPatf0Tc8pJttkckAOZ05L3DTtsCTxSLZO2fCmFeJXE2dlkYvWJWFa
bgrW0af0MWkXC5hMIJv9qhesyfWS6jolaEu8enzJOwLapoQTwW9FuxYgscp1H2zbznclPTeOnS5v
9Vy/Jhpq7GIQJEh6su/KhXKvVCq86J4loFwPT3AJBtaZme5aRzNJ/VWXp69CKRYMVoli89uiNNga
XB1M860OKBD08HZsuZa/jGp87Mys39E2TM6x1Ig4rmkTGDmdlsgNrFiGss3kk2OOI6cA8m96OScz
EOO7uE6nveoXd3ga4ztl/tMmx0BpPAfJOsltVf7j7r4Z0fJqONBvO4qdUIFl5wUKDISVYRbn22On
rPPhZw7XsRaXpWpcm2GWQo5W+FiRgRPNBQcm2tVGzIhAob+bO8bgKesMNRKh0iS0TKOGcI82S+WR
LI51gtLLsIyYmly0Pnw0ao9qfQ3uuxyMq6dLp9KHhQoUAstvND0PYvjoVZ4OuFKPnVHIpmXTPHlU
eBgqoi9lS5XU6yJH7ivoC/FDbuQI8OIkRi7c3+l+usSHRP9Xre7kNh+xO30rvOrJxP9MgSdjfuHf
RzWgrAoZdJFV26lnjY3rX+T3JnOlpIDVmnmyG6C1QNskQhj1RJPFokOj2NgmeXM/Kd0paGljt1r0
3oWatSTxwViM760RgyePKLgCE/jKtXQxGOZHBw1kpXRIYeTIQXkcL4zSKN0oEX3aUMoHC3a7q4hJ
1eaMYkXEIeVxFzzdta+HjGZVomz96qVr85B1wPDV6mpEHkb14Q91Cnm6/ta2pSvVfm+TB6SGUb62
KhOiRtW3F7k3L3HsV0DjBXE/C0+qLISfa4UFrS/eJG5EfndJsY/luL3rzOSR1ta0KKr6Q6s1f2V8
rQofpHoYkZCWC/dpORAGbrx1ncEFMCHxpozjr6Ee6PQ/kvdJr0NbGGJvAUiLWgbutQWONZ3OOsYf
umtnJUQaoNRpuWywsubCXR8UX62g65fR3JnT5ORb60/ZUQY4gjsqOgxqvEl62KxgBr9FYlIcAbbh
B/HZBa82UwOzJLREJGBOYY5Lf9stEuOkV4XlAvi5DxpJdsy+uTTy0OzaqpjmHyi5LFXECBtRngNb
nnuSDfcgnbPcElExF/pA5lpHlX0hezMBWs9YhoTmMgot49ArY+1CTfpak6YbJtq501XO88yb13RT
tWj6AMisbzBh0rpsabbia5CDj9PDnrcuEeAIRL+fNKeWpexObsR3wUso6QMXoYhDfqPfb6uqVmij
TTiFiuxpwgHT5rCahEFdwTz27uvJXzLFcTU181ZegSFJk2E0536u2kCAKOjL8EQjnQwycIHLUDOK
C7RcPJ4U89d+onm2btFwwJa1j8qodIkQRkw36htDC/Z8zsldVZCjIJPDZg7pttXL9BQTa7ogC9Rc
1SZBCbrvPUOYkLdwK+XtNMQAt3wqq2MAt0sIlyaOmAi/vV168d0Y6m4A+F210vJslNHaAypHxKqV
OTcCuBVJb5Kl+ivCK09MO0+m0YR3VRlURyBwx6DGYF40wiZX4m4lCtl7YIzNcYiDdAl3kAVOZ36V
wmbHS7+CWPAdMMaaTR8Pezi6EbXP1lHTP+YDElxdMaS5/w7R21Lo4rYbM8vl85R5V8oNWGQMX7HF
WMBhpClLdF7C0spTc5F7g2VrJSgwkTk709RGXJe+GdqmSss6scQMceTOksnmw2U8uYpi2e0j7otq
gSULliMTe9CQGYjhdm9xdWMUzl4Iko6Xba6vYyFDyUfyUoB2IDdUZjjwC6lS0nXLzPC5CCzjztPH
9UguQ48Ez8fWtMCxT9hP3b9FTAmYoLPYUzYV69SlBtfJ9qh1473f+lMTO5msnNFtvcx1zIFwcZms
aLVVGPkiJII413M5spVEXYUpxzHkYMnlhNjBqqR2cBLrYYOlGE7RoLzXnfBSw3OSJ1A7QCHgijJZ
k3OzdKLe+/CUCz/KHk+bUmwFTrBVOeDQF9Pl1NThJuJYizz0wUVTlmAec0Ah8ep5CF/gbmddOy7S
OH+X6vvEexi0mCuoDNnSjJxJ11DZp/2iMaRXWrFMF8OyRRqDch1N5zx7cIGOX8OMvl4hY00dFvDk
GPSmAgR+1FwJwPBPJqdXlm9MTX6ixORo2vydwY5xVOChpDDRVJYAGQGkF4iQbgUZlRXIQgMyVpJ2
X0IZ6tzEQL8qS8yrgnFB+nFv1fprVvsnqTTulTg+4Dd+wPp1Aop3NDCLIxLawAe5o+0DkUr6ksR+
MVNnIEfFT6Mpb+pBuW/AVS1aEV5DhFY/jMbNTLhpRXKHDSF7oKYVLQULxEWqPhD/miygYIaLUJcP
LNqhH8Jyi9pTriYPXu1fZEUkebkUYQ2w0qdRNyb6EXjjesjDV08r70MBLZ1YlycfPdJi0JsLfFh9
qTArhVV7HJp40yQlIC8d73HyJoeUP+rOEYV3MQbkJkTI/LxQtWPQujaJKVTmxYU0FHfpdFbJT24S
iQsd2iDTikjpQvwOmE8Mxg0wKp11aUNQBFPJRSutJzdiPFYio3Eao31tVW3jW+MKt7fpCjHvQUDb
DIGgBTsyGPYgWUjj98D7EL5AI+xZr/sB6TUxsS1+XM1g28wpE/xZzM6WGmLXRSXlLx6VfvvfiTqv
5jiZLAz/IqpoMrfAZGkURjOS5oayLIkcmgy/fh+8W7U3Lvtbr2VroPucN9Ytg+JoEXWkUyfnkNWr
OVialuUzy6qnlATvbBw3WUslx4Kbo8thz3joVNcCjvhLAwpuXNdmajWWrdkJgulz2/XSzKTOHiGL
I8wEW1nDAahb7DGDJ+e29mOC+/WOFzFXlMaT9bbtkr9FHz6M2IG9NqnP6yerOka4rbEP5JlkrVd2
Vjnuxr5hcDRqeIp0pxaDEwym4Ve6OMY6AiMDI4C/SiszQmM3mkm0JWuL12TRrumnvyOxxiGTm91J
uXFBLjwtNQjQCw90/P4ZqzUtOQ6TjW742ohQRWrutzKMpPLgD3V6EnvGmsaPnqTiGDyU74cDsEIA
bUZCA1oIsn5s7driZXTV6lcd5PuQ4bGMCvum2uKXjqX3SqMxgZ1sGw/KXyeNX+KJLPpc/WrtCB4/
yno/tcAIiDzZFYvzjuQUGRnyRtVW72Vt/5F1iZDdylJPQt2Z5HyQHTu/amYNN7RMu2jOzhDD98HK
f8Ju9a5AH02Degwd9bmzW9pkjL95AWtfLKg/rCmbN3pp0R1bXSz5DfNZEZFBMbJeJftRt7Ktms2P
8AMXo2hgp83PMBTOU0p7C5mAryQ1+iHemqSrPtOOCiLSiujFjfJjFKPIqES0bXDOeWBy+NIP6Wx+
znar78itCHUtDZCqUlVRwdSbYU70Br0JjaWgp0SNXWWh8CqFJAJiCX11YIBzBBkJsnyUSRKEuZle
ZJTZ1xDZgYwt85LynF1F+271xCCjaeh2plO1V4Ovza05vxaZ01xVwz5mdiOel7he57k6Pua6+1k0
lfuYuhmUEbHOBP3D5f/7pZhLkjhMJ9n/+2WLbG2bqNUhmWyXei6HAALbJEum7bUgtm0uDB1PkI5R
Cn1bp2k9oY7YK43GdIn8x6RTubxn5JTuF2EXFCSQCFqhKwhrUZ/SmVjeyuiKz2mKOVFNTrYZdbG+
2GhELNe+9gkKm1gDU3CTD9sI23OXgnD3efWZqSLcyRlB9jDq5WedWc9FEVuvU2XvUtF0p7Ek/2xa
v6pNtWigJ/QiZImyvLviK1rqkhg5bmmlI+iLEMZpMxJO9ulQ5KN1RAMTolSe8R9SfWuI/s0o2mNa
uGv1ztCRNmc6b+OiE1oT1Q9xl+Br0lRSVbTkVUzmRXF6xo7Z+AiT6Cj0wbmQWxdRyUHNQc/VbjZo
xRSrvciWtYQ4GBJIkbGhDOqjB01jDLAk4A2Vqeu+WCIEZMPrGdg/R7W9DrNwXzjcGYI15yvJuI3+
/VboxdlbBufs0jlyjJV4unZkNUqstve0zYQfEu1AEdSmWZCEZ4tLhoQ9pgcpFehJC/JVX2gAHzRi
8+Yw+XRqI/KXAiNVbKfJPm9Y26UdtQQsBSZb7ykD6+R8zcVpobPFIx2Zdqr67yh54GcdUnZxqxsC
nJ53w/5jWHjJ+DJvVp/H6xOCKQHxeTplR7tuqdJSFmdL5iOoMiBNrGV+tuDUnnUSwVDjYNyPLqSN
uJxw8leE86Zy7SFYUm3h71dcCDeY6K4kObOJfsuF9BNisrZmZNdPicJOWr4YaWX6vcb8QPiF7UUF
WZIpowQQIW7u0KFidybbeTs5sbEBinkD/W0eJ3XoLyJyd8yR1YlK3vNcjl8KbNOm/aAkRQvsbrHA
a629U/dHE+UesYnNq1E5e4o/MHq5w31IC8230yGhCKH3O5PgATHns9/lLaBwaxzcWPmJUJQlAkNf
geOwLPVNZSR0TamuQXqBSoWZztJp2Ppm7umhiEjJ39vSQaKDUNCgZS/LVfUq5pmuiOLN0E0E1AsF
b5QZI6CwRX+IcyBTXdgVG7T92jbWDcvoWSFCwrd4CzeEETz1kZhW4DPc5XNyZw7+TNtlfBuK4Ukr
1DuqfufQJyaTcUPitcsBSrJg5KdFfOw6p+Ujv+Tr1BTVSMwiZC4gR+NW5uqISICUoEmEpKOzb5UT
VEIU1XQxU/capHVdEXyNaTHV3L2TO1ru2ZXVHReQOLOxi4OJgO5o8nhy84Ge14yapCwNfoaiyeMc
oLCEMPjo0CIGMwHKWVbMD5ta4IBObS7qKHvUSxrtKh5d9C5r35CaupS5uP2bYv/2xqlMLHf/78tU
Wbcc8zVliSqj/cQonnuFIqpjZ5pxDhdhxLtRYEYYdb71YbavMMgcF+rDc69LJp/C1hxcJzMhAMMj
5uUZaW8DX0RcNMAY5T0KWBP8G+7w9Yeu5JjVew0mAEpLX/9urZFRH79+zf/+UoE/yHFdB0NuOcjf
VeIMZLyzxhlxxfBA/ELhRU06+QOpU9AivC57jFGnaY63jVrVFHOxUHbGS1Gm38X4p+AZ2I9SI1Wv
ac9VKnbUF3QIktTYS7+zkhXDyUt5JgOYf3tJsS/NSF9DvpDO0Jm3sBgvBAcm3iIwUCYofjzVBEdw
Vazjc99+lpchrwiBhuv153FE405AUZEqOxL0OUu72vaLMnE8BCgHuB2KQNqZmg/Ub1h3bCyoPRK7
b01YVxNYMqL6O+ZoM0gg2TAHX2kb+SkcnUF8QbLo6miKhXzpHSo/tLI9gvCwPEwFw3ZlAmSXyM6b
BDEG7za2lL7hiJ0YW0dlfHCpPG7Sz3npFq8I03fatkjt1MTvoBWPA/CwZ0X5j5F1e+nobF8ILLxI
YS+mrG9vDmrm1YNEpoc7JtBD5y0vUTGWpAJT+DAQjKkdYGZ0H8V+undjqtWrSQgyk2jR4MkoN2Pc
8urNxa6N0reF7OiHZVY8ZXYmoFDySgsHDkDSF9sPQ3TiNnI9jiNpJsVLjcmrwr2nqeXJWDTtZPL9
w8OTPukk5FOAs+tUshBx7zAzUNQymLRsVlFt+nlW6Fvq7Ff4i0YIdUBr2SvmxpGU2vSztLxzlZB3
NMEzLsJ1yStLEr9Zp2OjtRibM1RLzppwkyjGmuvOE+5WtQfriIzX2WdOXQVYZgpidoggt7jnYALY
1XtjS8S2tjUL6wfFbYJYZEeGbEPmhQevL7d4M64xp8sWfZRr6+hI0e0Zwymc0cR00XIcGbFqQmje
liR+UVsUHMioPTcD7EaWyp3ax4GsFpRpMucQIcZZz1eaXosVCFviJ+Qn7aSvSJ0sahDzF+Rbink3
wschVkjvqsA/5tnywywvUeUT3lZ8CKmGAXBd7o9kXJ9150y2elkpLUdQmFLAZPQ7sh1/80ilaCAe
N9GCIDEiM/oogZWyXOL9GnTifLLGd7DMbTqkW3sU2fcQl4uHwNrcmHWJAn2S+VtTdhiZHe3ymZZI
fDSU9Z4B55xjcSvLao9A6qFJBrHh/GoDqyKGQpcdr2mSXkM2X7r64FrCjh8ajdw99pjfxW0frLVE
DcvfTisbdTeXE2fZv//WEd19RLo3HRrtqV7WAtZ//4k0Q8689YekzUG+xpA+eOrs/v13Ze29+/8v
udRgVMFgvHCtkavJAaHPcv3pv98ohSJB0I0xsGAG//e//PenlLKdLCdJdrTo8hmTjFMcq1EUx38/
47j+Y7Tpk1lF6q7SFoRHCrXfizN5A1FdRNKPgNId5w9AzxZBJ+8jwwPSZjyCI6W57pydCF7pPCsk
5apslC+LpD1fN2ZIoS5/GSzKvCh7xiFabXMq77E/USsQMZwATP7URb+TfZfxKsVDEGEi8Ux8djvU
Af6o2vPFSZ4dU1ioUnuuJIt+UfLUoU2AlUrBqzLoZv9kyTw59FJ85IgbHrRQ/akZAL2os5KN4oof
LVz0TUE3PCt/e6iZKXkAn/XRbh9Gi5fUUDpvksO0HQT/okUqhyK1KY/UVXDpWe6cbLq2w+BZo0MQ
AOVyAHlaAv+aeH2o/1hlH/raQuoGgaYu+TV1ctVQ2iqh/OPaxp5VLwyQtvquk48nbvRnQl/ptgWP
txfV3lTkNrmxDhUtwwe2aIfRQzPRhVHmo5n94A0JMw1TG6wes6O3piD6cdt1QWjG366qNlu8RRVj
E6U+01+BVYoRsPxySx5bFDGvSUOfw1IMuLHInc7EsSMi3RuGkKY04t53aGze3LZE7JIsDtVJbFIN
rtB9LFAojvRYjRujd6ZNOMYAResTW2vT/55d/r/WoSWbcn38//uorw/x/5/wxY3GraUCWayPtEaY
IH2J62/59wO61dAfAdIY1RYXEYSYXwpH3YtUrTdtne/BOfAaYUnYaMIIoEBIIS6aLmhn3r2ZpgpP
U0b5GOn6geqC5WHIyzMRX39aRVWOds+tRCMDwIqhLts6TPcUzCPjrEbeCoCds5N1AFgAFGSCLg4J
CPO3KMzhcXLoNmwH+dvK76J0F78g4ge9BEEoEVv9TBiBzqGa6Qp7baJz99XE/C8mYXul5mzzUvyV
balS+yD/TrHhSTw2PnKNcD/OPItjMj/2EE1+U7SvXW9UQACUjGpFPWyVZrwV2trskvPtprirCjKh
gpnWLUiBUlFyLJdnxSZGu1WXImiT7tUcnvv0C7Av32pKb0Bt7VHuGhAZQ/9oNP0BHT1UiE5KZnSP
3VL6ae3agdrn1NBmoy/akbiJ82w38SZCdH+cjL1dMPXwRl1GZ1KO+Gyz7dAPWeDm8c3W13KWEWWO
0QyrMga61nX1q1ISfFHHIaz36PB2RGl1QH/lE/hkBZEQxZ7t6Z/gA+KroUQ+67cyHjELiPBWRIdi
p1mN5VXuZGMHZcCGByTjzRhUhPUqeCQNuXPMkgwmyIqGQpS2FuKg5/TG2ewc2wq21564EweyvVQ8
wyVw71aXBc2D5fAEKUsAU4VMYlkmdJVx9ZVq0oa9STRIm545TIMdqxxubK7LIratw3TQ1vwMh0wT
Y6gnKP/hoCyAEikmK0+GZCcVtY7HSwwbGUY8n0YxsgVoezsJ0YjO5QOn6nc3hjC7UfqRKCq1l9ad
va/hYwic0XThLkLcRK2krgssqDWr1K94ELZ6HV/TIF9BgtHc5F1GulPclPvayHSWW9K9iw8tiwjd
wKsXVuOD0tdEJRLlj0HN4MOsSoIuVE7wSk/2A7GpGwqNSatyen9O5u8w78WPHX/qvUC/qjrNIUU+
vrAbJCLlaAqzW+3YJfrU+m+I3HuXIHkNiHatkBgX8a5p4K4XY/mEy8ifaSoJitopqIjT64AGtVPd
xeMhB8cohvDHdKhjGwQFD9rbFM+wVyA1nSVcfxQLxCCfr2OCO/K+vdk2WGxexHj9wqAI81fNQTyE
+i0PipkLopU7Tj7c3Bnsap5E+q7oiRoJS1EQgkIaY8LMRkxS+JKvz6pqgXnXy4VLkUUpnaINYnEb
PoUOLu3BAFc5iCIHTpkTOCLXvTkoIvRxLf61l5e2WU4EaeInwQwV0oIQ8GTTktRhL40cyKxc2yDQ
RjNOnBWLrtg4xSU1RL5tk5AnZgbwx1sSDJr+w2BwUtirvFHGZyrEQi9JFiQFXezC5D8sXGqaTKtg
CHOxJezhw7GI4TVnFHuRNqlePlXmXuFrTWo3vS6CA66dUHEYxmOs2ii7FosXstVan3n5t1I/UvqD
XpiBN5NGeyhOSIu1mfchj1PLV7q+3dBvkWdLEvDspUioeEUa2fTk7GEq0DJMBUlC7LVuqeROmcN8
Ml1EvhSrfbrU8fIIKAnvHLrxCQME/S6tBVUw9ujrG1IZoLEQlHp1RnOpRJqEj/mLNrQEAbaaL5s5
q69uZAH/IwIPCLjw40ICa2O895Z4vsxmdKgbwEla3hqs6iphwXHF3YD2qcsS6U/YT4Ocs8Qx2yAh
yDGY56HBocJHShISjVhxckJ5LvZTGtnUIpfoJkO4PQtR9hR2Hw6+eCRW5Fvi0fUg85O95ZjfmcCb
Ez06dvg3bexyk6tIRR33p62kulE1pFlhczJbnSfUbNpNhyUjMwGaYyR4c+O6m2HIVPgpOLqaZajD
6+EnKotsDrgZO+NJQk3wIbLPG8m4XzKarpUBSEZgI1jhiqX5NFDkaL37FRUsRAkl39BEAskbPuZ4
3SXCpD6NDu41ZbhMFiooPkEJkaJ9RHa6alfxbbhhvWs7spdbCCNpULTSqpriJxaZnyM3gxxtkPTR
+tNkk3bSeE8U0wGh4HTUudeB1B4KPW8PgxvvWrkIUCHKxayaQhFyKjdWo/dbN+cb2iwT5zhXfAeZ
J1iXMeVgE9VBiBRmxrAubb+D724R4kF6pMMacfarrfPIhGvb4J4fxNkpRmAd6OSdsf5+nsPjHKqk
CMXI8MfhLozkedCUgCjfK4F3RG3gZaVoPjU2hoXKLFVRTwioWcwpRurT2jfBI+AEMA1xqTXwstVI
r+fLy9Kh7mr0stsPTemQTEJp3jSchEkVdjSTI5WVp7hJfvU6XG3jvHHooWJfk2u2ZDakwYiMFeIv
3XChvOmS6tIYOxK8ANOA5KKypvh1bnC1LeFE5WLJgVutOUtJuZVOgQjPFLdYE+9TwzsfqymGZUs8
dPMIfhYVH71KuyyCtKdeROGWP4jyyTy8NmOJRKUgJJ8eNaB3fNR9gmwCEWVvwVTT4u0vds1KCBzk
o+LgZ02xN/vkfaqpEFwc5REwi0Tsko6rlADyaI79gY03oFEjUNuG2P2OcIC0K1wPAh4bdjq+dAOt
KsQEeIu6HHr3n+znQc5Yc1KTC0TJN6leXKdaBrbIv0wDVEiRFbhW9N5rPYeB3VN8ahicTVb+zTCT
vg5ZR5NiOpVB44SOpzl0e4nBpgzLFfQUjEmgz++ZrZyarPXDkIuuTt4aau2wjhQHEadvY89IW3JI
XAfDyTcmijWeHUcSJi0fQ76WxRXalgbXKi9cNtUUBzIqxa5xXQMKGMBCv46Kbd6b3Zl2CZAUYbA4
VOVFt7uPynprh/CryPqefllaRAkwG8GEqASFJ2oDTQK/xGIDObIY+W1qCNTRtfAw2xKhw6ixb9Iw
zmu+iWmI3XIDINc1272md+OhbCkqJqzThVmat30FNQfm8q0afZCPcnqqRk3busVIrrkSg6hU3Xdm
kk29OJR4kgPoN1Z3rhcGMgkYPsMc+anUnothpIrLQUtEct0jdU7kK6CeyBzWkXqnNWa6RWTKqzY4
wss4DFF65Q/JJMaAE5EtWrEvbLBb6IOXusD2KieYSBVaSi1+wnIKjygH15sQZUSbOWgaFByzjcAU
aKfS9mO3OzYy5LNLWETLN0urUkyC1LDZrvKkADuDh0cm3/uGlp7lJcw7WHEajXsbleMIBIdjxcqm
oHTqnSD4m8vdyHywYNS2BcpoEQf2tKpfMd6RAeqJsRdBvsRb8vSYayptk3GG46Ak4SGPtMOiVJdp
Sq65CvnflS9D2l+i3r7xJxpBKIEeJhAYSWcd6FNRHKaJ1RXL5ltTKBeaJyAZtlWYl7um6yBBVzBm
BMlG/LjpmpZajLpzfNmRKynzF4UgskgxPgw7PE6p++tG2Z0MKTJhEVVY0912syez5qICBH7r+ug7
Iy3W0xHNqNH4IWOXJCl6K9GWPZA0/FDrqPhnTlKng4FEErNtsvTMcFht0TwA+NsHN58etVTup/m0
5LgmVIvNhvF0Xw+FQGP4qzbrh5Sbwx5LI487GpZtjCWWIYmnNjxAd9UIn1CV60h3XPnbuCNXxyi/
RDx9WZQMZyoBabYaf07I83jTiQxS0Bs04KSegqRkwx+3t+z8rbRmcUYch79fHTCMcaomIYROu6k7
5pwIVyCtdOv53QRKOF7ilipaFIpG+Iew9Ya2ENzQVhu/DUmvnNwqcrzBRYVm9Okj5eZ/AKJ9OKdf
aw4FKTfgPG+welsu979OOAZO07+xyVEcPFR+qU9HjW1zW8bdHa0r/8CE3Na0bootZ/4mVONvOK3z
mGntVh1AQut9pId/+iqNvXkgAcRq8ZNnM6ElGZmmVvPOvi+9gsIrbJlE/xnWMZ8ddOsSxiLdN3az
Jy9xy5eqPMtF9zCE3VGaovZNqwaGk/usTu48LeqhrKXNa42oI5zRNmXaZX1QlGQmbwhboB6Dq2lg
eJMI7Hm4jpGB2A1+nx6im0UFV0boMiURZ1rbUMZm+Ztaw200kvnFrdQcfATNMphqCwKrU+VA2QaW
GHyiZAZAcch/7Eh6j6GA/bbDWa2PVIcxhHU2fx8EZz8kV+nd9FmpMGc6jtYIw+uBf5ftPo7r4MFM
yXX8WwgAvc6B9kGh94DGfa86rAaLnh8RvB06Y6khwxxMeRRoud1+buPD+j8mBEg3yjWZiE7pw+Ki
xvavPisv1CXJABB7DQCWS5AZK4lMKo5s510zcTEaGPgMLkd3wMnrwniGuPJKKhmAg39UN0G6FMvn
WVbs2VRgRfFX3+eYghFfqWU+byNy0f3OEI9dCbtpy+g1Mz7MCMg0nC5FHv4tJWHrSQwCPc7RtUQd
5U7ZR1lXzOlxtiuodpg18ufnZfhZ6uWj6KZ4I9vI2THloXQEuowkvDOZnQRSn2Yo2J02FHdnao92
rBv0/NQHSg8dBE6SSWdB4VDbN4cMMI8z/Cchuzidla/1yFqKBhd4vStS1NJKvFx0DDFy7ape0SRM
nD+kEKCjVl86KC0/V7R9mFsMD6W7GnnOo205YNnZ1RqJi0uqb6dVU98YAZLIimEzHf7WZb7R+omA
E+WsDa9sAXy4jTCA1Y2/kVM/N8JpNm1UnHvR+IZg8ipi0jxHIiOIHsCTozGjNByM8990MvQNuTmX
zsWRkjQxlcRcyLaSelZNsUHsAk8QrcD5+S6WJdtrvfM29Cbpei4L7TpaKsNzSdYH2cFM+SytMAoN
f4BBLGWUvhKethVhu0P/Qu32UzObZVDkE1qBCKFcGd5jrbqD46CXrFfpRT1uNQsDxNz0t1BwUPQF
TLSg/Nf4LhWt86qW2x5jqfEE/BLYafPXVeePLM54Rqzwsj4nRg9zznYTjHFCglWq4nB2kIEL/WmE
boyrlremJxsBkz7Sq5FOmoyycv7hGTsKCS22bsGEG5v1BVmsVPqtIV7mhMTeCdgXlyrPU/i9DCG7
WY9JYOTLwQR7hrNu2Gd2g4ckNnY6ab1oCsjacJZL2DjFBh426NGI0SvTZ/ix85kzk5AMLwyNIOuI
Ga0aB8kZZzIILcGqGMcTugrS3j0pBQJkJX4rURq2U3VAlADCzd/bid1drNJUKvCtJqK6igIcp7Lz
XRQhm5vRivLugwsW1XesdYciH/2aOz2x7ItN2ok720+cKhsgSs+0aO6xifinl6A7CIoaTRLbWOSW
Z10nPqJrWP9JHLyarM/6kL0WUNLVQs2zKVCVTw0lsuQm1gYFwcUJ7eE5mQGgW1ERlk7fjpsxT6Vl
u1sPT6EV7/++iY1KJkhVLQ9LbWwIjDvVI1NvWXVbm8x/Zw73uFPPmVxupa2/hOl4GUvERdm0dYi9
8pJCsIbGfBkru9PYd+ebv+80C8KUGuGwMlEJR+FfLc+OjtEEi5NT/xz2W9sUjxEnneW60y62961h
+ks539HRr3zac2F3Dwj7/LFChES7VeSccZfRIf5Y5PoZSSeNJUW9z/PmWC8cMsmsAkpHKoB5fVo/
Ec0oEJV1XKsr6bI2ZFF/AIPSd9uoygOrHW/uXH7z2h1sJd5g8rq5xfyThjyxQlL3mJskqVqfOh27
/jzktyhNUUbL8LyAKuiT8jlb+ioqUfG6u0+0SjMpZvpDrxevdT7ddJOPWprGIbMh5JY2VHwndJ87
p8QxVoqjYRp7t3dvffU7p/CmrIPgItwpLC68JxOSNrjwUh0etPWysghU9gFrCUCpL1DCX2WebhKb
f8kCKGNKd7Pk4oprLw4YaV9N4Wa+hQ4fOUa2H8EI/JF8M25E+4/eMxZq2l1kvcChP37YDrl10Fr3
BKmKKy1CZI13UYqPVP4YimJtXJpgodWjPGjkmVjEPakTGFnShfmRmMC5o9OgWxxi2uwMEQW2Dez+
1Ua17ZK51n5OBPIQm3qrZOQfoSFD7d6rZf5RJ7lbNde8o6C9vBYZTVDoXM2XHgdN0SrRrhu1i8VE
l4zzCRvaIY+sQLr6W+lOgaodTVVig1KZbuFqlvoXDcnVMgaTABGH9pdpgsLtlJ/BUF5k2X2jrM04
963AqKs/poaQY+ZGE/G90UNjI32nLe6zkBIJ1GM3108l9qHDrNo8WrXzqFrbWmHuatuZKGWBS6Ki
ny7slICO4VtT8m2d1mwcO9knTk5K+scUCa7mPD5k+Esp5HyOu+i7sKPDjAzX1d0QnW/6NI/gOtXk
jRhsgjYsWbMtlTkl/jJS81BP+A8XNUNB5pSnfgRzCmcl6JzoqLjyDkN8bEn0ywb1o0shII05u4F2
IJzNOBa0AY9Y5zrtZrTOmjacyxRgLRwZ6DUoZ/XI4EDaBWqsPWlinm3LayOH5jBwcsBCHPqxvBsC
MfeYwQ2Ytnajdj7yCxUGt88EBo6eiHXIKkq0eUpn1IpCpfGGESG3QAaAgt6tGEOjqqRk5KVPia1c
HRf4sZIdKN6vnfIqi3IB2jEfh9p4LqwVjIj4W5W5A1GRv6FJei6tmBEwROWabFO9/4yjBwNX7Dlf
hqeSKzfH2lu70deQWW+dLm6Uhh3pUffMrhc7gqDAGJBXMaTq5xRPlptop252TN+eYNYSAB6cg9Wa
XOVVErw3J0RiMxE5luOcyrKTKm2Ct89xgmi3AZiUYBwNyR2eU9qNX7NfuVrTbdgU6dnj+wOmeVc7
GqEWs/9g29nHNCP5Sc8islC/hY4qZcOerPJA3BjWm3sBk7Mx3e4izG4zD9lmGdiFB1vDGmjdUGcc
tK4h9WcZ79VcVaes86u6/YjYh7mUNtGgvepp+WLjCEVCZ0CFz1c6mj/7yrjoPVVncXJjHqAZuOtv
BQ+LF8eXOk+eOis/Von6ECLGnvhGqob+QLTih0mDFbQW/Kz8Jq7pY51gaLVGMzcN7dYwh/fVyxGu
32MD5RIKQuNTlObNGuM7FWzUhlORYS7KJpoKWrm6h3oY35O54MN2BH9ybe7pgPrjmI8QSxwqWHxs
UX5VdfLhxMq8lSBBSQ1Mxf63Uwz7CbSPNdyVML+CUJ4qEArrp0la2ii+UFfj3nssEGsW8fyEcRF1
/6C0u6FTd4hieGHppULhQ15NftGr8UkMIaoQEE7bHEFFoxQZun3Qp/E0NsW9IHyH9pcGftBOIV3z
e9NHyFbFq5kN464pII2XfM8VYG2SvvtWq+Vm9dazY3XPRd7cnaF7titWb8t2Noi0EPRq8z7M8OW7
jHnIMCJ5LfMIO4tQHvl4md9UOrLBCXcQxdimgRsIa+HdFXjpEeFAQcgvsMejbqo34Fc6i1C74JHs
sXzgxfLvLklkgZHNn5VNRlNYpU84QQF4XOMdLKPEZATcrCI3r+2CQFvwgRKgROaXjLklCZH05nSW
TXwpJQWRMScmUkxZRIFoXJdEhozqHFi2CbY01B79jtvSRJyG6cwT5qO+VFdzQQBnNclV6dgsZDMj
UQXbLHg8TGXZKlpOFFCL9agCKnOU7Bla4LsF3kFphUkhdi+Thv0bKR9LSt6f1Zdprms8hw2mWvR9
9F1dCT95tVqF3CeASU8Z4oDv0jkGfKxlh4BKwTLGLEaqg3scuKnr7Nab9t3AsuJJ0hqoJC4ehtjU
0UxIkA5+L4Be7oU5c0JizYdmEW8Us7zkcUjxD8bZSJLQU5U4PCu5xXlRHdYbJzXaILbKm64v2t5Q
GUcTRzlHlVt7xs3tcGCHo/5WIInEmdvcJRtsOneS2pGByGLt3Va7J0s3z4bDmha3OAbTQSeQnhgr
YP3swdCoTywIkV/qvei7e1aTKGVavJRxV3D/OhWMQzf9ceBYo4wEMaOTD5Yofrl6d+EoHhto9Ee9
np5BYc/ZwFmEzfDeLOin9VY5uNPsDwu4GhE17GxFoCUN0t3pA+4Y39wy30axIzIcCZhskaDL4Xmh
pJmSkGoPKoBcy9P6IKSaUFOPcy33pFt98kZzLKOMrxvtIQFKTcvBpZoJO3o1HS36mNvGvJDScy0y
YvIyWgfI80b/0OLoTFOeSishrZj4KBQ2j2rZvI4Z4lbDX5docn7fhw6i0lzvI+TtIJRaRjleBNVs
6KcxK7fYAJ6YU7m73t1en/aJUhxKIChehCA3sqc21m+c7SxiPaFEw3Cy++TQ0tTYDe2DriQQuVkE
t27fpKbAcswzRY7oaXh6Z6XfuD1cC/ozSgL08amzc7SRiTxocgqcHKN8SR+CHS0cMlj0mnr8nsvh
O8YmY8JGe05rKcfKWqDmUTY7g2bTV4DhMk7744j/vkKy3NRA7qWL1CqPZ56pWfvkLf2hMp4gX7oW
7MLEYrgkP26Bfz/SGwX0jyzgqvzbtHyKC3bbuleGk9LBHiqajul1lFdLjrdexh2FUrgwph6apcVi
wIDeXIWLkiwRMCtJSI9jof3JZfSsExIQWP8h6cyWG0W2KPpFRDBDvmqWLNmS5fmFKNtVQDInkAxf
fxd9H6u7o9qWIPMMe68tjUuYFf2BPJyNZ2J6hd2T1DDSm7MREo8i5qcMUB3fGwqyOMbyHJtsd5g4
vkVB/QCM7BWC5RNaR40sIt0rZCDxZG0TK3sN3PmiUqqGQhvptrDQnhTYDrmlpznvtiYKJ3ZCT+CF
SpTq9MNyeK2z/sEwpisBifQg3TdopYNRk4+X5857JsmspEppgvl1ZqZHQ8ciJ0CC5zfhsLKT8DHy
9Yee+4NnehCo5K/wCNYIEESvhRcd9GDkBwizx7q7BWF1QGOwNwFQoRln4zBG71WpsJMZe/bvK6fI
K77S7j1fDI8dexm0DvMTEnziGjIklyFDf8C0/7TqvlrXZL6F20u447BqTIPa2kGQEDWEzeT+vbfj
TSuSS5zSB5mQwosgeEyC7MnK9Y6ARny6Nu9tXp9qzACknmMIaqEuZThdFhexQW2pJhoUFD3MeJzL
XAZAPCtkZgO9rw41U670QAt09jverEZj74r1hkdOrB3Osp1PYxjG+dHpMXSPGKsx+nhRcO0z8Skp
5VYSl/6E/H3K50MF0Ho9gq0aF+aeSwRwOflXM6s+7VkvsR/IErExt4eggteLJWKZZlhkU4XGpgqW
OSHt6i40k2c3N8u9Bd1ypxlO5zg+DqiTdvXcn/JfXrTnwuQJUWhn13ZENFGZm0db/oZomxh9enzH
xZTza8TrftbxManjB7wclLVZ/oHYRKwCQGR0D9I6WKYFWbOKVyyyhlXflyi29b9RIES2UbqhnCMU
1Fiyh45Sj/owpHm5wTjtOiYi4GarEu4x6bHLxV3BDDtgduDNeb0DA/9gpDxhqeOh89LzQz5VWDmH
CL/Fk4llQg0Fs5WBOzcHT7aNUHOsCdb9cHUZbkL629FebreOrBJpCWblZH3BuyIs5dRaxNwXdfVa
D+Upnk5BVfdwFFG1mO10MHzQbYPk3q4DFaGlYnhkhBjOfcTrbkwu/FBygv0knW1dURK+IPJKNtli
1e0rPhvPPohhuCiemNJwPg3HvEqfVJkcpEcas8PLlSAY1W/Zmebfvou0KW8CYkRMGCowWTkTafzF
HlXxZ25jtxmajTbpFnFwMVWJgos9WBgU6RBtnWDxbJGcDslGh4NelQgTdxHbm924HvsU35Wd/iZx
tqe15CWJ/XFdO+HOMZlQ2SNyejPMvsYQ2QNeRNhiRXPOiR7Ma/WSIErR4kUUVrAd3LLlc4T16KZr
MGx/TS9n47TU1BT5aGuaL/Zd59xipgcZcNnEshxo8HeutTU+Rw4LiKJzvsfYT06jeAE4m+4I+QbP
MNVovoaHCWUbMzNaNlMJemqqr2VmraHmAFhS297OXs0kjekT+BPGe7gNpUyuk6qhxpnm3RRDDyBD
kVbW5/LLdcCxmqzvL7ict7XjVE+LzHRlFKbx2c2YysnFLC8qSMPnsEleKBI4bQs3eVLgazeua9co
JrX9mplPcHs3YZLisEgzQtjtaq8mweaG5z6RyTec5h5bg9VtZi8wT8Ob54n+Uw1GfcyKWK2Tnhmq
UxVfTtlfAjE1L1g93Id4QI4qBh9SPm1pEKMMV+XYHqd8UI9Jzw1UqDH8pC+K16p37YtmHbdHcoFL
yfc+TCMZvgYhcRRWRnmeg7R58G0tV15YvuSurr5Qk+hNCNz+NJMp8RoJ89jNzU72dvXWYU/AdsGP
OOUJrAY+xQIpUYhE5ysIQrlnh4KFf/kkM/PLtWHdWOBWjoVZTIQZhqfGr6PPIrcfxs4fXlAbGw+F
yYwnGIf6LfaarZd2zQpN1/w4+S0r3rGBwu2Mj41gtYo+AnGl8alMX266JrpNNTM+UdA/T+MRmi48
BYEbvGxWyPAY0Busu3qkbbZt3Vwz3RTDk5+zj/eyHltrj3rETT/61odzCDKcycuq8cSwmkf/Ui6q
7i5InttpbE4M+BgoNi6z6HatU1YjCqHbGqLXh1B0hAJVhJJfOi4m1s/jF7XUUSEpkLweEnslZloa
vTnZu4nzOgmHeAXLusmsWHkUVaeIpCBG88bkKYYF4hMoz44MuJ7ahn2ge1B4h/g92QckPPGrMSSe
w0JNaia3vOcGJPWEscJQXYHUgoep8fcYyD6F/0dL/05x5nOS8Q9wxeeYKrzFa6aPoMAC+jh0NGgq
EMGUhA6MP2NqhXwMOl0TSX+dW0rQiY0LSgFc8tGBUeVH6wGyDsPoaoHp5aewnkJ3IN8a6elkOeBi
8uZaEjrALQLRgHdgtSxJuxTSk/kO4hb8PldawuTfxiHiCpMqghUnw0hA2tTQ/k34frETzrPEIc87
SSBBuB+lsU0NvhVboa/zHB68NPvnMRJqkQWtm2b4TfHHV15KDvKkCyJRGdz6NVBUg8u9rrMtZhSf
axhoy2gPDBhE4W78zlupFvrh3GdyE6ai2fgT80k1UaAwxVrpmcAwFN4+BniWKc3Yb8nXmZAKMaRc
KLZWKQ92+e2XBK4izRxXEXMbdqP0OW59aYj1ZO/Httz52/sR9tbyzTLoGvPUmnZ+7xycsoUCSbVB
It7Wrk0EeiG5T9Xoope+IRhzN3bv2UB+TcA7cNxYjJM8gj4HhBqCYOzjQbczbVgOQ8Qb4jW7Lk5/
mblCbNcIprxKHTOJ5cPPUUaOrXxjWPIRNdMVrwWLbt7gbnhxPIZ1xHAb3aKVKP9LWB1RMW7isdz6
1ltgVH/nGaij0/U7frcqsnFr2N7FViN+0+wBoaFkK1e5q4CMsqr7VniODrUV3NCJO0frTDDDi844
1FEDvSG/y+PmVsJ7uGa6OXJhoZdgwt/E/+DF/4Rw0/nxW0y2wzXHphtTR28hIdAwQ+nKGKTZqIeg
0dOwxovxwoyf+akaZJ2jN784HSKwYACP7ZD8WbTtoRS0j36KxK5N8WHQgVYZdiWu8wNv/9+SQbfD
eJZt0GMpmpec3S+7qrrdVI6LcF52z4gX+QY6FaHObO9GK+DnoALo/qMiZVgOpJ+uOpU8Rknjbebe
GEklY3wqXzMd4tSBkXZU9dEePRIfAABnUbHmsLkZFRVcmLSfuWEdXNX+lq68e8i9F9EuQ4dafkPe
Oev5EBHpGJjxquxNgZjOu0WxGxCuXXG1558ai/a6rTj/QJEkNcy0RWnpG9B0nEwHmOD/DTnjuP/y
cXocWhEKbneifMpS2iKtxE+P+SMec2uThsGvI7w1QNgOOjXtbI/STt5C7oeVwzsd5kG76CxpwXKD
dZiM99KOvgDwW96f1mnAX48uIGxURUa9TccE1WB5THQcAfcbCMjuBgFPDdVs00CU7exyTaDum+u7
b0VvY96P/zLuevPN8c4kdYm0s86WxpmDxpijvelXrYMRnTlnzjB91SqTZeS/yQZIlUZYW1hr1RDt
WJOVvx3zFY9UuL5rxm2bltau7+7gHagbHUYo0oZIizXOcy7oSSXas2VbW4UsIZCQeAQPTEiJ1pn6
TItQ7UMZvURCnMYh+phC5zbY1os3D9ghxpFXlQdQtu+W8nD7yuaXnSztY1sScbEdJlIU2EekB2XT
Lxkxe7j6R1c8XnrazsR0tCMuzLBb7irRrHGa/UXmx4ngznc5oezNbPPBgRiDHsjAxAYOpyow2Kni
Ixljlize/OPq3kf/DqTQD/4EX73kDCVfhGRQ8RMmj0Ty8AY6zbDieWg+dNykm3ricDJJoDUEFknB
mEGPlNJkzXkxi9dgbh/BjF/KttuyxcJ41KC9m3scuaywGD1DnB0uY7M4akPYVGOGAcFZ1JPZwH+t
BqQbai6/Wn3Bv//PcMfP2NgB2zjxr06JaPa2pyBpeaa9lsN4S1O001P8JXx6R7kF0sf/A4YUeIzs
7lp1cLCm5IM77EKxc5CyHLDgoiAl7aCxnT9DDNjIlLi7whrliCjRx0pIWrWDSFASabFh7LxSyaSO
8NjO7BbPOLi3oD02+BITsByIBJo0/0AMYW34gQMuzmOIqsrg5zIj57liTLlGqHRgWPuX4XzoORPv
XJYeMucObn8Zd0u8rEV3cTOD7REu/nZGQD9VYlNW71lfrgujhDydBDdnCQOAocH4QeWHkT3efvC6
e/mfUSnDg9ASRONR+0wAozf5yPLRE+I1cMr3tlbqhP+VmxNpeKxpzrXLWIgCcTvICqj/+Czn4mWJ
N3FIZKPL7ljxf5QTxVVnc5mGkUI/7vyFqIYXroINYUFJmw0SwJUxIEjAja6OaQj+QRd7Yu/YuiTD
xox8XBwQAuDemEdk2keKEZQs12ymRQklZGjexwyKEhvDx94f9Xr8MwXmm05b3AoQ/R7V1D54Opif
MIyB2S7/mIH6zmwO+MiqjSNXv7EBN63EU1RM5447ETvX+Mine/C7/p5ayQPaY6x39MyOa7+1OW4N
0jXVzsNTRooq0lyLT0UGwN4tcrqS0t/kRRlthhl7+6gC2llyWNZty9i+PY5R/hUgVo6G9hBnLJr8
9phOY47oJXmdU/9GSbN4SGEKfQhZR5A2x3ZrAVwi6crZ9FZ6khqYKqhhxfjFDfGtzjUNLkqPDlHG
vgBvlnoD/UJ7Ii8t3vgxGsyG1WYfvnVe/U0vdq0TTHeL5WVrpsOmZhorq1x/gVJioNxTpPjzLshL
ufes6UAwx1ZplNtFiFsWC2m5opx5Uw0Xh1D4y9GZSFZ63LTZ2nLLX6sK76Vgvkg80Waihlqjquoo
Gda4gB9idJ11574h9XsNlnlM2do/FjJZO09/W0qALuyuTiifEGTviaGgSEbgyWr5jH/oXmFB7MGC
e0588x0kVqbNVZ9W5EJ4xuOco2jK4I1HE0mqFiWomMAGYh3dBuGDMcuzqe2PsOC/0u4VaV9AYPVw
1DamYnSmG2xrz5M9fDdud68YUAwt8wyR8+Y7AOPiMXqBWvY2ljwdLUKniVquJVHNMGZq9dljkWW3
pzTyfyD4PGU5OvVwQsAB86F2NXd9vZ3nBp1JdRMB9qjBptZayhTtMJ6NYmqRwJNPcH/PIMWwilgh
L7z3agp1Lbr5SK7FAuev8GzXD5lS35THq6zuPpQsqCqxpY3o6RO9I+eDu8kR4Zqt2VUPU8jIDv9b
UqT4+yPjMJPf49rAWV0+0si6IJWy197sn2Np3Ia0RNAR5eskDh6dmDjXqahSTqLdgOTDsdkrBL7x
Mee3YMrfmhSNUVONzBr9EmcSpeDgXj3zRIytwNbHDpUXDPdeQEVsDgE1ef5MPNyubdFC+Vm8hvr6
zPob4ElCP1nqJMeOtkmrJZdtXqMpgApAJN7KniEBTVRiURteoLuRj4vio7LAsunqV1j5l7Csv9aq
R3LD5SGfclTQA9axVcgIe+0YwYAuvzpYSLFLI/uOmSaiaQBLiwMCpc5gZN2xE0hEUCtAGoBFuPe1
+y+IRQtaVn00Inkfre5c5f29dXl0VbWErv7zZ+aWKt90bLNwlRobwIjTusJk0BLDkdXJY4BMaxbN
c6LQG1SyPJBJkVPwdDD4g3PN0Jk1DfMUA2UAfyVBfAUCDvVVOLG39SNIoUkeM/pFE6dDrAKeaE+I
HX9TzfbdiFFHGY7xGOLBtgPj07W7iw29p8KEGlnTF4LDl4I6DS+Au6twtK8H8eRMZrobEuOWyvwL
P+lrEfCcw5qBR2C/2Ukw8Hc6fx2JeXJuGmqH8AeP0bxye6oMguGxqKsYWaiRn2XnpbtKsGSvPhIn
fS7JEK7DhnHfGO9Ho19bFS5qMLIPVcsP3GXzu4HKet9PlNVm/ulT38QLSad5Dcks37KwoTMb7dts
W8F+CPuP0H9NjO7dtMGaaVQVmy6JDzZfxt7LOZDGP3bivVYFXQi/s7KNP5GfPAXVKYw5Cw0Ugeve
ql9HOV10TmhyJJ2tnZhXldJiscrEC1hhjxjodNytbbM9dMf421WEHEeQgdjT3fHHnP3E/PDn7twH
gLEafAsE6zBwJwepbPReefwArM12qtY/mFWW1zYtuE0LF8RX5rQ/OiRUjmUGb/pacArFzfTQSO9D
GmrvNlwV+Synbcvyb/jxIm7BjDk9kwrjpGGybITn3BYSvzc1LIOqJytedvhASNhd9+YWeyND6WAi
AcatnoYlI2pAO++DJV35oe9uY9LBYDwg4DHvyieyZQDSunIbS2+E/6+nLqDIPPQBCwYsTOswbPiw
UyaCk/ZPyq4f8pE5gGYQJucOHn/2k1hjg9usfcE9C1uQjni78yrrLBVXUpKWx3gcplXmbeKg/xBM
RxjXMd1HTZ8ObEmjCbVtyK6DPpjVDlELykWXVDn5P28SX0iAsXuzVqYTobBNmmGr9VpaHMpBdxM9
OjAC9sS2j/RuGsvPKjZeMK9wZjG/IMLjigbjBN4f3Qt28HU0+29LSdUqHInIzY2tP7kYf4jHZnXy
XFlk0uOe4qBxVqUhYbXFfDy2U/xK1zvlif7Bi3T/jz7R2sQyl8t2ZCDJMw4qDiVS0B5x/CAUuxgJ
Dlwy6e9iZKxQMG9kEYxqaWAm7bVI6yMwFi3s3J3dXHJRv7g5x19T4v5vp3a3/B6+qY7LLrzr7KMo
GdEUofujkuJ10rSTXtw+oO++uCSneZ73N+LJaLCKrXx/eAAghLrK6M4s1Zfd3JLujLm5L/InctDe
MTbt8zogn8Spn6SakSA3t5S4BR17P6Gcj67h7sci/RBNisjfYMEcQ1Blv5TxZExR3GJ7AgASds4J
i3jiLy2e1KdQIQFzDSeiCJQ8PYExbafWvYhl2B7FXxnWz/OSOxW0/kXVEQsLqt80tSOuefZFZCZt
tPXdB9MfNxT2ppuaBSWjt0r9nyDMnDYw3qPAtVem9dbXi3MS7v2mdtkXUxfa+ijnfjhPQ7GbLdwM
vcm6t1LkRZXV6xSQumuzuUe8lL6SKdQjOiSMyJzT7RTzHPR44Mlht/8JseeWZcbRQmImagpVM4mt
2OcTGwoCq/MrQJqro8q9qKCEGoZ9jYr6GrjdR1yjyDRpyC3zkiE2ypFfGGP6xI/D4H58MGv/vTPk
cRkHwJMsQU8gevWRHaem+pjKAntcmOzirm2p2WjXfUROukEmpklVDRGTcKCsGSxq8Oj8KtqJbgzC
+BK8H2icD0MBvS2Ed2nOW8vwc9IVy48A5fSoOmsNMahKcgnYxPwZXbqnEmj3sgr/MiOcSZB5gWgI
DeXSeIT+2sT0zsZiF7As4zmS5Y/cxIdWjWACs2XXkvLYC+wBagi/gHhRD2bTHcvKGVvLNKaIMLmR
VmlTfhJriwSgHN+GBLKP6fKAVlQ5fpb+DmxhNnngbHKv+O7geW5iE73FaBMHLxndg+6X4SphGr+y
UhQgGkL3HFq3GM0isAF6iXY8Rq4Joz5I5YYD6S2MWrg0OWvOTqxzn61gVTHD9RQqM/Yhk5XKbRJ3
V7vu7r4R/slYs4uB6teZ4Z4t6n1PVh07EAOt7FR/TpHxGSBpnBQv6NRGybpghLyaPD6wtrc+i7J9
Dd3y5g/dHbTsopNhdYC//mMIt9XI2eVU/rVAf7OZU+tH2AyGfSf78FJmGDHLNpyl7LoanLDBW2qg
6kqAlbpEka1TumQ3xz8RzvLgNIFkghNzhNrb/hX41Dds22VfJgm9CTaE4ri7sPEAH8efibmc1Z5X
AsV485ngs29tiGTiVnFC6PtOfxUjBJEUMOiq7BzCfnAtFAxv3JrKvbz7HVG97ZDb1LmkZpfNgaMU
DYZhwNSA4RktWoqZmKz2FuTNJ4k9l9pwaqyD/bQr22LTdSumW+y3GuIBVP3L4AJg5wyjhkw+uGoC
oFKOm6IV0YPdMtZj441hcdlPUaKY2Inpo5lpOuTARcE+9LNX5jzfqU/P65ZPVdy+CZl8TRlaMbPm
UjB8E5Jj8oCrLduAzDg0LfxNWRymjvUou3kIhpeINQAaJrk3UvQIGOKy49DgffCxFo1yUFS+xklV
izyR7qkT6pfwuZtdOSudWD99VP6ysmggc56yIvob+6jFkgmJSXd1neRMVfOXDOxmFUR1gaW8xKvV
6Ws9iZs73HP+zUb28SkT7rnGjmq6aKc7FlhpPP1Sy+18D2GWjwkafXY57YMRu2oUGsep+mOPbfat
3UsfI4IWMQtIN+z5tZDIJX7MA41pmYGdWkeWf206RmMjoNrRZQVQn8I2eDcZCDxCI937YngmwrBh
5thirVmomKlLZiPBPL7P/RfohQ8m74kFvj/mlvUNh2kwNo5Io/yQJALlurvQNZM65ztr5JUx9Q20
mwiQMRYfVn69llAh2rMXaL4+/RagZq/LDI7UUH/IhKJMD4gDIFtGU4ezWZzbRTc12O4PeaDcRZys
nZr+SILbN5l6JylDbGsp/iRh8qqZXKg++bZzVg2hv5tIj18r46kwSwo9p36XjKsUtokVjHWeu/zY
ZjxIGnGYq/8Jw/1jET7hZUW2nqHYYXq26L3qDr66z4gyS7CZhC79te9Mb1O21McUQTMhDiZADI/R
aNTy902uA33RLf+2aBKpT1jDdNPViBHleY351BtBSHqgey0LlLzs3PjYRHtNMkYJmKBVC/lPBDBD
Ega+dsu1nmZqVy2GfNl/J01z7TR+BXzwRkE+lJG9gr75RPLxVrB7PBYuKVHLfjuc6z2aPs6iuf9N
yIOF4/Fl0GKt07ja+47zh3fp7MXTTYNCXDbJdzeikKdbupNa8DN41T6q9bjnibypwt32QXOfsPWC
gBTtCvf32gvrH5wDh0E309FJYnPdg8P17VUNy3QDwtAd6sWqwdcpIDsuBksfxWPaJZvcTri+QmJL
2168oLHZBi0bFJNKKaq4LcNK7vvOAUrdKhtxf8EeJr5Wr/3yTfSLuCfQX93U/wRC/zWwr0to6QZU
IFXtHYXsV7bQTKh9Q14U3qakAZsJcgDLZJJDDWPu7PM6WQXrpeaIo38nOkwRRBV4GH68hyJDJmgb
+d2AYUjhWjwakFOlbYiXJmbbDCS7b1htCGDboRUiUXcfQP7RZjr6MZddvAsLTvgQ3oLNz6ETZ4cO
eMN9VNXg9NqSJWqM3zMu41dmX8emRUjoyVfPdS5tDy3FFeOpNY176FQxXn5dAsZ8quzoNUkZglPy
pYcqc36mwLqUoJrGJDqPurrUndp1Pmn3kpdMXkajlmhWXdrw/IKbYp955lNKXfIyqebOolBboL9s
te5EihhZukz5mfiWHEJQgrNdZ239CixkFuLQvnIwFOtyGJ7qpKcfwmdUwE8FM83Ih6zv0GSo5wHS
yFsCB0fsY/Zg+sQJBTh4RuOlYyGIKIRAF/SCTGZFCtONcVjsOfco0/fMhd2ax161bTOWkq14gCmH
E5eQexyrmNI7ykZ2pHhr4ReP5A2ARNXGfUYKtk7TPIQFYO/cTP1Y7N157hgK2BDQAUZEZ1TUe2GP
b6nJN0i07Kq3saZ4uAuMvK8R6WPtrVBVLQ+sJFHxv2cMq+if3J+gvD2CN/8TGu0THWq6dd32Wzfp
yzQb5o44TvlQMeHH7W3ei3j8xKGFKl5MxXaE3HIKspsdhOxE48kmNoAqx1cq34Wx223TZHxzGR4/
einnLG06MzuiwDZxllArIBgqI4JbcWRzD/YlykOUmXWdhnueU4fd3hHPf8cSoSNDANILEfczAY8o
ysWrGCxGsr0utq0rOGW3FvZzQgCJgraXXmksvqwpZcYsHlWSPpvMw/DdGha3ZrWj1sYgl1KfQOxY
M6D1gwoqn0BUEWl7P4FSUsyEcbiv82jBf6vPDmPwCCbW5jZqtHVymLisQAdcZcPW0HLFseinj9Lh
UG6Kch8yFYj5YbSuf+oaVClgEZTtHX8Xs5lgt1zqJK8fJg7RuIw+vZHRW7mU64Y3h4fKou9kFTTp
6DOnHIcY+F16fCCx9IjV67JHywgSMp3xvCTF3qmyk+tRTfhZ9Tp3vWaVaP7YaFbL2sFEVUZIUXhc
tE6OFLB0uLa+EKANP3SxU5VVzgwCNfpyoFJCgVRPokezjvZjxOfq/4k0NWdSU9dMBAquMjV8L3wN
dzbJyhuaey/9f7qYn3sKw74r97n/gnXmnE1lt3fZ5lpRNm+TltrcWVbMHTTeUyajV7+dWLz00Ytf
ldR9rvmMoT5f96Ik4wXBvFseWxOiHcHiDPJDOT2aiHgj7DmrmeBQFoBNeiIx7H1wUhNlqv7NLYBR
MDmWcq5/ztC2YkHYRyy0jnV0qvuRJFeju+CPefQlL7Se3EvRxkwhfOIqzMn/AOy8biZanLl9M8q0
OLvmT1B62zpy4RX31r2PsycCRvWidnI2Y68PHU1kbZpqE1bWp2ZIxETmi9yUhN+0609jDhpqrl7S
ilGZm/0C+wyKyNyGrDnMWtws5iiRqdZxmTgAo9yfEQl4v8h+NBYBbHefI/OIpQ6YGcCB4TKvLtvB
nQ2cFejZuB0hgToERY5I5Rnzb6EtPxHaDgQBpYyDm3X0wQN7BXsIe905cCBmvD/byY/PQBTOXRb+
k3xAccBawmf4ws0+rJfuEsTMmfrw6ro58B/L22X5EOISfEVekzBunwVxRqx0TABsxJuK99YGlby0
LEExbxsz+NuNFYd9byzxS38VyfWsQYJLAEw7yYbDQKhyzKq29g10J8jpvSzmlmMhodLmXM7U4dYE
Joirj+j4j0rY32a4nFY1xUPSvs118jUq40GOQJ/cDOFwkrB3drOdZxQYJVmhJ/4ie0s3erxxQEEN
CLEkAkpg7EeHH4ULfX+A4W9Snlcx1VOeLsqiRamHgZ28xh9mJfRidkaMAwuErr3WgkJCD01x8mI2
Qd3DWPNSjqO4IBRH8yHkV6/9dystT6OJ2H2U/7zM3rQN709ncsm0ipzdhuekM8UFsCi3n30xPVIy
+rB86j0BkmcB8dxykoA2XuUEZH/iiq7q6GBI42PyHA5BAzu7xbapVG+B5QanIDXhO8KAYmnLMj2o
CaxgqQpLSz/lDd7KuvxAZuQyc3JpEVrnOcEUJUV/n73h3Hf1PWNpWdY+ur38QHV8r1E9RlNxUz3p
123NCDRYO8HwCLb9iasXQp5QH9Ei+hITigyOUgpsKt84e5Nm/OXl4GFMtr9YWreTa00sDId5l1jf
ozdc5rQuf8yRJDRCWf3u5gYGdyxxWQusQ55DzGjbvB7JFCrmL3u0UchZIbGfhNc4G3QeZPzZ4+NU
5JvRA9vF6/7YcBU+2A5SrWxkUe0qgo95uINrJ/sZ6wcXqWoJ3LT9EpjSb1EHVKbF0F4RpzDUnaLi
6HfbJMnTqxjc6eqRfr7JZdht/Z4ttY3h3E4pa5oklNeGLTcUQqz0wvKD8yDzoxX08xVa9Hy1KEtP
ANA+EPV/eajRuuT03/+JJSCpMGA5eL+CA8ZgYgpe82QhMkh1xyDhriaVb7s8f4lTyS5VTKdZSLHl
815hCSbQUA/H2HQvg2fxaIJy1xUEGg0SaYZbyCrUQlhf/E2l9N485d3mYHoIDflRk9d5DTO7wEY3
qjPNXnspsx7Lu/ox8yH+6nhlnX9SsiEjL1YTJxxTvMe3cprGOxZtfwcQswT7hf84a+kNqR/IeI9q
+dMlF5DV9rNPSBTm8DBYZRni8iKLwm0GBdwefOs4kFG1Tz2vfsmwwDAuCvUvwsItO+QIntapGUJn
U2dHpgPDJirowxhzG6iWTEJOW3by9mwXX1Fnb+vlsSeUQG2nUAxrb/lBJQ6CNes99KV9eDKroNyj
6r70tg3vYyz6K611DvUAsZ2VjlfkW3QeSJJcNx3JRkgWpj7wmsKwcWymY3FYXtCNnKpfTBQI1lLP
P9p+AA08Zp0FTIfbMm++BUm0GEzKx6LP/Mdz31eIgazh1zQ8b4tiGBeYcIHqxerm5oX5i6zlarfJ
9C7oJvlcEvxXWUcGXNWnD65J+IgCI9KRHnU1VMUV3jxYTap+hd//cUDQvo75kqsXiJfC7NMdUiT9
JOt4N5sJvNse7WnW+eLmMYbECew2QhLZU1XkKEuSzQgTes5qWx4oN+bDjLX0UnnNo1XjoKv47wcd
zt+ROsY+RCJkgvNG6UjteDxzhGJDiH3eNLdz7P0JRoZ7hqUvtOrLSAj2inEIzN66iRbZk8eBRkLt
ymvBwUT+jCSspoZWGKlXjZTWzdGkdJa8r/v//ghUkJm6sMjpcBZPjg9BFEEmFNmyaI6IChY4YWyy
poPKRWzR5b8/JZXH8leAvpbRO2PoamsvkfUMF1u3uIXWzN6NkLzGyRhz0HgzAguHCXt7KKYb0dH0
0Y4HHUoQ6VKo+onzYM3ubL4WCEaeSmjRA7ZzO+3ko+hgx+BVewt7XfG3GNFTxzdS4qHLWm/eFGIA
K0s8E2Z4w0HHCl4IqYtStr4BCx1u+BTaR37BHbZK5kWjNbHRlDhzVUuIBzDxixjjk/2E1otxG9aL
GZ3mDaxMi2LeOP73J4sLGuJgevamAMBz6z3OwJB7ggY3NNXRFv9YSha56z0GBEbUSLzP3jCu54VT
FzT61nl5h+wR1gZgtRhx48YutXmIRcUXGAnaq9o+e+kkb6DOtDEzQigZogu2fGlRPI/QLggL6Mmu
H9m0hfxCpohJW8MJhVyCmLcmv6oxYaJisS6pCua0dfvgDBxd7v8YO7PlxpUsy/7KtfvcyHLMQFtl
mrU4j6JEzS8wKaRwzJNj/vpe4M2qtKx+6XigiZqCIkF3P+fsvbZS3TfR3/PrYZajOCc9DTIUMs8t
qVAUUHFyhJlKKKnWHVte5B5jrWEZwXtX4GYfq5NRdjVJxTiuAAAtXFbP0pobzJM2nkgEBQozcNyn
Z5ZOSG0s3RFLRbTe3sb853xPXsLKMhX4UYzhgn1yFUBEiej9LS2Q3Xee7/wypmuUgBwbNj4qnEPm
MHFSEXZTAeQpM3mY4Nzh2bhIi/3CB7hJr6PKEU/qkf2ol0CTAsfd6BJFWTRG3hGzK7o6g73RZdzi
Qx5GD1QPAJq9bSyjx6RuP4Ig/wja7FxDTrrLuPiXmcuwWZsSgHfYs1CATTEA7mE2JZDPnRu4ogmm
00+ai44JsiJoFuGNy1i1u74Dr+9W4HTZus9DF9NIddF9ZCIKFhJbWt6idx3bYJMENlAnfIY4+THF
+1ThGvhz9Gn11qLh7YUHDTXWXe+0F6SO4F5ZYoV1xfvDINfGUqGNEi2PliK3afFt9NqnrKMvG13c
HSstYFJ+Ast0v4rl+JmY6YkeFXrAQppbI4twWTXDsuUxK4I7FrAxFpUHvqCvU7lWxdGCjLUcDX5z
lRurMGZhK3MKY9rCwFkIg6od5vV+yyKf9DuRMUyJaREWUBKJTZkWqsr4urTV6XZTEfXnhuEsIa9X
wFPxaVMbjznaKFs1gGnr6YJXnqGbx2gG8usJK8VeN/oZTW3qizaEh+JN9pHwDJTVHEppdpIDUvZf
yFGjhSX7cdmNnxXJuieSUPHkuc1uKMwXaUCGAhjN8Bd9DoYmq+miGUP+VdipjoPytwssXCHJcTxN
ngwCGbQq2xWzk4lVhLwcZFF3Q8aeqsKVEhnzQgUBf5wAcnE0epDAG9dDg10iahwbch8zCYeYQmSA
HBA1WBurHIk5LpLEQ+zjX6MMCXIpdX9r0dujSuh4eJsxbD9AnZNQMxVU/X1pPgfJc+hTFpqmPW3b
iKbSnGNVufwIFdiOGSoFf8PZDiT/IouFu4s58kaDt2Oow0uke5QSvXGK8JXNW9bCIen1aDrXjhJ9
W4cJ+P72uyAjdsHQ6jWI/Y+S59Uu6a6VoOtc2gt3o7CIUaZiJZl1TQAUf1HDgSp2cLDPN2XPa1T3
GuxzhjqLtu2hBs+XQemu0f3OVmEyhhh/3Vfs8bx78C94UPkackFFPlEXh84GMxYm+1hbiqLmkIvN
eCNSBDJEbOgUkgzr0sJC4SC/NeEsna6AYOwJRkLIqhcgycHgpxxaUkVMmOvBxenr/BN3IzjJyYOY
N6KHLAwOIXTWXFCM6QWoPsMCi9c3LDMCU2bFEAiGloYhxngS6hNhqk0pgjfXZedJQkIa8+45oISQ
/oQ2B5jOointHwgh+cqFSOHkXf4woxtBJ679ghlsMV1kyNtPPpsqKvauKjZWU39Fgu5K1kLWHfAq
jT61ng792Yk+fVVePJCNaK+UsQ7NsD9rRrzJcHhkY9eTf4QT067FUUe0wraQ3Rc6C8449sZdYwYI
VSApVM6E6R2biFd0ct2azF56jbWg4NC79JUYFs7s6JADLo140B0YSyYkJtYhpGscrDd1hz4ssDnS
w9Ff+CXbsNf1aNSM6VtLpz21W7Es+LPpyyE1HjL0dQNDIj3Z42UtWVBCNB44CsB1r2yMOlkyHY1+
IKwso1PbMhAunmiCXGBMkJnnwF1RLk1WO+ZK1gOGiYgh5pyFnVE7XLSlg9eHuM9FMpL1bTTlGybG
+VyJcsHkL5z656lrrHUWiRdBPAwkcCSgLol2gK/DbWq6K8chKnDyn1QRgzDS24sODs0LXX+XTD46
5178yoQNpipjHN9kaIw7HH5gBrCeI1Pa4PeiqiP5uEdwLHztImKDfdAO7339k/i/dA1q98Xk+BQb
iBByD7ckbCfl2tOKdjnnI2a5eJIrYqQCjOu9d0/wZbTEqblJQ/uOJXM9w/1ZVH/pbTt3mApO7bE6
m3X04NdWddLmG9UaJwJ4EcGmxRlazLTUmD0tMNy3e4NeT+TrNpl4BBG08hWekrFnSmYsZCFReelE
F7LbeavMuXSgHxaDaUNlS8lD8F3yoyxRf4xahVo3OJFQs0pr8wF+GL6FiCbhU9xPCWHDzT27On2b
SXurS+u96UAO0d2tdkkKLqX3lrCgkR7k2Q6uANO0PLbmDNot9Fnd7L6aAodb4SPli9GFdLGcmRPG
ziZLyTbrJfHXc1K0wiyFcIfwIugijvjGOA3PfAq7WUH5bGsMzQM/fuYpU9QZsOc+CpV8ZJq9FKFB
hkjJ4YvIYTz0YCRMzHEtVa1s+iV91t+E3nz1RnNVMUm91PfMF9iAyG3ZWUAa2oC900mBL1g67J9U
u4AA4rlCPBFKTAjaOBRLKKasUs4x1judGatkCmgmlC3GtyH6b+wco96jItPptIcuozKbcIuy3Jhc
dtjGh4pZaphsTY1pezKgkbYbB++IU236KaNDyektmYofxs/AoXWsGTVh7As/0Ka7UavfC/g9ZdRP
rxPJF5Gtk6I3zdMUr2fwuIRKZq38Bt8bpyjcobD1CVZkcB5QwTE787uLow2YBg3rZeijbgH5G1u6
jPdFoL2S2KwN6Pk4Duo94a6YgbFZtD+2DJc9aKEjKY2YTEAvUQgjs2543EwFFR47xm5E/dU/TfNZ
mjvnuxFVfOcrzB6+TRS1aCugr5zDwih85iD+1XT91cmEwdmY5Z5T9N0UxdvOVjuCr+tPjVcX5dxB
4FCbB4YPQHcxuKcU/JCKd01jPgm0XphAYw6VJQSiEVyZXVWc4PBwcrmMb1khH1vGntODqOlKhMPS
TGP0QQ86zJE8MF6YdMcgNHFDRM+cXz4CPT8UDM5usQP2bh71hFawZRe+GGLYtxZr6OTGwbaeUuC+
GddN8WRmwQ7j1irG6I4v232KUte4izRk9zFpfAmbUsKCcTcZEE/I6FrNpx1AVy9egd9VJ0PW0Tpy
AlDFZ/TxeMUZgZCsgK34MEUTNIpoJ1vxUhZdv5ocHCGzOkFpdMy8KPs2U17ZbsJvbU8Zeu/ptxCx
WI9Nc9UGzpWo25CY0CwvWrQBR5nlvxIawssSjFPZJPs+4z1HBt3SrN2fys62npu9iEKe2jB5aNDX
4MZc1xXRx6a6oMGDlMPx5jgRK0fsUIq0ct8rzqJTHz5bboz/T/tF8wNFcXrVNY4mfSPEnYERBPTa
NstivLkyUgenBdak6wplIf5VRz7IYfoqmMW6I7tQ6ua/G+FZd4yGTDfUHn1KbegJ2gF1/IvS4cAz
1F75ori3GqddZMBSp23KToWKEzqiw1Rn9LpNMgGvdrtNXg0kcrbDphmI3yHwelHiJhvA/1O13xUd
jtlugRP2TaJfItf7q/Ic0HMDZiTzznfLl9Hk+U4KpvxhEL/8GqmM7xXHbA8fBUyi1CC9gi65jjqA
l0gwERfvI4bRxs6io864yaw2CUO9IJaPBEjSKKjGYx3M7+IBEHsac+zFWjND5wcrAmptylUSA4Fn
x2AzR0OqFcOrE2NZ73MsFhJXFKJ+RmIs0QLzCxg7oEAreknxLuJ/RdLmH71Uf+tM9oAGep3DIJ5Q
z/JOzD1oulmMwCYSJzXvZ+LAAVHkGIYd2n+bPy1nMFEKKHxMswYg9hHnAPgw0VJL78mMByjmqt9Q
4Tf+fe3qXw4E74VRh/rCQk3Pbujh/9kEFharLIYQmrl6cYTQ822P4X2F50xr3VdZZz3dconTrQgQ
VDVU4EOz1IZ6D+JmhiDSHuji7qHPDHMlH0sNmVjWU9wbXk3KvIlHdIBMygzPuetUePCM7ppnmHLR
Y8GDrIqMlnlzdMYQMmNmbqd4+o28iwF2B3y91f17baSQgcEehaeRnpQqyq82B32TE+/hd/1nVGGk
ljZHGS8qQ4YXBp2FnLVA5tHZGBnO+j4oNJHs07bCljCrq9HaSp8PmGfzQLN6YSud0g+dyiTImKkn
iwM26UcZQ/1KeEtb+U9BYKOIDh8bl97cMHPXuoojRMBlANdSniF1vtVa/GgaIJ0S4wM8XMYk3Ml5
/3L6q4MXESLWN+rmIQ7Qawayo3FU8o6W88RmOiIwNndW9otyH505W0OYTRunKGCRxdYL5ASG13EB
hqMpXJok8Vkr72GgQbW1J3dZ5tTnMccIr+rFwk7vXa9tlsTbf9ADephPhCz0AEWBRYQugL+h0tVW
ayzEhYagMzV0iHWGbR8PDOzEqhAwPckzWgVV/q0aRVo10DvEEhbXTkuknxN8UWo9B5Wp3UWTdsmY
9I2zKUKnTTuUGXAhdlgpMBpRysCwJCWFXxLl0ZIQPwRGqXihXyJPTcV6MxqWu8Hcmq1slvIT8tdd
zuj/Ic1GuSfyicF/WHMCFe24l8iS9j0Kz0GTBo3uJHyM8l5cIEHe7oROdpwYel9pdCVm+wGfsd0A
6OT6YLmRdA0Psq5fiOxxToHaF8ZYruAP4ZAxi/AaguZjYlr6K1QGrzkWj7NRuRqBxcw3ZV57D7bB
KJPqZ9mZVn/qdNc+pGbJ1a/38THjQeNysjixgQsgtQojXKB9kM0Z7HVkoY+VDwDHQ0uf4QBZc3EZ
z6X3xuACuyc192sKBxbsMRTz291OlQi2DM1jnF/u6oTmdQcYaGGMtEjHBDZ+U6G45DSy6EyjP9Pz
2uDYjB8dc2ixi+nxWrQbGRb0Y/mgjzQMSaKtH/wI/7hGe7D1AusQAPHIyIRdOdDKjsQdjDCn6USp
JGoPrUSTmut1ddDyEZfcKDnd1+mZI4GONKBA8azRJ+jCFjkv/W2tL8flVAflqZ7g+vSADxeOYUNF
1WDiq7pVCzdZWrZGwVRaSJQVs4MsyTomMKFJn7/9FRCUgEU8t69OEux9DCy0peuupGEYB8iDx/Cj
8EVzHOPk3gk67aQlBS5VpR4kKnHGzkP53sBUQIk1wC1F0eRwIF6EVb8BkjpsRYPG24vcGqFk+VWo
IrwnbTA+VV4DPHrSxXMcBktNYxYlx4kxuG7FO9B+JEj7qjqNlrpSoiPWJwnwsxPkOyd5VDCiGWda
D8fgdlJqp0whdr6yWN9qU2461QcI1AJ36TGAWnYi4BpiH79XwI7uRIMjPAYltKbSgRYfN7uQSo5+
JNA6iIZ4Jwz32yMY/qd23zxUlRu99RgpJY3Sicad9G7rhbnB6FWtNGKmDnEpPNJqfApngAdcjLV3
0fDornIH22zuEYDmGYCvWi6cTzDv64Gj7E8ijQsxPDQHBAqGiSroRCYUqj10MS8wkT3W6JHWUd2t
JE3ze2oKdUDVQG1QRuMHjriLRvvtqSIfYdFMCRY/UmQXE0Snt0kfkV3mjdpZ3UR+WTlHsaNnOoKa
0w8cjG53aqPSV0p5LnJ8fCl3bdmeGuk1l9u7xaHMut0zMlThMgzqRU5RudNK6Od9o2svmWgEKu7i
gxi733XeHzql2U/CHu2nAVO4NuVPdOq0vcREcjf4Fp4rKySJoFc7URtX2VvxL7e3rmHPgENKtzvN
n/b04aT7tgBYrY27rkW6bQGC4GQbues+Hinjx7Z/SSM17VtCXc5OaWzrzA4ebjeG9h61qEn7rLWe
5txuhI1O+YAqm0RMnKQjCrL3vum8BWd+xA2GnR3SyWB4Mx/UTNLF5sfPjOoiUKXSW0d9n1Q05s3u
HUyZ/ElSxYU/WdlaSPiA2CHInygTAGbTAGaSAVoDyRNSWTS+ORni6W6srXsmgtaOxh4u9fDbbJg/
zV8nLsLftDIkKSd2Vm5XsKTHto0oPHpLlFddb5/SteK3USOprkl1WdWM8J6CwVVr5HpwNnJdPk1V
Yp1K9xhW5jVxdeetQSC9tqrO3NQhub3MXPZiSJyrVtrDOTAiftf8eWarhC+obomDkZS+qEiePXsw
CGWYMYLKBQJTwa+qK9z3t6/WBmgcxXADxkCNhCtwvDfRUk+nTe4da6q/Z6OYlrfPEyLySlMIMBsb
+Ka2cgPyWfqgN6H+FWboONo46x4cJE13tT1My5EmIgzcuPxIY+JXy17/ip3cWQxT6JyMqeIIARwF
qVETYJl3sl1AWiGiWV55RmflqrN6qPWVBXPAC81NWg3hVVfiI4UStap1tMdmZFfvOFcx2Q0dNsO8
uh8rnvxe+NX1N5THeNExrn7PJCKhGjLMUS+AkkRKbm+fx2zFUX9Kaab140ev9Kve1O01EOSnahnd
4xgpa+1CUkIkbRyh+ulsgTnervEWd8EJOcHUHGi59RyhJRJl373hw6y26R7ekLr3O9UdbNfd89Yd
bfqsNXKLfErW0WjWRzchXSbHBRPw3rzrUP9tfNbjcwsKZIF9WN9WfIU4oBT0iWO5Bz+DZt+G7bAG
l+tsNFr4ozkjH3hqnnXGI1FXd69WF5tHwq4WXoM0MGXw8VJJzdwwLVErv9b1ExtLwl5aqo0l4+Ek
B+2+D/z6CdHek9Q8YsaoIip9roWJQL7LtDo7TY2O5Rt+8ZozIhw8Nn4s8twltZsYG5VcWruwnsuQ
oxS5avVngW3JcyvrnSL56Jgh+kKze3VnLIKfevDRwmZ4nYS7tr3a/szJlVu0afjMjlxua9vQz7aF
iu12dTlBsMSJH72HDFtQGSQnve/cg9lUtNlKPfxSTnlCva89W1kJW70jylLRFO0LgHeJRZMgaCbx
ZcT2ciwn9ZteO3pSkh5k3Zl7XDLNRg4jxqN66l8zvV3HoPiNwQvuq4oQ6VjzH2keG6divue5pPcF
YWajuyiRHKWOswsp9m+7boB4cNTEdJgAJy5xz1bPeARcClhZvptJ/iuT0/irnfSZvEOdSbmO7Kd7
pJtefCYKlX2pvOTVmXj5DNmqaz+QZtU8DDLvj9N8c/tINH53LJ0umgmP6UrlKnxpsKiXBT3rXkAv
AcONlhyE+ZvCEWDZLk8x+D1yZ7T62FihQdlvLcIm+Lhd+yyxzFvbwD/rTIjvmxI8YuPVwZMlq4OX
oVyqASsfx7amMAyEdy9aYojMyrro3biP7HwExNkZeLAGDqu45NcaA10miJGNqSEwPppUXVI/oi4A
6ww+untlrM84s9YfcNlEGz2qIBxRX8Qdr3pOXwg8I2olqyK0QO8cA11e7dEuCTVq+zCBuOObBDIU
MNzcEruw6z7dtjmrKXNm3WTKQO71Vh3dEvpbnod6QN/boKofBiSIKHJse1NY2FWGMMNw2BEOVpnR
jspoXLsTTmewwVQH0zC+NYPw1lMitZUYi63KDOPZsvC3AycWhwRDnpV2WX2X2W65D4U3XHwLYgXw
FG1DchznGhaXsa/vTX4RtOqqXDV5ZNCCJA2K8dYLLIlqA2v1MQoB43L0H99gpEIo011rTxNnfJv6
U+VD/RxSSweiR4jdUS+DZt1GRR+TBS8JxyngWgz2WDMKyEiiTw3zQCpTOx+Xzrf5iM3b5dh1FHZx
3LCwpWOtrySJN9tAzV04NLWPJDZ9qcxk5KMyD/v0M8xeKIx80NMLuH2gAbh4D031jF72sfOd4dxk
XfdkdTREDBEJkt7ah2zqGFu4xVeImfku8v3xrfMJgcmSq+Epwohvj8APvF0UMbkxdfOtR4CEYyZd
lmaXXxiDRgcp9J+xtXaIL62r57WPcqiTtdZH5S6KtfRw+0jrMENGjKWREcjTaEM7g/wcbsO8Eaco
839rkwy3bcX8MeUibEi+lndhe8+bQ+xbpxQb3TNelYkd1J6K9j6FDA1mpGZniSQYP418Tt5HEGra
ON5OE7uIT09DwzWGwO4OW9NMCsN4xOCs2reKcBg40+XmtkJ2+ZeeDgEIW/WLiT2X4Zg46lA7xmuO
f6gwne8O48OQNyCzgAYgXy1Ot5tM8+At+CDpdIRGD2WpbSa/y89B37tkFxjxxcP8qDfI7YkSWrdk
cdUIk4Jg+9fVCPih33qiRNZeO8PKbpg3tyRUV+R3X3U/n3tFQ7S2IVtjX5zcizM+FvFTysDzisCw
u3YTwzFLJmobDe1zOLnto/DTB2K8xyermIJdmrMPJ6UfnwcKlLuuEevAy/MneB7OvacSrOumfBFl
jaXQ7kA5cyHD4CDDQ8ho17SBWlozK469ycFPY9b724UEMLCjp9DwOjvwK7xG3+TBKJdawZFYKzQB
0bZzyXvpzX6LrG9PpKZ9rRMdmfeQ4Jk2nycb3wulJjrPxkjXt7suAOrCAb1Imv3ttet9i4aMlNo2
TzRSfADw5Yk691YDy7ivkVK0tcU+GlrH20eo/KvlIPvodarj+N7WbAA3QwLynwi+1mj8rYswgg7G
XaNDXnNcemhzNVa39U+hYcOGqAcTA0XQuWY6B/EUUhUT4m5o+o1ulCCDmOmdC42m0YA3FM+lsq9p
sSiFPm6LYKqWwUDMVK6SB/rIcsELtM6j8hNXLomsmCEdWYaPhktCQjPm8pfdOme9w+cxRe59gjj1
AoThvcX1+4Z0dloJJs8mMlVW1c6TB8CqPMbA3jD9d6+pxSwxqPtPe6r1S2npzxx58J/7qP9vV7aV
ms6a07azmseUr85YQrkyYXN4cUrHzXaifWjgmS+Sod2Gia4/Cdz9ayJ+GZbSWwVGBDXAnXx/3ZMI
BW3NaPeIM/Ea2dbhdg4io7o403/GAq4xYNLAm9pVhDQiLf3vISOya154bjfk9R56THOb0h+gzo4p
OFPVVo8B3ZxFgTfjAhHtSnHCbH7w5UVZeXEIm6RdYe8Blh6fA7J/zpEZ+wurw26FEyc4TN5FeF5y
GNIKBaJJ7WkgWqdG9ZNr67bvMme9hr0ONqvyF0bHtEXC9wYQtq5lWO6reYJQZDaaMimKjac8nhn2
/UMbTE8drsh12PfmTmsLOs1Ct/fSOTU43R9z/rjbPlNm4ytZIMZGm1XA2lCKDxmGKz136u8QIybD
gLp89MPvYIDb1RRt+Zw7M3CylsTWp+T86bMQPCSQ+9pGnNYovM0979zk0AxOvIjYRPvSLXB5NRVS
e96pq1Zn+j0ACjuMdF8PBp7dw+0uEGm0b6N6msLJPBbi2uNnO8UtXoqqFOBUbver77zqETvCpFm0
EdaCu6xyxC4S+SvZFcVW5qgEbq2WViBCs1s01yYHqGeHzPHFoFnWdoyNcC/mLsYQ9e+9a3g7bZzE
MWzQE6sAeEVl0NYOx61rZYImRxmvlYsE2cy6XTSLgmtWpGPiQL4d3EygxNWdZUjq8GAsaHsAW+90
H6ex/Y0ZpGPO5r15iExoVKNpUS8qknDpI0RbGSvPo+dXRxvN5Ss6/l1eKLBkvJWXEy4fxcnSiojg
mDfUwsr0dVM0xdwsS9Z6l4/LYejbTWGyeLtB9JKHOUceJY6VSpxjYXBQ66Ur3gcEYMAznpqoS65T
xl8xaGiHJI1XxoX2oZ5P25GOPcLJpbfuDItRsRoeAqPhPIAQ/Uly3a8jqqV3z/6IG6P+pJHVr1oG
0GtNC+81bRiPWgE3L7eC4a+PsE6Mxx7fdV7Bx7p9x2iO8ZZq6Z/fG/EHemVvH0IUhxDxKGluNygF
1L1IPbTOAQhR6F77ho7mqwmnZQUJ3V74Bbw0k7SB9zrcqrEpVoG0xaHveVB6kHrr2UD5PKfmVU2y
8gflbmRpihctw2zQC3LQb3c9sqjyODi3U6HOui/N50oNH7d7eNhQg+piOJLVXqbd+FE0rbFuGe5s
wXKk757HMN4h44d95IBRkayMNAOJyf/1XoX2Mi0xkdAnvhp24MEejiDC1CpFIJEgVE26bmMnXXKU
leVzrKMZlOfti4sE5I5VgF7WfHfSnXNMaXe53fMwRkbsyhiBzA8hybVUoQDXFZgrv5LmY29Uxxqk
ypvo83CHydcFBxU8l5hyny37FGmB9+WV0JhaO56QolTBpYk4mEae/9on4T0zwuqeNAC5M21mmbHr
7W77d84J5xwaEqNClmz+OiRWrunScoFumgdutifXJtvnIt25uVksq6G2r3kAQiVIwme3LJplPT+D
Uyh2AwYfX5jlSZiaejSjsGB8mYtlbtOSVsPUP5TesG2UYyF/wwF3e1VaBDHbsXJ3BksGlNKxftDK
5jMUQXSuQck7KKa/sLjBADUm94yBmIGhJNMXXeu4uF2vqWHdk9rjYvCwrV1bmY9GPvBQapW/+YOD
TYR/hKlU8sUlnVibP29jH0FbOrmbBgZ9Og737eTKy+2GnHtz3XtWtmgS88rTJ463J4vnhZPQlMo9
5/3wGsDVn+Ho78DVyZ/GhaBH3Rv9a+ujZUBWFXQAs6FwIPd02jZqjHjFbI0juSXPvRfoWCUHdy9r
nQZiG7cPut+/u3RIGb+G3kEnEuwAbP/dRQiBAYaO7tR49xMQqmUfo8kbx0J/0iNSvVXMUUuL2SiV
iskoSH9uh1BDEEImi/peUrNjhUKRG0JGCRIdQhF+lHPa9cUJ3SjT05nA8KBn9nrMd3aThu/aJJyd
6xYm2FpTvsc9ZVWqTR+WblFMKLd4ifz3IS7N19ZuqSnyBNhi1P+MxP+8wKQzCn0mjPjiHhml9myQ
9jORqXMS2F9iUJ4ejVyt22LXKDiPFVm2dRzoz4Sw0BHFy2drOWxJLYr3vE+/AnhIl75KiOS0fWdT
S6YjCgTuQbKUvlZFuMvSSXtMpNLPBEmwshnNZKs1xb48SRHml+wVCd7e9BSUD0+nF3KghSy3JSEA
j86UUo/wNFtN9eM4ZbSHSWI8c3a8ckiu7w27MZ9F5R/sKV4GIKd3KWaZ8+0Ge6W7hjgFGdhtAco5
3VmGbXfNmJ2uA5WWDAkCWjqt+qV1u7Ky6+9cx88fqZDmNV77XZYMb3WCEjbM9LssMMLnMcJ04+aD
eY9bbmJIkzxXHQBjTJnhKTZHyYtGwVIM48MgohFsLnFc/3pIBRhvXCPl8V+ft6vc39Q9iCaj0wnl
ipoOP/R//ZTVV6+Ry9jXJlb69qe7BbtJNVh/vUXTXKH7KsbvtIuctcYetx0s1bwP9vlWoaqKFd6P
3JU1jQRIzgWQXwwoIJOji3/ljMa34jL4Vfi1BARcIsiOIVc0kQRrOFb6pW6AWTi9qr4UEJJYeWQj
6fYI4pY2DaEq+jmb23QhfSgyevZD5TZo/rkkEB0bp+5WyubMjBhVOg+Zkzi/2ib6cBTeZ4HwYUMn
D1hTYF6Up9JDCq56mRMF/SY8Gp+2FkGYQlPZMbAfNP3dhxzvR5Jgw/niMIhhx441HBPbvpQiMY7Q
cYMHFfbJdhw8eEy2N0FA/bhdZlaaFYfOnpWbRnZJdZVfbp93ciRhyOrI2bErAN6u6p56ipydLaiV
0GENW/jD/iaC0eLZqfNLC9GU1IZyHiRI7x0+5mqtxu/bnt9IHHPS5iwejTsSIUAd4irpkxLWcyY/
Jqr8c2p6nAI4UG9G2nJ0lrgR8w265YsFAH+eXu+CKnzv28SA/hclj+hWB9xJNnxV05Tb23UMH7k+
qlp8RSkFJYuPdkR1Ne3itAA+S7Qvxx9MMKjLMiQN97lJSySeKFeSzqcx2uT93dIC7nWetBjs2hxl
4s8QbD9t/a8G+lpcMgoiiuEjaUm+0it93ITYt89jb45nnFwc4FC/9x6+ZdsevlKreLQNNhzBm5L8
Ulzog8X4roQGfxsN+ZztdCNwXky7l6i/3kHjO49TOu6F43kP2NahPzboQqFKLm8lDeyScZHaPkG6
frSHPimPxGVXq6hp/MvtoxwFzVHYzlufwcu1sqaHuTzbRTvpHsc8qZ/Sxtrrmda9hykINTkQx6YF
FuPjPPGf4K+R6yXcYXW72w/gfrNibrMyj7pTlYjIo2Q7SjRdnPxOTy6xzxPa1Wn+GRRsMqnEuDpl
RrQJuxA20mgkH6LSjrTgz3/+8R//+M//+DX8b/lTXIp0lEWu/vGf3P9VIOyOZNj8j7v/2PwU58/s
R91+6r+/699/5h/L6/95+uN3Uf9xuq6f/ud3zv/df/8gv/6f//3ys/n8tzurvIma8aH9qcfHHyB9
ze0/4YHO3/n/+8U/GLjyW57G8ufvf/4q2hwcweOPJJnrz39+aff99z8N3b49E389EfPv/+cX5z/1
739eo1x+lm39//zIz6dq/v6nLqy/Cd9wPc/xHawYwvnzj/7nr6+Yf7OREArHtz0hXE//84+chIOQ
H/qb5Xp8s++QrQMEWlh//qGK9q8v6Y5j6nyJW4c6SP/zv/70f3uN/vWa/ZG32aWI6Pb//U+oqH/+
ARVvfi3nv42H5Zpzjrzne67j2HTy+PqvT4bwkm/X/1eWMM6Iai1HLDedA9OeXfnozMJxU3baqnAR
Ivo1PVGnLqlrUogFg1devWI6KM9aDhEHNdPeVppNUEy+KMx22frpUUm7uesiUq8o/zwsrhtZO1vy
pX7n2sCvgOQadhW1JWpwa3DWsRuz3TnpEf3+lsx3Wv1oZPkjcGFQexMauvEFLuoWuyEzNsg0HNK0
O3Lr2aiTx4pRdT+5u6y+zrEOSTnnUUIrdxkpZJQwd6Fmb/3M26n6y/WcM2sDonEIyhmRCnQtYtTq
MK6gqrkpWxy67SyRa84L68Z6rD3jweTdluf2Nk7dteHS3+Shzg+mquhHBNpqsv8vd2e23Kiydesn
YgeQkMCtJIQky7Itu8ou3xC2y0XfQ9I8/fnw2nHO6s5a8d/+sSN2rOrVJJkz5xzjG/2tsspt56Lm
RiyEEwcq2c5eerDu7n4uym0yWYEqrQcsYy/kK8BXZCQNMXDVPeCsLe/XvwtULy6N/FXV8kCAPLW9
XxraevN7QC55K+f3vimgFZJjAigBzQzuSozWnPtHSv1e63egEZlOX3sQYtyeJtNBTFdsq5jSy7ri
D4KCdWiM5caMwyc9E2XQtAY7jrLy4xzjuKTE9zz49w1X4vXbdYf7PkqDKkRshluZUDnUAoO7q+bE
QoDevyQt0XJNeY5TxVB1rH90w3ulv2d8UpqRn3WMUrGgi1fAkJRAa67rK9ex7hvMnzRubcCqDtB6
7lWPKGW+rj+1fjXrH5yVFeAODIwu99cXs0JMuJ0d+yb6KVP7wQu7l/X3K7wGjaW9ZATo2k1/G9Ok
0NKmpi0COVlHTUK7pNdcwCDku80h04vhXZpc+tHX24YkuP6aD9eyuuqsvfWLmPGKrwuCSm9vO5BZ
n7zEDoRuBnJCBw+iZn1OTIgzo0EVB7fVYjlQhwSOFSSOfVxXzIBBPyYXPeU6gJCZnYDTJtlOKSnA
q9bMO9JRWf/5tiQyC7CxoXJfduYGkxvXITgszP1KfZ3fs8KYieGlNB2L8RPyR3WF+osSwz5UU3Hf
cydkQHvbDMS/IVzsQnkYJocqH5jOGtzGIC8dvtZE1kT7ikyGypm+N27mr+sD4+mtRQQIK37oC58a
yG/bMAAzdBPlfPMxf8RZRaGVdtK1PCgAG5W23Mse+Y5big1jhls2rj19VAjtk5/DdGlK59JnNrZS
vhXepReGhOS5+/VbW7/RpA/9BkToiKRyZPNgSuzPWPnXJ6Yeht36PXh4xZ1cx/DsKzYN5TpH4gD3
lVGcvVjzpzreg/46CINnmxwgHg5YEawf90hb+BFF9GYovV2rD7eg4n3D0j4KMJMElYGvsjTYOB8N
XXbaVxyh8DKijzX/JBuuAtXEUsU3IWVrHF3mTB0Lpzi3rXtMiVsnfUcAdBqIIge2wMMgEdRns7cd
ED4NGVLdInVwQtWImQr7nHYHduafXYihkw35LL0C5WiF3a8iEHIIYax4hTzB5Xml0JW4B2LJuIBm
BkjVHcSrklXa7jEqLMzqckJJECQbJqr10eUuGAMV8OYKPgNAzJ0Kt5pRgnus6zvThcrt9vbBbMZ3
VK3H2iBA9+v3hkYCpjBKnpIyu4+tLA4gD8VgAObbzvToBpIcAD/Q3tmjCSgyYRJpAFhlN9za81zS
hInY6jt7g6sQuaADJIe9aWNJ80Avc8bGldg7kJg+1CyyZycsekCaoB3xJr9eZ2+fmhDRbzwAjclX
CkchSy7W5S9KXrxRmnlL4ZgcNJuYHT38IdyCdMoYilhnwzuCi7WtUOq7sq733iJ3Lhlegakl3o6M
0B+NKoNUq5J9M4a/uK1D5BKmFiSldlA5XOxCju95pwu0/eW05SDCcqZI9EXagZhy+TCWXhJBGz3P
ijMtojs72ni3krW8E6Bw3MmDJmLtaswqVV9uczJHqiz/KFqD+GNm9zj86zzyq2I66wz1CPrjI7kJ
m/SoASb/XcXx32P998f41yn9l1PcdG3DkrpnUxb88RSH2eRZkTWiW9ec/dyw5bKDOMAsHXaTpTQf
8pmINfUeWWoX4q3UKLP/5SXYf1dJ0Cb3hGmYFqonypnfVxKCIY6TD0i7CLDDx1qf6hAa51C7+5h2
ztd5zPmVh29Z/XM9R2kFkPpiVVjEzdtMpG+WbXxPC5MmTiWQ2k/fx/yhHiNyOGyaJLTWN41XfdKW
ht8MGkDcdYu5WzdoHlsnbe5phDkSIUhBsycZrGD9R1LML3rxpHRU+VQLOSJcHPlsitECkpODYMFB
u27l6wdlLZpvdFag1+UjJP4n23ovaqxUz33uHmN224l1b1nyuGZIztHRUeXryK4kOxY4jXiLja42
5X7hkoCi5qYGNog42W+5DieJPABUwNcX+k4W3ejuW2KAGWcPTKdri5FrjTZmNL9JZueo8vdxwWE8
vEeC4w+jEhahe5nK7WgQE03RxXHgIFVd/w5L2kEY5ueRCELCgB89N/ul1db2q1QgoKUVp2iSF68b
Lw2rFpSynQ3nSJsOEJMhxjUeQQYcQoUGzCf/NeKJ9sShn61DOlODTQGVxNEwdAjNeDgGm8nPYC07
opCfxp6l5aa/kojI+cS0cLx6gFSW72sh1eSSj4aMVdKkNFiCkQ1/hbfClTAbcj9k/14/KZv6j5mz
cgmokCWT4OKMAORHhdvHst6rxb5orr2PCvdfVqzzN5WvxDgrpcEDy8L943qFL9LlhT1XwRjOjIeQ
hVeKm1kC14WXQ3bU+788IX/3gDg6Z6ht0SdybP2P/6DeJWogQhmgV+VcBjT7MS4Kx7UOYItfdUs8
oL6hDG13EcfGevitM8KZ44wq+eGfX4u9vrk/bxgOcyQBa9MzLZdbye8fVq+LrJJMriqYFEGTa7lB
JTpn9f2IH3EeIvq/HIkuVYI8acljHpPzk5110X+3zOKcmjYHGlCx/KFbzYDu0auIzqPmHfdjzfG6
rsr4o7VFIEfNz+uMhMNTnTuXRrrHybAuoQaQXjxj6jy0kzw2vZ1uTHoMkcy3PHaa6ezlCsPnbDBn
a6viwhcs847nBL8gTrYNBsF1MHHDGhFT81h7p7V4jkhQVryFtdr+549M/N1HBvje4cqG+o1F88eP
rDRMM0YBWgVrWQcOlYTS+jCiPLLIjVP1M8t6zN9XE936IIZI8l70WIEhpooMeRrbdx50xwM0JcOv
cm4C4bXuywSVUqBS5aHcheij0iLoXhoLQ/HcohRZLmNHCHlkAZDjbqM5F4ZjW821grlXu395k3/3
UOAz5HJpEyMoLPePb3L0IgYRAwcJX8J645hmK5Bq2FUQ/pqG7W0s93BM8MOX26Es/Bi5vmm/uxmX
lPgd4zkIKQzlY3jV2/xMkxJLFo86i+vrK6yv61e23qDyrPNdgvvm8MQgaq8Dt7Ho8rj2cf3VeOIY
q//tKzS5uP9l1XtS6J7HMWU4xvruf3fZFbWG+NyeWPVp/o48z54tMhl0P2mHBo2QPFZWeKKe3Thc
tNj/WFuD/SkY80P78JuULX3W/JULySRso0R+blig66ZdTevCdMg0Lfb//JV8bQt/flT5QmzOVuno
uru+qd+/6LzBdcp4LFhvQOsVb8Lf5Eog7YVFWA1wT4LxEGTvFmMXgvquHcQtRunrHhxlh000R1+Q
HInk5ebxMsCcmAZ5696103vyLQwbnhUOYm5aKf4Co7sOWeGvT/96l2eCgaA4Jr+Wf2ZB3O6xGxHz
0/NQ4/QoF3GIHa7Q/FY9RqqHurZnkUbwqMuKkUDVvaxP4z9/IuZaSfzlE3GEpTvMDKT79eu/+0QI
XQ8zQZpjsH4K63VgLctXd7tN+37dPXDCJljGuJARWdACJSSNDZcn5QBvUa9+jOm3dbdCgb2xlNwO
3Nn+5SWum8FfX6IEvyRcyjL3T8+RXdf0mggvDOoJfAHXEU4Fhjbv67VwvYPWfIrrHYjgiDM+89/q
NO6cwr6ZpteGr/CrHWCzDXJikzm6XpIm8ktllPv//Fq/Vv0fX6ul0wJypGPYAjDTnwo3dMulChee
ChHfLD2pJVgLCr5Rp+WixWE/RvMBJ+Y2gQbhar4gF0aEA4wcK8j6izWingDg/i8v6q+HJS+Kb1d4
Bq8NNsYfV/3YmKE2w2MP1pqLNw6ah3aNo/kEa6HzLvz1vs1qXTfO81JX97KJ0GbJ37qaf2hq/r6y
tv661v74Ov606zdmNBUNfXSsby1EHtIl3TXwmCaMe+X7hFuEc/9jrSCR1oFq4bxiIbqaPHQPmep8
AXQSViyDXBtlwrBrl9cqw3nCAFzeAethLeNlf59GrNLzqZbv67PkEhLZoJRtAEnMnXMJW/xnPILr
m1UsaUXBwPDs+9dn/t8W6v1vX/mfWrZ/+uH/zg6usS5petn/nw4uIQVv5dvv+7dff+C3/i2Kqv/w
/No6sjfDEKa7nvu/NXA1afxHOB54Rf4nXUOui+e/HVz3P+CN1qXrMsSxLctj/f6/Di61n8MZhJQS
vYDp/k86uILC8Q97jS0NwzR4RDitaeFCalgfpd9thy04TAfdbrzVE3ntSuFX3KIOSUfxPEISiM2c
POBeBqZBgBDRcuLA4bhjCQZjuZRQp1QJeukysi8FbmHiCXL4a4bsUC/aM+XqYJ1qPfnVtE3ICixo
5IXdWZPmkdZcefRwwQHWZX4zAleAB+YZ1S/bijFHF0SvQgs6RWZ9xJgPWwwtKqGNN048qV1RJh6X
/6CtrHQzutycjHKfpjiu0jOx8ZCqous8UkG0HcTxRRse5zE+NTA4NigbHToRGGGQQKYMrOBeDDfC
tG7tUKcwsaN+jRuFRCH4AGS94kSM/tvQ91zYQa447Qwj1rxwZGlxe9sgigX74Ls2rEjAm8Csyq2I
shU9om4KC6wemo5T3C/Vriaedl+Cju5z6gZ8EqTJunepSf+C3Jl+b/L4agsogCqlWQl8+5djVxyO
1EwaKuuN3jlMcHukFwhCCGzk8Omfl3khyMJCqFCLVwLTXiMvv3c78y73SoCWAqIRw4sPmQ+xT6Qf
s2xaMo2JeTPMNy4NuZ1Iq1d4o1AcuGZAn0dmJaR6EnX7Y3VZp3ruIzEA9lbh3F3C4pLULsQ+zfyE
Lf8I0DbjWKyTcNyms1HBcMC4HGPAjmAQpKvF0+ic5wq4y9JyGDXgLmgk2/5Y0df0SocujePBK6q/
sVKqXUHtQdPe+1HN5NgPYatvEjQRpTvj+XDzbteY2o1l416f5l8uOY9bMRk/izXwIGmmjexhBg3v
WVI5u8bqwk1SkhpRIGzcNy5XZiDxYmhvU0MPdJNOV5H331GnEWMY9k8FYM29wW6L9TMNuOOdtdFd
oShugI6ipyviZYzIc+jhYXqj6ieGI82mCYkEz7mBLwjPN4ghBHB4ept1N4pTCCKehyo3AmbStBAS
a3qij9mqp0R1aGbMatwVyVFlCcHatXHw5mg6zSr9YRMQCG8MbksL9BEzE3i/Ieq3xdhmO+KKm20G
0Qoxi+43Rg6vfhT7njoY67oF2zv+KvByVtjw1mTPTh/pe1R8t85CsEIz/ISrhwIR6comHeODPQOG
XJwVJg5cfdf0sr7XPHpw+J1wvRgkJaX2Y4wnjhs4h7ZtDUGJUHGqtT0wEAo8y3yqcnc+YF0/pdgq
qReBpnV9yE0kTg7KA5mP+dbZwpvp9JtkFdynra9rQK+5ndG3FEQN1zUaWPTu0IDTxjiWNFgs1Hde
Srxf7OJCdCzE9mZhbHUAm/QsgW2nddlBE2CVRrHFpbeQDHeQxXnu+JNJeH9QBXR8YavvDNurnYki
dje1PcSKsAQglTikjJknY9+ZfXEHUty3R6gs3QI9yCu7O5Jb+k1eZTOMJphtWI9fbJCzsDF0OzB5
YPRecWf0sO2TC0r2rhP5JswAoEblIx7GQ1jcpqpnNRoAXx19hen0cC4HJiM0lHi9C7d1xx53ilh5
ws64ERYZyS4yKnDxwrQxqurM1waoC5k+oajLG19bfkP5dx1m9qgBQuOBuKmTSsjHyZbGwD+89Rr7
mpMrei4W66mt0Ul5UFZ6s0qxXLMrjQPICI/wtij3TnpkZTSnL1YvuAuUBgDvTO+4Mje4nzS/7wkc
tMPyBmAglODeOc0uiM3Yy24StXaz2R89+tRuEp/Qx7kBluR3UOD3SWHOBLlF+cYy2NBDk7FVaMpz
oRfry+3hqbORQ5z7mEPTO+hZch9BDDrMGCw3cbu6vtLiUqIK3oURHLoVm2znZOhhFDI7nhZwM9iw
kirQ3PeMqU8yaCbTimmCtzOeJdMMgEcj6j6jpQR2L4vw8bbWtCdaMiKzW31s293EpXiHlx19hpWT
izEoIBDcpFVN8GWSud22n6x+Y9HJ3QCDa05OKx4tDTNWpVyP+ywdYKMoNiPAIN2N4r39aHjLFY7l
cCH6Be3gQCpDjNCj7YYZJ+IMeUJr6JF7KwqjY/fABpyNIK/7tEEMbaMRIX925tBcHTc7VZI2RCH7
q4LXyerQ6ZfTYieUZjpUUKL2MYaH6dmSecHkgcGPwIA6zJi1tdhXkTzpjXe78HnDg5ckvDPqRMV/
AhgvphJdqUyYwij72TXIeRwrMzAqkgbyCoQSAfeO2jsplqtwTN4JBQXI39n7fDUumcsIRsXAZoAE
idjmGk+g3ekoBec3Dsdhq8t7m+35xcy1ILenX5YpL6GsPghyeyPwD4xDjSoG4QTq9U5+n0fs0ss0
0siy6A49akl7ExnEeze9OhnombEQEwXYfUPCHO+d2QYP1wvCAMOWVq1i7ln0Vyea0k2djkg+ptSg
IUVUPHDte41gTL+zI3ipWEoygSs2K5x+gx7W9ifkxMRBhmilQF3LhFWpgd+HPYBxGhdXEMKzlfDw
tKI5cMkpd+1NzynLzFS5sCEvXQP5Npx4vboRLHF4SsoU5ehobHRrgB+/FDsbI+ueqCy11OdyuoNO
dRU6SFioaohUURXCjU6dTifgsnw1x5ZBlxmUSfQkneagg4TolH4fopln9eq232NHoPutq/ZGObRn
uT+Xa1bFZNOfLR4mjBZWWu6GXIF9HxSXbv3RLNKnaVzNsCoYFReJmvLK44gmCu5szO1TZXM10qvu
mDZIAwv4NkN+r5sdpgfMsGnfHjBNE4uESAmA/3Ac7O6pGU+WqF+80XxwUGi2+XBecpjJoSRey3K/
malg1tx+4074g/7zpybZCqrQewlVu8snvX4kOId371D4uNWHJlDvdJ/NOAFnKJHqNMTU1O14UBwo
KYzLwMnQ5MPtsigPaBg4I1Ea6I/9qnQOYVV9NjOyQYIZIQ0afbfpsCp4Mo7RrnKpJn32Kg2gAlND
kLoV8TvpL+r5oYVct0Exp04Ao2/EchYObB4137qpBiR3hf7W8GkKLTAnl4Yh8Xq050hEPLZjcxax
oe9ivfPThlgzRyFL7+YKLhr8FR7Ceo0yQTvfkHVBPJXeDHdVQ4LbtF74CDndoAdD/+UxXBbuhSQI
wGZJHOM83MnSvB0s7y4nfLLXCGzvvxmlQ+Jf+P0oY1HfWmLelit9Sp+X2zHVP0EwfYu+zNrDzSTn
1af6YdAIDtKyg9ziKmxvA+WoRCdIzU4rJjxa3yal3ZomiY+oGzeLQzcLHbViKLQxs+6IxdraePjw
zoOogj4v1Ba79we65U89YQFlZbEc57m7kgBH0/F1BqW6NbsPM0bHpulHo51eoFA7IbhshoL3Xgwn
wwiv3NXVpq7IcUoiUDohyguzhJDnCsSNJIfYmfWUxRGOhBHWqeaQeujups4A0EK66aYbnF9W/FC4
8VXF3j7xlhcvkv2V6cTNwnpmb8Y0w/sz4mnvdOnnnLF7JE8EZcKiJRWDZ6lgCk7AIBM9zBGzBmZ/
XMh2JSfdA4+A4sc+rokiqvYg3w3wTTK1cnqG8Nipeot1g1j11fU3La0LkceYAq3UX9SI9o6Cksw2
621dYtm8vGcLxcEkAMEVsIgWBrgRzH8qufmkmcm9GZUflQyDOiKj0ozXk4mIj0q4ix+GjGp4XO81
lZ+6CJhEBpGfwKJ4Gd9LSasF80+rOUEV0yKKVX9xJqRqnEGfrTtcIvPYGeV0UJU9EZdKRGxyhXh6
xUH/6mocywLNrSkXss/EcMlij1Z6XL1oyR6fSUzGLjSBcJlPBvu97fw05szC2+gRRZPMtw7mQ8Ll
Tnm1fOuxdciY0K+q6dgY7f57CfRwR9gm1jp92mWT932xWf2zIn88t3aqSbmP1OCFwjIKpJU9RqJ4
E+0SFHXscO1LXuuGZMh4hERvEgoelh7pwK1xDcvhVNQIE0ItsBCgb2qkcJvEzJQ/v4yLtafwo9gh
8XmlYP/QrOhbOo8HviXCQBeSZMdZ+nBrMNsoSTgBEGA4GLkJ/5AKMUleLZZGqjsGrBIB9mJAuj0L
7h52v0dIHDNGa4X3Yag3kS+308r2sofltheGzk5hvtR8FHOvy3f7kjSv6HF+zoLZfNOml6weLvak
9COJ4kQLGehcdbWruwHqJDdnn+KLQf/8OcIwvnOGe7BdpOnVxrWw+88q0WhfwpkYmsgIvMz+hbxw
S7mqL0CAaPhTR2vZsYwKc6WzMhPK9RK2EHG8M5WzQUgQ2cwSevEALalZrk6FNruPtPgZs8qDNAXA
6V6WxyJtxLYZvZgnCKNza+I3QN8pC03sqjZpTnbzyPQcnRGRj5ue7On0xrGz+am3gBPOlbc30pLY
ZBgxc5gEfUGRqaVTH1SlR/JX9b3kxveA7IN7qmZ6tOmASNr1LslSuVcW8adtKhCLwOHdhw0QnZxU
kIoBCUmUKGVSePkspeXszfZjtKaf26FDRYpElKYiAJA8mfdClPvC1I3nYzIy55kdiyqrJtIEMBn8
juxQ1sVlxi5C4WTJuymMvscZRZohktmHjAw0yXae4xU6nwHDXMaw9526wCfWUrnoI8bZoQEC5cXW
KR3nC/KX8UI8477TdRPpxMZ2s3ENl6/26AmBGljLjyxFIZfMsd9o7rSjGkfvZsYpcipmpl6cXcM4
vWv0KXnpNFBJA7J1wmL5nVXlvK5JBngyx+eptCGD6sLd1UP5lscA5B1iQotpOWOXQCr00qdCp+sC
eltUwynqxBDEpYWUtEd3QtQF93qyd9ha+D5HindexdKevk5k+IeAZpryWTBQvxnhDQXtZDxHGRjQ
cFXt1tGFxLX2EJnmylwhEGt2Rkn+AGEsTNJHEF/r40G/oTbK4c2otQPpO+/mFDbnJrKM89eXPXce
nZBhcLaSs1RlZroXJnutXMZLCJNPiTT/0Y4c96O5B9qY7itXOhtByJQ/OhW8zzqWNyMwk5KsyLRy
kLvRqTALN9AUWwjKGeQTiXFeOzd9K9Njh9diY7agiBq2tKVE3JGMwMjYZMtVFnNHGqmB3SmhyrIB
qVNeX2MbU8GcLTLImNX4Gif71Z73Q0o4xpABrA0TvPlJ1P0i0k7tBsd7lkU8bTNvBj7CPLxKmGyP
zBQUk0ASWWr6GXgvfeFqFReAOoLE+k20TfFC8Zh5mhGQlaMfTLztWJRlSiM/e4bofmW9bVtjfigQ
Lc7pytbrs3jTGLV7g5Dk5GaWOPYOXtC+kgkxbNqw3iXDS9I2xtahKxXoxMTo6Sc3EhOsZXysKfHS
xCSjICRsaTbs8pBH1RusJmbNsvVOrjVQDxMDjGsVgkVJQKDoWz9L6v7Ypwow+jCdtLCLd1B7Ia9b
qeuXSchUPBm6c67dadZwj7eAO4D+zMN7r1UtUWIY9netBRcX0h65CNP651dEu8UTp9f0zMORMx6q
xpS29XEOe0ZPXE1QXfXjcx9+G/KGR9as2NRKMZ/mfvGThNAWYYnl5HB7kkM470PMzpuilG8zbL5b
u1sel9F+rRfdPi4A0OrO2g82srp6dgj8nRI/SdtACEmCU06mtcNlAeIUPj3M9FubFhQpDimQZkJH
gEBTvlaT7gKTAB0Wm3Z1qLOGy6lWjHucxw0EMaitoEEhWT6EGDKmMF72fTzQ7cgFXSLDZGsFMUsU
FaLUbBk/cbdxoVQy9lv0Eu1Y18dUY4qhNc03YE2jr02E1HUUmbxlwUeij+eeNKXBuQf7vfajZnQr
gEybzvmZcsbuAHQsQYs8ycm7kVQB9r9Q5fVJXxq5TSuc2CMTEJazwtnha7Pt3E5xrg6ZcdBJWLsj
gRoITH6Z4a2z9edyl2LTSaM9TI7Y94buLrHSd4iL6psniQ2aZPygLBhalKb+4jTdyzJo2r7mWNvK
uf8xDPb85M4mX2UPGEuHhLwhpDU5xibz+5Hw5D00FFTqo/ieNgrZ5dLd1DYXQCSfeVv6UbtUEDUh
is4SiVjkpW8FJ26LMGwTioZ/ClByaIpmr/WmQ5yYcPbFNP6K2PaeAIFMcEpXUd/oEk3mYDs62os5
PKjlkXBWO9D7CSziYqaUMw0YXq3Dwp4jShAGTJJc43IS1flr0bvZ2Zwn5zqmdXFD/kmyKWmxXK2U
qqjSreygKAgJkqvdH8kU3bN6kbGNBcXaHP5EM8zH9pyKTP3si+J2aM38xarKys+syTrmHfjAcPYu
yIP48uuuec/K4WgaVXdfh9plynvnTrUhqCqngHkxqbMVy+9xS/xTVgPnhV+WbLm8/yAkubt1aQpt
6+Zmzl39LMZZP5dIYHe5AFOjHNKqCJEejs1q2vz6YTjE3LmlhqQu0t3vcOfyzVBU3i0uDZcE9NqH
xzzsW9Ps94BbzQAF+3x0GQTeeT1MK9PJ+tckLw8qbJ7jIp9pdoYAzAuturYR4BKBuBaiCDxGbyqu
CVkr1LF4qhypjwExE7afNcknQoHxMTzOia5+QjyNtx3ZpPcOEYhbSbWyMfRlvBMlcNQJwpfYJQY6
FBazhdLiRfRDtjXrtH8y85Kz0wUOQ4/BurfzlxFrzo/ZA3GlAWn0v364KinHfn6jLT4d4i/z1peP
xil7jnl6ngyKoWNB/YSLQ0vzVAFEWic8z1Cy9WOkHD56t/zWxjnpyAnuvWaYoEzYKLRwBO9FGwkQ
11xhdWbmOROLgPyQDryjdxQ9nFbSlY/QE5sr11RS+CJZXGjcP1Mzmj6TI5J81GK8zurWNvTwu9Pr
8Mg9IuBNzfpCBOsEU3svbPdugJmsvaV52d4apSL7k5/0sSBHN2WtoUNY/08tcjOQFXVSfYWBH47e
KSvVcnL7az1q5LTAkG/GVN1roDpplCSmb9hrsPYYfwsBPAZz5i7HNq+ih3gGd7WMbfEx1afKPS+d
ogPDf0RTOH79x/SXn/m/v6dioPHDcNxfY/TpTmvGZVInO4tE6QserfScCwbXRZa35FcX1T4qqbqc
Ni3vRQI8oSQh89g0Zkz+g5b4y7M+l9PtVNTLnZFAiKHOVW/QWt8zAumulUOvsZIQBhLTeHBbtmdg
d/FbPIeHZeXsUCgf53qWr9r66JolfNpEuNAOGqs+KBDiXm2Ks1mUEymdWf2AWXZdNC5iaMLlcM5L
XoMh3b1RA8aVGRxg9YUvKFPa1krNN3YfzzuidZ2DQ+dSDZP1gM+k+V7hg7cTsK1td0Z0RW5Lg7WR
ynB5W6R8yepmgFdGhBY90MbvSCd5S/MHF2TAq8mNba8mkDWr2lSU2ISSBmcEruF5qRTbUBjvv344
4JYFLbwjL7O/IME2n7zYpp7Xm+lMq0cQRA0tCyLBfdEQeGdMbfQ4GnTpsNPK90Gkzzn8qA0SRDJ3
9VE+YmbfDZkncUFb5WVROOMp5JddFMMJ62Lau4IEM59BTszlm6zgFHfJxk32SwHksqWp3Lhuf0Ms
ygamwbTpdO1FX+rbpeMYCwcCp+0MlH1aESiha9lNycEFtyjVjhyi55mQO1wVYLwHwwgZkVgRHRIs
sYzqCEokHSJfkk+CmC6Fx69EQLhJWmgs0nIUY69JS6iziDtSmP4PZRid5oS8hEWlR/IsGTYZQt8q
E/u0VFMS2M3s3MT5iFc1nqBLIcAIY/d24nIKStjG/cVFfoAwtRFAW80qtgIHX+Iw2d6+bzqxLX4O
PZ4OQ0VuUKNE9riP08MMEpR9m7FCZUPBmznpPqcWv0UJcB+6zc1Ay8iIeIx6y4ZyZllIutPuLm5R
msPaEXSMuIbfVt1ybFzjkkeDSZWa0DivgAkYdnVPDeGy88EQSotBrPUAU6/CO/eRefKK4Tki32wz
wGPxrQSKszJ6bDt2ad/lE2hQ+DsHsBOSKVQ8gjghH86Ch2s0eRsoelz6jWZmFZnmjC+R7GzGcHpc
rmbn/qQFjtYILyXU++IBsyE2x/pZmDwo/ISBlI2IwzFmvqUnAm+4PHsKXngPx4zXnZ7IfUs3TKtS
Isdsbir6p521jwRwIWQloNFwIkj9MxaW7px1BaK+kKlJqTcvXWKgqe7m77B+x32IPQBsMGpuax+7
nV9NcftAto2+ocO0dkqoijhbmUskb5G3UtCzmL/HiG+HgWK37dpf3NB+4YAoLsR2eIVFpttk32Mw
ajaMiAlhSg9GndbnBr6oWXEREYv3oTNM54t7SeH0r/MFwG58akaE92iKXxkihzfwMgEBSgZRs/vp
jLsUJMbOTop+66DdlWa5n2MmYQSSntFvFN6xRjYc0dty3A9tpEeGheYOiigfIFf0xmwaaOH2fS4e
hEeAE1PV4dBfRLTyWaJqOmRF+5wX40uccFRM0ftYzeCO0Zjo+QyXLKaFZnsfYzrQhjMHYIQlZZbS
trPrZJBTKNj4r3V+zl2YWftG6AsZOkzK6Qoc7U77rAu1ENCQkDOHZoosGGeDWBAU4jy8xmF8O8kO
xUD0UwwGHQ2C17vxQ+o6KUU5K8exGa+pZXjiy/Thd5CFF5E2Q25blY7WrvGAT7gzbBLynR+V0Pf6
tJjw/KG2EwLom2H4kRU6p2PKjdiRNXkpYgDlpLaTjlKg6/TtjM6yoo9UjNlH68QfBd7xncdS74xF
bexE0O7uuVW57M0t2/8WNvi508AedKBo6CqMMqBpQqhKx12PjtcAv4C0TGCg7BO70OAyZTu86tyL
r4ZkcLPSdWGspKdMats+dvSN06NNpP6BfkKPCV1X5tst7aVeTp7fRvRLMhdqvsxy3Ow0MIvYPYwo
U8OU19qo+6Kl9UZeTbxt62wvocwx/DRpUtMk0Uv+FWlSX6gIYg2IVHe7WPCzMBdtG1JRtp3i6Q/7
FBWmQJWVNnf1XCC36IGOTGojNQOjWjFeSQ8kVEV6xjaVHbtjN30aMgT9tvhpro++mYkfOMKMAy2G
aqeGJ71MXqRdv6dqTXYxvC2qmDvpQNgfhHVRLjmUJWUL5SW+XZo6+OK5GLEfehGZ9rFnPk5adXBS
8X/YO7PlyJFry/5K/wDK4ADcAbzGPDJIBqfMFxhHzPOMr78LLEk3K9V9y9RvbdYvJZNUyQwi4MM5
Z++1P0hCXVhj4S1Ne4y2o+LtNU3uOpwpXEednwZe94hvtio1egvx3pfWh1M1pDOBMmAiJ/b1VFBN
BRGmcb04jmS1x0wU4oS7iF28uQnDGyf4IMFxoeNmY951SrtKX4JufkcxhU9Zy4/ED0NPjbfRTYJp
ZpLFxTEG8MEwo2g5ig4rkhXwRTBR2UbTz37IL8KN+BsUtZN0kp9VrtdLDbqSja3JymgWan5aLqlW
J8Z8ds+0yTqGITEY+qg9h8yjTq0/PDgxpNQ02DY9ceYTWnkaqZq2zME2+rG9dIyCGVVfbSoLQnTi
Z5ClMS9psfipDO3M/3DNWHgbyhp3M8F1bY1VaLTDxWt7f5XnEpIKjY68TOp1FsljOzjjWk/LkVwF
tRsc2GiK77OKYvprZH+YMRYVlyGgWTZPvsX4H77GUiSji76l54wwdH+VygCahQw/mnmi3naVJDRW
W9jgGxZpGDgrGw89HeKoQxhh84FAs5ERRCc9CWCZJzmC4Mli96altyw7CMm1OVw9f3oR85nnGfeG
pT0HUtzyvT9NNBdp9NKt6vpz0xnM4+YMkFLHw5FZ08Pg+8OGlXZiJG2vOqPjHTPrtRW7mH5gTMFG
B2a/cPP3sHVAsZVgQqi6iQMeN37oOZgLG20lGnzh8HIPg9kc/Bh/e0xudIhlZBXWkK38nkUao6bV
c30dGMwosV13BALZSayzhrncR3Dix3Tz/Q+7zG/MoHmLhftlx8Kn65chHZD3USHWxSgU81c20CG9
AM8S6y5KdjJF4qwNZBfEUEsoWEdPMEEuJ5d+9HBrxeT/TRWJYrUK2Aehxq7L1tqI0FQ7A30SE6CD
q7tvjJGOYdpe23L4yIGQzF66dGUbwbadZnSslZDzbm2t4cVwLl2bTdvBn5HRHKNIo8g7Jq5gJUsT
dELtvepBuBezmng2QRGrATxMhVvURWTAl7vBGwUhJ7a+KsZio4fllowd4uB89WMSLW1UJ36kb4Vc
5NNIfJM3NP90bUH+gmfTLcxN0pzCJ1MQssQPtIfxye6GizV7xloRfzb2xLnioKOIgCtz9vDe9Mwa
VFL2JJWeEs/p9q7fHTWyudI0vR2dTRKw0fBwtV1PkyCy5iZXZ65Kx7rpy2pXB84JbssVIYC+9OG2
12l/8arhUGqMR3PL/6AZhfB3QgogqtfWmZ7CCLtJpROMOpaQQ5pIEkpGL414FqyExHsy2M8Z4xuF
ianhrtaFvi9SH8fpTPnNETV8SO56i8LO3qjvb6lz6IAluIz6yiSgwmXG6pKex9izEtFjF6cXb+KY
N0buUm6DcqnzZvDHbOzraec5TDtISy3rFMQejQKzDBYF7Hb6PH68DGjFdX57r8AGLCynb/dd81rr
Ll3bPJFc7cNtaIJ5HYJ5TpK3ch1Nc876HG7nzvoH0yKwvlkJEZsLWHq3YVcd8iyeFl7vfHpF/2R6
3kuNB2OqePAieVSifsxxei1ytzdXXYKiZFqKjDuK5ar3vCK6So0Kl+8yT0moIamZR2vGj3qYvHXa
dfQQMcV1tlcjM6qGJRZxI6VvR5siFP1Ka8i8dFT2ZfrpauDI36Z+M6siip9kNI0n4tV3XQ0AMyq1
J3CY3oJYAy56ETPzQnr3qVINCZr1RqX22iB6eqnEQFJxldy7lJ6IrOSiQ4QJ05/Al2x4kAn9ca3v
iXu1aXMkyBh3zUAQSSXYkYusSX+ovLwtyrD/kjhbAtjA71PPA0i8Rr9axDRuuAcEJ2Rz8qi6Ag6m
SMorZby1IBlBvuHGWn3/cQu0QoR94wemWroa+OVuSX/WtqKL1d51WtI1O3qN9Gu7p0C3PpGTdF/j
TrlT+RU5PbBScMJPwhH+mpwG/4ZqUNvX7AiIM2Pvtm+1GdXd2D+qaTxX8wdOcyKtXK97M52ZZFI4
wdXJ7GHTi3A6QvvMTkbAzQKZt3N1GpSKNZviu6+q5fcfh1J+l5mm+2JYnNhc45Lbnm91N3HpHmw7
IJjGf4SvCDTDIb0ibM9F5XyyhPHeutj3QkjQEqAtTmt1NPT6jooALpCejdi/OBo6DdlFSdaXYjjb
W0JtvKx7Cw0IWiK51NJs7uAJhYS780Jzmd5PmY5m1DLY6rueeV21kcXY7RO/OkiDbKvIj74ammac
HjpTGwxHpYQazx15BLmyrK2cFIjRv8U2vyah74AGn3QD0ifx+AsC/QyM8Z62qUXovkzEDPHqDm2I
nMQjx3mqVxFR5yY3gIiMuryFzsXqWNP82iZWQ/yDbb5LsmemjucTZ9wEC+0MV+M17gketcrki4hS
9rqUQayRJ2epMSQtG4D2DSocQj3uuV/kMyr0C9kZswOje0QrSVbQ2F0JrYLiGnG2uh53nY7dZrC4
B7sO1TTTVi/1o9uCojrq70TPBSc1CSZF1XlQo7hEJooDcnYnC9FdYKKDaqbuB9khI+8CZV9gmu9d
bj86DHgSx34KW91d27zuTYpyAeFY8kAQBPjptl2DQztAZOrxBNLh5wrwpPQGWQ1kwbXd/eBi9dxH
pjx3DtkcOhZTcOZLND0rR5RoJuabbjrE9crLrAeFxMjVyqXFDHRL2xLJxUAmh0u/d+skSCNDvcIy
VWm0m0K0onUKOQIrOnjR4whlPWmS+qZQoK18gS3KL7fR3MlmKjejbU3WCSFjyXSHZdo6uQX0z0ZR
c9vOC9gw4xI6lF5GSR4JQNJ1MJnm2tYc7KRdkhyE7z5nQ9/Mr1a9cE1iRBv5NFJd4+P/mjoGlDko
tIEtO8WGs6gSEE3QaPZx7h2M1jGw6+VEbjfG3jHx2RDP5mNf7rT+VBNNaQlHkXjE5aVJh7v5wAG4
3L7hZFgGFhbmhiexxnyuWfuiIbItq7a+SRVIGgXSo5BcoJI4kM63YNxV1NH13kkM0shraN+NSFYp
Yi4mRWW/CnA10zACVGmQVJWw7+bpXiJAFsBks7rgLKBXzPZgI/ZzEPlOlEqDEb7lRu4hJQQ8w2Tg
TgA5Wokx0pmOBhyMxcXP5uTCLslXFUnCCRESHPcb5AXVogxfXJuoao455fa3huqo7waqL4lUVKsZ
p1KhWF6F1DIerj3T+WVkDvQ9uEwUXnlBX5UAI+169JTkv4rukQ4nsk9CAhbkFZ0sq/1UTGmJx44/
YqSZqTsFjCCo382AeiiU6KoRIl4cZV1B4vV05AGuK3rF8j3rMWmpCbVpMpVb17qt6vg+lwvGzKBM
+DuzoH8UU3wxR+NkhcMVFPdJZt25qVMuPTaRPYMXLxG8nnWfPkZrZD9FbZ2NOnkw8wIxoRdrS1i0
0NJrXMCSBHOtdbnxl0efJn1PgMqSajsWdAoH79mjJGbM3BMhjW1sneT2Q6Brn0HtfbrOCHM/3BE4
ApE8Ch8Ct/OY1MAuMpjlc1/S+Rz9yTPZYsKcDpKu9BNmdqjCrgcu39ih191H8Y0zds8hEh9SeC25
U+EFXN4jDyI50hiEljm4z/mAvFrNPCITV+EixlzDght2BAWdlW9sJS1tLio649Vuo+fxRzVGP+mD
PYVZQemc72LDQFRU3VY9BW6Stm+1wwUljaK7yTZ49YfSXCgnPaIaXujmCROW/VBNUbOW7ZsrBqKH
E2Uv7VENu3Bsrmpgz0uq6gvt95tGpvSyQ+KkOFPHaWCLdcW7Z7n5riPXfFk0/iPFwZthoMAedRR/
7cSkngjSV5Nx4dKdCOpIanK1HDx665bvaKmTV+4YBpRF0zzHI0rW1BqmvSWwgDGZhMKQ3hNsu+yA
8FNeSnMlXZQIPW8OrXJ6QfTJGerDGZDQtslBvEdwPKyznupH4ThAWF1uoW0UuGcRoaYvY9T5697Q
Xg1626z+hbYyRuQVpuW85419K6RP71ItnRSya0h8XOULC2s66SK8bDRoQd4YNOSL4DZjMBAp/61o
26MFLgo2A2aEHj6WR3Rbk3ypwqCQpPjQwu5Ku5WzloRkmVQHhpnTWWbFBTltFjERGwiR4+1ie4gJ
+V707nQYe/FaWGxBZW9Ny0D8tJr6IeP3KoX7wB2E8aLikpTqoFcnvjjIUlilRyRGRkgyTIH/YIx6
fYWJMrDVqmcMQxOIhqULKxbG2aIstXWfcCEJjHY3jXwvY3KaBvOhLIY3d+CGW0xpzC3rJNF6bDKf
xonCo9BiUUHihKYlKT5mkCS1NuFlrYsoivoulfnFNItHe+L0qLxkG6ElX5QmESLkzsQOLdw4ZutO
Tf9SgAJhHjs+EUx7nYwQeINqT6IiTzHGEQPe5uqhhd7Wlf3iJqSfgu3lV+tvTYlWeX6sr0VDrKdy
Ax51YXBA+Dd+L586zwVzG2c4xz11hzGCS0FWnyv3mlq9zS9aYgolJNuPU16pOEYjZcqVcKYPP+f7
Nqg6y9h4dTV+jIM2kf8bjpwXf0VDgZKfhnkcTLeF78z95HAl2uyiunoZBOojtNPHxOA3qKe+W2tM
QkK27TCCuDBE0zmAVLnq0prW0URkrclN3+aGNYXmUznq5iEoP8c5hbQfsmc3cxlxE01HOE13KXw9
Wgz46Ihdy9dF0Q4sTQqufpSsBq5jXezzzGp4ejiR5tgFIivKVOLpYLcwPBpR6NGOddEtS2fk7IxE
uo4NedK77NKNU7WoQJCtfJad20UfGdh7cmuaZJ1owTkYzE3YpXQ1uwiDHYAha25t8ldJ70bSWFsU
HU0Yu26PpKo9jGRCpRwpU+KWaxSW84mCzzE+VvJKmMm6yEtz1djgSDtK32VnpZc+Hz5dvdjLInlM
7O7aM3HVpfFJ05+hJJLZxtxmltTWRVM8InRBU51cJT1P1wnqD/w+wO+Kn17slIi12PCNTj8U5SxF
UrlG0T2suibdlxXKACztbH8R/aws7bgyE21dIIMoLAIGLZH3C5JXTrCsyWfX7oCwMEiAus6bLYlK
A9YU8wt2072+SHamWdLHzEayxPN6ZXjtrZ3pJ18S41oCdQ3DWTtm62uinF/aPl1pCXIt5Eg341id
aoUuuSuoJ2vkvwT6Fks4hFSWI0JGOOAbDB6cm75BjPD3R27T16DK8s0EjH0xIIA1RGOxIIkMt9L6
ufXsXQfyB0A1zgtalAF5YKselCl0pzecr2+R6ALiZ0iXqmuGwqzd1rfOWUiyUEs0ZNUhbSVuRvts
tJplDHSfUXiwxuEGtr0grc9sS0JCYxpOKtCBg7GPDGUg1kxM+jE+QmLZmJ0/LJvCvpml0Imka8cd
imaoxrjek/l60mkR0tjKFyRH7EiP8VYucqIlfTTAyllwg0rB3AcSm6tuaYih+2GVi3vVAuNWQvI3
J9Fz0+iEV4gD/Y+fZEjSjUM/v6xsh057oa3qosFD3ud3teAw7QP6z5CdPxgXj4wiclQzrOdM+s8G
GeBO8UOfJ184aHWYHl0XfCCKS2FIR6T9DNy30CUAX0z2zGB2+cQnB86GGQWiljucfFG/DIOIDl1a
nLw82oUz6Yu5ZYnNhkMkoL8nK6dbIZjDgVLRXO0JC3KSfSJLQMgiJJy9obh0CSrOJUufMNEZrUSy
ajftkzzYxkZ9hWm0ITj7nSOAQsrRbMLMJYPM8IlKh0xMNzhPsbMyslZuprp4q0W9tSs6pf6eWgIa
g90+WqF9JhzxyQHZjQHi6rF4aRjtVa1fQoxc5uTfp7PSshaDWo3kfLR1zZQAgGUwtHS0hfY6/4yy
4bJW6tG2Y5eWsXvWvPhnGaI91Ez3M3bv+kQ7x7T9j1YHlbSB8p9b26DPHwZ7unhYPuKBNh+n/CD8
m9SqvqKxKsndKbbSmFN/kurJgIyvMx+xlUEQn+kENLwKBMM9PRIwzfS79UVpWA9DWwHg9nrm25AD
EkpOH28QQj3tMjIIXTZdjwhtziWtiXdMW4bnxChy2CmZYpymlOp4HaX/MS9Pd2g2uUZS86QMUiuw
lGVVcze6tIaACBLVhbRJ67pXaXPby8YcNJKTH11fux/CoEWW5A3UB/6jLLnUC4cPA79gXEgS+o4M
lpbzt54Cya9gTOYlbqha0/Vl6wzn0tAfRzxTS8vlw7XdcPC0dNZcJpilKtQD7iGaOflThWWvYoYW
Mm5hb2MJ9646RD5q+ir9MNKAMAECQWIPI6JKgpVeWsEqi9RZ6wZ8U6RcxrAcVoznPjIzuedfo/pM
nVUpZnPSoD2keX/03R92xT64HdrkXdXeJezThxLcBKt9gFIHBKr06OKTJs44lGHQhFBO0xROw5yj
J1Dph96RFEy8DD88J1VMAj93wIX49J/FOFTrJADKheRCeDxKh7HgygtQRQ6TqS1rtCtL2RlY8fhp
QoJyiLLwKs1xbdfdjsCHeVRIAIQkP5D7QLCMCo1FWXE2aaTGMI+AaAc9GOtCoBVLvQ/fe8aPCDrh
pdlevjSS1FuONOWYSPs3ymldot/kVeuaTwn5CC8qonhzSs1DiAK2n5g/muzpWU23cnSyuZ/RxodA
6bvOsNEDVCk+9PQspfYVjiM9MbwQomEqDP6nP9KVobeMBtOz6B42sMW4vkKA1SUXYbAYS2vyE+QW
TEfhSFP04LuIaTb3JM3MN1NlyXevMKnmx3EjcWcRBq4fEK347bROGkK7WnLnRM3IPy8zDhi4eW1s
rioP2hdpDou8ccU9s6BD4ju3yJ4neuhuRU07feaeWFemenARVR5njQPEaNIV0qnY5/pIHtdHxmIg
gJYML+YRa91SL63G2Kt3HpjLVHTP5pCWipo4BoUxDidTOcxkJv+rCDgePJ1iFlkh776w97Syf9Tx
eahApLGI+7L8NKFK7qb2HLtRcctdfmXUzAv4++xFY8815NCjjnQ/NZvTQmY3/kSoLPJlIl5C5m6i
4jYeaQ9GzXNXNZoysDnVTwG+YO/H0w+B0bOF7cKzONU0/haJHTxGgTSXU0yzGK3ShkhXeDG5ffbh
3LTKuICgDZcq5zG1rsDsp1A+NrQ1YNkfg8glTNnOPzInosuAmS3qi8f5EIAAgr0iT29Dl09o9/Qf
S0wjaxyjFUnZa60Rj4ZenAkIW2miEUyaKKadljA2WcY7356IMXC9t2ACqEU6889v6/z/hwgIie/+
/wwR2NfJ6/86z3GIn1X12vyFJjD/yX/QBJTxh7AsuADCcQ0dbgBm/X/SBIw/DPirlksOs2Ub+GX/
RRMQ6g/HwDvLTdTEqwAZ9r9pAuoPZVvAZaVpmxJqj/pPaAJC/RVcIqVD74aWNOeza5s25Nq/wgRq
NvOCkRL3WA98eRCD7S+5SIdbLQiXJm3vBuTiMG/Bk77y2qeGCLWZRZQEuAcSJNEX6Ot5IlCSkJQB
VroYny3X3VV9fWHPv7FAMnJ+HvsSRag/svsR1m68QVledna9z6P8zOWSG2x5M0M1NMhrNGKY/HWw
97hKj8462jgZRHFZbevIZD8ansdaHhJ8+UyTdqH6gU5wUTn1PjQqYjmzk+e1R00PDvWkjYtWEMwU
0iazdjGOG32APJT2t4FPR0ajT2UcPce/zyL/WthsLja1FO0SY/RfCo0JXbiK+Lc0DepRdxx9kpc7
NNRoy6V/HCsQ9OTjTtZBFdNN2c6+/MuIWneovXnAeKjLfD8ZOwZVx8A6K0zPxhhRrJM8ogV7gf07
KVHqE55LPGwncvAhs3wnP8YT9nh0+AqlSNEuiWrbhDmZLHp6CuC60fd7jFNG0L1+JMZoQQuOUER1
dTlpe8N9DBx/W+CnDi0bqW9FT7fYaTHNkK5/r6LmrqmslcWN0+7dk2V/kfIEaIbfoozuwiT+Kblq
Yvmt4FG+mGBbGX0wB+BQjJuLNrj3RCmjlCY6Kq1ejSy9G/PhBrzYQQHbx9q6QDa2VV2Io6vycfiE
PzSNOrisn4gif7BKLP/peDKc/vqf70Xn8L0iEvar+Z00DQzk/Z8c6//nmNQKntD/sBdVyWv28Rei
yfwH/rkF/aHrdAddx2aXkSYN6H9tQUIHPI3gFMWrUq6FSP5fW5CUf5iOJRUbkw4z7ptoVP+JpJbg
qklLo8A0gFVbJoCSf7JW/gKd+d8jqcVfOWsSyJVihii//w5hS+s3TJ4LZthw6wbVvqNlV390bmGg
JdtpiNudXwBIyl063QRFw8s1CGMFABreUJx9+mlCUSLkoadZSRwO2e/+3C+pmUlT96T9Nqz+hvPk
Qnj5hfM0f1jbNhX7NiZYIC/zdv4rewWio57FBoUtwq8LVFxkiUFy0OFAHzudEcLQAh3oyenug4TN
hT7TiopNc+F74KIpfnTNnWcToNo0FiHJ/F6t1uIuIWGCw9vYTb669QuUujn/KcEuywhFrAbDBZcO
0hU3pVVno8fbkv+pE11ytJWJJSmledbPsbBAJyPGsCiV55wTfYk/otggs/2qDUbJ5IeiiY96DXRG
L0o+n75zci4tbEGfaFHiPa3GdmcGzLRLdTaGPNoLJ/GPIVKwpSWqZ8xV3VI0en52XaixEs7FbpqD
CUgZ++nG4whUyrzryHTd+/wQKA75TQn2N/bdrYvYDt1cr05yIKORJr2zAomPWMQeN2Pr0HuRhTxW
k2TiWqZno+JOSnQKk0IfdFwfWDh6D5NH5zq27Kd6zH6ST4sY2mX+jUXoMOdJ8LCC1S+L6R9v7K9M
KOO3M3L+0h1rxrbDyxKmkL9h5KohsDU35ksX3/brjhZPW+beqsQ+dPz+h1GM9bHJ9YNXquLYdu2l
z0x0MT38NCcgEMnz9GEB/h9EoC+PDb9KOpXBvtcnoFCMIyYwvYFNsplE5vU/f/x5ff/+ziKwFEDp
IQfR3Zh5Qr/wgkonYMppRExPhMmJm2TTjS2j8AYxHKNHuQTnAlswiik/ujtQKO4W83yxsTV1k6eF
uYhABCWxobB8ACIvCQ1Z5bDP/y8+Jc9ZN4HeSWK4fruIdEZdYTDxgVeU061WZmc/ZqyAdh0nz2iE
+0F/pZ1pHOJ2ydygBbhayaOHH/qGyMkbMMHNKvGbBwtbfZJY6dH0rGb3N5/x37YqR5nslPPCxwnI
7eyvT9LWI6dMNOLynDEQG5Tcr1jvvU1l6vGpsQF4xAB9FgNLkiDBYBNrZYI6+JRExE99P8oxhnLv
BB6Nq4Q82PLOMBuolvTB/vNPygyATdWQwHl1+/dN1dWsOktC+pSF3uzMzNA5xLERsh5PDroAeMbD
uwoQuwfVlbSRw8h0bVK4OlGeI3L3+61V55A9tTJcMaBMV52KtQsap/xveIfG/FH+G0fHlsqsTkDZ
5LlyE+Uj//WhDnQpmRHSoxC1/9HXbfqY0bmtsJRnCY9weGE8l60sI3G3UdPpb7U3od0Zybmw5n0K
wJG2qWCVm/Sp3KhaBmlmHrJKn81ZybNPPMHfHALy3/YDOIPK4lbOcjIdU58X3C8Lyk5CnzoQ0LvD
3ansC/MRoSxKgxuR9Kvcx5w/di+dFSXclgv2uDr+ygmAYYtGruSPXOVEbSyLLic3y1GfYqq+pNlN
nGXJEoAFReHFMhgJz294DxviaHd08YKaySP8YLTHdjmbTfLwJiS0dMNl74Hu51b3zHorVY4lvzC8
1ZSgITe9hHt4QMAMBllYE/3jRMPkzsUcjir1GMrc3InWOwjnS/p2e18H8zDXQmUYGNASk+Wg4SX4
m5eTW8Xv37hUbKUu6s75QvLbfprnTTxh8qArNWbllpxmdXRCdIrfByJ3ZU573oLWtSD3JOUupSVV
xMo5oOxKd3Q3GLkKxNLWpmYG8zcAQDG/br+9jvBeJQ0H27As3ZpvAL98uaZWkU9poVLLsy7YcgYn
sx6moXl5wQnabDpddidDJ2RxtPEyE+xxMFTcnIEU/B2d9Td+6bw0HKpHoL3UZaYQ+rwf/fJZkOJa
vueTWOi2FCFlWoWXyYhHggrdp+//1hBLc0RRsKPnP940hgiWmtQBMMxz0vkFSSWA5zGCdu4l5i6x
EswugGVo+VSQ2zytZXLd7/2Q2ONWkWzQl9rOyorgb5YMq+Lfv3QXSriQhgGwHBzrvKh++V2k79aO
ihJ06AUI76YKshMxH4fR0vdGYDaM9jVYEJOagV/GdvJ0SclVgNIAiz/Mi8BsppcEYfw6ICp1YfaS
8ZreFpvOwzxeDUtVWvmBvGEKorakdRkfUfExoi2QZOKYcQqXKXbeKfJFy2Lzfe9KIB9swiIeN1rs
N2iQuXmYYfiI/7vhRLTe/TQ6IVmwf/RJN1+msnWpXusKY/zs9CNhyn8zRjPENGDvLbe7d6fJuViM
EDZJHjFoDd67yUh2BgUsxoD2hFOWLMzcNPdh3IQ3dcSuUHsts4CeSZ50I2Ojoetl3GyfPSfdfN/E
lK0VP3I3+xF1lIAlqrBFXIfXkmioJURrVNVy7dGDXLhFL4+QG0Iy0ZnbgfDXmCxbuGgxNIPU1poC
Clk6gLgx+1WVx9fvC2o/+uFN5NUXlEFqK/LwORhrxtiheNZ9YGFyoIb3CWX98wGFU7pl8ECEsCt2
hpbBntGtk14D6+iSzFkoI81v+ix+Dceu2GiFdrE6SO1IP3ZSC7gGpvadiSlgRQbsO79DsJ8mID06
7bKlR1Jg2mQvqehzKvY43X5/xQ7DNm66jGEczrAghxo+f1V9r86mq44pX3GP+nzdJu64KWX2Zlna
cJtrno4mm8GDn9X8vcpG6jXJh9kpcfRAEypJ2evxg9LQw4vJvjMwtl/FXvlgIq6HceI2HWGbAga9
ayerfALW7WQuaVlGtbMR686zb6aVmFa2QTAx1wHQs/ne63H7XvUGLm7SpE+hESLhCUuxsgYgeiF9
4RFZ2bWdhhNpavsaDS5+vW3bMm5PiWxcA8nyFvCekZBUrtrFPElfVhsmY+HNrGPeYJ+h+RuM2tkH
zc/Y1Q4J1AB8WAzl3h2RuxVpJDeicpjkmQAPnIEvoyafYsBNgDvVf+m/SrvwlzorY9vPxQvOh0Vg
BSng6Vzf0Go8WiUMrUqhwfEcGcxAP9QTCHL31jygDjyTZ1u+252FprYnKkTB7aqleP++RUZdSjCO
bc6MjGhFrjxhgpsyzfHIaGgrtMl5E/VMBpifvOdV+VXRmQ5KIY9TwW1+XtxQE8gVAATu9OfJl/mC
G4/YhYnPgqaoPEqiJtH8NORs5Ga6+y4htUDbGX4qt70zPhtlp6PREpcqGex96rkfXYcuRuUt9JUg
UmCsqdFGPPKbVr00VvqYF5W7NWvnXkQjmcbQzmARRFOVbb+ffmHB6ypQfE2yoiNlVt7VKfPXeOpu
cnooKITtCoRHDWK9qIw1jkXgE73c+ZNtHqICdEhrsuAzEAS0Th7MQjyJKAz/vMzQintw+9kLjfl9
gaCLFT5H6pm+t4kIpJxqCB49wyElRHEZUIxG7XMZ21/UDqcIPTKBYu4605x1nbMlMhlVK1n43ELr
gLyRucDWBtVtCkIel/nIxhdbxpMxBMEFS3UQpRusQDffy3RjysRHYRsDhWLIju7BRQzQy+novpeI
9nDCRHTcJmvte/2IJG31ffl1TCr2VkfgjZ4As9iYXyEmr8ssNe/H2rnxGRiB1kiHhdc6NLY93uWg
KuMtigQmdOnb9+P/3skmD6JIXop7ZCd4cKR3C8in3QweUq4EIhmfwUvw0qqo/0ey3/fdIUra9fdL
pFwPcWBdbP5czIKol5satXCoeIElbMUs2CJ8Jc1qftOquZ4V/Z+7M+yyjUsLYB3V0c+6rOpLxNHa
zLVR7ePx1UdrMbgQIjxmK4z/F5aOZ8kkCBdjxYwAZbRkGONeUt+ScsDhTRHZ7nMbPSlab/hrCOi8
sNqHSZAdynLmCVmdt5ETWd9UNxeXQ3CZOCbB4hox6t9LJIzccVdJsmvK0NhpHfX+90KSJkH0poVv
xAq2dkVeUWFrh7HDej3KY4gqeKVERcJPXAELmP8YxQdgKJSh21p009rx201eb0Y/Yl9pExjpYfI1
RkTSxz2mCJKZ5/P3+8RUxYC6QmIIHd10ZaHXOoQOHQ9Cu0KtAboYiGhV89t5Q+QBxoeFWjrhrLSb
/vE1tMM9I5nuOHgJVjZec+bgZAPVfvfgNFV6Tcd3kFdr0uyiJ7ydD3HNzU8CqYc94BpLvxYWsb1q
2ynt1JK6g4xtZrWjmGO61aVHrw/qte5g1ilQAE5JtyeC4TTGrXuJwidIku65G1prWUoP9tmLhRZl
+X3xFLNARviM+Io6RGGmC0zLGme7h/CTGyuDb8LM0EKWfH9JM9zWofUKH1Tn0qSihRtNA4zszNoL
PMUIS933UC96MCCkNobVRgUTuG8TaMX3XutbIZDbJusgkOYeME9/VzHnhbQJeVsmHQXQ91fVmQO2
ApFv4jLz+OKIGhbsiX6XEdPksrEPvagXZYGpwKpTuLvzEkKbvhuQY21K8KCkM/CbKshsQwHiAcwm
15kYYYrbbjXEUM84eyCdlLh29Mo/R7hFVhoedWaPiWu8amjwr6pKvkxIwHjokUDr3TqbGwPfFfr3
G8GkaVtVSXKa495w0iGsUXp8cLDGRbk5q2U6GJQpOmZOinHPNMwBEVS9hzks4raDWj+R272PivEl
SamNJme6jGGscMXzvn03AXKEKaKC544Ol6thAb9c7yGvkFlEueBDcdRGex3S71rbk/4jt21Gul68
MydQ/Qzom3u8pqB18H9wrmNjGmElWuzOW+ns+2/jVMB+/X1OFokZonj0rskg92VWIxdFZxc4Ub8v
MPZcJzrYSU2KBoA1cx9X/k8dHg3Mtfi5xVS+SWpu17HKemDM9CIBCd/huws2DdmRS0TIK63MV0NU
QM6diD1xSX1cGo6vsSdW+x4E0CbOMFuj2okvUuCgu8JNNAlswyRuKBRM85GtiVcDz+iS5u5morvA
gVpmzD5RwWH5CzdiRCT9fdf4Xr7/xdKZNceJpFH0FxHBDvlaC7VXSZZtyXoh5JYFyZbs26+fA5qX
iZ5294xUBZnfcu+5qY8P0JbT0YS0uXNj48d3F2rhpXX0JSkHscfdKVnGehbisySSWB5bY6dhcmfo
ylveF44eaJ42B3Qr1UlpQ/3I8uiysAExlj7UzMXG1h+qqnI4ipZiJQ4HJ/CBXcD5EJjd1nObLO8v
Jdg8awZr7gKdPHlWU7pfD2Jd2OFBDN29bjgtaSgsxA3Z19r7O7H4suJeuynE8lYCjud7xAo9dB9m
BqhqUWIKdeVz222B/orDWoy5hv8qNMbDheguDnrXoLeK6wiLqOkhpSUhGoUsHJ7WGtBqGtTyOZlO
6+XkTP3e9DsAkY13gqyEM5w4N7uuL0o+hZme39Yfsc/SK+0V6fb69FgGrpgCLmaI1lY0zbwr26Y6
jUOwvvtNEopAJAa6BMM+USq3P4cJt3Xl332WwliKF5GofVqnB+vjruqOIGL0W/SsTJKG+Dp49gZR
UhngEanvxSxv4XJltF30yMsGBfOvtbBxlEzPoak+dQGOtIDV6jFvPDkIrtDtAns0EEwQtmMqjCCR
hTm8vvXl/Fvzs+qE0AULQX+O4A+kiZ0FBc/DFlP7dCuXcO3CKErSHqmfKpKDqt7LdwYZg7vcWISK
box5OmEFvpS7Q11xW03q0ITk24E+ZVDN8BlGLbNoA9AjYg0Ehyag2EUNLE9DE8+EZ1s3gqWPpCOr
m1HF/5WzbyBUj2QR9Ew1Nt6YFW/27DyYwqKeIwY9qsJfYyhvxmT/tMfwXYu8OFBMTwzc9XGPGLy3
f9Si749mQ7gsAZ71jhEdeoLy5uX1o3UwwWkRX9nAoH5jDyLZ237r7RFMAsl6x1bgbbqyiB6O/7Oq
CmND43EwXXJd2qr6cuAeLiIiF9DNfNQtSB6OojWLm7gDpQvaRq//Uw3koNktT3Q/aLrm2A/Ycz5B
FfYCCytmUEsDS4XP8hIa32DuwY+orWX86VooR2R0k4ggOuOiFfXWIVh7L1HRYw4uSnSW+Salc9yu
/0oG33JM3fklaxGDGrM86aGG000fX8c2gkXqm29qNuztAAIKttxGmBGlI/kvlt7/c+iMJoYLvGgv
RYMj1pBq3OjOX6eirKzCCdjFjJfD7KGouJWOcRzlwWhVr3FYxOe+hJGQh9B+cCAcqPbAE/qkADUY
Q5Lkasp/UMqyYpq2jcm/rEm32jpHL0v8wKdNjCSQhtEkMqlCGoFXxoE3McR73JzvpqN/2WPfXCTC
K7RCTsA7IXaTBIpYG8v9bDncgKE8mgURS3mnksD23IvL80XAgrNx6xwvN2Kc2I6uualZ1ylzGd/R
ppcGCnLlTCxFqtreo6dFc5UAqEh/MLj4ShTQIGtCsF4x+t1rrtyVNFNYorFsuy6qw9z4wLzTHQQq
Gt/uCVIqxZ84gdiTSTkRT+IcBwuCcUqCXIlCHVAjBas1dBe3IM7aXDBYNOrFogeyk+ZPqg+7cSw0
jBagvFFP/nF7/be3rHZorUKKFmb+C+vTOyA22Ogqto5lmAJE4nOJWjjt9YxGqp7j1yqfDrqZTce5
yoIoG/5K+WTXPZ5OrTIwPfOM9mlHwHTjbpY/LookPFZKv7ixtyQIxNWTVctxO6ovut30ElKhw3V5
uFkL21aX/+JK26gBpH8H0WhD5Dia9VyAW88Yb4TIs0yHr8OY3rUeWmU1jji0YrCpbhIRZs0/e+AH
RlLrXxaYQ9YzgvTLwxihJmRiSDMfvQ78LhN2oJOyddpaiXsfxt7G/jETR2V3062W5RmTXDg1B7eu
n/tEbnMKB7ydysbZlV6IFwyTq2Fo+pXx54srih+TQDjAKYGJ68sbl0O7C1lSu86LJ8KzU6TZqVv4
ZFXaQdlt96kXf7aV7uIZs/8zjRrdo+OIjQ0RciE7/B0c+1fV6MjKe/+1NLSDHiV7J/tDGCzDvEJ8
dFn4O7I6plZ+eCI4Id9mKUnTyvrlthzD7QwXzDefBJcSEutnCswbQd5/J2EPB38Q0OCh+eslXBpj
IO4bTvMOOUkwo1oGsFug2ML1iljb+Y2GdFF0Bb1H2zSm2SOMyy+u7keaRyH3nIOTAGjSxvTkP7vj
u8pTJq4AvtJYPcdQkQFjCS3IlnxdTCo7IOPOa202v1uhgtrhd4QIGu7yXBK/02YWdFTmxnIAXuVQ
3BO2/oExwSVGpnN3XBsveVG2W2C52t6mRuUwpyqLbf93P4Qg5rxdqsnx5PLkJCFQcuK0Ibd92SJB
bJ8YL3VCZmW1RMK6/U1N/mdHpMxCRxAHci2+otREkAGha6ecBoay2XUbnuZwE4cmM0Zde2HbhuZx
BvqMMBtFcbOYy+v7YJkn5HLuMRuoZkqvdPZOYQwHrblkc+7tWhvfnZa+WZVZ7x1VUq4DKhHAwLhX
ptdptKeLjQCknG33WBbkuI5GiZ6dyeIX2E2SNAbMwrGrkN536s63zUiW5pUSBeDmQkgPwHNMIJFp
Fct0j6m9POcDhqrGB/XgQ5jO513YhL/YyI97RIAMjDL8jvglAKJMlyJMoIs3JV/gXL65nd0dKd+/
TPPFNCsYjDlyO7S1yqvf1QBFRrqoFNPqpDchqwZ6ZSSmaiIAeTwU6dAHVgTHoM6jR2p6Z2lyznb4
62Qf6yxb5b4s5q0g+7KxrCfqDWyLNSQhCsmz8OJs503WjTnz3jILIA0dEDw2482uzNhx47sFMUP3
vnBCvCmVW3Pkwq9bb2s3TAE8q/iy+/ZR+IiPmNWEDUTSztjVe77EHbZ47ZiNcNydaXjJPIjuuKnQ
VjI1bKz+RA+urnDx8I7QRfHRlBxvbR3RQCGc1B3n0Dsdx6CYT5EIdZSa/d9EHwaY1P25H1guwCNn
jn0vrfboNCl603SJi3XNwI76JdixfjN5V9PIVGevlcVR99yjVmKp1eajURRfXm+QEFt+TEn5s27l
VyJyh1ANsz2bGmwE9BgpGmMd071ucBVlYEVq+x+TTfmMGYm04Z5Cg1mZPNolSJ30zKyPdZFF1heQ
1Q/4xHILAOOHviRe+e0X6oL3dkB12Bt1C76drZI9Y+AXhILge20vA2rh81j8EksCRhg/dIEXnTnx
vAfhiFg4e0dIRXp1a807NxxhR6K5LmCI7XgFPCqIhSzjhhwfeG4Qi15SlMsTKoDNaAw02xjmuStJ
HbGd342Db7h3ewqpnMBXX+wphjldbPblU9Tip9bBDHr81I7PFH2gQY7mS+rDzZ3fNL2CSqP7+MnP
MzoAYh0cECwlpTuO1WpnxtmlYzgwIBQI0kwn+feCray/5qWggoy6GzwpTPIF2tVEg1HD+cfKA8th
VHGAtvPV9kMoAeDhJoCu2zmyUxIaioySbcYYi15/JELc0HCnDgN8YzXBKKnFHIyWCyERO86xxsuc
xu2/yLSfSWIzt5XyX7uZFmKw+w/lXgqX801J8Esgb62jOe0VZgviKyI98EtU6gi1WG4hNCfiMn0o
ZZV3oQ3EY0xQHZBFY7WnZt6aP5QRzrwSDCI0zUg3Pg3VPjGcbOc8Ym5/9scxR1Wow/hDVj05cRwk
UjT7FFA2kmoXq0pcf3a9JGxgCRbAgnURwnv2YplTkWe/0kH7kZYSRnVlf4FOajchUaVpkUFD9OYP
yqZHmJhkcfvVK2mzxE8nLQr+Xv2rPdwEvtLJ9xkQcdgT/KOB4kUjuT3pPYNxyOASAgQ5BEjDR0KM
yUHzqps/bzXT2dUZh12iGI/kafVRkt5sdMM+bDFRWZEOpTrdt9ZHVObYQn1woKAUiDmh5NykEPyP
bKaPhjX8N1fmix23lDMh9RA2QcBaDocV57UXNb/7hjFf/JKM1Zl8ogmIWbmj/0c8XoX4sGM8WVYp
ObVUDxyisggDMOgTUGzuUrYJuAAzDNhpf+7c/DHCEIDZuXXyKfkTQ9Qo8ehUMHcQ3sFwSH9BKwel
RyRMXxKE6plYn3z4w1BYGmajejjukspF2AwkEyZQ7f2EeOOcVUyuerP8V7bgGjrj6nn9Q7af4qVN
rlZTNT0CoeLkQcV4Wv/JWmGKajOQC7k5j1vyaOynZvmPOu1hlCm7Pia9sJ4sMdtPQ8K6rTIa4PnD
eDKzzPtZDJD+GxUMUlIqJgir1FRwDy2tdq9nHHHCuyEXDSpRbWtCyM4czsPiG/EDN110ImEYHhvm
hduZDLthzsjd8AOZRDZmlvIt9gio4KjCD+RGFfAhL+X+RfadlMTOLl19B08yzUuoHZ2DL6SwmN9b
+BqSschPRvpWY7fMF5Sj6EkuB10zBPayyS4sP/hefLNEPpj6xQs5kibIf4CvMSIkgNIOqaZL8i4A
UnLm4E5mZDUjP5oqO98o+Bj7fmlG01m0e52/9a12yj8kVvoDJW5KCzMTtVBZQ2CsPGPWMSkfYua2
qFOGMWbr23oB+z48zy6wnTn/19Zt/YuLadWeLe1/PlqUMkBkA1GiYPJztzgMxvynT/itGc3RpX3Q
RhGmwtiM6QO5S74aL2k/OoFFntDBj4Z9b7jc1M1nVCO+LH2vvc9jRAUPqHBuYfwWFUVeAdv5ejQl
UZrugBE46cN/s2lxY3R1s49aCnGiO+Azkfd1jTWwaZ4W5ufG5ce3cz3eg3upnswab7Eeu81mmn7U
meOD2UOFl7XtL4o32WPrtAbTRHaTkOkyyd/++EpDwAbMljOLrORWKPVZZzT9GMXfsNsPz1bLs72O
lUp6+zSKfpOYVN/sybR2ujTP0bwg8VtxL6u4Orgi+ddOKJE1wlaxt3XeeR5f/ZB59To1wXNtb8c4
0hmVs6GJQxHtiQG7rXP4yY0MBq+xB9GUecQ69SFvLNl4YTIebDSnO0RyOWJe/a4ai/bSkacotlkA
LhNGI294hM3QeDRpTqOOx9GujPxYGtHITzGU349tFNM7DGBijUFLgoLgjMns3pJO1D/hU9zpI73b
zCVOMSqppwORHqEJgfqFUXfQKpZts1VyJYRfgtE6Jt2tj/fnEkY43aLp1lfkJPhanwW927ZQokzj
mpn0/9EwXSnJ43OJ4TBbHmYWc+NTarZvMjV+hq7fYN6Y5qO0/S9G38EMouyyLupKi7VChmagMosk
oELinlxGoH7P64nROWVkYH2iarJO5Baxi1mkXwlOrItMudFD4Z0y4rgI2ejinWoA8Q7xi7/AOFor
xtax4DIcnTHG+ltTN4OHZCs4TBApVOkm2LRmfwO1mZcQvV/p+B2fHjit5f8HG9/MPwBVppLZxNSB
acY2KSq1JTv5+i1UVIxeD16MOd0Ooaote0pCwn+HZPidazalrex+UESKY7soKQWfx1krUB0PBsss
Ine3ltOYMNfw+zUzpcDUYJrwOXC3XVGrnQTOQY5JSj3fMb3UnIKvYKo3YQZtSydSDEsUe15Lr5fb
m/064gKUEyUte1KDuE+9f62hP8Gu6pf4W4anbmEz81se8Y5raNFa2QI4RpSKYHGLOOk8Br7evjYF
NDCKZXqLWH+22TWfsg5Xul1WT+QROBe9XsKdWLXMAyFQQou3zMLYF/SSkLg+dQkWyL5InEhOccqw
uzN17yAbLNGtD0527KajbPlF4jAJMKLGV+Sqf8ik8u6GmJiHvcnZNB+TuaC7Omf4Flcxh6rw9dQF
3T4z7DCSzkEo0GzeZEsov8bR7af0rDQHdjvuonBSZVBpXKIJff+TI93+DoeTTTKnr0gTElg36+yP
jS5ZLDMXOjkzxPbZz15hQg9dbgPvPWZVe4FLEZ+V713rCjFUiuoHoBqZo1pxhgfTXDyMYVQO5FK0
0badCC5o5UnzAQ/Q2vN4CP8RSnWWSZw/urncJ07e7Xsrd4AWui/mwLDUr+rPxkW9X7naw7fqz/Wh
6cZCbeuo+sXs/jXq899i6L3d95tQC/8QlvBbkbJb2zIuz3bn3WMShHdFdS/ilyYT1qKxeLVrpzx3
yxmiRTD9LQS3x5EhwLay7FfLR23vaFNFVF1bBi2OqMkfkagl9v9n4qKhIJXlGO/jnMvWtW0KE5vt
pfLx0bXOX5O99kW40VEn1+iUsZzMUhugpEvPTfPtHJweNlSUezdnaiS2gfCvWtDm61C7SBE/AEiI
HlYJN8U1Pwxq37tnSPC0WOS+vySGpsbBGnoCJ1iFFMu20p6TnwbgM8wL9afVSHyo2Z9BsfomDvPF
lV11siZnDvIRSn4NZGbX2Gb0JFv16RvnVaowzRkiAoQ+Vz/GDt7PA3iM1sbgr/1LjAqOr28+ozOZ
fIv5pIRYSijIJhoYDmAbH4Os5ZqcZOfd1l8lsn2YwlQwkZ7Sk+G5gZNcmdt0SgiTYhh8dOr2LeNd
ezYcfz9VRb0vOqTHsdRAtrDM7yf7BqpGu0CF+VCF+7w+Bei3nEuS5m+mcn4O1POVnSK2SPO/UT9g
Bm3PkOjAOYbVf3kN0LSH8rRrBEtsEMhfuqX/bPmG+DQJKo89G6kN6Y1kIa4oSAKKY1K4NDTzCtcw
vhQL4P2vtg+vhYUIqPLbvWHq6cUk13w5g1opQ9R787RzPDXv0pjG1JTjv3lIv0oihLYV6jGKbtbO
MdIMgC8mttGlglsvtJw84j3boVOWV4+1KFGNVmODxzvcKYw1ZoS4OjeRG/o5eXuC3JnS59zQF+FV
LcObLqavaAijP8B996sUcS2U1mN+vS7KrvoyfL9/wqK9paza9soPn3MbCqg18tZoSb9rIMdf0pqk
BVEwm82bdu/6zBWMOcRmCbCMMjZy9n5n5nBs1NuIl46i2t46ni32pRP/6VygNXy+CcZ1v+wBvSzH
fE7S/THuopNd+gM74fx5Pa7mZS8WW8UOhJaxYfXRMfxgq19ALo9YncAIg1U0mMnreo98C+hRRmnv
hpTaWcPYNyNQoKDTFiA3hYHnwKdwYJk+SN7+IyZmajqI1mHJMeprSUBGLa7M9qMzyH+50QqlH0Ks
3pCWwC525pVD5h4CEbt3rvjnu9qpT+yfmjmgXrBNRK8pqLqNqDpc4lEH0BD2/J+1PvXakDVUzYk7
2B07ZiozOwRqIVNO3FVcuqr2HF37EQsy4EamMochm8ZHB88x4injbubB6gtKUHpnWKPlLgzfMy38
t+4nu2VpXw715yjJFh985h5afY3KTgbSc596g8/gWzVEQUEWX3FxG/C5nmlgxO9rrFyFNuDmjO4i
ihtCqzXipXwdzemi5+GOiQ5eKR5qeDWnxkI7ZuIHqKsdJ3JJ8cz2v2gzdUGmzQpwkbq2XcvGo1/4
Rimx6+uX0FnMmwZh/xoiBJDJUO+H0iy2kdsc1j9frkD1X4OzDNkfBLH1e3UpTYLaC+Ue9QfwOSuL
7+ZwSZNLEmHGKkbYMrnGUxhz2q6rfLIYYMRJ92GP3rmNEOZac60Ca04e6/9ihBjqUJg8WF3IdEay
5FFV1O2BdoRHF7R8kEMGCtFPjCrN6ZtibRcbZJglVNUWQzDWojyRzJuyuzZOhwEawhkVxx2d+S+L
NMdjpLQnu4MpF+F8R3sNhW3I4sP6Rbtj0l69kdUMpCiTGpgUv4VBYZiWxyCrBk1l9vtk6DWKTDSQ
PAhrl7WW3nw3KYep+nB8YksFoHomu2TJzg4FZIXFhEoYe3oj3pTKXzo8F/cChz9hFGN2SUnF2cLN
YwbMa5pwHOzACzRbJIF1AGvv3oYWmF8+xtW6MVeUngSqYRGvvIvGWXwn47Lf0JaVwZCLs4TKCWGA
C2399pTV8od5CJPYqiDkLNJze36ZmG48FfygnV/LU9hoUBFGGFkeVM3dWkZGW3ZBBnzmSbunfXyW
EGR12bKmWVq7QnMqhDKoFsuZXY6aP1fx/YDSE2KAvIJUWapPH8OQbndhsH6qRpZhPxx7optqDmh/
C5t0qb3shQyKH64y7Ons2CXGJBC6SCmeG27Ps1mWr0lvB7Kt3mPyvQ0bh/p6T/F6xzv6OgcCfQ0B
zYbtbeP+Yy3zXtVufFj/KUGvqFXj/5UzScYQ15lY5FJ4bVJ3eBGprX23OPkijEg0y0DZOzzWLjjq
ikPlYLUvK3FljiMeZJc5qaO2XguwBZiq2JFo9y0fmlTLm+RtFQzg23pj5qdZS9zDepoT7LrEsorm
nBNDcQjH/IKrnEmgKF7W7hQUAWh1I0QnNPiAfjP1MWi86N9CWsJXrLS9rCfXeo9MpUsuh2JLTU3L
//GMS1uvaK1iWKhZ8cHc2Dp11TBxRzBjt2R0NM1IIhLqhmA9DlZxLsfXQa/0vW2QgVb1zn9+VEKC
705VIr3t2IbtsbMnFgtqsMGZGTYqjWYlfb3Ni+HZmAsCREdS5Ud1srCy4clhEQ49wDskEUVIoYDp
SihEG12SIk2T+uoIyzhoPp1x7SLG5Vm3DkMf3xOrel6fZL1UR1PxUzHG+iFnQjrWVisiGEj3asSv
5Eyui22NGXxndmTg4Ydaj0WbZStz671QnnlBQwXoMoUaRFTnBhWhtjdrqOi1n7kwL5i0eWF5ghzy
w6v6ex7rOLkbdpG+HN8NI7aCVQWLFNv8EYX+3msdFgoWZPiMnGBksPey9aBhLmdrpmtEwpbm83q8
wBskfNiHSTe1rH7iJOOdL5CS1updJ73kCITZuuUZCX+LwMXJ1Ke3qHpt2fN4diZpQVGszrrFXqiw
hpuYTlbPqHpRnGdLxQwMYZmwUH0SKzVuO5tJn+cBPXZTD+usjTaxWrpNtYjZgFIe0UeYm1GOv8EJ
AILvKDSTdkxRjlCOTMXwSbALgknCwshSYhgXudMhS8f8i7k8v93yV8UknthDckgKyt+wKf45GRwj
i90eyzDoCeZftfw2jV/+ipN2uruI7TZQdnxKR2/Xtc3H+oq5S9G93CszYnU5WB8lJ9CtVqyFVwuf
j8btoj9REyMcrhSgbSieuz5R2q72ZhIj/XS6wP3depwFZwbHb3Uebwgx/Yc+l90v3FLCsdU1R7q8
swhoixXNmWZYWIuj+ibJni2V8V+k6Si7O7Y7640/M0+AFIDRD4Qahcag0axqxW0MvfpijTAC9AWZ
YJXOM3Lbn+lgscId1bTNkcEg10Xg09bZ05wmhOaZ2V1VdRgowAUsVzgxRfmr5o0NhhpDM8jWXepa
Z7slwjn1jeQIUQ15nWX8l4CX20t00FR8QCuz3CeuOsWZ6GqJcx9A3nkzZNAidb8K1EhNNEAjcTNu
cxUyc17k34si8/vQcPT+mDfgAQmpf7MzVjaM8yDgeay8mi42dgPDcfpFZmPxyF4q10E4RDPZSRGP
PzKfcJHFjZuBYSv865RjQlhMdhZd1uLDWgSa/lgHRG+IfZwScNbHu7QClp0tGuaozRHjh0QT9/Z/
+RgKwGkEWyzq6rYzNn2HEA66s39gbutui47+7LtdVPX/C41SyE+n0uwnlbwjASGIIcZo7RSfVdx5
1G0xpD0VMUrJu52Ym/aZyKs/mqVxWQsmUqZHdJ7VxS/E1NsKiOlal2lmE0CHF2Dw2dAIt2CbZOQ/
sriF6WK1dlDZ2bsYcGzMevhimw4Q9Erduk7tuzTn1+rgUA2oQJmklwfY4ECWjOFqjZN/nqvprVEq
vlGSwMlD81PFL/YZs5R/yo3U2FCuomMbkqBBQn7JJ3er5qHdWSbTVou7qRrpr2qIOtWUPk8xDp3M
e54MJ0Se3/eH2Rx+mBzI9ybnlyAgav3yNKLo6CgRzjB9bA4qaemakaaaIWFNkr0qOW0t6Hiy/pJz
2TUJQCyz4RDiYOV0vZbNvnO7Uxc70RNeT9e5FeVcnSqUaETlaQISMaoCx4sfhuYIOJmLdn/V/COn
QnjYj7o4OVVI/g9LCc1GviitTyaPJsgcYoEbmxULOyvkgJNYDhkqtTHt0DB5LZIiczrrfIyHRBn+
OURdc3YlHAA8kOfK84HtClA0yxykhYCugw9+8HGuhNAqMJFxbFja4+vo/XcpwD3FI1csjx8pLNK/
dYpL2x+jczjHgChFDkazjfaSKMewTOBaIaDDc7CY35Yiqi7q5uzQi29dgOcC6mqgxc7HyFDjVjGM
BnLr7icxoMoucvJQln9HMLU41REC4fWpGbujPiOhrHKCCdcBWUO2VVgeJEKly1oOt35/Rp6p7fwa
XQUhWLAp3QopU8yyNiyjTxE+IRTMT6uEsPCj4ZL1syTDMHxO9Wk8lDqsx8wI3zLgg1GCQEiY4V8D
sr8vJ+M4eQ7oY2ld1m6TSIhHXSrvKdeqgJQvPBYJAmrIOo/2t11Y1dP6FFmNQFmpL3SkFv2mB7f+
nHklsFiGlcVvzLXvSCW8lz5lcjL2+YkRSnOUDVOFsfxHPAA8ZIkGPs2hTpRb20cW79k28kx0aUEt
W4dhh3BIhNjUxdSdR+TMShstNEJq//281jkbYSu5DU3IBDUyP7vlYq979Zb3VrVD8EHcZpccZqmS
i0rNZ8w/dBEIntazSLbhTvci2NyirLa9afuHjOqLsjVET7hZxdxrpdrhBCYdPvrV2AThOGZ6Xz/o
uFvya8f+jyByhgdeVtcB5HqymE6rWIpLSYmy1UL5oir34TIl9W3WKY6GRGiZQ8oRhgYbo5fV2itx
DomWZhbd/mEdXetQJau0OPmqZZ7rauN2recKifIXRSyDwXWeJJAqsEw6SBkxTO6z+RI57GsNolPX
CgDidEI/ADgnjN3ubBEX4OkNu4Ss5FTVkYRrdoKJwyDlmOrXWtJ4HFzcp9BBebYeseuvm7b6eWQ/
uJ8sTT8KUODIveAnWc54jESf3xj7/a7gQfIlDTfUn9CAagXHDsrmHQDurzljLx92R5sf94xS6DUe
l5KeHmrfhlH8MK1PN+/Ns1TZfwPZgeiyWFOExl/UbAQ2LUdU7iVJUA/ELPKmFNdCHzYJyz7C7AmI
7roPM0cuv5Z3KWk8W2HEgMJxMmNeEtHNiRTETVFcXeyk27mJr9gLfXYfJWKVWX+EzQ9H8dmZy0wQ
Id67NDDDMd/oVWsdSUclFX7p+PAqAiV2tEu8CK7SmoXUMooO0UUSL4T8gGQFxb2yVUPyZz1c2uWH
Z/QL8oecuOPaaqj0LZ5iCEnpGzaOn/kwKw51XpaGIOpgteOb0nPIp1O7yAvhaCffbowGneBGrwux
Y1lZELPoTHthoe5wSdfTh/C6fgAICuR9/au619HspvQ7Pap7gij9J3TyL6Lz0jOM2KsXDvbFjSb3
21NAR0B2B9qjrefRsw2qz88odi8ANBGGr89DBf1/rUCRPBI93000+h2ZVTDbrrOt7iZeLwTRKG7I
/AlPwptf6g70gFGcDc9kdJxUabDuTNYrNtT1/j7iyWeZkjjbemw/eSV76qF8OKVxfyVv4yuK+VTp
4VDRt5Q04GCjY+nJ3ToeEBmnSOPAQnBw6ppovXHe1jDul/eMBIbsuwxE+nAVsgkP40yIX5uyUVxG
dA3KH2d+V6PYkW89/lFDRY6GPm1ZnyXHQYTNloVv0hpQFBLJ6oQxwHaEwnLynfGfH0WoI3mOCqFb
23CcvedykbYb3JHJUMWXgrwCSP/zdBlt61BmkFvneR53obDrK5L33Vrey7CMj5bHrk5683GdFfS1
Yzywvz2x9Reb9ZPvQ5PVKVGUnS64SbVEBn2MkKbqJyMY7U5dUCXI+0zbhmQERdlYWPYpHKx/a42l
VXpx6Maw3pZ6DaDPa9NAxsXTOkaMBXRFZy6nBy/3JmJC993RVG33myVic2TV8I6gpGRz4zBHxE+/
d9jPIdge0bsqjhOza/Ugjp1LRFLssVQIikykmT2/j9sdVl+Hq6L/mHOav8j5YlLcsBOc0dNY4IXR
6sHUR/nNLG5uzlUI4Wyxn0kteVoHFH2ntU9jBCZ1bE3CK8irM0bNWHLLuos3U4iv3r9pSW6okLI3
JB5dUDTK3Ry3f9a7NGcudhwSMmZDctQqWQx7ZcYSaRNzqzSz7z5VlDO35i+RH2CnVp3HhbWwQjjC
rP36J17+JWpucz0jY1xhQJNNop39Dms+iMwIoBvj4GcraSM024zt1AjCbNmHmCI6NmHKcsgAV7i4
zgsZeUTY6MkPOxr8oFn2L01e/xYa53LXDH8jQ8NH13LaRwjJEVTnPfIZstfswQX6u+z468ZgIEmp
FWgjBPmm+GQl6QDwhgDl6Kd24ItR41BQaqF4T9Qr7v90OxeauBbx3zKqD7XHW8O9q7+oOtdfInq/
nIGWXpIa0ImIoqvRx3voip+ObhHD3lKcKR2hAlsVoCiCcfFgYZOjRK+vY5F8rM4BIjc3K1+EcEFn
t/6tCGs2svVKv9S6Gd1JjsCFz4KYCEnK/ir60WL3RsyGhXgq/XssPBq7RZPeY5Y7J05FD9ZM780w
/5Rhdmtd8e5SrEKKk/1Whdnb6PcxWqreoYDs3odItaeoJ3XNiZsHA9bzzAcBfNuN9tpM52eOIEIt
jVCDRnezQ0tUAQ8N/jJggATGuCwQzaj2r2r5uZ3c2irX342Ff2BrktA7TRDgM2e4yNbwEA0nz3GR
iEdOEoQOBtlgW2mz27DsJug6N7zIn3k9dUTSSF6MFFmEnYF9zUBWx3apAtwyXzCNx73KdIRSfEW2
fzGTXt+5Iiq+cL44R+bF/hXT0G6Iype6GIZD5dlb1/S8F4sQohOLdzi+3KtVU3rMGfwntlLRjTEC
IAGvbnn7BUsz1zw2s34mg8H5sT50xTAVe76F15yd7bX2YvPsCKPcuWVj7ECxEEsI9oFD3MIgFEJ3
RvQeZ8wXsiw8ZN50R9jLb5zrZ2tyk51BJbe3IxLxarYzz87Nnl1qhTF9Rbj5HwKQBhoxPOHIn85e
Xqrt3GmSfpDuM9b2KNMw5RhsqUu9Y4g7LFCe5VxrMv63s2RCY7+U0kaFytcqCHhcvHJrewosmBgu
xcYP8gOUYGiR/2PvPLYjV64s+i+aQwsm4AY96PSWnkUzwSqSRbiAR8B9fW8k1V31Sk9Sa9qrJ1zJ
9BZx495z9hEiKQ8eql87161HIY1XOZb3Ce6JLd6eGAhv4JPW0heg/6WBWNjESNrIb8Zgngy7YuhU
me96JJJda7YD91JuGs1RN8ylzdu6M5lRGvla9O5rqHmHC+IhKcUxr2mFTBxhUVijZxRFUi+MzuqO
0+QcigbpVTjm5LvyYveanpEUNeru0kShwC8BFf5M5sFCxtQmYSIFWWGKoGknk/FutD1KxhRxQ00i
nhbaHI8c2lYRU+5LJZLXSI5dtSv0mWer++8pZM6Un/+9Ny4tgVr7UoBCGH3yKrc+KNEh/EPmwe3q
29Qq+pNghjsiiYeRS5IRX1MgKYr1zWjd5sgG6bYjem7r5BnQRQkuNLMiGoAYJXbuhKjcwOy9xqSf
Hu2+JbFxcNp1k2f1icDvu3gv5rqrdrPqwKeKqzxKSe0FeZubpnfrqu8okIotvhVrnWjG0YHm76XA
5S77kwuIKZflYxlgP01YXFdlRIK633FoChKXbk+6CFxeN0NGxGPZg/S9YU8sAIpwpASu18frMbFx
XREhshZdyzP1+nqnhSkKxliEa1S+GB1KOvWyFN211pXBqrfd75dRoGUlP1zEnofU7h4vA4E52Gar
jKY8cdRcFWCRjzre7pWl5YgEHHMv3Szguxvj6CBPfG1UfPYBTl48egW/w/BNuE2xm6y6wytG0478
MZqQdvfZS54W04SFxuSC2EzLwAe8IZNAHEhiqLalPcFBsDj0V1V2nQvT3Vplfndx0RvYxC8bTqcK
rh26Z3cJs/x5OautctvP00ErZnCajRKMX1ycaM7iKZpNyRwp0TswZSWdwyaROyvYa/T5oUW5zcAa
9WqbPPuJhPtOkBRCxffLzTJzfAoMoKUFjWgCc4Or3GrYY4SmsXGqrjujP9TfgEaAR22ZP1c53xR8
9kPksJ0XtfrW43xYknoMEZ5pLRpmDhzS2wipS0yBGJcuL2gwqc8dMKvL1ndXekloiA3DeJuOzb20
bAE8PTXXfTs5S5SgxwIN/zmIaD/3gzGwe11tCTUn+Aw5NbO+0j42jXdKGYaca9GLZaSYz2VBY28j
fcCvOa/OmNzUrZFtvVwdmpgP2C56i9w7/ThaRXRfaRrhEPRw6oyGnFCqvRltXnoduOA87LuggVtS
mwQsk/fOdMYZGhppyDRra+Qnidjg7WudQ2GN6b8CKt/7yCsgvn2tR/nUdNthvkvWbsU8X8EYYOzV
I/1ZD8HkX0/Ehlmz4knwqyVsHawwB5WdBs5nBRFpWl9AEJ5+eyFvAEtx9ghW6VqNrYBAkSQrB376
OpdkI+CWdyuMaFJHIM9EK93rKfauyMeTATa+2mG5IOTuqUQalLuBfsfH9qX4ILb4YAi9PBha+1AT
eOT4LFp4kq2D9BhXjc+1147Xnl7fXSrlgL49wQ/kfYdaWG5BPLsbVaicmBhUS2n0CcCtQyZuFesC
x8RGjMTyaq/CJPRIYmtixMn06i8/aX03X3CZXwFjf8KcQc0JHtSEq8c38sJO+YWNAtCiH2oW+KXZ
YOloMkE9DlP+nOV9gc+F6sV3PbrbJr3KviU9ox71eOv2k3EsvhhX/89ztaAM/WOEIp30/Ef8K8V1
vv4XQdEwYCHa4BEd3UL4z0DhL39juBqG+Ct8Vlf3HEpYiHfAhIj1bqP/+Iv9V0BrQgcq4gsArmKm
sjVf/ERugxrE830dONB8h9a/xU/8I1iHx7V0y4SVb81YMpiNvyEJp1KjVCBUbp+73xMXX5cxvmUu
PDl79B9aBJf4sBLE6NTXpivx3WdrHfk57ZjgOauinKS38mr0ky8wMBjNP+c6/unTAi0JWtY25zfh
j7yfTEZpRj5vttea/Ohb+dFysqPtszXQECL88ln9yQ9o/gR+gTZ9vQfWDEliwREU/r8j7hoiTaNM
ZftWD54ika9NSqmswGbrYrRpI+fWHBknlPDPewerc4C7C7n9iTXj3Un0hkSNEC+l9tnZyZNtIskg
AM5YNI72UZMj3MG4Lb0Qj6tpfaMPHvwrItYfoVOX5+/yXvG1cKC1mTO981c4kusTOIkjQO7Jmnyn
kQ6Ath3f8K+QbROvatQBBVt/ay5hOAbHQ7lVVf4vmHF/8oH94Tn8BpuieWwZYzWy7lVso/0U0/vg
3YLfpgbzvNt//onNiK+flK2/e8G/8+mUMUYyrWloRFH/NpQo6Rrte5Tv1eR+yNh5/OePhkXk7x7P
BDNnOo4PcIa3+bcXV2rtEEa2r9E41DmkWtREiESWVcsK6evJbrDtbs6/zNbZuA74/pTNPlVtsrIL
f1x3YV5eEUDMEKlIl3083MBPjI6VnyenxiYB2tf9x9ykwPIL+J/Y5wgW5RcIeCfbJF6HJZgH63JG
7HE13Ko+bh5jmZSIUcO7cCBu2fIw2U8DeQJII8Ut5fGVIw8VZtp97xImFljJNg/N95w4iyvmGem3
WPjXuck9Ekl4C7tt5XsYiusKEm/avgykkLUMbBtf7MAinuhJ4q3IpicsivG+6GxiunLGpG5oVMfC
IB82mYZDTn9wURkm1KyJjEEFSW9T9PUKL+iEAq9J1/lk74WPPNqHlryIwrlG8E6lGkcAwuX3aAZH
uGnzqgdobOyq3zlG9kH7MNlUQfk6setEqIxPvyUDnEnbncaHwWiyHm0JYyH/IAOk2wgHj5pWNhsi
NoDYZD7ZRZl1JRn6UTVp0clPX0ihRXiXNxt9JtHDI5ArxlNwhaLrwWuoErSE4ZCZ34vS5BfjFGBU
J3wgaY7OQL7o+bRHkrlEob7W8N1s5dg8ewbeEL4maHDt+pjiiUbjQg2tbASOAykoGeaagRnlhtVi
GbjlI5J9tdSxqs6TWUAmmtpaNNnudIIaGFzQNaXl3zqq/OYCBSUC2kHy6gJFpkvjryY6Xsh5u4Wi
DwxPG8gC4QU2rlCzPuXKD45Vkb7UQ7ck4qN1veBb3seftLg5GDkfUHPIOd7pUh+W7lNVIZCDHfIa
kasxD4q7MxQRYDmkUQ0Oed242qYWjs6k0IB0PTz/CnqIZaabeqhRpVjCZWzfI5lqF4lCD5Hbs6Si
kiSmQFfwHLBgZccINO9fawWaA2/UMyMxMo4j/4PXNC4QBSeLvEJ5AnHCoZqyHvpP126jVZbHbK8S
Wu0+PhjDj2/hjotVJphUN+Wth/lgRUTXh5PAZDBMnEQDJpZabur2oDCaLFBN7gwduliXU6Gakhwq
2/VO5IRdz2teFVqnqujfMg4dVmaemFI+dmWOKjKNls1jJgt8+ln26ojomYMcfLRwHWqlWJbzfkFH
sE/9SdNV+rgjkvh7FcqnxOjfqlJnwFQ+hNGUreBnILymCmiPen7qsKWi3gPT0YigYHSUBcecdGUr
8lDN2qTWi5onpFR2kiioz2hdHk56rIubMnjqyW+5r0zjKi4R2wbMjdZ6a7IL9Z8EdvQvdb5fIYwa
ce3qXvqKqvwRS5xGRpj/hCoGjm/jHSop7+OwN1aWwAvY50DLnQq1fE3MSn1npepaV025iggxhP4a
zpQa6yQBW7HXRMXXuE+DrFdsEQnDqQPQNU1N/jWBGGPk6c+j+NCb5yh37RfDRevRdeSe542xTopg
eLEgyvhRxmEpzh9CI7/zQqT0hW/XV3FKOgbWwY1yu3ovKjPZhV2KgVckzooUyBbBFr5jqid7YRvb
WDOyV7udzk49zVgaA9xejtgEa/sUl9HZ03Q+bj5XpirmtM2HKZztiXhrK/dKdwK1hQxULfUeCXeL
4tve5C2zCDIo8lXUjy0+jMSFPEUvVDIZJkeLJiVDrbspweblOwEzTQAYea+XN0CriHoM8ZbldnUV
kDW7mdd7y+g+yYrUj0z9wHcKmm1deNPkKNF9YkV3nhcdat6AQxjzgysTgtRCI0AWQddyEdUaQoB0
/KTUiJcgwMQ6mVn0o2ax22LZRdXenCY0C0u++x6+wSpaMdNeazg8N7Yhww2AnXhlckxbOll162bj
AEQD5bOskk9m/rUHosO2crC3Xjai9QysVRFrZ4vYEic7B9B/7/Qk0c8ynb47Abk/gwlbf8RkYcNV
mA+AUzhh5wB0IeXRijJxM7XOI2J4f++RVObXHo1K3CBX8J0cs12gsUvowQa3QUH22uCRyVHHmFOa
Cp+b05Koi01GK81vOfDmLd0JpEAdQBrVRiw/BeKU7sqPhc1ASDtaKUmwqmXMGOf2rRmPd04XEvZL
+mYxPeeDQ7xMkjRQxKy7ityYLjAgjg3mW+u53YJMdDBpXXuvw04G0bn3URJjzrlm2fK3lehWrgqc
Y4L9rTDdvSFhY4c9ka8NZMleBLeepTZmGcsbHfFLZeqYtYOyPBk0WuknYz6Vjr/Ip85cWS7aDRpP
UIgCtCi1gGMGgPbZC/JnuyCbss3wADZ06fnUi9JaMU8Du91gbQOnMHQYUEULAhMm89KdnhsnSXY5
VVBbsmCEItKh7SyE1pnrxqtZnSr3qQw/JzPK1vbgf8/KnGM9WUd9Z+/1GgADpEmR9D/+ebmEmeTv
yiXh6SRD2JZpORzR5st/2ZCWVSUHXxUpv4SIpUdnBlBZ9NESYxNIsl9BLjTkqDgEFcGraIX3jFyu
WMSBeUX76botwmwZgW84K7iSGGihA0YcKbMsT6/sylsLx3gBEGPeVMK9D/imI4Vme+KNDeJ8H09v
TSfNDFltGygjoRVWO9RU1aK0gA4UWrcJvGQVuRFZ4lqwqnM9XBdjSE5FuTZsep9B4N6TmLQrmvEI
N2YVTwnsP7cnWc0c0e82Ty7BLutIVR9u8RwA51gPlYSRYunxMcVQPMJ6PrgGuua+0h5oSi29SmKF
pmxd+n70hC9nRVvvbdSIDAxbsvg4XN1YuXGfhcUucOx1ltRALT201szZOWqy6JLabMpnhtzN2uqg
yOE0c/r0Di3OtT903dw4/e6Z8pxOmThVCW0lCX7BSFnDRNPfIMYqRHDwVaqBP0BFL0OgCHHvvVep
7V5rLlFCKttZiMgwXzMKKOLrKJt2ORiOnZpmeas+7Oc6zO6JxAoZzKE83YxDz4JDTBntbFhIEM80
QT/Ky8Sn09d3kecDDDXGY1jMIUt0sEK9KXfUq6iedG3RVQiA5XAOJQWZMjG8evbZCrIKQC5TOjhu
gFSEWuj0EBcq0daVC/rnRcu61/lhUhrXnT0tMl3tHJcqOyu3pWdtZ34ay8W0DOyZwJe+9i3OzpYt
UHadqdm7EFIDSMazc/DTrL872ip8Buu5syGr4rV7tpi5do2N5aTlWZEHktvpx5xRFpmK9jyxYrXz
lMfVVRN66J2jAbdk595KeJuNmT1Gzgo2wo1pTzXyZ6qOWti3oKq2/qjoQWfjWz9SHKYOMyujl5C3
ZiaV1qPMIAtjQdDH69Rh207lEarRox40b65fJhiA9DfTJXEo5BcRdK5c8PPeVUnLvEDzmoXO0F5V
3XXqH0q2AoUS6zwt3tmVIqGNUAGy/r1ZKvkIwewgBnf4tAN6/hAqF3hdR4MJU2uTXyt98SOxHSr6
iFXEhjEYkIJLFiHd+fgGCR3Ui6J+INYe8WuXtash8vdOMd3lE3lUiZsR/pLdCMepySO2IHs1za3d
DeOCblW3hb+x16tEPmrhEwUA8sToxHB114DiWdNVD5cOo/XCiYjjDRGpZX18Q2nq8CnzRPswuQob
B+ZRBa7Q7CEENMG3oneDFbLIc+AnZJzwquIyJKLc9p91zb2bokwuTQilGGux5btOz/eWDqzX3FG5
q5McZv6P2yOsJbdFldqrnFvyxD3mFTqTJvegjfBjKpP8JVVXTQqWnWorWqSi3ut6aZzd9lxgot2o
mCz5cIyJP8/IJMUl/kZH3ViI0rrJ6aEIX60atiVD5zxMeRLDS2Lzl0t6l+LA9jneBF3JZiY/aKJk
39DelQLrg87kh2CU9B1gxtZmVry+HLj/rebd1XfSxKr/U+knbNb/cefuP/OwkN9/7dxx9a/GnUmn
zTPJYiQtXbfcCz/7K3zJMP7qkDPgzksbQUqXS/7WuNPEX+nB2nRbHJtWDOFNNNT+1rnTDI+2Hj7K
X273b0SfCPePJHnMMHR7dJPUA0EElG35c5vkl3UWcIJQI8Ar1x6oEEfGtuM825ZawdBYQWpOWKeX
DuwPLpCv0hI2exBvkZfWeLSzBnW6sligxyg7NlOVHUvV2vsSfMXlrMufQZ8yvJPIZBaB0Ezs1aTD
5vCZlk3fYOW0muiYhdUPloF+jbABiJ0zBS2VLF9/t/G1VeU8ACtVh59/MhUS/2fifNSBKhxECSGJ
hMQScMTX6a6v//tsAPnsmurBWLW5NR6qTo2H3mbF1WL5ngjLPghP2QdG7+ci1m9sDQpEH1VrhJtu
RegEG9CIQTxxUeSfJR1GNUeP7CXQJXIqkM05kzVt4nUQN0T8nduOIrBPs2unGIwNnrnRgrjk4rdD
u7IkzPB61FkNgBHesGyQV2t1CvumeDPj9BtEsGJNFKq9Kohw8SL9e6+y66p34Leoc9ia3+qEVCUg
Af0qtmhtloDrfKN4TbE1L0Ic6Qsj6FDbOelJt0mYk33xypar31jqoEHBypmGFoRshkJedaLazGVo
k+jPVocngFTx1RASJOHeNWWVL96YmZiwKqPHOg7v/GyA5W2rdKGZOZYyJEbpgEdm7PJpW47OW+6R
tanHUDp0B4uDBp4iREJOZjQWKHyPrKSuAgoAYbbUwrcsG3ELFPTAUnJtPaGg7w2oiKYA5mxBW7gz
qtsgRCzdAuDZo5peOLi19bhjFjNZV1GUP2pOdSjmfGAD79skjA2OmM9OwIwJIbAyEJ+rgWAQ8Dyz
b0g6vsd99DBp2WNld88qDI01MT1L3xrODnRxf0xuWF5uAPoSsY6glP0FAvWukddZmF1D4vgBH+K7
W3lnlvkTUdvfCL5A68yrdPzpNDKeWVUKrCR93o64BESn9Q/N0/BOYfYkt4M5IXGxws/XKBkDSlob
ikxz7gjkWioy7SWazQ1oNqeslxb+47mpE7DnbxN9YTfRCnPtFS03iOeM+7MwfsV/Eix6USXLXPde
SVLKaWxgRiHZsKJ74MjbMZ/9LgXd58nHDDPizNCBdk69JFu9YOpk8mZNUwGYd5sk+GNTb3oGz7ZI
QW2HbOhVMfFFz/F240uVh1RmEYrU/RybO6XO8Njpnnfmi+fkAbLEet68MAVfNXkzPZQsqrRndtrY
T7dBolsr4pHsxBXHqCfkLM+oo3hN1lui8lOiO/0VkVBk7pQqP4YVf2pScSl+1G2A56MbsbdGkpAK
EXtiFXbhG0D/aeOWcbgPx+re8h8UzorPWGrfApOuuhtmzdExNpTtchM5KBAG8p3N1NM3tq40ZK80
BazBKvahfk97IkKhoNL16L3asTDxPhHdPUp0uUMASxHLb6LIPe07/ckRwNAsskkGjW5aHPfdVgzJ
cGgancwGODpWwvcH5yn0OIs6IfLLJzqyctXZZrHJnJh1mOdOjiQx6GOvZpPh3K7ToTKIBBypaZ7J
85ZXuhHc2ypB1eBd0yO+N4hRxjpDt8tL6/q6rxGvQGHZ6EEObbCXL1TmSIBc+VGqZJ/onnXwaxe5
iUupnSMBxJWhm89kqq/8WGbrDrLo2FOWgWfwXmLiF9K8Tx8nu5+OVi60pR21qPgFNgaPX2bMm8AX
OUXGmkQ71zQfXW+yUfNwHHHqXWcRGmePHHCDcSB4szA+Y8jkS0MfPn0YBbzjNHCjCODHBHAFR2V3
aNVN5GxUpEFMLLGteBr5vToIDeldyTHVrvR2tK60Twa7Jbu7Y0wAPS53jU5o6e7bjt4x7SX9uom9
Z5i6QCaCftiEblU/jNPMSZdB9cM3H+Z65z0bERaGYalh/w+6ZWKnd4D4yOOtE9atMnzoane4m60H
sM+/+80EC4/x1t4Y/OhkRCbsHpu0pLypXxthgyXV0vxQm7r8FpNHZ2nmzOfDg6p6B1CeBaK3wHBy
BVweko0ivIFx+DmFybEAkZGv9QF+myuGl2lk79NF9Jwhv+6nwspvazIg4tQyr11woMhkQP7PE4F7
rwWRLtFk+xSdsE6B33UsMudh/jMq1kRvCsY1QKMBOH6rHWfrLkQ162xCzBKVUW6Q2VLGR33JxqEw
jljErpRw2eOW7bYETL2cEH2jI2ZvEMsW7SQLJ2qYCWFwhzIpiD1kGzYxTMEUbERmsHLq8aukQ7EW
4/Ris+Uwx2H8HqdLPBPNsjDjdvtLkfUnIzfxxwkO3QGqKsNCQ+9TPREGN4+0fildTNZktBjWdYPI
exWWQ7ing/miBzw1EwcH3WrwLN571OBV5NFFHZD17jcjx5PSmZGm+cYu829+6sEko1WALRtHkjKn
d5RTHb4cRChs3l6ZjmzTLvnWOe773JKYj7s/RDuqc++pcFNG6JXg5fAdRspFlbLIc4CPVegDFw+T
m7jE/YdQh7xpz8VMlzAlaKFg3IWWNt4FAp9275Lm3drVsEWUwgdnWPW/CLdyiPv8Q0fFM3Sms5gU
HYO3Sgjb+K3S0wJVIK7r3nx2Usg9830W+rdN0WcLVg5+lyqj4uO9ZvDHvrYctNupKB6IuLtBLPh9
otO4oiWOlZNg+wr/0WhmS7NiQCWU0a7ykv6ZT/i1MCICgdJu041QfduV4RrptRHLg9cDQ8pQ7S49
OIQasQnbxK7ffb89WjahBLZEVhDWODS7mPaENO+7Nrkbi75ESPmdgw3k86qGGEaJoKb4HoG3K0Io
UT3ZDdb4XgAG3bqDuurD6GZIWaRaNbypZShLstVpWM9iQFb0iLAmDhauiVAeHewZGtbV5FRohCQM
abPemC3ONVcbPlRm6QdVVY8Ih9Bj4i1hXuAibKyPWhtQd4HKwlryVHbUEKjpfoywWH2A/CtIazdR
R4RgKkkSRRLN2xudTcVEzmiA72H/eCnUp25hNeGdxpKe3uSuf4fNBiAnqZ/G8E4syIetoMQkpfE4
IMk+0BO4S1R8ilLr3SyeC3izNjza3O+PlhS0mx3U+ExOGBcGuWkwjiJjrenzbBM2OU3WaCh1Wqg0
Jy5/kBj2B0hMe7eTwBAv531dp8QMxV3I0+UeMBYZlM4KOWWtjcgpAbjiZx2ScWWmSP7dscK9VM33
6xSou8ameLvc2eVJfT2J+UJpmvkZVusvz+PrpBPKm5F2GKp0rvb1cCUxh6haDZqd80v7eowWff2m
qpFaXa75864v1/FtWz9k8zzv8kIvT+jrpD9g8tSd8Ov1XG7rSMNcdT4ECzTN5ZUVVERlOdqumPMC
O3yLV5fzv/5t2nuJtHJ/+e9y/uUal38zUxCMTPH48/o/r9b62dXohuHhctblDyO3hN+YoR0Jm6tJ
jjRfTCMTS70lfZzedbGMKhiKmU+eMvOCQSlrmXbxD3ISfCAItKmlfY5HbPf3od3oayRsCMPagigK
IryB8uwDB8Neqg07ogfWui9RTwNC9FQd00URu46ckZkkE5bGndYSdO3FJrKtaTaGe+ZzBuyBAglU
oN8h008pcnJvneHgWuDAeeg0eieQn20RAhlCHrSdHdC2wVKuJjtZlsYgt0XX1fRc6u8pSu6kEg0D
HkYRiT+4K6OYu0RiD3qvWBkSCFzQw7pKYybd9ZNMukdbZGiMtfx2aqqTWanPrHaMZf0EUaPdSHGd
UkuvvQZHHykR07lsxTdpLvUiG25oJ8ptoCcu7ozZhFxn0KzgyMhI3TRTsozZwywKw8WVNai3tmZH
mrhb6oM5jfdWt5iDhxWETEa6/coR2qeTQebNupWfk/AbWAUkLcMY1mac3Q9OVq7KPoCx3MOzB1ab
LGoEdJHMAVAE2QnVGYcFQDLMUIidz1PKiwkaFHJSstrT8UbrmgUaQJjj5XMcxcZxKg6ZAhnKMvps
5/m5LS1iv/A6oHp+1Nz4rDKtXgldPMcZBbur2ZBcfDzGWtOttQwudUE7G3sKGMk0N/B3agU+jM56
Myb/yuzCDWK/YDMNUbC2rTc9IlEs4gflmyuC5OaxSflWpSXGCzPPmCHltyz0904dGPdx9RiYTfYy
m0WEmHuoKTCZxqaUDVJz4daqB8CF0rwOPUT9lDWL3NfuGMnnL07RjsuKjCcKoI6JVAj2PA29YYG8
PDyUASQPrFTTfJQM2pqJMXPNrgb0jlMPN2KgyrMX8TMR47e0IZYJnCkTibY+1DhtagTXJhbWXQti
FR/yh7JinLe1UzyU7ERjchLC3n00RMZ42Gt3PQiYl0G62zTUHlxrzEFFOMyH2wHuojH+YCwJ362z
BlKVE7kEWa5Wtn1GGTvg0o7ta0fDM1IIfmg0KR4rnLQFuWsl4ULLlCC9lV7F4ImoNZohvBtRX23i
3n+eAvM61CGLTNg6weal+cYYmYB2KqMnWOngdgA0WxAl/Ex/jH06gGDqQ2UBzx9YSuOC5r6Rv3aG
l197sbPKc/fVNa/hZjLBM5N2YdYI8KWGTPM6p62ytxDYomENURkHzarALL4xwdWYAMWmek5CakTG
xDG/BethknO7LAjaAFnbvrFN6mjrFj0sHtSHU92C8o6E2kRsTnQ13ZPg+REpZFxDC1KozlS7Skyr
oP8ysXIO3UfYww5A1ksLlip84WJ7hMEEEDBQGEWS8lPUvDc9bIJxOJe9xqwSEFIwmidzEN1uyBjP
VZIecOp3JyfRLozUYVU2wUFKDxpX3UIZmU9d/jSzpUmzwbpB0AWy5C7gmD/LynmBU1Rgzp+CbdY3
h9hNoX7iRCkO5tw10gqnQFU8Q9kiKDh/u/xy8nLR5ZqXU5erf13z8v/P63ydebn859XTywP9vI+v
m4f9Wz06CoF3lUPr4Y/yDKZbRRP/98l0nP5w0eVaVkJyBuCN/7nBPzk3B0OfMkPhur/c7H93219u
kOEL2KsmWhhGlqNYB9eo8xU6qNakfLn8T1IUj3S5vL+cezn58/pfl/9+1Z939Y+vfrnk8nC/39uf
/v/Lo1/u/c9u/vO8oXE3Q+lVqKKs/BDNfwgcx+bHGPkPJ42m0VDVz+dOQSnh4BINuKeH3hp9fRi0
qDlcTqnKrg/N5Y+NgXl5OXk583KxIRk1rn+7DYU41/x5pcttysuZl5M/7/hy6veLf7nPXx7jTx/4
cqY7dhRvYjBsY/3z6V5O/X7m110Pk7as/c0wGnuVw+Sht03QvPvsjgTI28ZoknVa3w1sn1a6gPlm
ER8TI3hUXsx2IvQsyPnSWvraUUYlmTiFYNoMT6Zok3WtW+yr3mVJM8YtUog5GUaiWn9rB2xAzqx8
nNgO4WpASapes8l4dE1Ky76OCBMAHFlkJu6/zNpOLjbFKQF0RAm9leFNWsjqQCvgpffqgZQUy2T/
PD14idgS8LF0LHyIsiUbSmvcOWe2/TQaszkoLbqKNADi7cjewDc2WKSHpYTTsoy9biEIcBh9u5wD
fRkwYmOnOKYhSSzTa+AWMNKyaalXLluY2Iw2zpiAH7LSdVjjrhw1sCL63GxpCGoifLVdtS16hTzs
70iAC9aJ9y50fBqpW22jDvaBqNzPrrOAIRHAxqZwH/ffAazEy3FGjpQB0Au99QnTQnu3FAAQK3Az
vgdZlF7ubvTk02TkR+42tzrgJzG2qVsR2x9p179Klu9VQ/jDYrDQRZAXWEBcIR9jzhrwI2auJL8y
Ih43vk/PoPe1gwK5uWxd40ehT6e0xgHs6OSH+P4mIAHd8tV7GwU3Fk07MwpPmFiahRYxfdZtH6MF
e7NW4OXW7DbbxhCnJejARWIwSa7ixGVZ6V4dWFVLU7ni4E0sYbbe7QlxwYPfgtfGY0IoRwGBwqIn
prtirxegTyibthlQNXYHTb1IsPIfvAGXY4E0qg5rfZuy0TA9vJD5dOG3rHpTd0jQqa5m2//WJYt0
JCNwKXpIdoMvgwPhs8EBd1HGylNbaxq7E3j6Hl4wKZqLBkbW1uicakE2PAQahsSSt9GsC2xlFu3i
rDN2hg+erzzFKK6yHARo2gxkAXgxVm5GrQw/R4pSRw7Y8UzMlGb6oY8VQs24NGjP0cqhnFzg7WMS
8ARNg/huWAab1NIZg8j6IY3bx6HorEMjg00pG0WkxoBMLvKWrhxvU4yemKZG8Atx9JqI/m2K1BEb
zY2buQPOcWgKJWisqpmcTdy0sAEK1nk27YvSLCGw6Vw4tarbFnzrkyDJbgXIfKbtZ/lBJgLgeE1n
0iyDZBlmHyQs/ShrBwoeTMfQse+GNESkwWqOgRpPd5DRwxZpdCXx5qyMPNoxAa5Wjt5u9cgNlolb
00QFA4RHFkXDNbpqgrPMcg3NL1ub6B+YmLAC4cGLlUa+nQQoMk7bwe2LG4hO1wqP8M7QnGsZ6P11
hSVcy84eNKSlR0TETtMbff5CvHSm2BrKORYhHQt+nTXBVzlfNkruhV6S1dYpSywTP6QRR7W3tjvM
kXYL7x/mTLCEhrbqKro0YNpN7IvemyMnmkXddA8qeU8+LsHpDQo43yqeIxkdY+sFzOWwYkNfkFpp
8NVgSzG5klIsBE8m4nZvVNdBZWManBAn2P60JBEH04fy2i0YxZE3maOqL9FIBi3d/JEqnp9o55Oz
a2Ux4Qvgw60p2I+EJXdkyizMskaNplNJpVS+1puvagW2mnsBboYzO+Kb2wyAWjmAMtxLeD8bQQ/P
X9cRWUFWLZ5kje7UFrdZkARX9kCjOM19RsYaySkUb9Bl+aDairThDEUy4jQUtwj91gRiwDkr21Pf
h9YGIexKSlJYVIX0eIRus6ZoZ240OStCfmanDV72WpojWQzTNnG9cTc6iChatGlY3/vbqXPgJIZa
DrpViZViKoipreFAPAkoLges8/qOnSwLaH8MnCDZlhrxdyqPnzSLDojvD9gO71Q8JFtqbGzP2qxv
blG+Dc5/EXVey40r2RL9IkQUPPBKT5CUKFL+BdGSugveFDy+/i5oJu48HIW647QjQWDXzsyVLN/C
qaVPAiBaGIG+rWWINYDO4cz+HCdJxjGLP8aCk2PVwp8Yp4ySJ77JCy27i3RJWcILPCRTjUQEm3Pv
Sjr5iO9C1ig4CYGh61lUkW4i4okLidx6HpWPDIQ9JYLVNYS+u8Ix7N+FYX804trFZKpTe8j3TmsG
swU2zLrrwjnGTJFU9Vn62qjq/N0tf6hUAiY8ZM+tEd5q+CsrW9bajlIt4odORJoUn8nFx6olQQiV
qX7pRQGTaNUB4yUQnYXQuAUPDWjlYQ54vLO/TDdd/CmtBvMqRsc1XmaZm7twbOQ+r+DsYJvEWbK0
52iQr8Gx8XLR2EZ+mlYXxJrNAEHglDveTwhQAx8i7UZdLDdOrTXH2SVROJf0nXVWsbdyXNcUt8qD
fBGytIJskmfi/cUeP7naFLr3TM0TBg0L5qbMtBaDJuKXXVpY/qLoYIDyQzo0qGVkYzmWWgAinGWK
hqiGW9JaSd26aXEOaLFUG4LJNTUgMXRLTN8p/E7GV4upJjJvs6jsY4G+oNtq3HS5GraxIR41pd/n
ZiQDW8o9B/+PCIbAmVwW7MQxIF4pqZkZpvf+TVM8x5q8oXu1Uxdk2GqvD+GXAFDeW5k89bGx0iTB
ylqO3J5JoqwhtQoSHulTR9lpav+NRhfoV4rdstHtt1KnWVAUoXOMqpo2ZRb4RR5+p52xMys7P3Q1
omaJyRfjI1dY7RXmuXB0mgWPbOHqR6BCAW0Q47pSmbNhAQs+L6N7cmShGnuRvctj872vI3qw7LPZ
OUmgCSwmuQ57P9P0Ay95uEuxffOneSfyo/d84E8sHA7n3AshtZJGwWbcRpzNJuo0T07t/1CxhkHF
KK/K1KNtrwlqLTHXO5PtUT3qvdChhRQigErXo5dtlE3rm07SnFrVdO9oc8+qctgh9PZ7xDesqTNN
VvRSmZvO+QDmJc9lUz/PWF03mo1rZSg+esQctaC9zDq8YpnxELRdc+1luR64BWXIVkMBIRA4LL5t
s5+yTGy78WlM0hl/H443ot0Tz/N2pyX1T5plMCuRbSHLMfO2c73pFFuCtnSOuY2cTI9x5vevkuTw
xozD8Q6b8+bO5aboahBBJCZOtKkhiahIW7VV9hj3Bob1IcOYBiNHzO4rpnaqtVvIT1zNL91goLpo
A0lGPXvoDGIRogd0aZXtxq0ibIvWEPNXEs8QSquNHpv1obGQnAbmK90FajzzWOkpr7f1sTtBpBw2
pkOxJSGwd13wjdl1YEzTjEZK6jdXyaAdVD1dSYktnnXWVxFmjDULXOr/crYd0eQeTJ/Eq6RKIMEX
rggC4XH49Gz+BcVcN/sYJzWBc4jaDWa7YhtnZr91HFtuefolMpE7U9DySuHZm9AegKVrh8jSvjPX
a1fUowtKOLmB096ME3cYaY8peLOJIFf7aXyynDJeN1W7WPR0G/uVpAYEAHjR6ndcV0S3wWy5eCDW
uYrabUE6fpdn/WdppsNZ84yR0Zg2syDOmSYiFniroiFCOUiJM9Q3L3VE2LKneYMRPqIBTzoUuFql
BrujxzMdETwupiu34/rULT6Cwpwr2LokUcZ4Euv8k8uv491KuJMMCovdOM67mZbkFTHwH5pMFZsh
yflCBzBGyj3ciiwPfPlJuejdzIipiNkL4jkTq8kQOwf3pW+aLx5W2tAeIalk6c4xSGH4dF2zvt9Q
u0x9DJtEtH9dw+1dPfLQKffRzCBQVIwaHCYIatcna6h7/L/9u8dncNRbloLLDXRoq0c7MZ4A2GQn
S7h3zW/OxeSckZYx44NOIgMD8KTGwskjYkOB3rIJdV+wBP4LBVB6qSe71Inpqc61CZPomo01j07R
4pcnqrRic/In7so/mZcT69F9usz5t2FFz2/KioG6q1szVoS7/ZIU0YDLDTKLyudsl9GPg+ipLwPi
v6qxXksXvcl4dewenEYLkl4pZz2Y7lsY5V+TA1K+q+5U4Nhbrcr+SM+9di77a3Nx7DEXTeMHldNy
Y5j0+dGBbTbWiMF2SiiD7/aObGYgDw9ynH5qA7nbdrX31NFfQ7t5YxwvDOZG+tbwvHv1ALyCC9Aa
1tS7peyy2XG3pnwtfdzUiXTvs2/tek970ggd7hosS0p/Q5RwWejBB2Idv1T8RKupw3dat2a6obeb
EYhrB5vLOOEE1bJLGc3yKR5s4ljduLNcyB8y7HcOy+mArMBTkXXv1Fn02FgJG3vZz+ibt06xxFP6
hBzk+28+EkFB1gMoC3vKKV+bFcegorU+TWt4cyEPUDWlrdS1hQJF52oB01qfL7pmjPuk7x8FfR4r
+kWARFQcU9yeFqintAtpx7XBxXU2FqxSQF6kUNMofn/1YVCeu4uN5NhZBPKoSSEPM2FPSTWFUR4r
AZXx+x6Hbjy400GvAH9HWz/0IRSQBB+HniJjiMJbpxyeitboztqXbmjDhXI4Or7nYPClta2b7pvD
6vcQm9reSMn2hNK/JkmGbjCDjk9E0Eb4myILGaPOjmXW/YXfCLVNA/ak+o4498yjJ0qi0+gmAEx8
seug/KyswmaccJqXtmNZmtPTMXrJbgjFexONyHaaSVgehwgaF+6rsG0uScb23bCfcIiOG80iVyaI
D0yDpPZEeBCQcVVyy5ziQ6TjsPY6nYCWPMmwq7eux1MyMUOXsxyyJ2zTM4qDvcmZh9fSBl2shSTx
rAm6lMDVyRNsNTiOsbdb3NIIIpT75hs70p9byxV72ZcfRdTEG9emdlu7WDL+wR70ZbvEhXqtuFXL
DrPv6XVwdrqWlDt9rOiTkkxPYJMMGJu0HTJW2/M8HWNn/olAKcAKAuSjETAKESRXYLxoTIRju9Jb
XDuzGVJN4qKd5uW29ggo4Tl9Y33Nle3lq+5iaMuS243AkBm2BglHx8rdWu9lwoqZ1cG/fKbcB9Ib
N9QW6Cy8GpwnnKxbUkXLk6WbafRDOgpKEBRMS3Qb4W0523N0TKZOw1HdnlKDBiCO/SyEiuOUomkM
AzJTXGbAPwjHrNrF52eW3pm2nx63vo+8X4oUEBxi67KvKLz5Q4rEJGGpr5FkuH8b/Qvk1WtRzp+A
JfRV3VBjSMphhuUzpeyqCAIiUZOviDquWIOqrn1ToQzHDKGlGPBqp0BpkfM3EAfcfWajaTUD9YFm
9myVVITNbNBNV/k3Kd5leVOJhpWDJQ5zm/nj4uDiaM8qsYawPuf9d5xziJmM6Il7JpEDrXtgECBq
Zowk3cxs44/iLSXdOKY3/GkP8VR+z0a3YLkAmmWTeNXx9O603L2r2iGklPWYpeK+fJB4kzzcI9s+
zecdfxq5qaP1Sr/fexMCMhondp50DaUwXVH/42Yz14ja6o+tD4RNqEpY65xfcEy0Tzk6GBMv15EZ
/kHvSTn0GXe3Ofaj+5QPZD/zLAQJ+hBydMT4KW+4PnbwwtQafz3ulzx9VJRFENKoKW+ZWElOdcoT
hARN1L+T9uE1m9tpY9E+UMtleE/4BBZOm69608U4322RKDgVGnbgKu0wlvM1H9rvBOc+1V7HSced
48duEJX5GsFl3y93cbvz432eK2ig4aPnQDNqM+MbHZ8GuvLf5DgzsbLyHE58mgfEe1oQ60tD4kA6
+qqyqlfVxHg73EvEgdfrw/e41unDAlpXw2ekfMjbCk/tOBvVSfnkhvObITlkK3Y6w6B1wVxt5rHf
zoWxVzq9DhaOC6uLWYgaJf0oGumheSDCqWuwfue7kPAyFY5/EOk5v/KfNU/xTuOunM8atRNj893F
05updOrbWiY6+moJaxdU7eG4z0vqWpKFz+tJ/aWcfRH8fhkbpuPf71jfiSDq/LvumSTLCJawfJj0
4ZDoDB4j2PGqiXBptqk6sAQ4YFevg4jaSDJWBYfcEpmIux4/yWvDttUZXLSJ3PAPYQmBi5hYcSiT
4ejxocARl3vzNv5dstOLDFxmHnFd1O6dghWPFlX/AYUQJIkW6QF8RES52qFVDi2GmtlqwcJyBVbD
hKKn4a5NyNFlSwNtBZ9vueUBpjpBHIn2pU2b4FoZSDvhIuVA19+qtODXlba+CZ2UG3uU8r6W48FZ
VHYnCoEaNVSC8doeCrKXVqIkGU5iaQuOHsARrj4XKWmB1M07uk2MXdSCwUPIpD5xMMptFZIHzRh2
mRLgscZgpDWWf7hNCnZCRcGBTjnNUXTTi3S6+eosAKT23IIm34TxFB0mSwaCkoelVzfRy2qt1diT
jIIiAzWxJbZGgdisWVS/O6bHE1tHphuycee7WU/20u8CnMAOS7WpXhmiOzPaIvph8seiw+5HS3iC
6nH1IQ1qBSLdgxI32W3BfsmtMYhhWyjram3CtWPgb6Y6oOqEDy9JPRym2HaIA3MSfc68/j1OeMxI
oCmeEskmTgA+95MYN+xjt7qnv8ygR92CkFGnv3sDbVeGsWl5C/b2aAS/v/fvF48b9n//rN8fM1Go
AJzQXg7gZ7pFW/n9IsOaqrquCkaJTcL5j4Lh6awoSuuHE9nD78///q/N8osMP473ToVSa7jjKeLK
w7yr+9sFN4WmhjOgCMb//+7353LdPtYjACHPqthsxFmxZsHJ36ZuVBBq4r/f/f6cXbUm5Th0xdHS
ttdFbHGFD/hyR/NY4vuFhGv9aWJxG/lU0D0xD6vOrUsC17W/Fhb9XW33VZdRufEgWway1S3Yp3a4
9yApsaOzH/pqKEhxA05sM6zBSSOo/mXzK318G0nJb0oknGcKd32YpGsjrnfdkH8JZfy1xyraqOrE
jhY7bV9XmzYlgyOjT17Alyaa7lD6FhlCsgdx/9oSW41V2q/SLe/rMtLu1vyQK/M6dDM7lujVmMtH
3e/vEA3Ppih+cPDxi2MsmX6Bz5azR9GIDck7JMLq4EqYdqE23lOjOEVqwO/KVeeX44c/O/62F03H
BKc/1jUBGcjdfGARnaFFrVxfXSsJszMlFC3wn82dfetk/BwBQxtdbTOzmN62bBP2Olo8kgTpX+KM
LDFvjeiv8KKCqOlPA7iydcvLRk9ZGK2jBzUY9Yptm7V3CzpiOvPBa+JA0BZPO3Z0SfWMEaKfe6q1
5M/Q2Tx/imI76+o9RmoatSQQlXbwxxq138dbMsMwAQ3MLPbRdDC/QyqDqRbiS9Qn+tG09BvB3seI
3uLFXRo636Xo5Xkyhr9p5RnrqDSeIy36Hkz7XuD/WLdJq+8i9yqXQBjy2rYyzYOWc06VxbveLycp
jWi+jgNtXc/eJUqoQhgGb60BQ2hw4LVafW+t/JFONnK3Ga5tuynYX3fdTjlE2bPRXpPEfbSN/q4N
xmX5bzbTF2UZr5P1L0d3piQ42sNJRj3KzBl/G8duY4qYWywONB79fSMVeo3GNTuYS4gf71fmVRBJ
236TJg1svNS+8GIxhOEj4CYOnbFiFRRxOrNSC3hXe/K10T9Uk/vBditUFYZkVWjXJjX0PZMxujsg
aZHP05DuU4+IeBc/9mKkftlg08rGQ65UapE65GrJXeMMIOQMDOXWutE6M+ZDX7Fno2mxWfUZz5Ox
OtI3kDANZoo/UGUY3A23Z0DsLb4URRX8/vA/P4fDTmx/fzLO2GPqtfNX1sTGjAaINhXiVccc6db9
P0sYcNDjNCiwFu3HzjwnNQi3cN50YETjszhAQZNHDWcDSY9kHbUymIvqWqqq3bYRw3SdJ39mSo2Y
/+rXZOkUThu6LL1MDywV35Ve33KswqD81g3BATIn0XcUefQRL1SYlqy1zf6Ewtlr7EaXqqcddmKI
ior+p8LHj89U0FMuZo70yUW6/j8bhNWmt+K7ywO0T6DICCp3fdt680SzGZyeho6eCdmhIo6STms1
zzI+eHp6tulWBMbA/mX2LP3kJyNjUMn4j5vKPXdWjcHVc2M+14QOKK9DBCtCKqhdQYJg9jdFP31o
mdsTy8MvySJ9m+WoWNPEsuV/jy2POt19SyXgCjELn67Jy9ZxBgMPikY295vOjoyn3lXYZn37hcVh
h4TS9uuhH7/wLxW7kPh5kESP2D3RS/CKUlpQx3vuU3szzR6cfOqPE2WgmKfkrhes7xBgdW4O3DV9
whRMn7ZTbpNQJ5EQtldoh9pxMLWjje34YrjzkUarnM9jQtAIQfbcuchms+cEyRSfbDb82oKq1tOA
Q484GkuAn93TvMkqKrFqs3Z2od4/sb/397Ou/528sAvcxKvoI0aJkzbSKEh/VibaAkiC3VwrzmRC
4FhqfWIwFZNESyP2KrO9vxUVtaLssu2wwD9zRQkHx6sPx4UZ7JDLiYbcoyzd2itTgn3R6hoSr/3V
+tWL5lkHhCGmNpMQ8XBkVjtHNkGaxs8201S96GDBl3awn9HG68Djq72r1LjivwnGijPhzIfeE4gR
zdS9g+akKzjAEbJm1OeTQXtHlx4dOOgd55sBTmfkzn9hd9yVww27DkFX68NP3n/IPPzrDNprZE4s
+4F09EX+E9ry6NNEsQ3n/DPfTrN4yqT/mtdIoT7KiFX8MfIU/XdgZ+ORdkrjv47pBiLOYOFBnwnD
h0mV2t5TS860WIdL5qhxckKP47m2WJAUKFTk+M0znXDHAr6bqvn9MAUYSB95I1JO5MlXoRWP3CnK
ZL5riXtBLAE4sxx93C8LA5yQ2j6JnFPod6fZsc5Jn7PSUZKtA33PePDJzUQ/ljS/ylxs+rJoadOY
yOzGza7u4Ad0dFohje+q2jY5nU5vDTRbLRzuiT+8l8phy9TvFlaE5/hP6DHAcOPhXtrtY49TgsqG
eeNm/qtvjVcIczueqHS4hE/CSW8coBT7FZZLGTK8WwajS9e8HUImn3J5U+gqilWFb5yV9xnC/+HG
lcGPdMiVrNhNkdwzmGGVDYBEPg2oaFs3t5tNTw0jhj6N2JEVtGEJ5q/em0BsZtRwEgXFV+JkLw7V
P5YR3ZGGeFkvzKePc2afenCxFqJmS8Nb7hQMMi6mCyuf72aRMc14lJv0zakYu11sm3/ylNml61rw
GR71UyOitoZrgL8Qs3LNkTuvcMEtKax6RLRs0ZoRN2KxS0v/6OvOLm31du1T9L4GBXPwnBmN0+pR
CNqZ3BgO4NROagSGkQvWLgCQ35u5/6xjfreypOkwjxDEEvUFpdZdSjO2udD+9qaO4JdxRRE2uoLu
/yopY+R37CxOAr67MieKFO3CWYwcA9pA+Thl85WPHHuXgf2usnnnu/YzHhKep7LbW0b33qbOdzEW
ztasJ29bt3yWRkWDJWCSfpe5UTBN5j5LyJvbTcUolRIqGKJbIQXPNR3nxeR9VykC8UCuAYvgZ1zh
vIxCzpIpa6ypdDCuVmeJLXCXWkvrHE+1iu3F1iTP7kr3X0qmuBDdzm/7x5gtVN2YehAhjk0xiT6g
h8DMrfHTwkYbEPQ7lCN0V9amtGPXCQF/vMbhOH4TIwAFcTSAHUxu8dMZGWJGm7+39HGhUOQrZXQk
ICNykw3RNMasK5UiAKPTTay8eaNrLrtWndZ6ptiIhs6VSHiWC42ANbEzQlAvvsGSdOqdg2TftopH
vJo8T2Y+dR+xUO/Lm1SqoVh7BvID1cr5ZNNZ4RlnbEGh/mE3vFkJ0R5Nf3UJng9ItENMqI8D2UjH
KrEAD9xIvnR4jEMd6IDRf28rKkH7b9PwjS1gt6EX/ksW9t/Z+AZL+o9n9x/HPic+G2R9Sh65qs/0
q8GwT/ubl10dA3frlDYaMikZHEcGjjT+CfvJHvEDKCXddXj1Z/eWoPHiidGeROlxPRUjXTb1QTOS
a95Mj5ZRjCtTYYlgu0NpPK4Dyd4LF0uyrSj31KGMtlr+7FXaPgNf5nojmDgfcbZzbkulKLw+qrIj
bv1cS1U6vpdz+jn50Q+aOisCigMrUkdf5HPbtfPaLwcOa904wPgw4nCQYNBPmF4yhk/Lr+mXMBFh
qRzUa7kdxWTtYO8/JDZXS26hahE4Ig3LLnrXt9yJirZeFyqsVkNrzmdPLlOdOIDofNVMoAtpKPYk
+3h7am48bhneIW4+tjFeMtQH6FAAL6Cb4yeZdWveeL1ErQBsAyLUvjhxDmQq086pabOQfGwjntIc
b5xxAUs/ayTi1nPDDDi00x6828mJgOhoMPR2sYqeE0ME1Bg82G3/RDRjrzqHs4MejHxGpCKr43um
PPRD/jwPPJ7dPv/HHuF10JJ/jDx/oe9ymVjjn0lzt0POaxgzmtGDik6SIgKNUYU9gztDPvHX9D0m
OpWOp3D6pCL0M3bq9yFXn/3QzEzVvEBpSJwkMt1DosKnmi1flLh/syhKdi2KOfuqTxNnyWpqy5ex
4fje+3sNVX3H1ucQOfzumBhu4/AQufUb1Xm7TkPBSlif+l4bZCW/whQdM95P3I/hzs3VqVLJjTqm
wBrl1i2RqHqqpVddVd1qlnKs+HSOCsXOHWCGhGHxZRXtnhGv2Sa1ca07pifSds8l5/GapsxtHKYv
g1YcKEr/5CPaH0hSAVd/UtAtmOv8b39hKbkdSZf5ITP5G1dFG8IfbneLm9uNMPslO8eqHgtPbUGv
rS2rxBBhEaPZEVQ66M2Ag0Fng2KH4bfOza8R3reaQyJrpPAa1kJGKUlzJOO/uEtespTXqzGqxymP
v9AdrnnWBbKY3ok1btkysjpy45eeGx3K9vAgWNgsr5WMzDOOkL+FD/O/OkGjY1QLeenyFOqGt7SW
MkqM9YuRktquu2nfYQjc2HP2YyBO4xOoDiaxZrB372YYfXoy/7J1/XGomLsiUs4jSyHgFuuW+r3l
pdTVdJ9k02y90KclhvYRaxEiJvliQWRZMYSWfrhXNf8aFt0nExMXG7dX1PYGDx92bFm+0MiKZoMb
j3duB0p/V+LYq5Fwdcm4Qvrc7N2nijqtlnYRpo11VRs7gTcgHNtzwv55bXn1/fdT2M9c7UbC1l8Y
by2Gy7RrYP5229bW32s/0x4VpslaG7jTOU9zFL00iX+BWkYVXc/myA7Lk4Ukh2+WnoWZsFzdFNkW
ZjPbVnv6R/jjNCUTlbFSctxvR2xZBM3HoiM5Xn+qxjbRfwdtLWxK87CZNKP24Vhw6107OY8yFYTG
3ImFfz0FuKKnoEkAnalC/zcXqlpzbqLmpDKr0++XuOjYinRssXARRawICtRuAyGiHelHonnPWmeT
QQq0roq1pYwHLKDFvh2a+OT0enyq+jA+1XlJrhWqmaW0OmDm4uL5/fZ3A0X6asUgTRrMsSjCapLA
ZMlIr2NbHDOjFocQgN/ZbulOkQ7f9QmTiC6rI0MkvJVpPJqF4D7l174fMHDafLrZmszck4/s0Ik6
uXhZfrdkLR9v5C++/P7QWKAx/UDJqNMlHtZFxw0I3PCMHpJiMzVY5BM75UsfjrjtZlT35ecMUF/z
f779/X+sxHQ3ic1AxwyyFhANubDgy2iL8/n3S5UTV1mFixP898e0tTrATk9URY4nb3G6RC2HqMYd
t1Pvp6c4Snh8/H7b5tmNxzNpQBsXP94fLPu/WzgZHvosz69JSNDIM7wL86SC5zYZrkmsra9uPjh2
bQSN77byTw785OH3S9WOIeQCu96H0/BayYHyFHqgJgxlBKKtm6mQM7ru+FvtyoeU4VZ5xen3h8yT
56jJjGPTDtppQf6Z0ksefAWGYbanZOsnvn0edQf/Ya3O7jxcq7b9mpDmDa8rA7JLyT2qoP0ZEdkE
ii13uJljvBbqJ+/Eq7AwDfp/cHE2WBWRjwAD7EUr/MBd3l0qEJ+nmJsEja4PoO26oluu8mk3K6P4
SMx8j/XG/fSjylh7rfdtemOEO9JlKWXl5PjLXd3Xm5CimlWF2gYtx5CcSdxXXZ8FLkFO8a4MWVNG
LU1FxdIz0rgPXk1Vs0zpoQZ1v+sq3l9jXDSzTFTBMPvMQr/fOlSGBVaVbTvqvQ//+1/05f9z8fes
BgZyPp3zt/BbuXPHTxnSDyEbT8e4MhzaDn5N2eBhiDplbn/f5nAGPBaX3DTNMgVxyMUPc0kepxHF
N3Ewh1UhThYTy8rKrq65nBWbEzbH7MIcjIpb+FAoJUR7dkNT49yP1TI/pYEy4+huwIMgJb0ArYZD
FaXfUrJrm1S/sT28H0RjlqMHzUlTQwngWA0P+vRoZlACQkWPZAh1MZCMl/EQcnBO4hsZz22U+dPe
idNp7RYUQUbk50aWxOD/OE6JIvk3e/HBjOvikLrehbdcHAo+OFFF0a9pZO3OGG0wrMy5ASnQhUt8
KRUvgIsdkfzTiV3ZgHWHg94g4uaaVSGjoxOeBznz0af79aE0BNcU+KtNb7BT07mDV+EsLzNy2Mkt
21Vdz03QyOmsODQfNWmAlkRFoWXBJUkq39y0hPA4le/CQMiS7dQSbdLgcM0ejUgV+UnKVp394O1l
Vpr3tMXCljMArDBSHlxe7Sc7xy0g6vqqwVmsaKumZzIY6J54IpL24zdVGlDc+llWHDYx9Fb9WD7p
kl1ALRTdQLiXApttg3BYzOZj5W9tepNYKs5qJ/yU4J7ZPLIuvnjYDbiPjwc16JicLRqIILSbe9OI
38a4eEpH53MJaccjIqCZjNjeM+PGSK6tQSjYO3hG/X6ogJrqGMp9edTz9KvjbL4ZHUFssV1S95Vd
XWJt4sbIFvAwS1TCUHGUq+f408zHG1101qVrB+8Ix53PSZ67J8vV8003/biRVb91sZiPTa3ou8e7
RHStfeGsYpygbo/LDq598XlAg2t4njzjUy3gC8yL7Y1ikXVqWTRdLV/w5R0BO4csCymabCKRvOI3
O5cloUtp1hfTG7QAqVnbZIUaiNT58SMrnyv0lvDmO1cL//hp1EilZ0MW72wIHlhiMTlPraPtkWa4
1ZjTVzrjR63y0Nk3FunKoQIO6IQkzblq8OFXh5H8MEhZj5VvLqrvZh5BxeypCNX/WU3zLuOSX6E5
dDOyBDizRdiORtMetBk/plNhuRm4cJ9z03oAQuIdObQGHiSqSpjWd5uY3xMyEjmD8ZqUc3NOu+le
Z6l/6jix46Z1jllqvHIOkeumMIa95SfTE/mQt5qOqWM1lTb3XocV1iRhfQ4EMXThJTefEemXUMCz
8t3PyaamDqdEtzGfw1l7KmuUYjmlLbdHRJ+wtc4iwgpA/7B4Rk/8MbD6cp2QpYz9XQ+x9EOACyMe
11zGOMin1GTxqalTjdtb5TZUSU2fT43DXWLun1tvnN7nxr8MVZ6cuFOsxtmjUtCBvzCKurnqDmcG
W1mwfKktXEVCideStty5Eh7JdgDDBl0na84fbGlmnH6MjfEDZgAIwSZA1HKxEEVR0Kn+hovrLxWU
ig4w0nFaQbeHOBFuTza9lydbj0LHdWU1BWngSbvHBTRGl8/WpEc3ztY6/ByLlKkgec6ztFx1o0f7
yBKT8GrlnkXDR6JMOWTVJdf50Dvf9uSkl56EJQ2d6Tojcnz1mp5jU0sqXYWfWmWk11lipkwNNBNT
sCKIfPwgNctMbVpy8zk2T7wG6Osl6MLEfFQj6IfCEDWVQf4BlT59BR/3mSgOymPsXAa0S/7OHZJb
D6eziH8oQ+6uffPNaUNubeyIu0i+JaWCfNTGiDdZnj7T63cibc6GwnX7h5q358D5UOxROmAtowM8
pPZx9ko4xY7DM1Zi/LXaynkrO0Ty2gTLjEeW0EOXjjcrlmrLATjZaJjB6LbX3qaODRV+ZtQx02UN
C/ocBiegR/45m6qzsKVV3XnEzFXk1HaDdiI0y5Hq0S+dcx4R39QM1yBjNRpnT5Hlbz2iK15EXr61
pbWqFM57zUPQsV2k+7bhn07IACpO9hPbrjgZtmXS9tf9gACLH1Q7xtAqG7a7ihlVTg84HJ2dy9Fy
x1okyPmYYy83XbYBIxIIgAq84O02mR2eKeKSUr0XSFv6q0ov80NqaxAvAF30WuudHSyLwIyHfFuJ
/NyQj2F9bcYHervp0F02dwr/0DpNGI3NIdnSm9Rtm37Qr0NB0x01eL9f1GQ8ClFGO4HjeijB6XDz
9b67qtPfHFlwUPLAitjdd5NMQTYjFbZNG22n4kI6ojzOeuf89E55CakXIx6Rn3/fX0P4dK6F7Yo5
wGJfO7DnciF2TWzMN1zkfJTsV0w9L0p+2K4XbXMyHes80d7yItT2YRNTJmriOpcViPFQ9PSgFumG
GcTculn4VTfPEkjNAdMx/yh4Pptat/4J9jiBaVAEjwnXnD6r0dwR9Ls0vR2djXpqtnlX8TEUBTRL
8GWqw/nZZClzY+VvahvhFS+whoOvOFipAVWrQkBRLAMG03DvxF/uUaFDBbLBwhZuknDjJbvRGf1b
oZfGi8uynHyINUAjginKY8TyLZ57lqat2c2TMh7N6oYBCnehSu1AdHg3Ic/R/FILncavytyXcRut
Y3Dsay0bnN0cTzhxi+E5pdtypczBfqfF5olWSXuXDIW5LeuyPsQKZRSUZwqt8Q8aZrdVMbhcSBSV
aWgbk8M/FVdss8pYUcVM1sIv7jCwubsk/8fdeSxH7mTf+VUU2mMCCSBhFtqU9ywWXZMbBLubhEl4
D7yNnkUvpg81o+mZX+iviNlqgy5D11UoZN57z/mObT+3fHLp4aMsTQVZ5hMzKK9FQDeY05b8vYoR
LsRbyGkHTfXbcX77jLiGQwB694rFp2/tRQSx5JNp0VMGyyuYPi0mLevSi5udxX+IBnp4U35DFgqT
hhVubvNggXBb8gmsDwpU+VVyMWhduz6GevfRq+ixa9wankOVnqYGq5lGcxZHi4YutLaIAGfIujH9
tyZuB5xpVJgx8d366O+ZXpcLHynBzvJ1BnW9qHYuAlnM5WhZAZ1ge8GQ5PgsxKWaf1SPHn9wHeL7
pnpbu8axAV+O3BS+cz+Qlq4j8/B7C8V3VVEoYyePif+8DVOBWC32l/hRaXTQndh5mPkjFhtUF2Xw
7vsG40BjYXgjBHKbxrvT0NJ2ag8wUVzsQ/pq7K71naDZujIAenDWKAROgKFWlg9YW0bNsGdmrT0q
C1KPBoqiFj/zQi++DaN4J2nxDcG39gQg9TlEKPZl9ukmtZpmldLOP1u9+uX5sf2qdIz7Mh3bSxJH
IKF40Rb4x8VW0NOB0DqxWa/z6LedPAalar86EPuc9KzJde3dNIKgNn1ZuUc9LsgPpUW15Lu/+dBW
J0J/AEJkDvbyAa/4RMjPXmXxFbfYxiSH9mo27rtNkwl7pTThjgTqKpkLx8kIeJfd05EthDyDlOpX
KWoAdse9dTXta8yi9N6XmWLSTIeS3SsDCc9CacvusRNewUQWUW2skmXHi7/pet4FdoHWVTL0ZY4E
mF1lxpfN8G/VdAgvqJzNZTODkg0xHXItfJs60GF51Xi7ukl/p3TI4Uto06o002AZlam3REsxsIlq
4VL0vvyhC9abwLNoKTv5eKzc4lupWq5z6KUrl+kfsyjjGrrNRsfbtanHyljfV91iUGvNFd923HD1
cQ80Kd5R8iiM5BEqlkY7sIGHGGBkb2mANqfAWgYKP9XX2dhfqzFzDgJu9IbhpGAfNtxiLEmkj3JB
BhH+4NYy2kw9NIoOFiJoUfY4Ucalrci/poQg5hw6VsQFt2uG7jDpOHKKsn0gwdRYFwGLRTjFrxRE
3anysF1lmEahgJirYWqejQLiH2o5ujkKkQ5tAxSvEumvMUwQGsIYQ2u3oW2G+TWLUN5ZyLJ03xF7
qZsnSir31fc+VEtRwd423KPUp03GuUKMX8xUlGUi8pJoC14nO4c3t2dUh02n2ufeSy1Tf08XoV/p
Uy5ufiij4zhL+4Uw8nPzmcJaLf3YW0oJCh27BMAg2T/XqWTjqeXVS16ER6INHWSwaIY1d7DoVons
GixTDKPI51mVLG9rq965+vn0oI2M0HLUJHHVgsYfO5fpZ3iLvKohtVl/yYYO2KXR3phd9XgjkMoE
Spu2uMDeXKVlV16ZZeDMqMix6RaOk3DXYDzBOGHf1tJeD+4eDXiOT6/A9tUgLfJx582v6FILbHkR
gWhXrNrxyRXMoRq7mHsVtvVk9/Vs6Yq2scDPUEhvWLbk+R6IFPGhNdja3qBPuegG+Gp9HbyP2uhj
uR6OY2gO14yfoDB9IjQKxT7Itf1kjS05wEb9XpL3BYvoMcoYb9RD9dshCeBYZxRnNAfCknW5MAzU
CW5V7ETWb4wZg2+26lelYv/oRyEdnJiNc5YiO6yR/S3hvkGvaUH5Oob+Xca6flMNpOsOL52luWTr
jLwn+H5hSKSYf/Pb1JZfccMZgYcj/cqKgB5lEaJqHU1OdpojqZqQn+sC4TpeR3JMp4NuGkQQ6xWj
nvxSaNZ4s+AzrY142MU0JyFvPuU5c7XAqaJTphARSFHcXGPWmDcpZn8m9diTmWrViug38d2Wk01W
StetGHzgMAHNC0sLPVcXDvpexvoXdsH2PHj9Y4/yzK8Lf2Om4y52ApifHstw4QzOTkcMvLArUT02
LnrkXJA8Ch+/WJYGBWSvY65H1WQxD6vZbsbpBLa94Z1hTxD70Q0C2FOhW2DOFUrMqQMHowZtAyty
WzcW5LGMPa3P2LHHIwEVqMA9juBtNbYEKFDZ+XwT/frUiTIuEYsM788DYwY8p4jT0TxHx5w1dW8X
j6osxJaPB+qKnOBfd6q/EppyK8sUzdpXpy6IrE0eKbUuDeucxxJQUZDiKGFmVqIlRJe6DHXiansu
tHmT70zFa2Xic8GZBWKlNX55w1CglJxeTY3YvtqjS9hqKAJwNZSMQC25YjyI1jsk4yXNPpK85iPn
a4Ck06ue1pK+lbMtxL6Bu2T2TkHuBtLjfDq16WQ9dnW1GVVI7e+M96i6E1niT6D9y73XJpdBQTHt
4YDDLnDDPf0WHA84zBftSMbgVAQSpW8E8atF5sXGjJTs8Nv32wCNL4Obi21bYlVoLdMwpZ/oHBjr
xhX2woqGQ9GR9CkzJmCj7RobYZruMikUDjSNPojlkm5nDukmrD6oZsq1N+z6fjz1BT7UlGDupETY
TwFAyJVxGOY6jmWbYHhCpcpOXzcoIEVLVobvmB/lQPy8P/BemgB995bIPi2Zd2e82e1ZFbm5ZMyF
p023ulOEBOc0qOhiDtW4u9/z8m2G8O3oOxT8MONwOdHQIr3Ha9EAD02976fY5d3Ck+7V/rhpVFnN
3+qvHRtqdQA6kHhbiw6rB1C+B916St3oagCg2ljuxPgdHOrFjIJgFQZjtQP79hAa7lvkucm5NbwL
dqXiZINTo6ckrLVhW1RfZXI2ws+eD8tj01tP6HUehmF8AbgWX3LwZX4Tzx2T1yKd1HOmtPCqZcPa
NhJ1KsL6aUqS4bGbV1MVHtV4txTGINFs6tth9NZ15lk3gpCOboWWe4ynfZmBFvAZKe8A41KIhNHa
JLCkU7iwtKbCl9KXBAd5ztGunAYGrWNx9fPUifgP/Oql2MeKeKFJhKCF9WQ1ma7aET6KXa8hA3ak
OjGE/avS6X3j4Yo3Jgs0OT9duklMNJ6ePZpHexRnpQ/u0WxJMxZwwJDShERfZCLUEaERQaAlIX7A
rqYKVSMys6L6Yv4JMjivnbXoohq3pcnU05cbr88xj1Zg55hUFk1BV4v6vytBUxQFhu+od8VjqDFg
5t08e12xwdsPErS6JUlPemFtYmhbp2ZWbO2RYipzUAs1Aopfm4ynVGNSV/Q2ibayuDVlLzaG7fnr
lksxOlB9H3m03iLIn2MTT6vYTW5OPq3DDuufjP2f4aTXF7NqoRwk3TnuqMfiKDhHZv4joFvB740q
8lZiYOatgS8VnFUkjX6jJkE8BFYNxNxOdNWtXD9rDmORSYcry6hHAuFrwmQDCapetn4/HqnSSwob
C31Tx1Q3YZy5TjLnxNxZ32oKu7STDfio0Ck/JjqOz8HvmSaBFoOYyDAZUBl45c+wFFszbcqjabMB
U9LWVhY5ravcNUFi4ZZbN8xEF7nZFEda7he4APpWaFhxQ78mrcDFck/+GCJsCpRjPoJj7Up5qHqU
e/YEHXSMYgRINs75qt1XQLFOZdSNp4ndH7OteQBvoF42Uns5Vm66YXGzfsS3iPjBNZnhNMQbzwKA
yr4yHylmQ7pFyKWYGGS86gcyPBcq79WszaeORkvK3govYE3GwWMNYXIpWJZWVMQvhSJUBoKWt4ni
l8Ft6odaVItCBiCCu5bBOfRumqM0PCr1kpWoCO0G3zna6VU1kPTJ9rJeT5K4UDlm+nYak9fWt36B
x2MWi0PHFYxXUsnYWk/TU0bCDjk2wty3cwRGV0fJY6tXr5No3hOToofpiBunhyG297Xb++9eL10G
DlV08Yp04RWBeDBQgiG6k9aHneIzdnKeAJ+SMgYazRkw/RAyiHiwUPW7kVM9Gq4P0TMto3VmjQ2L
jWimozMfVFTGe2m4mL7rdwKk/J07Kf0Cw3K6OAyojC7wtxEqqWJRTywGwzRxIZ+Tw+w0fenw74EU
zaOT6ZnJsZOPTBXB9M4H5iEk3c63mIkG6BdmVkWvO+3KZseICsqHe+C2O9dhzQs79MGpjVY5LAk/
jpLy0UsD/mdN8a2TAr7KabECtAAEG0oNz2Q9ZitfquGMsXnF1DZ/1gtGKHnynXrTCFm3cnHDpJxm
7B/5AJUAt+CwoofSCFep2KcO1bD3VC2uhgMRb/5Rfrqh7ZscWfc/7Kj8VY2RvykrwZbU9921XEpD
085d6xBSYJpkaGRsOXytPqQTaBZVu8FWiukNREpwSqfsktJu3E01ZgwxHxykzysmT/myDmV8vB8c
3fvdl4HObMPvDwzop13FKxS43XDgz9hnIynrFps6IhlhoBVvBcEwq06LtkCdrE0xRIQr6MzBeovS
Mw2QwFY3RUjr4DHj8ekx+TUIi6DFl4bI+ZgQlMFpWW/tNv8Z6+Rq9LweLc28LiJVech9giB6kmVt
Op8RM6wwK8ulPUim4nKVNGa10SYAL7Cj4wjvZhlo2HZRPizmTZxtWZ8hyM0+SV6L3vJWuota0+ox
ppconXQbz+7QSPp3XH4g6ZsYIJu+LzfSWvdT+yuuK+xL+bYM8IvKNn2l+Y5qJEcGkMIrJ/0GBZU+
IdQhsjdxwGCADyQFaluQVaJRW+wM4TByDOxDHbLJLxSvTq7/Im12GcU96WROQz3ZnpwQEWiBD2Zi
/BnqKCT9wfmoLAh2UtPwmb5rSk+3rW5vStOtuIYgaotIzOH8Ny5F1J1r34QUnLxaZsXn2ujfSxd3
bEGUjINMhU1sXC+4Iv8cXWTuKqGPwG/qA+u9RDu+QPNWLCZPPFVoZKC4OodmFO+cRXLNn7eVyv2K
6ooBqF1++B3iXa4DcKWLIxKfYp1Yv2QQvSSxO6ydfW7TNE873pDQfrb6DKyvBZzJJx9kZIud586H
71m4lIvwWXP0Z/pOWKRr6BkBSpS2dG4afE5WcR9vzwDI+mFCZES5AvZk1n/KdUhPA4nSJZvNRY1T
wZooAxLGe3aYXOKiBGCQ1boUMRkDXS08RBGGMoBRyxJhvutL9EowMnyXuWMa9McmvCrwqq33NnoY
mMhFYopjs+sctFsMDf1mUdcuJwsbSzApsEHOqzdpgCGiV+Tq08IarSsgsysWki2wmx/emB1rhTRW
T5qXsnA+QNIvy0Zzl67DoNp0qcta9LcCK2SNezeOMDqDIGFMh+MYZfWn0FouA1O/6lU5IYLBPx+J
x0CvUPIArxqIZFqbXriOjd8YxlADRpCAmEScuD49kP7KKaH3y0yoamlbzdayjJeKEDs/O05GZGHP
IwcunQHuQbUtx+JRSoQVeVrstRYlFTyCxQQzGORPAzOMzrNRo7Bnn/Oc2TuIG5+DGPDrNHSq3fK9
zQWqIkTwZtv767xCr6YbyXOj+W92UrwZfvReZfHNJ86Q79GYSgagABomqrFMVgkwCuoSQAfajz4x
vmc1ikh+OUmjb/qeBJk4OI8AJ3cNknRzIGS8rImEqu2zYat8F+f6YeiDX4kyP+sUc5AK4pPWxJes
t58wxKJISfs3RDM7BsavXTA+Kfi0Lp5/V7GfcgqHkqqE6+GGL+4ATKSvMPoZ8+zUhioUvw8NeVR1
jT95oOysMnIWh9lZR7H9VjdOAIBBHErlvqQ5SCgdv4iY6iW7HWdJKqm7Gabynen5rcqHrVIeZkIX
UV7gSMIC2Mhaszzdw3RRA0RigI3GtPyuivxz9PqtTfAhDAD9zaHDgrZMn5odVCl/F3BZJEBKLUIR
LJsJNlIKmcfyvp0mpoEnQPG3AzqogTFBFNcnsww3UoKqCSz3is0tWIoUJnYDN8UPK6K0a/Wiqtpd
ViHTk4nIulFS5XimoSPxfchi4xxGDO5VZOzcGPxZHiCuQ6Jhrb0AP0mE0QgxYfHR2MOurA0yB5Pq
IQUI5+URcxcaZGv/FtjNuEuL6DmD7UTlj5LQK0feCFhK2PEkHXVHgWxwqr7aahK9Q0rfed3I/NMJ
JZ00YjhfC8dhbhHDuZokxZ/z6KZo1ZMW63MKyISKkupMxuusQPkXGFxFtfGrH4gJsdsNJLxuRdRn
unXLdNVFyO46l6E1TQL2pd56yGPnEUvuemgMYiA6RXSpP2Pppvy5TlglhvCL2LjhYNUs/HqINxBf
LVZ6XozAa/iPJg+BX2Fb6bg2E0NAplq3LtL0yTDd8rHWI3ohVbN2Q4bmWvbZyKuea/2b4ORJJP1G
7IZfLey5uKdT0ZrzluKrK/kklGBgTVJNI2Z9Xs1QGOgnqVTuthZludBLG9Wk2R7NwHhOhHeDFsYb
QmsQdJo8+XrtbkQxJitemAHGsD7k+/u8UgjxGtchJjpm2AwMDAFy1G4EaRu++ALqzhQ6H+eR8ILW
60RKcaueex3tdF+5L4W8uoX1TrvOX6cTr2VAZFw+EVQgRvUwOFiSRw1//ES+5zKmkUjZWk+c8SpD
yKNziRXWBQlz2Q7DgpXilyp5n+iXXVSmSgr9LAZnvO5sNlz0I150jw1+nJImRbYHwsrq0fWNG84Z
xN02PBbZPzCOfFdVMsKJBw1WBr+7gIajO3KyNngSyvZr8hZVCZFJqwmyl0xBCZYg0zJEYV106U+k
SHwoBvEYE+KSd8U+mHA40S6zDvV8uN8ikAvGUqO9x5Yj187saIxnuyV73uqQlwoh2/0mIEBu/nnq
fsu9uyDvB3ZhQzHrOmI4oP4MA73fynrxj1v3x/5y9//2JX8eu38xGovs8Ofb/vIY6T8wdKZMLOXk
42mYxWt/DlFg/Ovd+xP3x9S/P/Hn61RUzY7h+cek95t/nvp//9i//Pq/fNt/+GPvf96/fM+fPzx2
ZPiPv+/Pb/z7g3/5lX++589/9r/8kr//hPsX/pdf85f//5+fen/CjWS9TsL6N/a0r8Eb/DXpZuse
SeiuSgemgSn8d1JAlrFZvblJlW9IY66WjWEbq1Ff30+x+0FWwAmmueE/pr/piQ27Jq13vZn3hyb5
5OOVY88EtWIoj5z0Fu9xKcp1OZivCRXqIatDc9O32g0ix1fhTuGmztkktRNdo4F5+DKqkSF6VcbF
z4PjFxX54c8hSrp+ObkhhgNdbQs0W7ua9gy73RzhLeST1ku2iZlsXB16C/hDny2Wc6kM9aQN5riR
fcVak2b2tq0qa5v8GCzH2slQX4WdkWzR7p+7qC0Pfa8ePdzoIDhQ2VmzV13P0mwXpYACBvGDJSDd
ZDExm14dALC8X+vsuZkKAqRKGWhgxDxYWI/29IEoXHGza/NBhn7LkNJO6dD6zcGfHgMtNAG5oc/T
P+4fnknKf3xA4TTRc9E1fEsVcCm2Cngfp9kKibKDkKz7TVNAMZC4oN22+RkVPhZhR0c1GHosQ7HR
kWWEzXEkrYhx/ivjYJqdCtkFOBavoMRyiznbEUp9nwJzGd4js0HipOKNn8lqEdG9KsQ6LLXXCWPI
kmb9tW1hbzUF7ogu3sK14d1riYxFyIhfBuKokN0pFf0h5KpLfUD4ijbFnyXKmrkKOUXUcmuhKYjo
575t222XNCnGnr3S/Z1PtNGiiSbr1B/tIsIS4gXUR+mxB7h6UPPWzwG5skIFzNhEUJ+xBmcpUlVA
YYxPw+G5SXO0g5rRL4mkOIt3vws+JT5k5PnuLydIlolV1NA/OYMLX7qrguBElJbdAydjt7LA5aqq
lydLtK/BMJs86VPvXXP4HnBT8eJ8u4iUGSPGB0IlKR608GfSWS9iiD9o+X7gY6HoZtKg+oZmPDTR
xaiXXHHn2FpmZ8ugQTFUC0HO54YaItoVenezxfg22cPvUM/fYrCeccfiOm9LQIS+llC6jWTapZaL
qDPr3lQan2KVXfKpfKbvbp6AGJyDtluhuopXqcF0X49JcdTQFAOQATJC4yre18ckC8K1jVt1mZHR
E0uPAWcmfxk9cK7OpTSmgjs62QZV1wgeYGA2JXv30CtFjRWM+dp0vYsPKHNR5pResfFma36yUkwg
l5o5oOHuHikssKoYxV5XxkuvCZQqdXaV+CLL0PnyaT6qIiE6Gn/UOur73RRDh0VuCb4llU8VeQ7b
wuCq0mvrxE4fq569a9fidWIEv8PthpvTb9ZaZX5qwPXouN3suHoQfRc+xV8E6bwRcIwbsKufXAvU
qa/Q0mBaU2wBOvdFjlHDm+995SaUq/IFMc9B6eItN9j/4jr5BMdKAkLZvcc6H28bwSe4B0TpHmZA
YmAQ40P+ckAk0WW6xGxb5vmQvbbBVix1N3gdG0Nf13q4rSXKWJBENrvHcGPUNUO0hD848K0DjZyT
avLfJruNkA6vtFYGexE8M4dGl3QpWy7OGF+3suAdx6Y6QZtfRoTF5V0EwC242qoBNDMeg+JXygWI
9LmxODJcO6QDKvcgGi52REveZU+1po+xsqohpEk+ECk6mCQvgAkbp3NcsKN2QBUVA39JYObLBBcI
VBT1PvKWLBPkFq7QL6LwTkWVbnKyTkaPCoUPRbA1tBrNp3qo7dFeUuNcPJlpQBQ6Yu0R3TGh6Rm7
dD9110r2onPe1Bg+huGnbUcPNGAWNbtpBJLrnoQfEWbAdchWbq29HxmPsR+abBzchyQjbSCsrOVQ
Fw/stg4e/m1K7eylHIePAQ4uum7roBDhQ9YislBEb4HmL62GBrBe15emite53vyqQiYnDScIuz5A
0rVIoM24zckch7e6TO1D44EzYcabAEyk8wq+CMtmanxOk5/tUtSBC2N2f1uJ+NIzqNnst6fHPPXe
p3m721HKr4ghOnkhCo4ECKvunirjN+HybwUouwdDL84K8QgZsmLrkRbHW54ssZ/sYKGq/TSGr00E
MGso3l2J66onl4uVI91MUn2ga9QA/Yxnrthpy4YVU9Kx9cz3aJqmJajbunsvAoIIWcaRIAW/WgPE
HNXVWxvZCEK2XUOsgQVFe+FmE1Ody6iQEIPpY1G0rk7YfNZzP70a01+MUn66ufmt2wX23bl/GSrn
gAFyF2b2W9mNr14tT/asrC5qjAO5UfyaJgJwKnwDeBR2Is/aTTeWkDgSsUjs+XKZE7iQ0TmIg4hw
C9tJ8T9MawQQFHll9jgQqIDO/JhK8832EeoJq2SSX76JvCFjQi9B2vj+UbqvbWw9m6MVAh1sb5Jh
LPBs+7dnzbBgDLxer6heRPwJXjTdMdFj5q+fyTNaDSWKbDFZJv5HNgdFcEAOclI1HyaWzceo8o67
uiuyx9ClxmoGOsbdxPQmS0gymeIHHLgBZgbnYHbBpXHVNmijVVMw1a88sKj2+JDqIWEQpUXGev+t
whCfF6fckPkQFOagItpkZeoDQJJZMsusboFsDOBxlCVGFZL42l6xVifbiszaDZp2nVJpZkb2zsIK
nK88JBDCwKoyRtW4rctfdURxxGJ5yV0nwQMcbsJ0eMGAD241AdER+9/tYMkd48ldWUVHq3O/ocq6
u1Z0+8oPNyPzIOZF9260mS7u2V7/UYzs9iu/fKZf9f9XQbLoFv8l5Wz12Xz+t6+siZpx/q/+j//+
1P7+X//zu4p+/Vuc7P2b/h4oaxL/qtMld1x0CkwPDULP/hEoa//NklIKl482UpU5/uv/5Mkaxt+E
YdsEpoGftfj3X/JkLftvnut4aEuhvZrG/AP/gzxZx3T/PbjdpVFsmdISJAIIQ0jT/ktwOwgx6aKt
MxYRdNIDqVjbLPEZqKdRQIJs9UQkZ/OQBw3Kco/J/PBguWH2PPRVfiRvpV3lpTF+tDxu9+WwE6Q4
YgduxXXSh+oQKPvjfq/HzQmyuWNdzRJtVxbqqw1tRF6gWCmAA9pRHXkywRQG7Nn6Zo+yUH9qXJy4
Iz04Tvj5aWZ55BHKZR0I573LCR5PoWVfBqCFSwsr9UKvMvNFo+GtYSI7umbxHFl6+IQMLFwNXZ5v
BSS+p0wX2kPpkZ9a+T8arU+6i8rHCsN9iJDCzYNnxZyCURGc+2J0tafWsNCYWL0O3ZZuY89F+dMd
HATkChcc/KgptG96EMuH1iNHOgb7SUrNmF2h1mUAqtnCJQnJStk0HqruLTXxltrV2B8hsfVHpqns
Gel+N61Upzzo1SlDesqkF479hPVWrQxiEo9ydmXXmnwGqvpG3ze84IGSz8hwGK/RktpXWmU/u83w
3fldevZ0O33JJrVMNd2/uVWWsUObTn4p5aWqfmCPqB/YyNcP+khR1vAabToUFCvRyhk33/c3ZyzW
tHCdbZUlFnvxztu5JIouwNy6cLQEW710sn/YZQyvqczlDmvZpzeM5dGZD70dFHcQRXkMw0CubdE9
hbp1TtvBf7ofXIMZX1EMF5TL6EOtGqBMl1y1vrJufttED30d/y6AH87AHE65OZWmLJZIGqGYB1a0
g2wTbrvQd9/RbmEygF3iMGXqAgXXwx2BZhph1G9NzXTObe49wL5RD07UeNgOtAjTVDa8FrlOiza/
EcnU9mN3qyw7fFLtzBUNmX3U3WUqUiy/dh3/oNPGpK2cIwWN8jUSzFKdQbfo6HI3Nfn9trBphFfR
WVQZdYvBy4fwlUMN1H+nwXPVdoXoo8esmmpeBXvLXzy+tUGdHo0Av6dhtp/YRYwt+hzwTPNhJJrl
OKZhdgQehfJrMkAxcW1YezIBJ0n4YbgmVc9ftn1HW+vPfYTSxdrsVXWQffuEe7O63g9DKZeR0yu8
Zml1pZUY1Il9rjTb3ZFPcht9A6PqPw+hbPpjoQIoXfOt+xN/HkNg3R4094scrGif9OEuImISrzgH
IonLxUijYSP92jRWCQO5JEZlH2eIF60wta6VJnoofhp+hiz6bEH+gfEEyeRa+WNOtuk1nQ8yGdJr
5R/uj3RMKa9xLbQra/u+TgGmc0EmLTBW5amuzRc2AMMWWVdxuj90P5R6U/79LmdhsnWm6n1y45Fi
CXf9xlE4M9tgQJN//wzKAonHBqrBB7wpxXWrj1nmqa8dVLAXP27TS+zE/7glE+qsYUAjjXVWEgAw
P+3Oh5akjE1W5BQm892k8U3g+xOZf5ZZADGWLMYeOngChjQY4IjQzLNVPuUDlE0k4I+SmCzetanc
JG1hrfSRfu6yCSj4//ns8M9nx1xzD3ma/7aptmh0at7ZiPZ95D0mmvvDk3a2xh2dM631A0b7icFN
B24d2iVSTZ2Ku8P0PEWuc2zi/FSKJLyUNtQ5Q2Vc151+G8vQ/WkF45Ehn3jPC6/E9NMHz7xaYkN9
aR9agOsXsIAO9NqP3rS5SkBSJshXoJPVkqHcYjepSf5S49qXSAqEKD1447GbXkuGswgP7YsbhcGK
qJhZ6mD6NsrqKj4m/kRknttPAuOUtvU8Gs5O3T1HleyepWfsA61Q1/tDBTg+0DlWSEKIinYYUzyc
dl50bun7njWCypa6Vxs4erj75wlXlWKX+93Fxw9/jJGtHEXqUBP9y800n2huBvhZrKSoH2IwYfvW
dd7I2fVWzAfNC31uQhWb7MpctX0xpYILqLBG0GpAY0QcAC+rpEeS1+9Z5636dIJBr2vpUpj1DI4p
IxA40sZzUTSfWJ7ndFGSrwA3CUhaoTNe09jmbt8YNPMMHQlsqCPV0kCA2UnnH5qugdvRxZZ/sMpE
AC2eb8KCvjmkyu6KIDPO9gxMCocgOuTCAL7ZpOPq/phNJtA5961uzVUzWv79sfmLVQaf2/FYlOJe
I5KvCC3SKwTe+FAzKHVkmJ9q9pcWyzbQX0Lm2qG5dQwqb5Gp65vGBk+FfIck6E4Lv/s+Q0UxP4vd
q1uOwu9XDIw+HJHYz3rcTWSTkFkSS/l8f0gonVM0UtuEVgQVKysXtKn6geidbGOaDVKD+TGXuoU1
vXU20mGWgYZNf+o9OW5tT6V7HKgEpGhQ3/16OivVUyo4ZfJopUW5CBNQQ/e79wNCdwUeiSnS/W40
pYcQ+eipS6vXYkjkj1Rk3SYqipaZPHenIDuno1BPga0vAsi4FxyEvw2YOT8Ci0WCZp7YaCSM/ogJ
Ol3URtg8RG3dP+sdrND5cUEA7QHte7G6f5fXVT1jZas5kv4yB3tE2qVm/DbERfk6+mbMWaaBkXC6
6Ifn6eGmT7BFeI0X/WhE905GeEvPKRmehNJ2uqzGA5pRHCKuWa6wDxmXBqbewYYVR3hM46LBpnlj
QKeCCXPwDBv2gjuhUNNqD+Q9OR9jwbWHJICRjAxD2963VWBLvUvPs+Rxh0+ytMUqCKRcRbJArIIl
C+H0rOmkA7EYTITVLmE6x8BjEeVPbveE8PrPdtRcyWnSP22deQka+/yCr9y9MBcMSV7nCVW0z16A
vDXMEEWYbIOwNUWo4ezae65gyjqG+SEz3XxJeFHWQg71huQf4yVVnUbDAdz1fV/4564xbxPvX3x/
tpwaeZsNbFmpYTizDXmlevZ3qMvjne8TfUfSDvaytu5+W5ypaZUAqRTu1nCsYoX83D/GjRncWkwE
kMxF8TkmLZi7RiIv9ytzT9foBJM+WUVz9Lbm29dWNOp7MCs4oVHyszZBuEVYoG8VgsRtkoua5jnN
ets/gNFv9rZv9gcD8d7BbMXA7Chtjvb/Juq8llpnui36RKpqZfWt5RwAm2S4UcGGTzm28tOfIf6L
c+PaBjbBlrp7rTXnmMjl9gCthjMqcIuhrpwvmBwJhagy+8Ew3Wxb5vN74GrLAciI0f7TCsF+aGN4
T24zNIS1XqMCVdqEnLhDJodjDIWdYCzL7Bufajp1x5hB18mmSbgrOfEmwgP1Gtn9qa/we1B3xzdO
8OlkmOuwVurY5q35Jgxokx0ZKGSpoWFCSMftMN1RguprkaGrNsNmuuczaH/bs17BpPlx3lYbliL7
w6veUBLmX0zZiw1KVbIjzGsrnHmlNxNBunO+cfMh/KxLQFdTPqJOyJMUxrIerlm1rFVglPO+dObh
1AUFvaSxbi8cFlHCmJB5avzWRT6qQ97N31UVcWmStPxaTegRyO3WfpFdpb1RQ3spP3XzZ05E/8w3
6p8rLwRY1UbT/u/pBAPpFJHCxU3Jl8QACDMPBPDgQiiOJOJafkBqoE0y7cy9pF5jn70s+y8V9F4w
XPRXroh+g5rUfUwtLlJTutWDzCuFdS5zUa9n/R67X38C40soZYCGpGrcRx2jwsPfw7z8S6TcTlyI
QKOc6dMUffUL6Q/jo050RzjE2Lvi5odl8HciWuo9bAl0BriibrbwGJuG+nRxe+InvZ61p0jouXpt
qB24/d0TjfMZRHznPhioaRljz/mtrKAHCkRCrzKEXYGvM/w0TFZEIbsf5LE7y0Yot0JkZScIjjsm
MU4g9J9YM98zp6sOymR1YLcGGSUngQE0TE7mQAp8kCXVG9nhbyqlO05K+KVP4vJOhz7f4H/rzz24
w0vU01nyWMM+kDUcGotEh9pIvlEhqNdeBOM2mlV/NJa8C9XXPXJ4Oo+J1ZefiLEjjp6mxN/fA8ok
Y60kNfPTyDqborOEKd07w7PemNdUk+VnbzhiLRrbOLJCi1cVDvu/j6PKQPEqh58hYrHDGRa8DvS4
ysRMv2xZVdh+Y8nSByMy08Of/31cASCKLdweVmJFj9lguWCfs+zLgIc1DW50G9xiHymT2i9IPi3C
4t7aMsf7wvAY86qjvzVzK3bk/9abv8/SGJdrS2Mp+vssGBlOzY5mnP6eRsJ+AZSoPf49cxbAt3Cj
a6Y3574r2j0HK/PUVG3OZZq7xwyl05EUODwiSeSBKtCzQ20b1gk7vdoLQWuqIy1oVxs2dAT4Udte
somoN5BsqCRgOJ4GpoHlqoeJ6NtZoSOkS8objQxBhBVO8hpz6LmLcN9BDKEeCTqxJa6weCXB7d+g
3OHHDFIUmmP9UUrTQghZ5JdglO15Ctx8k+LhvGt6cpmA8K4b18vOo8x7dLGKGoERxImkPmvtmknG
Tf04IGr/tNLa3ARTWBy5buVtrMzfv89bknla50zxzYl0Dq24Epn6aZsoEd2JECLjpBE5TKhgr1/r
3kKe4tjB3aaaDrwSyW+Dc7hkpW/m+N1J5/keEUPuR73dXCOjZBgQ1N0pRsx9KnlDfaMK3xvNbh7G
wUt2ZGcPlzxV5q4VrX62YL3v3b52T2UiogODyxgDqmJK6FpgY0oWYJyt80GziuLkYYdFXVyFZ+Yu
JbYbMidyE1lQiTLg2Wwia0fGkvW/p38fU5OxBjKp8NbZ2bPnRgN+DIa/4Vdhy+A5dov5gbQF0oDa
4sWUIn+BjrYtqIeeOtiML+YMR3byfMOBxY61vN4NUNaR6PcGhrYsBTLQ2w+dYu1m9jk90/QBN1+F
6QeDQXS2Qf2bD1gM3BIXcwUMRW8C56fIc+BstX6PleSIq9CxWNLoNzXd71WKn3tXlL22EyM1sV2V
9jH2phrhSh8/zH0SbBDaONdgQGBkV/IBvDsVoBsRaO9RXhNrPILddCW4R2KcSJ2sWNOK1pMs+4zv
RlN7TOZoeNEl0TTLh7s0tAntNWG1s2s7LUk1lRSQ6KzmpiWmd54GDu6tFaWf6lbFZY5MR+50g0zJ
XRQb/Z467yohQSt8Id0Ldod5Z8xzRHQaL+v57yG0sqfBgYPCmxtBz0OcLPq0f2xNu3s0ln85RhDt
HBM62t/H/v8TrKfMuKeQAf3yxf//ibqRDNtbJEvC1AgKsMIncxD5rQCvuZ74xbZ/T/8epmp6dDKW
1LIMi5sh6ZpFtsHcqmRFXz6U6pyoBoBVs2R/INf8lhUGpkNK2FUhA+3497FCa7uHXDMPf8+6OJ5u
IFQIhYJftvn7D38PZZKftMFKH/6eaQu/A73QSbhecFbATht5nuM5+N9DUSfgRavM1BgRNPlJKZSz
WYYmaRbu2sYpJx2zPWRF8ov3HIhmGngAyCu67a0Fl9QY26M9CrmGdopGa5EiwFjWVqylll9I0W4t
TeNGDl5SIRF1F2gv+5D8c5RQ/fHvwaCDCAFqeW60LX7ckhC5P+Q4svXiqIfkysy8Mqs/mFOf54uE
wNtLaZiHHjp6CzGR1LM0WyAfycpxiJlrlKUfZTtuZiN8i4TUTyW/5TWe8aDHjJMYxZFCqZyfoCQG
dEDejrXPxTECnG6yUg4Twu4WBheNt5iQilJtuwSMfkiIpjMhm2B6sNLEcDcEiWRmuRFYOlb2EjTY
gx880p5DjAQLuiYGgNoLzhBLDL4d2m3MLtFTBW8NHY8L0tCoJE3X/fK4KlvNgp/tqUdwrgIgR44E
fYuW9mL13ZVJfAkQmmAgcihONeaUUwsjsSzsPTSQXSCRKQcVyfGe55lnlQMttsTDaNAE1hHVNzUb
uYZNFITVyPkLFC7yjNNMCb3EmgSr8WLOs3kqXEOD7Pes6jqCGFwsgevBKVPVN0lTydbV1Jpb1d2P
CjGimeH6G2VyshaKDDFE+I5dO9tRTz3oKU292QH6GIwdLMfq+ne1cC8hR/SK5L1MChiQc0T7x4uJ
OXT7cmByHJFXofgzPdqwK2EXT9oiq/rfwwKchyCDEpFwOVGOkE/AHiI4SQ9jmiKiWew24dI3USSQ
QHa4R0RZ1AzVY8Rk61nr1JF5E7JCMdZQM51wW0vzbhM6cLQ895s+vfIHD9B8huY2dZjL6l/KQOei
jzHDI+0/EYSk1mjBjm5FdnA8eoDTPPRXs8KNF3fGeeouOs3xzWQNr0NCtydqcMIaYIfqlgQ3oF5X
2pDhngnS2R6RC5sVcjJdNf3KKWem6KjfuYy9iR7U30Osz/aWaJ5/tHY2UDPp/k0by7LqDVjCJUs3
crY91HGaTvu59xZx54MdG9Inn4K7Gqs4lutH+JAUUX1iPjcKpK6J84gLIOXFGyibMk/sW9Fh2LTi
e2PT/9M5InZ4qYgMtpBHtyU8GjnkJ2kQ45FM0TZ1k+qqlz24tYChK4wtzoP6VuKAYJhKfDE2fPTd
c3y2QD2QAT/ioXHYQ0n5SOe89l0qVoehJ9UHCOg0iL+h8+r7An8EJWMcorMfwVJFTkR3hy77PKVr
G0fnGSwCutSw3gZLsKkYY4gw6j9pq+cUfvzGq40PyyPKN9CTlGvVLdeizu42yNytC5eB9BMyTUWy
mUd2vKKsxy2uVfTybGp+65g7h1YwhrIedqb0Lq42XwZvSOk1dc9m3iXk5qnmUvDGwoJb6V5D4in4
y7pFXlSUkzwV5lOBoPfoxffAw+qB0RQ6R92jtEDj9PeAlHSfJmm7beOUMqNPTwGyymKYV3NPrPKA
/mQzEvbn50V4rsQwHE20WGdM9hsCcl9y5bYMHNgscHqCCKg0OvLjex3xB4/UmMgfF5Yg3QfbYahK
ZOqWAYrxqOvtfwBxDnqVwQxH37s3k4I3tuNw6yQcDwtydECY2e/uKIEeVTd9wERAb9Y8VVr4YbZ0
3zvLM55zLyVg0Z12c5l77xFhRQK9dTKeEjWmT15Mnm+ezC8RBx4g5V+SqJJVgA/g1UG12iKj2pWO
bvrbGijSW8w5amW49X8SBM+uyDOBptVpNmbbcNGbb56pjetYxRCCMYAnhPwdp1yRIO15vwOetn3f
wHPuBc2drsU8VdaXLLnVEQBNywnnLd6rcOMJkqbH4EAHMaePV13mzn3SYTvmbtbsiqHbp4KLI8vM
u9ULd1+azqEZWihxKoh/GlAFYCOsL4j86dol8hpJ3wyEFn4jlwiVThljLsBSHI+1e6Deah4bDNRV
QVJgZ3KWSgwnWFMZrEEDnTosZH4pSGrRQvOalfYEp9fw1gRAvg81IGyLHrTfieRo00kgFsDZuGZ7
qeT82jTDT2M7GHWt+Vkq85iiOICC1uyMfERMk7JX9clTGqEj7grFTRL2L7U17DTAoOyLAQmQFEKm
la4n2A7s/TQbM728tX3g6wzYJVX9pkqM7lCOKMl0OSUM+RzvjDDv0tn2P0W/36NUXqsiv9meTjq1
62JzURl6/yEBjT04HxakRSsd1VssUXzElfcqeiwYoWzqO260X3ylezIl0FkUeJhbmCJb8hhQNJYF
68vJdqrumR1tFS3ftcQcSMPYoTNa4qEfsg/2aHT7BlYfFeibgu5OPz7XpAHsmHh+D6lXriLot9eK
DYEsZIzZRjjvzERlh3hWqDA7A8qjgy49Ydgjg/rZ8dovHMoCNQ15lS1uoyIm9ooOzkZHZXYsBeMF
zXYJTYhxRI/W4LB2lu4WPgiMRBPCApqH+jHz8Ca56Zsmk09EdygbBcgUUwIHoK8QcJtwHEcVodfd
cQi9jSPLZNOrcdyONObTzMpgw9kXYWbuWgy4B0sdekynN7tBLBAbJDhJPF48q+n29L0MAJLvg9nR
AjboPWOhdFaVGcCWJ2+XUBMUZIFHulJdI3mvkOzbzIDW6JdoWdTZh0mrc1eRycOZh/qwWLX1Ryql
3KSWRISB9H+lxc2HQ+S0W3FSrOvwta8LeB6txtki+M9BpkUmKvSeNDrHDu+e3UPzwGFC9cCLw/Kw
NyJn6SfHx6jYDu4wH0xtOnD1H/Xaxgkv3zz6T37ZlQVpVsSMI1+Ld9ZQvQHNcUAB5uRJPsguag4O
jmSrTI1DAxqBuB5mDURd+5apzlXl3ilb1d7ej6NNv4pFBov+iECtmbcy9JDOBr85FTyWI85kWbKB
BECOfS+bdYJTWXWutysrhs54HJtWgVyQpMLFA6m7gsxTDCKI3PPq5mI82MyBfgg46dQCu6DqmPQm
GjHrhmM+YzD9ptGhtm4AZijVnMNUJjuagJylMmIgYKhg24mqhX+d78ceCfvUGxszgQSL3fJgcSQB
x8wsPx4UTokQfKQSj3R+k30pknM9d8aJuBwG7k17EEWZrqjh4UWWGBRr5tQ0YZLNMHyn8BoQJIb9
ujUltk1sMaGHqVXY2YPuMhBKYvRRIbHcw2NC/PtB5w4NaBvvUlW+1sy+H4LYwygsGs+v3eak4Z4g
Cyqy4S4E1rmSbr3NW+upNAVAGIBeCFZHCj/nGOCpDAj7vMa6PLdV/l6Qf/mQNU0Cg9O6zEa6Zrjb
8F1Lca9iDSUeJGiYXMEjRlBf7/To3PL6XtIxfOk6Xp6stDahgM86FcwSl6wi4HYrTxneqVRMOiwV
wEB7dW0BSAKjLI6HLNnFE+S+2QmDzRgYIPT74Aku0o7GtTzUkls2YHXyPrS8tE6dULnPVU8+U/EB
OtA48ITuYbhxStvbFYSlc/nqH8MC08iW6hd8BMcAh2mC2R1CaefPcNeKU6eg0JFp6D4mSb0NDdu5
tYtYU69Tc42cdySWwZPrUQNyFFCuuqlxxI2an/4eVPGv07jLyRbCRGp7fHGcX4bYea0TgvIQu03k
cK4BeOBRTox7247VOs1wqsRadS91b8bj6aIUJ4X+gZm5u4mb8G40rOqQZ72VliuMbx36YWdIjKNu
uYe6g66TgR72MGQ9QFo4Q8jyOC0VGy54oMC1/qH3ZUeOAkPlrmRGRcIqnOOA3c0ATHWsH3q72qDm
BHXtgl+wz81MXyqnuQ+9EVc9S6jYOyw9GrDEUzy9GAy1tKzL93miGJQ96+Ak11lIYs9sOMUTF0g1
mShZSAdbz3zId5Vz0gIy6pSbdkwW8DbXJJmitJupkbx/o/aNZgtPfdXf4jj0Lq2N4WYuYMWh9kSS
1V3Hyeu4z8UnYIozGpf41Evjs5N9zelXUcb34CXaCXZXHHGfd5l5BUmlPwRA/11zlKfAbC5mnZNL
UXjVOo+nf9XoUJ6PNbbjZPrHIXC8NlKNV/LUq0OJJhYOuTWiXoQch4R9K9IIpR6VAEBVAPYoLUOY
Omr2rjR+vWuiQA92URpvPB2MQUekR1xBAaoI7c6lDEih8LpNHJdY5s35TfvmyAHIo2VMhdNLlmuT
N3XNfszrkGTpWqq4XxMYxk1ZuWQ0EY9oc0CICTdEm/P3OxElI+gZx5VsLzoe+LmQZECgOlk7wR45
VAQrMM/3xMWgTBlecMRrB2fxU7ug++xkVfel5hvafItplD79PZQEEq5ymgp8H2fpS7qfHQXZug31
dpWVzheCCxgiTscMu1z6qvPOJbojHBwM5MWOgYxcRW2H70iRxDvfJj3pbjlC6oigTgIb3fjoqPDJ
CIcryCQGTi1gj2766pJ08ME+3hxvtjbBgOW0J23Td5c4s4EV047nLaPXz3pAEx5FVHUJkVzO8ITQ
SqIMZRujSQIii6AdgH+lGV+F0V0LzttnRi7fJEv1JIJmW/KHzm7n8p0jkoMMa58LFLmQb10frd+a
Jtu0aizeaiMAIVzRiO0w3B+cO5EbjKUz9yG0OdgR3nJAu+mHHoINu8UKschW49JcM71ERFTiFh0w
JuZ98kCXB4WzO2yWgKJRG8AiBLcYp6Lf4str87phLyPnF64at1yV7UQYwZ42iPXzKrgbnUfKNjqK
txY3PsBL6LDNopEchvNAuPSJ2cReJdpwTHVytceA05gaaoj9zcFEnB0ZAefPQPocHegyCyfbpAX6
JbuLIeGZXOEp0MhOs/DisVn+BaaQWKIhedoUeDEGPQOWlhNuHrbCg6UDMtXMfK2dF1wK+79QH0AL
W9+DKuo7jcHZmEHLuvGmN2cq9QPXqM4EDog9xhhj5RKFYOrIN1r492bAVV/1yFkQAsKeVz1civFM
NDXlecGwkxHN1tBSg16NxveJt4iWfciD9WZO1bM05gchCL+paI+zkTNs8PQQdkmxrmZ1p+MYHF2g
rF0Znwpn2M4ClnRVB1fXs/VVpwG7tmLxACJCoaeJoRV8lOnUrmMBJcPyhi8z6fSN0fXnsIq2iVc9
aEANTtki2hW4adIA2EZgDxAsLP6yIHoxkonGK1kUudTSQ9CMs2/xc85tSWTL4oMudMKeyqUXwnSG
LHBTHqeySglHrJKNqCj2SRJE/Cpm7CcyIb0OCA1KqR4U3PwqXHzPGaBRP7R4of8ePDR6mzJmrARA
e+nuPhU6/XcKS0o3LGWI0tAgDoGvDemP6Fu4zLXrwxQ+lT0qrGByjgyRd6n+VnZIIzynoqGWAhWJ
gTvAG/QjhocWJEgG51gARm8JlfK0Eqf++FME8R7KSeFPUTIRqua+wuTNSW5nuFwHa5a/8QK+jelv
fNCYCHCylYVfmAbIBBseJcNFDwxd11TPgScuFSpBUAALA8b9aLTFjAdGn16ntc7ePSyE5Ly2zb5+
9ZT4L9AIN4ohos8AUpaN6qFsAV43Qflkuuqp7MJdQSfearwdXuNmVQ/iTXNJOORdhTwsEGITsroj
B5rziF1Nfheztc0dnM0e1KcpLnESlu9tLx+zsmt9GicfVTLvZNy+DTonVJINc15nbzs9M+eI69LZ
NJN9L0dW0bjsiv08MQnXqIcKl7YB3PhJW6OP4fW15T5LA27SLP2MSuhnhdRh9tm/hFDi2JjoATae
IGTwOFEHbkMbGoKBxH6daf0zzV9Oo15DOL0ITk5KXiNKs4O3+G8KxsBwf/T94BKbhLQJ7B9L8zC9
h8qMSeXCJ4L5gpxBzNxPi3awjl9H22PjQkR+cpzyk4QBMmZIbCFW0K/QNfmdiQEOYm1DNFi1S+gc
9KBjj3Zq3Awtv2SdKfbIrj7TaJd3p1wSjDlZr4MH5n9wSHguaWNXiMstMwJxXs/lE5xTMtZZwL0a
ig486PEQIezO6om2CLLz9dmTnEvTjF6wJfLf3i2/B4FMfxR0j010n2NladuqGT4jEiDlXHjPc1Vi
6JY/QeJZ6xrREcPKCbdFwkpLk5EWNtmdA82iDhs8S311sGuaSI2ePyZuhj8M0X85WzrbccGLFFaL
NZxDbZXLDBqZQ74IVe0mCT+MMPnKxCjJoHBJSmtW3FXiaBqT9FMP8g7naslhrl/rWfVLuFHo0xLx
XY8RIB1Wlvpo7UjR3QTbsGvr05NVPio0Rz4qD854DiC/3AaOF7XNczuk03bMG7VJSdvDKWsU+wz4
73ruY3JJHB12zzyuqNYJRlK0RIxgUGvV3qNYwx7YTK99p53ysu7PKE4k3QtgsWkYlrjcCiY3EqFV
S6fqhozmILHhl0mGEcdM0h3yFVzIU3JTzYj9GczvVkToPoWePswtib/p0eqML89CFJFraA2IH7l3
+kpPgHyKKv+XDw+tbn63mop2xEu9t6GRH+q4a8D7dZu+pFi36a0fo3l6mXPHPUwNZuAmtcE89vJa
TNMLEttTrutnDgXAiJruDQX0fqopu2LzJc6N78Jw5dGMCbINtGY35uHBhX9TJf1Xws7os9nTYQKD
YNuYjELXOvQdY4/Bbe+F7rAOsq9vgj6QK9MlXVDPY7+vArWrZRduGwPhE1Syf7z01jYE6btWXvMS
Jo71MHVXS3K0NgT+AWj/vn2ceSjyBoKlIOvs4vKeW2oAKCtqIHXF8C+AAU+Xm4T0SeyrZUfL5n/J
2F/itPtkEiNWhUWOdjmhBGnjs0F7ZW2b8ZlYQ9jaVv7qlW66HU1x12PAjqEqdoHRJz4yIE7fbPze
dEKsy5bcXYRCW1E7EmVR2t7FolY2OIQNU2dsaq2q/CEY90h5F+hUSitGBISJztN70njPwyg+xhl8
RyIGCrIwxu/4mYaWS/d8ZO8xQyY9TcwxsBPA31Oa8JXFwSke75PdXZHnU7s0P2qM31QtKDzuDlBw
pCTmPquXVB08q9acXCpkdug2wC+ZljwgWI19Q6j3MgSrQ8zk56CcZNPZjEdTV3xwkDxYDcFXSBSu
rX5gljlfCtN7HwdW57q12TkG2lFqoT3bKMxlkR/aDm6GRxPdV5p4j+Aekz/S1cc0ICHP6sJNh/CK
H4+gsqqJXLNfAODWB5uR/or4KIhH/Qf5pTtMK1+ew6xn9LACkl6B8Ud7j1pp70ur/GdrxMGNW9UQ
XzVp2j+S5CeKVGIdkpzvFPC1BQKB7ehxNElqdCTpVzhES/6Iu4tJl8l045EQ2ee6Ca99d9SrvCV+
tP3pevxbwObBCtVbARB91bgy2jF5eopKmmTLNH7tNPOnNLibB4OhSvnTKwX+cSb2K9RAWhwSdF5b
Uvt+B9YyqnUdoKTlPcvJeAXt+8/s+a/Cbp8VEiwuSSYmVRTgQlLhl5WQam/J6EtEYKJ0z/qHtxDr
zrkI+8/BqV+YzfS8dv2PbPPnzkVeUGjdV8Ffu6ob8dbZ3bS03+BHON1dt3IYoMYLym24tLNPyyb0
Na390KT9L+3TJ1TpJn0Q8dOW9r0Iu2+3nW6xQTU+QJOte7DIeQADrNP9OJwfG6WdkGnMX8pmDTQG
g1zcyX60Wp3Sul3PWHZ9ZadYALDQEXG3ZXZ7r3qB8DopzuHT2DmfuWnckRY8krrBOT2rGJfXCFbd
7hFYfbyK3PDJy42dGwFn6sEub8SMm9BRCEgd/SuLiCXCjIpyMkLwLsriyawgugBb73eVVo37XnDO
My3L3Uw1Bri4etFVsE8IriejjV5REsUHM8nfl00LWK0rAWbNSqwYEr14oblv5wnm2RwRRjDESAkY
w0wOQUZZfnaS1z/2aq3ltIqK4MpadUlwkzCfMC92DKZXRtmRYuMTxtiPHeswPB0ydtv4aE4kmMKb
36Rxcatc582q6UfonbomGrfM1BwKw3If8Fnse+/OjzyR0N5PzouAS7kOY7WuqD+3SUVDv5lgCKUz
aU2tNOExi+hTi3t2PjqPkLuPDJK+h6yNGYfFJX2aghZEEb7bBvPVxiZj1BnOREhHvmbHHwmNg05f
QiXa9A68zG/kcDbh0Pq0xPBCGo1Ct8JuvDTQiEIKfFXBvwzM2tfL/5B0Ir6I8uwpNAsO4O620Kx6
Nw7iOfJQKiCtBs1oVQ+pR7t+LulGlOQaMbmkgaRXKJdDOIhJlDyXA/TWGSExJS2j39llUoyHVULQ
iPUVPSdybqX5mdiWIl8zeMHvwEFDpheRul8gjWu+ac+fAvlO0B09NAQ054bzVOejvhG6CXPGXReW
DnTTBjqKxadbI8IHDJryMa2SxgaZ48jP5NfoXZZPxxt9mk4r6MbHOsG7klr91ag+3dBh8U0rlOLe
9B+aKD9arlwZuVj55ue0ZzATyPFZMBwtepoLNoErBHeN7NRcW1rOIHzswIj0CKkMZouyLZ4Tit21
VX3g5yHBDB/RZIynKQRWH+IytnBmennuax33CvQSCERRpfkdpOBV0rC2Wfg4lB6/dggmmMFGWwYP
r5myjK1SVxWG/c51ibCYmt+60WjQA4wvzPR1Bi/CTufuCONAKZ8U2zGKWSKUgy5vluY+rF9cG3WS
1g+fkzCTPZfMCVUXkUGEEAaeW+xEajc3uMLVPs8FPCbCvVpjl9uG+Md5kcZMSgwP0mSuhmpseWhL
Mk/kLp2TbkcHvif3CTpD8+p65sdItFvQKGBYTbwLgnrw2aer00JxUNAlz3VeI7xZNESzA7jcpqfI
zRXX7szgeM5RRDXpqcK8zsRv57URR4/l55MpVLs0olpzj5rkv2pE3Vbs3Xgs1kiXqeLRLY5Opj/E
yiWAVo0XLA2cwdkjMe5yCK2cYQPw/aFwy99UpGcKbH03EHpyBIRGczNGN0SnacWBmjK+Ntca3N6i
GHZGr7JrlTLFMcA7DjoxPpazYCCSYlfpOUPRMd6CKejWhcz9yAEuLCpyL6KzixRv7e0TDWc/kwDe
9pAELvyd8Jb7cT+BYzMLda7bli5QZ7w0SdnvpLX04BoQMVFdjqc0w8YaTEjHy46rmsFdzL6BkbUC
bJpdZ4Vctp3Q80AVb56joJRPRmKTjoJc17fV9KoVTK8zS99nuPPY02AaAJgX16Hf2WCe6GDN13n0
vGMoAY4iF/8d2qRmvIk4Z6yy5CHjXGeSkNJFdfbaePfKdvGwGtV7qSM3T+dev7QRxW1a/IYkul7M
OC1ZSnnAs0T3r1qmmPN41AxolgxzOl+09i51EvXYUp+Gg4m2ruyf7D5I9iLzOItH1T0K02I3DcQl
Oz1W1CjMMUGZo29HDZB0xDmvgWEYO+Kk5P+eImKA42fDFy5aRgfoPXcWNUo3wSpYdLB+RM/n1Dpt
8FZxaIeR0RL4MZxRtmZwiOIWLQFGshitxr2dPtuOszBTliVSMbCRwHTO2nXLU4HIOjF5MpnAnUgP
oO4s8Eu76tHItOEhrRRgLszfl7lxql0c6aRg1wyxuS3Rh6BwmCiHfSjG7WYamluMcHynliyyoGwA
AA9OCi/wJYEqgqf/5HgBFsE0vmU9ziJZPVHOhfu4BTFKnuJRxZB/e0OtigBMQ1S7v4T+kNylhDi7
Y/cG7nwxyD2RzIvnfaI+Ro8QI5LfS+6q1Vi+kUKzkKqiYq1xOGx0FzWENMifYmo6MncvUfdH2Ke5
Utmy5qJ4tKLgOGbiK+wIkCJ9YHGJt7SY8vvCptrM5nIpMFQU8upAOVpNoUfrcdF/jq4s1mVD8B8H
jEiJr6Bwnxo1AqzObccHCIodozVd0mnlJ6v47xjCRIPQy16Zkyc0Ku/FwUyfG327KkkwLmr+1yi/
O3YU5DgRg8l+3gJRcbajYSsGRQuueOD1RUVT1l2xspJycXQbORvcxKw1jdJtF0d7g1dNuijUh6p9
TsaWL+9447ym2VfzN/F7Vy1iR9cLbHUxg+x4ITv2chtGOTmMDNb3kWzNNS2mevb0gxtGa9NCM4Cf
3xB5CT/cSI+2AVcr+IGw3m4qyKz4b/ykT38GA8cT7zNdJZeKiv4HDcP1qFNIR0A2Z9hPUdxoMNvN
t5KxFxDt2+C5O/KblgqE37xuz72qb44T4ZjMDzn9cYsEB78aKfyFljARZZYDzZs5uAz0J83SnM9Z
/1Zt/B0V90Igd6gD+e31sqdjhNvbFmcT0dOq0W10ScG9BzwX1Dgih0Q+IJQMV8Kdfif7Ce/aLpXR
JRy9dRYhOOak+GPoOR229J0ffwNsfstYperBKKABinNEx9W3zZw2fkRqsE2ahlDpfojiG7pN8Hgh
uMcu8A6BRZZV2XYHzFiKNn+CayCyqNw5Kui1xrPpkLYBR6ZJIRTjgjbSdLtQtY3yse6y6EwEw7uC
+UD7ujvbg+atqjq8sDuda214DYbIheBsflp2viQXyy063NRHDI+JJF/q8p5iIMA8C3SyZC4TSr9v
z01WP3KmRoh008JiM2FLAe9BS3bOq39ez1DV+T+2zmu3cWztti90CDAspluJypKTHMq+IRyZc1iL
fPp/0N379EZjAwXBcijbMsMX5hxz/JPaGNeKqL2JhuYyLeB6O107kL6RZS0vr/NHy/GzUiy2iaTZ
rgrWBFOyKmDekOgFPtO+iyLjJ1f2qoy9r6isedEM4+qZ+W3vO+XWZIngWeRHd637gseU/IZGIxgw
OinH/6hYJCn84jBOZLUxmI2k9P9p52PlLLXFL1EMN9LSf3i51kzGsGT6FoNmdof+5LtBS+dJGHAP
HA+d1ZdMCK8pDPdKMSDXRnl05cLIZIlLEhISjWiCDWpsDTGSSEID3ln5Lop+EPlTnpkmyiOlbUqu
E+kMXifNcGYm7V3aWHeIIqPN/AcJ5E89GFdCrQFpwCgt0dOmSNAkmnS0/ADrWJr/ohts89TgWKDj
57pnozezUu0DBsrEwoREawJfg9TRPqa2HfFOs8HzSIxjRbKfHKWCKSfdo+mIWCRr+xhuW6/DAeA7
CDvjz1QndpREB3I+uN22JFF6pL01C06R5dqDifijNe9Li8EFnuqtDNkJ2EZ+B5MwzKOrW9V3OYS0
DaLddT3Ox751vqqlQCQbOYOjzqtLcf2OcpSS08HPWF7MDp14WbsfZU0qrRd0IO6m3v+DN5hg69rk
SB0f4kr31z7BKmjvt8NsP+HVZQBWhoGl4VVMygOspJ8JNTa1LloLBAtoemI66s7d1e01swWKZXeT
Yc/C5oMQpsfh5bkIuGLt24qTcgtBAIxNyEJXddlx7Ie7CktNMNY1LZcaCMkRYJtC+UgSOXeyEnpQ
1FAWMCj+Rlp26Qd1nl3zDdJAkPKF1Pv4DccOOY6JBzQ8+rFxRiWUHGriq1vmE6uowEMf1SQvoHRn
2EkFFgmmRT2lILK0AVdjtW7Q/e3Q/z8Df23Wy7JDGBxUluY5ATNMO1b2ZfAxTCk80WQBjzQp7qsi
z5ewIubwKnxtfWCtEuOgjUdowhi185dnMcP33hzeC+E/NyocNzk0fBNwCxASTpPGY7I8GQpk5hjh
G6m9czXmxVEy78Yhk66UhtzGbthPuZ74Cmv9tUMssKZmaUiQqveaZp3p+BYqktUHZYPCROGXrSEb
dfXcrGZxHwl+IuZUyXooJkabxnyNW1T+YfadjbwAU05gpVMXGxalh9BJ5LZexobREH6b7RMu4muh
9MdCJi8JcwSHS6Yel894l9nni7c0m7rbSSNuoStAblYkJIvooUIvAEW3NRf0CGCpZ/7/aYey7x5B
Xjeh2Kaar9H17rTUw5HdY0eaG0SUCXtarZk2KVoXVMJJgcLBPHqkBAdL67dvMJajHdOvTjQYx8n7
7GrtxXKEiypKMTe3bOb7KYMn0lTieeb0jkco9fJBYJhgFJsyzS7S24JjjQlpBxOZVAmtYBTp1SNj
2JIdp/NsEVSst3LjLyQhPwk/uHmBhMOBgfTS+2YjvAMC1+6yRic1o253Y4yc2BmxtTt0XWXTvypa
exPo704A5d46Vsyfvh6xepF1lVTai7gtnPab1hV1eGvuID/fxU50X8fRsE0mpl+Qvhw6XSeQqQXp
yKfbAUZkYT7Otnb7BFX8zZIbbk/Jxo3zJ7SSNyYogHXEi7GLG+YsNk4seFQrCViVjJyvwWCmh+4l
23SAMxtMu8VIERVlimghjC+BaQ7FQZT200Bbs05bpMFcMUcbCpsed48NZvQUt7ceomQTI1qPSYUw
qzgikY4sUdr7khhtlgyGjui6Sw5ZIz9F0/VbH0WyI1B4Tnlfc+Krh7jX6cVopYNQ0Iz24griLXcZ
1pswKUs3f6DAMkwENpDjWU+0zHJmY1sYRRpIbpcrEylRsUzFMkc85gIOrUAbpFg0m2UynRyMyWiO
xlU2yOxY9gPbMrGzTAOJbYzMnPX6WrCJYcRmutvGKvZA8xfftsX5Le1TjAJfWrm3zVT2x/MESqbp
VGYOR0Co3QI/A+NQNH90SCDUEYXGMElCRrNALZnupwoBK+N9CznI2XkgXpQrJySaxdO5eVV6dDKb
7I/eGY/pBHsJMUCdQV91dCbt4DwoBimWpo5zbeyvwzwIfl3/jxcIaFa5BaI/C9vNLIg0hBE9LZx2
o/Aea0mNJGzCO7Ab1rioTKCol2nU4VPzQtlqfOlKotULC5AIpHXuuw+mHj0YqaAQQ4hYTiK82JoZ
YK1/HbSZgXL/KSvq5gK3IXNLqpQ6BqjVMapuW67Rg65dskFBNsUubIAALHJpHsOoojmlaAozaWwE
UDdE/uD4Lbx7Q1oibymGjUrse4ZEwwqX56Fi3jbP0cukihvknqgtU/TKKX9DEGfBVAla4KowkSn2
7lbUsIWUOxCcBTpvHbf0xqhoUIkgAEhxkSV2wIrLITNXbsp8uZJUI/JzB9OSRgM6Ic71Zq5xfM5w
tPpkz6QycArjgoykQ0QGod4f3I1iExnIKYGxbE27tDf2SrRW4A7A2RorPsYd52Cq6u1Qx80apR5j
7uw9i7RrLPx7fB39BgluUfPrI8nPzylmRiq+3CGsxaYCONENs/Yx7ceSDI3Y5Jipkg4+CUFkjM7O
viDPy2TovCtbMsA8M7o4DhvrHoYGORC0N2F9Wb5VDneWUNp2Y+s94rIC9i5xUVgXWzBbUdg4OwI+
qB2tOQyGVksCMAZBk8vPmUHf2Q2reoVONQnIVqCHJcFo8VhMrooC9lYjiU78wKNh7TS3yA5u06oA
Zgn0eMJ+gPch9IKoS2R26aeEykTvUyHAA5SIEgZKgchPOo5KhbQjjs5pdZ0Qna5MK2RqTmLCNMhT
4zM17LT6nisLGteIVMmO9FIzQV3eOa296UquUTGjBNr6MxzBP2Wn2/hEjHOvMwyw391G19GCRpzT
9mMc18+c3/RWLTfaggVjip6qTSZ1VU4tVql2N7LW2HBvawLtjXicGX37dJ+7GUMv38dzsCR1h1ZA
1/QGh4BtSaYAU9qzd4oY+68Q3N4CRM47poOVCZ05NvujPjNr00QeePaDg5uUvWzxbST6hzWh6CUx
FXZFcXXD+sQE5GOevZ+QCI51xYG8sWEUlsYRGwgRxcr0d8gS8E+Nn+6gD0ckmC9+76tVYY9oEcp8
ObKtYBZgQV3kOl7yzB7/jgCQnzhucV1XiO8ZggxsPv5MSb0Ph65ZZcgD4AgPjPKTizf9Id/LveuM
n8QfmhvPwaAhQqKELKkRy7EAa/vSbFZA3K9aGJW3sYN61zJmZl2Lgjpvr/xlhgAO9LMn7mxO5XtI
5e19m2bDUaTZQ2dL9L1ps3IGlxd+fK/t/GRNt4yDduSvfioTYbuFl+7UsNlhuJ2+4ztHeOMRIzyN
GlGNJoPKzAif9YJ5lMW6akHbv6nY3ONMekspvLZFigPGCBuiCO3ppSkkxSvKdg6E/mf0ryrSsh0M
tLeu1QhLZUyqo6PDTkTxRgATDS9ptw761NB0+sD0jC+//iKkoFgzCSbzYQkQL/WFoVAUaBdb/zkv
kZsnWvOptRgsHHsto4pj0lR3Fu0p3GqUE6boaMRQ/cWIkoJRdoQ5xOFeuZo4mK57rK1296AlJMMW
Zvlr5dmXU0QnbNafRobOJfb3A9SmnZ+HcpPrPcLrJPUCHCuOPYCioT3AB0tuX5UFTSJToM9zvtXN
P8K0MO/p7I6mKHp3lXExiSbpp1BeYOQWWNtxMfa98YjlzllJm79wW7C/nA1/W9NDGeywXJfWySrx
rE0OUz8muyh8nc+mGR76vtbXSv/iptltEqoa9G6AE7XZZ4zoGAyp+40uXPzRJuFcQ1bhGfHcFc6u
bYf1jv0Lo9zE/onF/COF6RxV6W+olucTqUZswfLYC1KXwqy0HOaUbnYW7MRwxrZmgoghHz68nIi+
AdvmmsUVGzgSTe5Zl6Od0IDri3km6YFhDktQgPrYb7W677c5fc26XvIZMjkz+TV3Ucak0oBbAwKd
UDBXKxDEI9RfTUV/TuzkFoyGE6jGu+iN/h2ygGodKoJI2OuWeRpbzWxb+vVV1XZ7SsXzhENMI+D3
1pVetqUXNknIPqIjgFMPHyFrH6HvOmtSafANo6Dtm0uZ+hyNFX4HNGZDNcfB7Bek9eTTliUBYCRc
Q+lU/Bh6hWfA4DwaGy7iQIUQLdG4dUb/qI2QTeMiMGf3mYX+vKs0hvKsV7dTAQM0VflBp3rQs+TL
IulQFfmBlcBLb3oMnx1ng5r8MqRMM3oX/RJeam9jZYkkHS2+mCjyd3k4vUXQpNY1pLFc55bRENQ2
xxaCKXKKuFsYDKfJixj9/mB6nK/oatZO4a4kuKQDHPVv1Rf3OsltB1ubt9rCL0vQjjUk266Kenqp
PJyuUVLDcS4xbI71TzE0XSDh4SI6lZd8JHWpnEkpKpJH0kmM0nzKcZI+JO29IFo24CYDhmC0P5Fr
Id6yb1K5s+0FwcYEVhr7pmbnptnDDdpf7NgEwnlY29ZcGWqCHp7avoCUiCbM4NLODXikEC50i41i
YiMV6O6KGJ/sKOOn0s73vtawG+oi0ltIsUThPM8bi0NtQqsNBo9x3sjWpTc2DCi904wrIMw21bgg
gWR4X/aEolTkmVSzeefnBfJxqb4mS/uxtZjTZB6XwYrYTwMJRp7lXVnSEFZLEgQ3uPXc+m9V474O
ZgY+1LDMa4uZOaG7XWOuT86s4tptD9w6qNkRGclr7+ovGMJPHss6vFtrt8yPCKvIhWVYFmRFBfu2
T5YJSs+8ZNkScImXxEiF2fRA3b730uSSdNWNxT6BmIsIJVPzOOoTEymIbtwJCbpx+OvnXvg9+u56
sEeNnjPCpkhfN8NYme1hD75XbcquexEDMTT+nO87Gs8AD/CXdtM2OPYmXrlqMo41SrCDJNgni2/C
KTX2bJDZXxZzS/4yVxXpESg9NTjJQ3KQsTBoSFaKFrm2qKcxIAiyW/l6ybRy8vZdZd/lbfzqWOON
JMjTSNh3cPVdCbYMWHHNN6dSD1nyTbWDPNVUi6wT4EZT2nA1BaNMy/6OjMiC0nf0MLIhf0qYI2pg
xWZyWVv1JwnpMIyzCRwRE7t67iyaZC8Kos4PMmu+BcB4oXB60ouCHTvCx2geb8qUsHDTxMvFS5IO
DALzeGM5MQW0y7ajHTREhEjHZ9366eKWU57ZPJk3q9xgLDAp81tK55FpGyS+fCvHTlvnEq14JsvP
vM3OqF2xuDMRmYBtGJ3HsWgHKGcdlH/l2Rydbt1xdQ9Mhw4NyRwvSomBSoh8SygUTB6u+2n3lCKg
D+JybllcUqsx4nd2qqcPM4sGG6SmkzTAUXD0iD/oVfSem9YQIN4glcOPQC7Zwykfx2knWWdzNfY3
Djq2FdPP26FBQFpk4TYU1XHZoLnV5/LPUlwbPf8td5k5NYjTDaUWwTtJSnWmv+Ri+EB5WEP36UFd
UNFPIUAZF2MX0dabfNTjtZ3h+k8XXFdE0J2E3o3YxFzoITYTXkJFvYS/WCd1xAuG/ZDLrjkoGkRV
HxOEtHdTqxsbFm1o5uQeUm69dQCQrVyOQs9Of+aBY2vghdsUnfFgFuyn9QTtTow7fq4texO2FSEO
MWdBpqGTLhfTtVzQ6KprzqLItW0vMlIAVPgcFwzRfj8Wg9bEdrJ82u+D/514Q3zEUcaFLTfRw3gT
cUYMvJf/Mcq3nAvXeJrLI2VIeUyXt/556jbNg2nND2iEh/U/P8XvpzbjKQcGcQgrqO5z6t928LG3
7fIjibaviE/zyuPvU8IcJZvvgp+ruuTdEqXy+z9UUA0IhA2rgAlMc2Rv+fdDBAPCMhahby0XI7nm
8AGdZDzL5Mrz+7W/r8bvwz8/1r/e99fv/L8+5/e3/Oez/9en/L6vRfmPE3V54f/1Ob8/w7++8399
9l/f+l8f//0v/vnW//Xp/+s7/K/3sVfg53GM3tk1BID9+1PwGBf733eiqEBW98/HzdTDI/X7/PeH
EmwRZy6j//nFft8ibNj/+7fFO5t2IDj/c9j919f/9aX/+tV+n+q/3+Sv/1+qudj/fv1fvyakc0gj
qzxyAGmMcs9c7VaXBO2VPe17kSZPEeyrXWEiSLd71O9mko2g7u48bRqIBEuf2Zzn9Jmge2tPA8L0
NmCiWrcohlhRo6IwfjImoDTwqI7mNsyPKb3VLMixiRlgxkaCrXxmk4nC2bbGxdzr4RnHZMuG5eQS
vgWo0EWuCDl+olfcW3pF1UKUQz94u0z0Yg/TOV6kysgElEJCx//ULf6oJnuXKvmxYMEw2ne/415l
N+wQXiiob4w2ocSScUvWWRTACn/JOqqGopdfmakZZ1c6hyqae1TrqbGNvrqpt7ZMawDt5523MfE1
74TvbfzSWujhzHQS8k+4y1iXyQ1/VCf743u0oGZy4k1D3/ikTR1G+YH6j8HcVN22vugO8VimOx/D
IRaH6nNkH2wNU7wHKMkKZhybG9uQWwQw9ibi/IU0doejuoYHyi4q82S0xbm1hMd2H07LSdtj2l1b
1iAhsvSXtgY457WHwUELOZaL7GKMBvTv9t7oFlVELPEEk32+6V0cjIaNM4zvvmodEjWbFD3t2Dlq
Me7jY3Spu7IW/bac/RemasR/++ZHlOUgTSs2DDDPVr7J+B0wvVxH+Ztfs6AaTDYbrGmYjFJXrw28
iSRewekFgtaCY916ufWtZhEkvVtd5yG/yWP5wz4gecqRpwQT2DSKP+MztFD193LE7aA/t9Nt5Dv9
Oo6xgoaGXPtWfdeoGENexjiW9Wi6DpO7AaoYyVQuobMQq6lzYiQyrI4Tl23ygPlzNOhUy/OY4RnW
df8ND+NXI7QfMg+Jx5LaqXFRhNquYkVgSTuwQmMncGjxQowkZ9rmlijclT5ELN0ayuEe/lAwOBV5
t5gvV4apI3BRyafOzvFYp8BvsyzQXNSWts1AXhI6DiuYcVHjqlUSMcTjuLpRWj1ibhQfYOMOsx5+
QLwlP0mg4I4Tonlsc9+mpLYZCdHbsh7o65m6zgMjXN+7arHnBRKF5SZkKmm7tIJJDhC3mUF34l/x
1lNDwkU+N2bQ9LTcVdpqe1i69Je5b560jP+1T9uOXJxl8zLQJmrZXpfFMw3wSw8K6+CGL6wzwRWh
zFiFMrrpahc2fQjgRNes+ySmcBFzifdOkVTg4iQ72cWuiFn0VwruRd2n/lmriwdf9vEWghvuHRgT
UfuGZ0xhGht21TAYt7aTfInO7vdYHIHlOjBN3DDETjKx0CGQYgMt6DNyuPa60n2MDEEUYDNDBLWq
lShKn/CGHIPfeXbofhqmTJuiap9dxahL6eYzniBe+fYTFywojgSdiLYHG4CGMPSKtUs8cR3H2nH0
xXGmVlnnE8luNbp6DQ7Zi3nICpYPE4TiTYIOrCeWBm2qGvZsDFZJximrIvFjeP0eVcKwwkxD8hzc
EHfU3G3YoQvIe8Yo7CtSl+AWMXeBS9ce0G9cpohI4yLE2pHjRUtnJG+mkIfOZ4iitcUje+gXbt/1
ylBc3RDC8rUJm9/ky2c4V2RkMqTWfG47ndxujJHriVkPCYYJdsioZrRHEHsvqkOBlGlt0CHrujpF
1atZ6U8Dori+WeyyCJvNkBI8g/4PFPk2G+KvEQgu9Fq93WTDdJ5GouMbhuq6Yz+hJN8wnm4QdcX9
qvWG28ZsX7qOXIpyAkSgs/neacKp1ikiJcJAdpYaDzSA6mKriYv5hmtESOgtuGH/OBZyC2jW3s1D
8a71eXWmIX1yHPthkDUtAkPoVbRBBJPDW+CEt4lDXXtdxi0ns+9Hhzi+Vu2tOGO9ouP/YDvkn5BP
blrmxjvbFqTJvutReLRrxvMLsNSqZhi0WvLY1nILC4TcR1VFCIeYDOX5vGZ0fx39/NkMe+LTQdzt
CLmiD+5Rh+ru08iIA0kXajg5jO9JY0Z7ZbRPUPrPjkD5arMTnZV8F+5d6hD7JonqRSmLkaQo8tWo
2fisBmZH+TIfy1tjYwzEHKZ16m9ivUUaIPetxhq/05l4l2gW7EKRhFqoY4PAhkMdlbatbTJD4Lsp
5bdrOLcoxCOSXgIvYYnNH+K5NsAtidRL1xzmDvJtNrrdARtjgbm0JofFGO5JprzjeICMJrRrqw97
u9hOUaduSL6sMFr3ydpjvTMZ+jbTikUTTKvceHjliefgtim0jaZ5LgFnz1qUvABrkLvY7Vdl4E7i
mcxYmzkNrQHAE+b+WnqvHNveh629LWMxgYnDCcYgK2gMGu2H1tTLkxb1p6LUfthh2Yi4+DEqcsdf
4wFPj1MM7PdIC1p7o5g3ERYi08gO6LObGxa6dywbV3Zbvw5t7h3dYeFYU7H05qLhVk/EDu5GLO2w
Pso/zCq+eNsNPMWNtEAcQs8YMqTHJ8Ly1j3UU3RbMtpuKpOlRw7hIC81BDhsI0yHwGy0zxGrVNaX
/trDZDxGhxBKPUFoCEJAfaEml7Fzz4LMsq0nafqsC9LZPiR94+28mkmHE7HFrTGlMPtjDpvrrn1b
5ghXdW2PRGtiGEwusmk7hzqRLKqUyY+QP8BI/HQsrvNO/KVY6O+FLJ6QRqpVOjc66ufucTLMeNPv
28nzTu4oAetq4CBEiEhGFN9u3JzbyXnAmmhsYxK2qAfPLSbXi5gwGutdQvKDhe4AbhKpw3XNomTV
KBsV3GxvUqQ2doSepQYrbI3dimOL0soyj3aJA0LqjC8+C7baUTld2bawWEicjzlhJNTOTIGFtaTt
6dN9luTnXDzGDtIZT9tqjqWvJStz8k3YVEBYxTjivWvVcMsBeYWNsNxk6PKdBDuj1e8ShWVcU/1Z
uXl+GJZIz6QyXjAv2m3CfkgQdkOUB9p3LTsOZOUhVbBWfsgSWLXQ8i0HdArzlJLPCrm6Z/4P1KBu
JYwQQqlhRRxp3D7HnFldPdJ/gvPw2CwgyqQcyUjNo8bapHbZbCfuvxzQrJe6OtlXjkAfwr41sgdz
75vxH5MoTid9NvsrMmxGabK6i0UGwI+oUwZI9mvYxmczQtceTUyAbEWpPg+byP+ATtiucj+Rp9Sn
kI7Q+iRT8xr781kbLHjZ0xzDX0PAV1SBHSJOahIGjqokIUBq61m6b71pvjbV+KrP2JAcO0cHnWiE
XEWorxoqTA7wbdYwmBI1Nlx9wWSZgWlN1JA2QhOw3TbaFvyYpUaIDAmriruwnk+gsf18C0Cw37mm
umfYZNNV50DM8+w5J4iGzQZA6pnFtzWk8F4yiyiDurw4OZpik/gWZQGxT5KZBLP7sYI8knvrOTRD
kh5wW40fZYQopo2cQ5FP4ug4I2Mr5TW3GSwj9r6DeJwBfmK66ezjEJMPix7kOzY6B/mCR5y7nyCU
F6o8mWGBXTBiUSwp8bYc+MesYd67DpkpcOz29rE1onpLUra/RTYUc+GJwvuh9b3TWOnIxUiqfs81
8m69WHsubLmre9tC5SLHa8ea5JYa5FCb3njFuJrceVZyMbjdVmFCkV2RFxeHevddw2RkO9u8RgsD
rYA6s+vMXASGxXjt94ERiL4HVnLUHcEMPEX5TBCF+SQSPEGu6DUuBan1VNXV30+H2BhPoPsYtmN/
xXSW6hfNEeNL43GgON5LrVR0KR1F55exo490fT4gA67vvdhnpTy6GhZjnjJsq+8BJNUYUBKgP8v7
6uUBqYK55siwaHZ5+vvQo/4LUC0xNP//7wNlOWFXMya2ff/5vLZoOgwA+p3BCbcd4fNeCQrW0biM
HwYTDcxb9nRQbTPdCq23r5ZDMI+ZxO+tMRrEmzUS2ZwuiVziLV+Vr/yp9MO/3j/UzpGEBQSztrud
weg9Q10Qm4m9xzYEY/zcDoYIStSTewKe0ucukQT52DrzxshtAtwedMauFd9UiGBOw+JwW56pymV3
FWpPJjNA7uZ0knjd3fs6b95qkYSvEhk6MFnLO1JZRs+l7PHPayF4DKPbRq3K9r+fprKNTNrmdWZF
vPejxsEwmPhbvhcJuECjzmEtADNRxk14OA6+0biXiPHlRgPrcR0E8WFIAuy3JRahZUrwDAz60XYx
i2vLH8UOfXIIloekL8TGmingB5wdo3S7q13G0ZXo0d8njl721xqxF/6XrMAuuaiKKlecZBjmJxkh
fBmyWr+zNFLpyri7t41E7BvXaJ6iRjx3gOVuuuVZkuFNa0LPOP9+EBAxwIOW4Rn3ILHviyiBA6RY
qCvdO+WtGnel7mW3zag1G3cUzkObo0YmYzF8BhdE55iwTSRq9871HfVQYl+ju3UdPPy1Q8vvoUpp
5q8Wp02j5h/luKe6x+ln0XlC323emPT3CFqtBn8PTtoJ6Bx3QAqOuan9+z5lqIyBcWRQmbmIx0q0
5pbT77kSkhjoNKgcDLc5hJrKznNGr6g1tI+hlO49VhP3HjhCIGzugmPJKd+07vhcJTBjksF9BYfu
bl3PnHa/T0sDJTfXymOBgQcNlNk9DBlrCFIN0uPvU3Sv/m6Yxq8qbl+iPAM+bVmsRiqN3iFXxmMe
5zVdBwLPLmS7kHG8GKXOFaS4NZnbP+pITfmBux98s+FpjsS0m1zrAWxueEragez6Hps1l6v2xl0e
CnLLbmZPwnp3cbn8fsCR3BvRzPARSBQnEbOrlaPajXZN9i2YjU0YWeo8ElN9ztWmB6NCmOJM2TKW
92buYcOsi0aA7OHNRMa3bY0rlxiFm7RqatLVxu/KhkoKptyjtLS0EwjJpQHzKmC+5tNgLcvhhvz6
kurrwozLPlRtekeqMTKN2K5PVVVPNz6hO4GPL5Oa1i9ZRxGn21Si3ERDgnGB+yRiO0goK/LihlVh
6PFDVYwFfzq//qBTfjcTo78zLZ8rYT5xV2wgSHhFZt15/n3RVtnD74OyUvsQeixluxT5p0/O5u8D
GwTyMJcHj2UAY48tjbezZA/FN91kERWHA+QSahbNDduxM6liVzeLwsMEMvDc8QsBxiX6C9TnxfTq
EDFNsU3gdRH5CzR0pTEeCDQMlk8h+3fWYPQT8WbEcnyrcgIqGotNpdN/Ooh8n42cUCGqKdYOlDU6
cOed4UfWkz2WBkenbaB8FbQHqp93WpXDuEqVeRaq/pP9Znr4nffsKWT1FY7Eu4JjO3eAzEEGQSKQ
TJT3QJUus+bHe0ZT5kkKXWfE0oYHB57cKSSxjD0LrqShm3dGxHWwdJEn84esPoyMLMyuDr/55a9l
Ah67ZTtuhTMB5ssDVLpXzni6zMHR7pGz2KsxLJwv+VJPSuGkRJzZAIy5nyrcCBT6aybN7kH4dn/B
00d31CrCzaENriyVGQDp+uZULw98+alX5ovX1NFT7Xv+1tYmBHGx1B6xfd641KbkJnNR9uNkW1t6
/tz6NdGHrXFqp/KzG7X0Bid1YgZYxBXFAmVLNKsbTa/lPRdIc581vYXVNZKvRd7cK+jlpKlHQMES
rTt5DERnLPYXjOj6FsayPM6jSTKbn1710ogeuy7fsXUfbqEOlSuqBft5SqoDLWZ4MmOYFOaMiYv9
Mk2846IdKFjSwqbWjkXltGeuBdUW+In2QBWESz5BftGN2Ws61cOV7OFyladpfhJlIomhIRK611rt
sdQMe48/D7KYLrTHGoVK3kVXQ/E6RxKbscuRqhXRMv2CzG93x9Z3YOjMun2CYUoLX3BS9Shvb0Ak
CvINDBl017YS6iZOe/Sey4MurekGi/21NEt18Ou3gva7QLOVFzXYUKi/+046PkwyTi+0LGhUOXQf
eD0ZGIwDXiKilSwsISsUh95NK/TiHk3bl6wSbY1jM8IXXNCCRe6RdGwsdstDhWjI0/X0fpIFKASG
qJ1mcJhNUXLLPL06VRYWl+Vdvw8YrOHsF5mBVFs659+HfObalxjOvPl9Gketvy3Qi6OczPQjOe9P
vwFSDMPLu98HK0aiIStf7VtI0ydbt+fNlYxY73Zume8xAUh3FbrznYNTaj2l+SFqyV+2sNQQ7eL0
Fwu8DLyTVOElwYAkSMnZeIQ5oRQhSeD3LaY6VLwRXmjpRRfVcAI7vuVvwRrTUjo4izZWnnkbw3Lm
B5d15KTRLJpzoT8UTT0cBgXM7veDU4ZKwlEjplw2OifTnBnJ/745L1ejakh7KPUC1LbQnRvpiuzQ
qcbaO62D6QuRXwf+1Ic5TA4tSZKk5MIJuMvnHAVjBGTMtmrJGLv0gD2cqR45dbPQOAHZD1+MEeEN
5Icnd8wIv8QqvJqjtr2mUABW4CXkIQnr7DShql/ljVuQuMWanJuH+qN6uw6Q8QJCtP5wIYcNObyo
1NSg8Ob9OhPNTTSV5MSH1qUip36dNWSqgIMQl26u/n7IOr2gsFpiY+O5vGh9AUwA69KhDGkHNBqJ
BIXMvkV6FEx4tE4UQ/TFAwX+PHZPvu+l39o8bQaG/8jU2eQKGkBUs9VZZYl7r0STbhMrwTY+OrfQ
OGqwqgCSLcDid7KB/2LWQoBDmaSxc0fMeuMytKBmZSRJmjW3I/huXI8mpGjQC/SJptwS7MfL7CCw
VPJy1f4Rmay2kyjKbqLM3FMmfcioaGCRNkwx/1/S9lNkk0MEy5A5u4wpblHM2HSA0Ynj+KuwDPRF
c7pne/zOWdWuYLsTB9qHzE4wbnI33bmT0x7SCaO87MgTA/9Ho4+tbLCGy6x3B8sr2q30J2dVjuhT
qSUNFJM3jHfZaJQOy4xh5xmcmdXcnVtFd2otKY4EX3Qtl1wR2cTO+WmAfQC0p6UKJlwcoZYzPXXm
nJ7pXz9LlvBbkYujmqrq4OmTe55MPCIl9OfdwvntHAKsKFOvytDUWmKxXPcVVV1X8QbLJCsqnaNh
15//x9iZ7UauZFn2VxL3uZllnMlCZQHl8yyXXFPohdAUJI0zaRy/vheVWdm42Y3uxgX8SiGFQu5O
mtk5Z++1uTDfsmJ8SbQJrHzWyFPRrpzkIynr4GZ5ln8saMJS9tYbr597xaYhDgPNyVaWjxLvYxr7
dN0tVGsT+Texv89t5S2iyDuFWSbXzG9QM+f+Z9RywEtH+7PNW6AOxAd0srKOhdFdItN7IguTJezY
9OfJdLUjN2y67gB6mhgKFTngUDIUsXdRddOS6JAKJC0gk5iAk8HUJt0ucYHxo/nc6FVgbsl2+Ur6
XTSaD1UaoSRGBLxUoQM+pKGjNU2JRqiwG52Va3ibYUAPJXXzZXIzBIitAl3sAPqIDE6/tXdv5NZW
hRCGVOYxhVDyK1f9e+yf8IkCRk6YbeVVva5sZ1sbaEqxwV6xbLmR+1o7uouyzWeFsRCF0co+eXZI
w8qlACosCv4khCCU6cnSKsuLhe57i4P1i+nQQ+Ig9dFA2RW1v3cV7xzIoQ/AM7u+Lx+dsNlzHAIC
kdB3D4+a0z55tkdPtMkWbabmANU1r7cDWS7G0YCtkjYV2qJJWPuKxC+si3f9OQnhwCEpq5e0MLtr
tWzg0t55VVGsKfqUOWJhdmgZD47H5WNF417mw7DP+f1PfTGdqkawCXNojTTaJoWFzQW9yGAid3AZ
Mi582R4BZm84e+dXr+BgJNEBKhdYdEl7xtaz8dFy0/JsWPlHpFUn1fftEQEEbTYteYx7MohzB11X
E7vFogoBqfT+pG3NVjv5UpQbf8j6dZyk01laSLtpc5VrCS7DKoyz5hsHkBIFNJ3wzkxhc4QCAoyb
r4sIrFOm+d8VsZwL4NuYZKRNNpKhk7kFVNX19C0iM+s6ROlHh2h96hyIu+j/UFls8rEI90YXvvri
AVd6n3G4CFV9Y5W5uDlaQGXQNUjuYr0Zwd1rv4pCfeKbRG0dW4SywfGvzPnvAC5yGvcJdUaxNFpx
tgbpQBRoDwW2e6A6k0i23TD+7gZ57uvszUP8uvdq9Qv9UMSUIv4cXqm4GX4Y3bQNTaZSgcNrlKCx
o5PNmE1n7pSJDzeGmFjZCYbzWnsZ0M4swgbEYBa9Gdb4iHmC1q4OBxo+nPQ+Ss0CIWLRsioU7V13
MG6tdhuDxF34fs1+XaK8lxFq4alpFmk5bNEs5bqx6zky9cRnrW01Xq3YiDdkYOCCleGTntUu0wZe
pb4jHLhi/KSL6eoK0OaWmqE7RKwjucB8VqkNLcFfHN9C7nnW9nkw4ypsAz7D/A1pehJ7ClaZroOj
1GBw74IEGRcuYk1cu0C/ZHb0JmfudEMQwIpZ14qZJ0eR8atsxonldrrPSW3LO7ZtLbDi9eA/pG4R
rrOgQE9dCoDnIr0YMc4ph1PZTxlM68N9z0hp89OTlTS/JsTBpKcNbxwyDi3uGHI31gZUyLj8ztsm
wc0O1I4N/djN0Lcs7N8CPdN3TgdAI0Zd5pCfdkFXYyyz4kN04xfy5E856qyzXvpOwK8sAZZ43EfF
6B2HuvOOfdR+yRi7Hm3reGUrmwCN2CL6PP/tCzKmWDU+Edw9KyPVMUpzOmbq6ULl1PNkwZaGjiZp
m6Wq63VaY8GpmCkJH2Z4JqhgK+2FaMnfhsCRVair7Kkb1Zy4oeflW1gU9xziX4weR7ApQUQ0wSkU
5cmYu4863v+qsr8jvMuQ49tzEFwGS6JBLndTTx1HNO5qjESzZhKG+J6Brl0xfh+Tzz6z3w2PToTW
iCXhYTj4JOr0SqteVaxdaRudXa+mTvMOkStJR7iXrY/YuzYeOI/Yu3qoNrDcDgjnIo6C6rHx5cmj
ycM5Xo/Cc1TZj2MQHlQEwVf6WEdIQzhkdYYkVAE2hsPO82He0sT3setxnYCrdjcZOxnXv8TrNTak
y48ZUrDuQk0EZSMlOtP9rUUsH5Wf+ytvywq1j10UyzEOWOT7toMJGC1ZPvMSzqQKPOhoHVsPqbxr
sxVFgzauYyN8D+u+25X9YwIbBUK/Bfeow7lIryQ3raMk+6aSIKwSRMmoOJ+sjmFt4Raz+BnLKmDK
HdPKi8dtxggUT6J48FHoEjHTH9zMf0O/VC0J5QYHyfiaiR3+qb44mYDOQARDGzeKr1QZCSnAwSm3
QtrqQ8udGJnpzpLVvdX4v9K2ulUSB3WmmLnkmCS7HL0toOjFJMpdM6XvbWyy7sUZmrrQuQvrZRPM
W20dM+5zYZ+5foucmOC80GP4R8VpU8Ft7VrncgaxIcCf1a31G9u2vtbYlIiwXXd6ug49bPWmAplO
pOAyR+WzR4Zdhk6H3lznpEUeWD1FCETc9IsI42XkGmsjgEVXq71tImllxruto+wXrl1EHHW1T+O3
tgze07I312PYvRfaKJe5oSGxS+2c0ACCO9pqj4sD5FXlfzUF+c+cJVs1Po5O+lbaSbuqS3SKUgZH
XX/WEnQrtseZTwiQTYq7dARWzR5jDQlxhj3KhUnU39YoglVjEJkYWx0ebHmiCXAUIdRcjalvRh4i
i6lWYAUjjKgws71hAqtEzyfYuvbhRB5yTy+EbVWA+62Z8BG6U6xL3ftGSFkCYDCAUBccU5RBJoxn
PBPwCJIynGw0ld3azTPzhMovcQgrcqN6bVQMnpKPzrT6TcK0GVscmouhFHvNlC8NWvEAepaGdmDW
azcaFo9GK65TaVpkBjwWPX4xQ+9vmCxgdYMYjGIMA3Gl3YzRYIQwFq/Cv/mFViIC8pbm0OLDgV25
sfl3M2e6xVMFCFJ5oDzDdA26ooUzYjMLHGh56jqVorBI2KFpHqWfXQnfOiKaeUHmQ3gJqgqgXJPg
XXjyMu1cOo3OQA7OKZdDGKY/zcd6PmxB9o/KS8rlq71WhrsoityH9H2cch0cpG9D12n897pieYwc
/LR+afyq8YusiohAP01+xghoDpqnhbTIRqbvdf4xckToYQrwmn74EeW0nXxwQujuUPSyPfdrYAGI
rOlfa4reYLFHVJwRYqvabTcm56xxig0SimZhGOaD0KKG0BB4o1NvfqVnpyJlwybGZ5lbyFT7Jr6w
WSychDdZcWgEyNOtvSiNdyad3SWYtey1IEKpKrs7vfXu3a77FqxnzDTn853C/IxcyVLtszOgSgqk
uxU21VgJ8ib2AJ9mERM51eA3h7JwdUtZc0r0NKY5466mfbUycWCswrZbNYR5XxvTvzKxgttNb5Ft
Q3whB9lwxCZfQE0rFXjDKowiLNwxnV9PtvdGoQ8nzwL94IbeB36LWfWb7Avsfvi8sp05xcWqTvSX
3hvusRwh5BloLk0pdAjXPQ3zwV2VltrijkM2ZWTLRpJ7QC4LQIBkEFsop3jrLQBZ5BWvbM//dqjZ
WOKqwzRZRyLsjhxbTk2ofQZSHbFFrm0ywYKi+0LTUO4tJ35DwCMOBF5wkSTREgNvtCc9l7Z2V+0m
gT3c69OtzYQMqTAHTcRlZ4KfXhDwICkmw6ucyoWkliGkgC60ghVV+yG37MS7TFQwCgioGbm9Gexb
mGTPDt6HVNxKBA/bSma/tJhqqbK8HWD/gwISvhtIsWnylzBDOK4HNcEKJvjFNjJxmNcg5ayx3EJj
bojDwLJck0+Qqc+cPDEKAQRFbmc80U2rl2RtkqQBvrTNMQIk0GfTeiSmwIZH37iXXq8IGBkfcXjd
dLNHocmJjRZxGpI1+Iw30I3UwU2N6KBp+luauPu0mZmGhoukx+vIoGQisIzV9DzS7sz66aEy6Bwm
E/JjG0hWPhM7ezWnmHr5onUmlO7GrHBIdbkmx/xJrxgN60J9TeBiGezvRazuxnpyVsINd2ArxyNO
9F8sh5sGdG2ijRPrFSMDT3pn32qxiI14p4uk2Dj+yCCiAVVpFN3GnMzHIrF/OYoLqYsH6s7A91eV
5x9CHbX7EAAXHWg0LM1RLCGA6ltjZLISkemTQyRICRUh7E6DolZz42rNJQ8hNDouOL5paqjb9PDT
r+gHREHA+wqLyzE4wdQAAGTZUyjXDGGAsVB8i98uGdQIyIJ92Tm/zURDY4xAwEtxDBR098hcucBB
fOmDmugSQrNEbCW8rCMuEIchaN+h3Oi5+5M5zyU21Bop/zEn/WfpmB4T47jBFgK4YArMa0VcHz81
okichAL13vIrkE+lMkzqAmhlRFABRBHv1AfqONPKm6AQ8Af9AIiVTs/509WL6IyEmRv9eSAtkjzT
D1X6PswpxJJDYL1bJRs+HWnEM7PliTdZl5estoNDi46hS9r6aIyAUQ2FfSwGmo27rl0BMHNWdmOv
Ez9FRi+kYIJOVx9b21CwHvSCKbfbBoheIUSO/Y2jpQE1hwFDsDacD5sM2g2RqOGyHsjWQrdS7BBZ
LvDD9StZeQgw7OLJYbS5b8SM5eW+3gPEWKdqESVRua0pTrF7UdP5vOPr0FjFRf4S6ard1R58myhK
gUhbjAjHl8DWYFkiV2EsujJhjnaZf+8HSXZKwI1munMdalpDDWWe3bfJfYK5ljHfnsn+Q0d0TtmQ
g2cG11ErZvhQ/RGFU3hwSHw2Src9NV1K9g+W6Y6Yro3JUyRVqjAXuk1mbS7emNOAaTMI02w7hIR6
OZ8RDLNZRWVJZebGjJ2n/VgGjBm6+iEjbSKFM0m7BUWuHiHp5GxbkbBncO2LCGZH65PQy/ACC5az
afIg3eG4vEWmT2Jcai6Fxr9u5P5Bi2OyDaCDLt1fzBEI7sjRJxpqH3q0nric6Sw1Ew5FBXgIvUHD
jqBBUYj7haW5JveIyDdl7rrUAGO1rGzrXIaQxrF1eji92hfdh/RWJ/tODuChy7kJUTAmah15V2sd
0fOmcfr5h/uMA23tWNSnCEAY9JR76hbuRFy4HqKHEpgckAQWX1jiD2MptU0uOLSYpvVuVMRStpyK
WBACog33kS1/0Ra+gsIAw2goIuBFXC9i14AQMEE9ReLFt0vaaH/85d/+8z8+h38Pv4vrHA5W5H/J
2+xaxLlq/vaHYf/xl/Lvf7z/+tsfnu6ZQngGZbSw8C4ZrsPXP9+hToV8t/4/UEz0iYueYplEVXX0
AXJcJEBS36b1z4h3OEcAFQNgXOuos0+BRuPNmHSauiaxamZNM9MH+Bv3aCD7GnY00l1zTxregzvu
hlbWd13iuVflWDzJOsdjb84yiS64+388D/fPz8Pi19dNV7dsUxc2TH7vX56HN/ayzHJQ78BbNqLs
mh227m5hRFl3hV0rgdFaxcpgCn9fyeQFggQy46w5+4arXSov8HeDWX5UyaBdIm9j10V4Sp34Jj1v
PBBnkIOJENUa4xvWEwygnt5rN9fJg4s+5jAQI+Wu/u9Pyfb/96dk+L5pmAa1l2s61p+fUs9+gBXE
j9eAzSQvLJP2jAqDGU58DINUvIjQ2vYcX4kDiswV7M+Jiqu5hyGZfsd9tdU7l6UhSy5UBeagW3f/
64HUX9oCsXyq3PTmpMo//TxMYChOtOsbXHrpYHV3IA9pAqO0f5xLp2VVlDZkfmBNXUcCUZ/hMRua
odkVZbOsm0xdazGGC4sT/Hw3pU/IVCmzXHc6MMpLn0uX64cGBNPoeNgroy1pNcv40uqcndKIrKmf
T92cRX+yU4QgaXZnZ6a3z0Lr8eez1G7D/c8r/W9/uguan7vis+DZx2Gk/uXT/9x+F5f37Lv5j/lv
/fO7/vx3/nN1+6/Hv/wu6r+cb5vHf/3OP/1Ffvw//vnVu3r/0yfg59gd79vvenz4bhh3/PftOn/n
/+8X//L981Mex/L7b398QkZX808L2RH++MeX5tubK+afi8H80//xpfmJ/u2P/6rD7zR+/5fv/35v
FDe+/lef0FzLtwT/83yPn0Q9yVc0769ci57LquE4oK4Nncs2J1cv+tsfpvtX4aFVEcIxDNv25iu6
gfPOl3Tvr74jhMGDIcAKevof//20/7FK/f0N+T+vWo5tGH+6OVwUHvx8j3/K8rnpPUf/881Rlfw3
lREjx/DLtKdd3uYPmUvWE7rWZjGkVcrYViG+hkqk5z5ziL5Wm0DqBWv5LBz0gO4DFUHkNOrL3kpp
GyU3x8iKi0KVfAlLc9NGeOIbFy6DgEm6bM3iog9psPcYtVw0l8SIsSXrHFFffPEaA+Ry0K7ElEGB
GCo6vrYkRFD/isbK2XpW5Z+JVIQTVxdvsi3VWda7ycA1lPUMwOKW1h5hrymEDdTwLlDBLcmEYMMz
QlHs9AMpWbbp9LKHFg9nBDIpIzRzj4VdP4SySmAgvaSyPri0Pw/Sns+iDWmQI6bQCxAObaN3BieN
NguZ9aJBzfs9cxNva6qyv0QZEHcU8gRkFuQPVO1TODD57Ab9YpB33AL45WgCQ3yKGKf/PHitP1wc
QucWHPN0wteMM/ZajUyngp2tpVW87FHMrFmyfkchB+ZuflkzYpAuPx+FRtVQiXVUYkzawR7wIkll
6HQh55ciymuHLyvOxiS0E3FWIJAmIeJSu09B2MVnJLPx5eelp0HJXBOwxjJNmnadmnWOFKtzzkaZ
/uPh59MSyiaDPw6aWeKezOgpc3PtjDyf4KRIpwGIQLLBZMMfohvSzlbAoaGKwVgQ7HwZRsoa2rn0
PZvGOnQIlWNXuWdTM93zz0f6/FGJTwdj5LT2BdLMOho1ct887fzz0c8DHqkJZSUQ0bKhvAXrPy2A
bAVnv02/pOaEO1O0VLrowUOKTq4tN+GV56Kb0+v84Cznh5+PBq6NJGfS8vP7TvOFM1Vmsg0IHgWW
oWEEipwEGtnP5yHPDyG6nS7NNH9HDZm+anVuLlmKB9BPrbXxEVEtR7jA+GcD/aDoH28L01R3nq7s
lUgjncgE8BVOCc+31FRMSGBz12Vs6ohwVz77KUCGJDoCShJrIfUI5aNjLrpe+TcorxZIpD47OzE4
2hgNzRZGQX9AovpUBaAXs9zKXlRifjul031r1pcMbeYTpptsc8lIB07vR4QhFLVaDP+pHoKtwyB/
2Q929yAG1EZOXlmzPNIBrB+kiIZlv9chbJ/DKXXXnIDC2xBI0snoPf7K4wetay9MXDmO03iU6fw8
Ii0gxtpP3jB0ymWc+eUGyZoLvznx12lLNPwoGfeBmMb7TX/C6lpEvkNFhkwZVvdA98+hQ6esav3i
0wfKBUa4tXNK1zZQnLs0+Vi5zcEizpKpd+DemQ2pHGbCMD9Mgp1DLMG55nC5HiWu/Aby8MIM6f4h
Fik+fFGuWd/y3wpqtgcQOrKH4N5wIMkMrkD2GRRITC0Bq37+Mw+D8UlUoLYTLfldmmiqMW6QzTfN
pg49cXdjhiTFKPNbSMDGDa3QBJX6jRgK73cejrfBSIJHavntEBbd0jUN7So8sWyqPKdl7k+X2EJy
bDb9Z2wE436MXEK1WMTWCd2sJ1NjWu2Bt7g1sJeYB0REdDu08tPosaum6jUkMnGFKfgDCXG/p7M8
LGlYUjy95o4+bNvMPqSxE64YmI1rPY1/k52+jNFPLjxXfcZZORy6ILjWWAH2eVRHOy0PkHyO06tq
83BdIjs85fsxyYNTTaWyohU5vo1Au2up0udONo92Ns0L2IBawlfFPlTRVU6EM+Qw6p5ckT3nMgjX
URUSEO90N7NAJ20O7t2IbmSX2vNyo9eARRiB7LXyUU10GAg0IPROXbtWRvee3eErFEs3E/2vqbrP
+wQWTpQk+3JI7Vcpnyb3g2az/URwqn3K7I3gDLagx4eWkI7qyp+u+djVe8/L9EvdsiCu+llVUcS4
ONRYvBUDvVvMeI7Kyhtdpc1E+UYzupSwarvxWfh81vGe+CZOI9b1aI+cIFrXadi+9pKFwh9650yW
R/0EXIt3k+jIqjS0FfFMDeImjSDH+dehpYFjh9nqOJreeeiccOshpgUyI3duileoTK1pWRhUiwyJ
SuQxsDtiGJbrKBLeK/rgL0hV5Phq0OkZvQT3WZbffp4Mcv+I11xeicj0NtJVwyuC+mez94v7GArd
rm7AZFOtPiVDqb8Kt7Q3fcUJtCtN/bVLGC+k+bW3NRB9Wa3dOaQPwW7iNowLs8SDEJ7Z/TCLdVTy
cxLkEv649uIw7yvJAeImTtluCVM6SQ8aWmt4IZNrDPqJwoWHqek4Oe74IvxL4XXFFjzb3OVvgz1R
nQKbADC3kPzEbUjcHkP2wib3zzHujCZ6EOSZOY7oL16CrXLM/WFPtU9UwuB9I0MdX+1wZHImIeFY
oIDp9WrFo9KmHaG1zmsNe92wTZzp9eyitwmmsGiLLIK0mC5AYLptDxtvFSNZrXwBxCibUNWTprV2
uqfq510r+k+v0ssrggMdTaTXI2iazkUcdveNNOHptsa24yOSpD8s8ASvZZt9m3XUHrtxOHuhYT3E
wr6TLF2vBs27pSnyx8EMtI05//qDmT0RBd/dc8fsorY2z24eP42uovneE7dR2kW/CUTlL/pUD88t
PKigocmDXqF80IMR20Hye4xZixjevjHI/QKmo8C9EOcrjPYbwEB/b007o9He4KBkO81gWgSGZ7pP
OhzzU0W7i986GBq1rUN343u4isI4NV7rAOm5k5tXX3YbLHT+BQvB1WnC+nWCR7PVM1B+ipkl83vD
ffHSycS8XIdnkgJei8Gz74LiSyh+WY55b9HIN+p2g2CVINDAZ+yA0L94VShV14WWmlgDzU053z2R
n1mrsvDOSQbyWuQ8OZei7L7q1XPhHEXsVy9GPYEmbIhNbOOs2IFob0Enj7QLspqTIAIQQG9Juqfr
il8rep1oNp2mjP4ZAbzxK4NIul1j9owerli7WYE91OM6AfD6hEQ2MfPiuYPdsyZRLFvluXGzkIku
8zaxSFgm1bsrR33985OjDhuhEcmvSNcNTMMlInku2kCGw2sqEn+Pe2XvTEw/LaeyXrKeM5AZz1JN
2z4gT+jmVQxRc/oSd9oBy2a1L9raYweMeFsks0qd31M0wtnFhZWdiogWpUuPb3DK/KHm0IwgjNPH
EIy/p95uT0Ez36Weq63Qv4OVjGY8RyofcSbdyHfo7n2gkFuzY7vIcnVSnd6+9ALGGJqwjMB1qJF9
AfAbJbl9DBoue9uJ/GNGGm6hpuHF9LbKiuxniHn5pOS5MREzQX49ykTPjoMFWo8cUKhtxCamFki9
alTVE2z4FSrtrctJFeNP3FyBP/5ikOfh5yuqlYDOCQg5BzBUVtlrbYwcFVFGXdgU/SP+6Y5mmAvc
quNVcdrpYPkZ1bNCgdCVjU6BbBOSqWXVQQTS2RqS4xJ7I3jAILgNGtSsvKe1Qd/0TQpLvnax2Wy9
GaA3zxzhU8aPAgPywm64ByMk8S+YqPvEsI7+yLEOT3B89sfQXLQsPS8VuxiJcK7Yjv4t8KPxOWJ9
Rusx3cla5E8+817gks9uRtu259B4NBkmLs353dJjUiWSiZGpnpVyBQ87OxhdA7vFA0feZcVBpsic
2KdZlztUmDGLTqVzrIRvYx+4QLBkGn73wh3PyznnR7Vjuvv7e6MZ35ZTJ3cDEBKjem6MR8Q94oVV
kn4FShNfwAH92UL8iD7ymHK6yeRQb0SQ+BtDjI95OfpXOpUVnYaEiDPmh171Mo4Izb3+1CAPWig2
TQzrcOUL5rkXn4xTToAkdQmEz2tM4pIonDlugBPkrIJ1iFuo13HXIM6zOdT4sUxOtQvtO2LHDHrv
JTFLi5O++NZCZgsYqKoI5zIWiotqtM8mKpI7u6o+9BZte2El7Xls51BFbnEUJ3ayxoParPUpq3ft
aHsLaTB/zcLWX49GZ+zHpiAAGMZYyMJSGUbyFEn9xKQkQtptfeu6QyqCZgareGr77WiicbCA0iyb
VKFMJkhqkb0NLWPDusRMUtJJXSeC72zOlWuWD9GcNCuq/qzweLeV+ekxJ3rJs+o+tAN7yRisRRAW
vkUNxOWk56IsS53MygH4i+khNxWT81yULuYfX0cXRXy91c+MLJcebwHTb3QlVVHzRpufPo+TmMe8
BNDDoL//DutMu/08RO7wRkdNO2UtejRpemI3qhzYk2lZzJNH7SaCwjvpk/5uaKTEFdRfW3iRH7Tw
4m3UzDmBISHdMi64NO3i6GvxtBZQhVOJK9Xk/Vq1ePMOsnQvgsG+1IZhTeURHKqGb0LLuM2p84gv
YSe0+q1ZNLOu+1Ra5DeWIIpRFNhvUhfGQzzmBpLA7m5ysCHkkDffc8axvS+sJ2GW6TYRgjBsKLAY
/as3u5w4nIqaEJXkzcg14n1tJokqUQBBVfOadGKiYbkY7ZVfJbchGao7aflbrWyqLdRha+u0Wn9v
JhXd/XAJ17I/21bGlSyZCYT1sSqqDdNGZwHsFvM/TCBb8BYomMuxD027VLOpICqPuRvvZHJGyJev
o946uSEWsj4eHlSkgQ7QxgfI5ddcc2EAZ92jQSly/Xno0AohjrM8mLhY6mIIaXf9gEi/C1AUpYKg
SHsGi4OQSh5ENSQP6O8Z5MscOgn0gdXkmdlGq3XvWnOvE8QDggBI0cnD6XVfavD6bPE12HAqIdZt
AxfIq+fExqJpQVWZdGbvLQ+Vj6p05tajUGvsvpE3Ie7ozWNWDcZ93VnURw6tAgcuvjKeSEXwFqpv
p73dei894dunHNnuTGTrCCJoUlJAZutbgCiLaFVim6x1HebRvgR9jizlUrWyuJZx9awwfuxoenFD
zu9nyygNievw7BVNhSm6GAEx4dCsYejetKo/igyalsIsvahA/WyRKgxXvyt/Af3Nu3sjxtDnaGEI
FFdjeOCwIUlGWDGm2SjK6pUaK7Iq/vlQWt2KirzfCoekeG0ELKYrf41pd9wZwMlWug0reOpq5Oj9
+Gh2Dil99jawIn8jmMsym5NnsxdfKRML6G7rNhflEQm8HqoHX5B72TGWnopYbqnvZlN7HFWHqrXK
vz8080dJWANXh60EmK1p96TFlO45yONbV9rZKo3rS0woq60eXcpQZM9KpotM0wuEDjnWm960twP+
p4YmHf4JRnU9QR6Esi6cCRwRoHkKTPxLNX7ZPg4hchN3o8cDfh15Cuq8XcqOAohIZ6OovF+MnCRO
CYqC8tUcWFWnDBqjdEtrL7tYbYcpYDlHOAgvK755Qn27CLNZrnRxMlzrLs7CuXs24ONOknqPiTbZ
IL2FaxWX+gl78raNkvQLQwdsL3PUb1U+2luBJoxeV7N0CYiZOt185FgAby0Un1mDqZz9o78fPP3b
GRJIe+HwZHYxtasXjA922t63MUKHyjhH+dg8T9KL5ohQ81EDbQWtox8PRJO4F/wkC6VylD7w1PNU
Ro9p7hxbvM6vvsk+0UrHx/AfxpdQh4MPTqSj/oXi5dYzJ1CZJAZEhOHZ1dHy5IsnG5IRdFGf00Cv
gbQH2TrMjPo1TZOTIQZukThW+HXyXxnd1ifyyeYUKntrkbV0ItKvWNdWDgfQnpI1b4Kl2U+J7ml3
Y/TdVeocoJz7pD569/1meHQ64W3qHolBgkUgQYa8SiKf6TPcuIWeNDDowjy9jGq6QPryQUgDGStT
oJ4NTcllN6IKoAGBQmJECmEqEiViv+53IDFDSlLjWPWAfYjpeug5FrcSMP5QxQd8JDnOZROZv67p
axngRyox8wthntLOnfkVQjzYVX3IRLgvW5C3hAuFh85zPpXlT2DC7WdvTsWUveluTYy/K6wZmyGX
sCGoJPtCBrtA5Lto6sxLgRtvZdfoHSbb+Ryb1LgWttSW/hDfc+/j2FQctYBZf2tmwtGDRsNTkqCd
yI/oYpx1mc8U0qApHlTgULNU5lkW4tiPXoahQzfXkDTLc4PgTNXU/HpOM9J2HlSaGA+lYx7dJvvo
ZAlurEEMYiSjeWRAfOp64ytkAvaACvw5jA13p1AHr6LIJ2o+pccZaO0NefKLy7w/wDxN8a4YNnr0
YkN7Z9X2iKeOyDFS1nXKIljHiV3QlPUT6eImt69jqmXXJEiewiKVqy4wjYVtIM+iKLOTarrrbXYb
HTCxMQCfMHpod72LEowjCfWCBgZfHYcMFQqqVn+LDyNZUozZMELc4SnKy7Vpu4CuxvzOR7TjptOw
t1JnS3xjdiEN/pGQnJQ9Nf+VDg7B1mWNrl2zl9IeUHB64d5STXZBlkv84+Dqm5IUYSKI83Vfs/ZU
bvJg1WZKamu6n0rXWxeSk5VItGc2U7Lb6v5mEFxUe325Jt5mXMqG/q+u5pSGF2siND3mwgskiJA4
sF5ZvZ8LcxKbvC6IglMQjcKwfWYPDvZT7B5kU5rXUhJO2ob5saVTTk9u8FE2IdJoBkilqX+jTYuW
lMuBHfvTHbphOWINX+ZBl52DEtw6c4wax/6KBG4ArllIHDDyj61QnxIb8pI+sbaSBm0dDb1BYptX
/oROu8iOaXAlZLdZaTF5dyh0CGMSIF8UY/eUaWj4DkOVNj99qcxKj1VlVLdYOihpE3ZVPdZwuXIg
MXO5s82T9j+5eq8duXku2vaJBCiH28o5dLZvBKdPOZAKpPT0Z6j/fYCNfSNUte12d5WK5FprzjE5
3R86abXrwoY2mLg/h6BHCh5C+C5DtHc5LDk3hN0y2fM/n2NGovIbgSC70gn+ZYVIdhXsvB34JUwP
SZ5stcOP5OCGh+6RoBmotLvXUTzdyGyNIaqGJ2Jzxh0x0Z+R37wyip0ux9zyOH+ykGwcyFjPDrea
ctIDX+GA49XTIy3vngqnCwb+d7PAwV5OCD6TsoruLdGqQdzfiV9ALTk4LfLg+ea1ZfoqbMe5h3gM
HD3XOyjiS06Soe7l4lj/foQbwiZqqrhHEmVIHgfTlfcQKFKXDxw8o+g0o0c76QS4QkUu+1bc7EQE
dx2BBKsZko4hSHtLN+PZ7Yzhf5cQMsAqTAo2v5g0QCbxzR6I8KNw468MpIO0/3SUfDthugbZFAi6
bDUzUhXQdQEwt2fZLP5LgQjHVv+ZRRLe7VyC9RKK7MZZZefI8z5QpsJcGxr7MCVv/NNzxe1moTE8
EjjssC0CUvjgJfW2IfIowOM0RQl0WkscwlmGuFAGFWk99GJOcZm9VrBjaqexj5VMThb90kPJOG2F
MazYGjilTkNR61Ma/v+P6CRM+8rwrhjbw5seRXSrG6BWqRaX7y+VyIezvp1OTSeHHb2251iKozVS
gPutc7SZ293afmAaJaKMRZSE9Hp5GqYcmGYiKLdx4PJ0uXz/QZqTlkxCAOGmxjoshvbWYjBZ05D2
9hJmAeffRbuXmvkHYSjhOZ8+6BNgAQAF8uEaEil7Y21kGkGF6Cz+WJwU73JLBf6Gwsrezwg0EOZn
1cPy67sELnagL7A1huUuxDv8kdCEO7hG0yP85KntK7nvVcOkAS4+y2Vuv8VN3h6r7N9scOwoisD+
cPh8Qgn2xFaykz16WAgYGV77GRdNnP7ryvhlGJzfJGYln45NblOJ+jMwkl1fpnpXClJshsAdzoWO
trlh0fP3kotlcToVoqai6M9dZ3x4BZTI2qrfZtehe6n19BjrWe0Q7ourBGBwyExOlz5LQ+4luOot
cplx+l8UQIDAJaNK+X27y0lO5OSz7vT0TjlG9m1u/WZ8mB17Xx3CmA2So9uPxCTuGQ8nMJNFT2+3
3j8VeBAuZP2f1TQccubeIDyaaGGdkNUAnaA6pKW5HQdvw3yIvNs4wlqVDhvCCn9kIrulPd1H7AUU
o6Rcdx+2m7TbiQD4Y1OTVZC0KOZEC8fAaXrc3RXCLsdDz4VjYRXMMyfevD/h4EyOCi3+yv2w+YXv
Oij+4OEdAmOCfUwWBRtQcyfpr7n3QVjemuQzAfqnc7M6mYP/PuSuc/++WEFGQdg82IaPFY7wjYUn
7d407gxYO5/Q7ktPmI+shoWAmMw72FFV3SKDFp9pjvcycpqLcMc9eiW9lxF46S6Z1A3bPJMXY6S9
H5L2oMfhCOLi1QlS+04fzPrfJaU3vrOlDRULJmxreBSBpLgRjluRvbgERfm5/SPvIbJ4ai7uTDVq
gotwBI2Gb57rKHhxXW6icAkUJRlSsE6iB2RGEtqHIHVOWDBvPQcfzIAS4wbNiS4I77ld1I/vi0Bl
yBsFawgYUHim6LmYbZ/uOx+faOJI896UxWciBuP4/ez70mrbvM9OsRppW18yRM5L0s6ZsPs7yznI
JbNLd7qbaUjyP/YF+knRWvqeK6Hv4Zj71wZrDuVfta0J9dzEgynJauKC2du4KZgPhos/zWtcZ5dm
DPvtrvPWAYACT1XdvnXrR6khYyXttKevBHxA0amQQ+hROU02rE6yu43JeziCc4gXhu0WOpP3aHUB
AUwj6McDJm+WStDP2ttmAgDUjsHX1Nj9WRKa839dvr9W1BnuqsyyT3afc2qYymcRWukLqfaP2OQ0
PqjwyZRXg/DBFNEnXQxtvQ8pSP36a5DYOKag7m86qNQ7kIq1a9bNVw1tDi/xCdFpsgkDi/Z9iI/U
yK34ZC0K7BC8fTLkxntmDoIoyvZ3Etnchr7OvxIH4pcXNeaeAwdPA/3p+rn74Fybv9L5WaZvoDyl
/+JPmTjmgQPkbgjSLyMk6H5gOTh/P529nx6n45PoCcAUg5XewpD/Y8DI/RV1eFsK4o72dPSTL2l6
f6rU8e4qoVwS1uifuDO2GRDbz0GXzmk0RiRGi/9YRBKxe1cGR2+hgU2kiiVeXZzCYTwFowzRdKA4
uSK2s68mfehNIksbzre/gP47ydwYU12X1aeC+Q+DqeUhSDEyv6oZFXKRvsoRYerU4ipMOxW8G3Z9
byuj3Fm27x4doQCh2+74gHNt43kBvdzqdPxNkuP4W9AzWFe6WoeR4Zy5P8WjjamtLV7Y3wRYY/RL
xo+sbWAs91Z1AHJXbrXH6cvK1XAiCGg4VQEYIDKpk11YS/uGBvFTh5X5zrQMLXjvHgGMv4PCASlB
g+Gucvf5/czsxhTHHQ6qSHDqaOspPVpEWwTlGDNNx6ngKndYz8QdbQnAMzgLEidvT35xhS8sDziV
+nNvkwyNVtveJq0ZzQwzXby7S1pNzAa5qhqKN0jk9+8quAuGr0CCGEyzmFWu8ddj1OWncfKAXHXE
5xIRsw3aWHzIJia9qTX1nSODeDpZ9Stt5GGc3fiN0aexyUZI4ovDVHpAjKnDAlbpoN/VNtuiw8Qw
jPy3Mkz1JXe911aW7q5vuv/8FpEIGwggd7cxafL4V4Pom1aOH8W0rw2ZXzhS0LiY2j9NXHoXBu0G
/vPuFRMWrUTQq2H5xlgSqikw/66wHlSlBiGFBOVoXf1t81nxBrE0gl0mksUsNo6d5886IX2db0/k
kqkOFAnhKi6ktYlN/12OC3QJovJ2Kvq/EY1wmtuQ5VObhMjWvs1FUlwCcAyAukImU9I4+ouIAvki
xmHtzIc4NHcToxsnNZ9uCkthsuRrFGPwJsFtQlUqy4u2sXRkmSt2daksJuRAdVmPDpTBcBMJ0loj
YEiwZ3CZRCWP5lAhCWqH89A0v+d+FLvCZ1HSrvvBoH3cKiaehmn9DkKWMjtIkXSW/cnKy9+iwSqI
YZhYOIXCP3KOsz+6lz6c+cCiayoC1zy0RvKnYuYkInFtfPJEw5p8awtlPTUP6ozKnW+9C7svgsbK
IC+jnljEOkOLg5kIIn0pAm/txXQOUJoz8i/Vz7EMqjUYEcQteliFjRcAKWt9xmzbofTyXzE21zpv
nVekfT8az5hPCJU/ks/ANFDbSnvTYOre9EZAVzpnujDV7cHvkxM6KxZ2DCI+u4hj6p078vondv+3
tpP5MX4FBIwr7Au9Mf7B6K92DZ/PbWXVm0HFIzHVJB1KGnLEMsFr8zCbmpV6hUH+gkORLiMV/ipd
9Oqp86aFp8m/or7rY0IgE1OBUi6XjRmR3CYgWvJEvQD5kvUOF9hKCs75VlEfYHBqmi0w4tKq+Oql
mx2EAZyPfAfMDiUOq1jU5jYqJDVulFM9pSO2KOXfgpymLebJ7MUOzC3tS9aoJEx2xVQmHJGrR8Yw
ZD0OygH0GdwCM3W2QpT/FdsA49TKTPitaK8vseDZpnJhSCEHw2FoMavjg5nqa4LXEzXNxC3YU7B2
1gSvBEl2UjFfEBz/ypFGlZciFtHNF+e2kFyEau1bzwx900uT2OW6t1LGQvJPnyXiiG6IEVJemYt3
m96rn5wJWFKDle2K8UVUw7BjGETjny0IuMLVr00aReQydwJ7Mb3nS5haz65jshoqfzh2bf/wxpDO
VI7ZrdTdUi8Eb0FRv6MVss9mDCgiW6LenbcpYHYp65BxMJxUcqIY6DC3M26xXW4MEK4GrbGgbZFo
9OGlFylp2klMBx0fRs76vBbMXyMTWkPiSfOIrOliFHV/9532ULIl2sKxn5Yzy5vnVS9Mx7ZxuzLb
5CFINYCt5AUw1Wg2J3UDLaUWP6CFzruwld5ZwA41MHa4S3qMjFeEtiTv5Pepg5XF/7WqhpRWxBHd
rbA6+ikgJ+zrWGcqaN4SwYkhdi5T17W1OGjHMYZ0j4ZmZ6Xd79aYvkiPng8yyeGxFQkT6ME8oj0+
F60T04ui+J4j+KJEBvcbj3edvmm5HZJXXznYPC0bSaNju6u2a6YPtXBBSELhM5PHj0qUchHIYLUh
b/FcZdluAtocIajbmbYiR6rjpsX+s5F+uh5AwewCB9+eb7XmoeyMrQsv6gB/Gvrk7J7sOfshh8jc
Qf/fT2r6kTV9dcfxQng4ggqTPleb/7JcN70w/if+AJ7dhtBY8iWyTp4s/x8Bfe6Fu3Zjowvaiw72
R5+jaeqwUZpyCZZh2dt4hh+RN2A7OEWC9wTL+EnW3gdqSUoUyt8q7/fxFDG+otvg0I4ZhfEjDDO0
omP9p+IztBrT+cXrPdBVuwk/9hvL+7XS02ao7HufZs2LZCWYWlJcCV3BypzstIO7B/sl7GaT27cZ
1E1I8tSzIl1MgsXrkHxmrW0xHMThYrn/tcKOoI8FyAlRE2J9wmWo8E9jtF5c+tUeVYuDKxzkSekM
yDuZUe1RpIpan8MZzV7fXH0AgKvGglOU2d1HV+CN9QUJ3uAGdq7ABhPR3PRqEqm8wLB2YxL1287u
8b54v0p65WLaTBNqUW2Cb5zZ3cEv4h5P1M0LW5AU7IW1TG8DKz7NPVwX9tIADLy/kgzqtAs/S7jq
dH5gr8TqlPkRffaoZx3N1XTJ05CfnxA9aHA/5WgQut7WG0ASzz6bqm0VwisyJ5djv+WQGRpVB0yY
kqQT65j3Od+xJH0EuCoG4PkWpfDkua/yfWzTsuGFNYtCbNuBqJ7akTvHHib6QP30DgTFC5U+NI4+
lmwDxCKc/UjfRZ9hNmFOtc/BWilCViLLR8uXGO7PhhEIwRoQw10yoByHSK7CZj9w2GH5GYOPPmAa
AW9nLUKDciNlys2R1SKqA3hEfZNoGdExANiOBMy3pjzEtd62Y/U3j4KLJCYimoZDi1Zykyc5asju
xZjHbCf8/MeUVS9dIU6g3gymEZxzEnKvkPan1tWLzD8+/dQijO6OLy5pgn/JK/e1UJAZS2a5DSbT
qbxM4YeTjA7hH/m/ebdck3EY6Q9Z6dpIiJkq22QPo8ckKDYD1RKdhqHSW7ey8pXfeHcDE4JhXhJR
3dJYHTFVYA13KbS8Mv/px/bSUZMv80wiZmxDW4DLe6EhCeCAJj+2x61pMkKe6W8mxAtuzIbhvplg
CDKHjZc78VHEiKxbGBSmkNi0bfyKZBQCoTXIB1kQOY7ZDVddc7PDAQIogRqYShABMdJh2iE7r3Rh
goalcQ7IUiJp5WpXitaxx9tudMTKuADhqymle1elH2Y4Aj6c4bM4zHx1gyBtssmVwvFIzEhUG89u
uegBggVypOwUZdbPCsEXwmw3TNHvil3FSnuPrHQ4zFbhYB8ddX2MqUMuRiPB/nTGSJpVwAvlaA/L
eDtv+LGqfYA/7A0eqT4CfaLnULvtm9V288NipOVIMmZ6QelpWoRAL49cPEiN107X72eqnoJ77rGM
h+6htucbgll8G7nmTsxLhDq+9sgWJuP24SogiRb7VLo8q7IPLZv0hJ8131sKVERqpv9KJzX22LIw
U3ckrtlD86OwvelQTshBMbsQqJsP3sEJlNo3rk1qrUNHcx7NfaehIk0TDc8wj3EBg8s1lpFaUlPB
jigQ3trQPo0z9t68stqTHUv/4HUVbhNvR/jb2l6od6bS/Svzt/XMWQE+hP1jBGS1aULIlQ1m9W2q
J6oA7K13sAp6FXdFdZhI11ggGjCVR7AyMVCjlWy1sYpDV26RwBLkogTywvDeFpX3YDS2RPPG6d4d
qhKgvmmjyC0ibo8lMEydNUXOGe3axh21CXu9rde9Lsv71Fsfysv1LgzlS2jUNeyKZxXWEah7MO8p
p/P7BLVrR8t4Qj2dquds0TwobJxOnpynHzo/Z77cNMSJfqnY+upFcMl9qS6SNp7KtsiDm7faEuUm
B+bwIlg/Ns2EpIgRZnGi3bsZwwy1DJE2l0HXTLiqTWrp+hqoixsX1DrggcYBBZqiZboSS5het1xU
NxlrN0OfJqBn7YyO5SpYLA6iD+sbzsJ/ZhgnxwZ28t2w02dWzuM2jyy8U4qQLTEW6sNfTod1yugI
bVCt9rodon2IZuGMnqI7W8tlcrpPbIbFbkhihgJG8+rn0ym3g/xa40He0Yp8loUfXTKmf5LhO2mQ
xEcDPHB2XdO8T0jh16XgxsknSxycnK5+HV48JG/MxLv4TBMN0AYyVQens5vw7o3zOSdV+JSE3LZ1
oX4K8kVIWYvtMxqV2RMD2R3jj7j3P/2qi96M0f1Sdmxds4mU+Zp8ZGdIGIxZzbCK4/gTTQqY/HQY
3uzK3pW+JNJyDtM9pVhyD5cLZVi4gX9QbMjZ1aD32IMAlqm3JJ4PEHOGx/czPsr5qvVAnTpps/NA
4t2c5fL96Pui2vyGpas8tRLdGSRFFEdBhVKZ2S8aMXu4YFwgiMEq5t1cDNEdYs98dBpESW5kVm+9
g28gRu+NP4IqILLiz0aVW9tjW9It9kVMf9bVmQ6RjsUPa0qOjk7d92DRAVtEb9sjpM5u9vZ50T9H
ZAqO4crPhnYZvm4D1LtdPi1a0m+VQmqV+mV7dJansiwf6ADIJoqaR18HZJU0Y3pLDY1azei+Si+Y
ToQbz6eJHtlJFjaJkC4pB9AXeRGicri1ESlyNgoxpI5Bh2kz/BWpun7jPyo3URm4+5i651b14rUt
62orNAcP4h/M6+j28d3sa3TEu6maEWF6CcyuXsfEh+U9bMV5MwIK3wazCdY1hAmHaDu7Amfx1wxP
yFKe8nNfR/4rHe4n3jNbkXmJQmbh6tUDed8c+ffdItbw3dl8gP+7owiO96ZA8uyS93iPRJUePMli
llJxv5roKprxFkzkt1XSPEsfLQrAypDO12Rg1Y9NmKEx4FBon//nUYDC4KhrTQMiAS22XNBT6XOa
deRw4FI15sZeM7iPn1bFgURF7nq28u5Ze518FkP+M5d8QurATa4RtCi+ucgk1himpxSEPTQSwYqS
imE+jylBCE1sQwsahv6RhPOefqlxFFVFoK6n/LUh7HIRAF2k2XVXy5h+YJstz3K5fD/6vlB/wob6
fgmpq9/ZSJtrE7HsRM22xvp9selaAlrX7bQaV9uhQvDrhzlBpa2ZqHOYeRdFnC0HYHFRXqFf7b5g
mclA5lNS7XAp9R+E3D2TKClxEyLW6WpXPquc8DWdR/mhIroxXX8/Twxu8qIDZUIuOc5FWw633kOh
tTwbwvSjFBNgl/ITkMOMPSidb3CcaHT17Bbl8rXvPxijZNqQSxZuIu0UO2PISERfEkjswniOfaMu
2hpvvrRIMXRcjlKWty9YwJ6QTf6YZjk8TGt4JK12lmhz5+Q13oChd8n4sKXzAiAxxqFPD463eiKp
waJWHJEAMmXwavOaR/QQDJactcY1vUtUXV49qcurwe6xL5LkD82AAkYQmQlQA2Ysxvss85J7ZN6z
cdRn30VNjEoWezm6Z8z6Tnhpp8Tep6XLRgXH6Wgh7lxhKYfxSAYGhokAfBu3myoRdAbT/XtLQYju
XONKH2zLuTs42wHb1+aBg4616VOE9Ihhb20gmnsl8ltchf7pf89UF93IMh17ZZ6CDOAZRwcn2mi0
X2vGNfJp5kHFwWi95Eq0OnJfmNE462LkJerSMbkWFmRZCOpkIrYzexaRTPfvC5RaZ/N9Geh+rz10
tFsOhhGssaLd+wpvT90vpy+n6g+642zpmZPcG5R/tyLuuluAbiyHIXiVfoeHu+u/mwzZ8ftnNSvP
PIWhlW29KbeIJ+fwNBcE5eWpug0jYVQrVVP/Tsult1NrFeSvkYkF0Kaz2K3amhFky47XF2ATLJzC
vobZRK/cO0OJ7o6FdLcCGwW7Y3+n3GTsSsCFREoRrbu6RbHTEKMFzeg10oRZQohEvc+eRqtSVEzg
Na25kH7fLNv2r6ckwwkA1GWvkJOO6j0BJ8aozLyaYOGxDgl7x/0ewXDzQKzn4Wxe3F7AoWzbL69N
s0PQY/VxhubaYu2GHsHl+1E7HYwh0M8I3OuLiEsUzw1ziOUuGV0GFc5kRLuc6neHtvNPYwzWhlhz
seXOXbhBuN+sMlBgASLAsE7QnAzvK7Ai8WZhKXuf40/V4VsO0lNltIjCa7kex6B4p0UuD1PQEvJb
YbDscWcscKp5nVO6biY7D66868HVtn0KbGP6E3QlEmUjz3+W6OwaT72GKLazzMxffFxUkxDYuQNC
lEEfsVfFxB1iTz+MvcC/UCP99oO8ocegxm1VFeqFT1GB4Fskt3AqmCoyqz3C51YvpurzLQ2HGxIh
4xqH+S0sGcjjkKvfcZEy4Wr8dh/o9lfrhhNiLHN+khKIDsB0ruag99CV+xcvxdKPEnEM/OnHQnMs
MwGlwIx/+bq541qyPnUVmFAh6KXVAV2RXiiAQ7WNCNno9mMRpruklsFnPL26uXyQXzz9bGm2LclU
29mfbABwKnvowbh5xcEwKvXDDAhrSpNa/RgXlIkWHx1I4VcT6/s1ZwSU66Z6+z46BNRHVtuGeGDp
CGpORpdlcHVISnmN/OFOIxHnoZYJ8ZRGcgPdpVac4Oa9mCgoxs5uqd3G4NCMRH+gbu4PvWED8ELD
RNST6e+DQROJrP4KZN37hpPgLu2pKpFk/bJYJohYyBkxhgVBc5HJQbr2XikVLm21jbM0fdAxAUrC
AX6TVaq8hzFnMbtCqtXx7ubo5pSZdbt4Cm/5HDIJUvKEpBxZ1GjtOfW0L5wceS3m/qU3x+oXMpkI
Q1K/rdtYk06d8C3NlFhUR9Vn+ZG6vvU5h817P/TeuvNSoioMpaGKKXpK2gep4jYBPXWiMcsgyk9O
GQfLnJCWcz5folRaNxriJDbKDI1wtJfk4fxyJCWKj/zxnDHb2doO0e9SLfkhTOZOVMM27bkuXKNx
/j8HcdQuWABsBcB8pgOC2vdAMcABo3CeUT+ZP2RDu2e0fHMVZMShM83M8RTJ5gpSEvGXLsNHqqM7
Qt9mP8DV2nQj3swqmFGbNsZHWJFai2R4k9j0k8Xs9LdSDv+G3qVBA8eUDex/74RjBmdcVf9URKNp
ANd3Colce3rmKJ//z9f4uKqrOxrPytsqM14QM6a44tEbXyasjws08Wk6Y34hT6vcqLxPTwXdGKb+
dLm73EsPCS/C1XC/rCn1T3QXjzTUBccOjmPDOPQ7z9X0iQu72VnxjAMsZRHNy/pT0z5uBkfd09xd
51VGHsLUwhfv4/oQkzGw0l364nZt8Dk7mPRCj88uilywU2lbn2zcoKs2cqOboZX+VdT1rVNF/mhs
3qs5tcbTgG8n5MN+gRpL6HcQtrvMaZz19yHOHfQnAqXg7IUuBXJSGOxQzDf6jBOjp6tlm/tR9J17
5lauXmLD/uonne6XiRh75OjmB5MAP6Ze6iyqxcxd4ioKCg0iZanCcpGTFqKDX5ay60MZzpTxhGgw
LIErVPDrzAzCq1Imj2ywcrKCNHl3NPOqgWm4C8pnvcQrbnrwiCnQpG1iWfqiomzTIWpiy1IIeM1g
W6YVdElfwzE1D41R0+N1+RxLFF5s5J4POXJmbLxrdTA/XRciU+KgUaFe/h3KBPTrTK4rYQM+x+e/
Rgu0ntFjzNgFux45GuxUPT2lDNwlDkm4d6YNaj44sJ+d45KgVNlm9JDp4m3421tn9CrGHOAfvZy0
JVIp9kY0ZY9cKv/VjtsPeJ1ngzYa6phrJJrqjtoAwcAKOau17RZZeULHeABguPDxtrjQrkZKlKxD
LxXpJDNm4ibx2AbRWqGjq2P9V6fE4BLTYb00wQy7W9SUKcza4emDJAq2YIUQwHtlSDu8PZpkJ8BX
DMV2CNp8x7Bd8Jv7/4rUBjMaevKJahinYEX4bVS05xFz4n9sZjviN/emUd9t+cLqCcMGtPPezXYg
jvytw5T+yyJwAPxA+0fGNQeShkw9Mdv+jgAuzJa0C1PjPyzt/cHUZBghZ0BALIMrPPMJ9Fcan4uS
IXH+4CS5g3ylnEuYRC5MOD6OWTdkv3wz8+HhVIKqJOqQMvFbmHQ3OPcUxoFKfs2OcM4y5m4TI4C6
RrZazelPRB0x9Q+GaOO/NI7MbSyUvxKUHkBwMrxrVGiEYtnza4x+8imQqHDTzq+lZQYnaEPdKuuB
tTGh7o6C8cWqbAQT5tLXe5NbczMsEijE/OKEbw3fNUzmrN1ZyyxGBmd63YigicqlgWG8Jz0zvCLN
XM5kWbLGVJvtbIgpWMv9+O/YeObBaP3oRkHdrn1kUFste/Pi5RnFegvWuNIt3nPRPfo5T86Np/8x
5vsKi5RCskurd8jDK8uHNK7N4jB0DpujV/VLAI88Dd1wCWoHH/FQnIxpvOhlb8TpUpzcwn/mc/Mi
OCyfqQSIYpyQzhj1/K+qzOaloLPbxuOi2SNcr59+MW2Va5OJSTDl7xKqb1fBHg4KZZK8aUQrIwNy
xQKWr3XarM0x+E3Cq78RVXkJSzQNM3Fku7aVEZ81tuZUDsfSZ8+nZbnWVbRXo4nme5bvsYhfU1sq
mqd2vOZFQPKsbkYrDQBSWKxl6u9E2+T0qvyfw4zVXRJTc4on39/58DgRMm/iJLoMWTLsVZwxXh47
XEqMxScSTuDmPpAJPuqRgYqcgJrVS2RVBgpq1RFCj0tI1GtrnL+ILje2dK7eDEJIDpbs4M5E6jUY
EcylUH0LTHwoOFZGkNyEhWoFsw/hMixZvR7GD8dLYmDOSp1H/ha0cgWFgfdtRWyA/7Pox7/SFdxb
Pp0rNN2/awIMCxSNu0R00RoH6jricF0ZRrzDh9ceOBjhbOzyLR1GmneFulgpstVWpD07r9qVXRYC
t0ESPXLiaFBtqqE8dTFyQnPgUzwtF/lfvaCBOpc7lOw9ANFXpzWwmgF73TQ0gX+2c7KfzS8pyuaH
GgZjI8KsP43F2L6PASCywt2hyFIfqGYetu2yNYBUgdMTW8dyqOJ9mQ35M+Houranl8EW9sm3vxvg
iLQRazPrIPEwk+XEkJHQSsf3rR09K41Ob7qGMyRk3GCvFsgTVAbmY8Lu7rhpcqYTR+x7ZrifFK/0
wnGCHexJu58ySF9H4PAYceSCcDPDbe95eyPzvc9ck4RRlSFAuLn2Pxlm95vJb28gAuXWL6r2PlDp
OZg3dtNIfZbp8o+ie/VCKG+Pq4RXdnKsF3OEIlq3c3mdXebvsvk7wYC4AwJgYIu5Vc0poPLoik4h
28M2RxSoIiYxPeyAga7j2g9pvnE+2Chc0QSryI2bkLuI9PB1JA5sgwkfhOGQb8GVIHQtO9QYhJtx
Fr0b2qUrOCnEo33+WoYhw4o5XNogdrBFVljQhyO2RjdNjmCD5RNZIKcsCY0Znag5RT/mSb91bC+3
sTOcSxaofVawbOEsOwJmZHiT2uQfBQIbRwayQY/A/MxdiAjzoAKBiwmhG9oW3K15pT/19BOc3W/V
KAw8RBMMVUe0gBfM1GFutq7n9q8bIJIJ3XLhsLv5kwmOdzEHEgpJlT7NvCgXf9FcOmVz/o5lRefP
ijCmamdNhbjpeaYWkhn4fte813IuWZl/5QQimSnUTqhm2Qr0KFBdSBzXdL4mmasJCU+nS+iToaVQ
kqzgfvTndM7AQ8zEyvWTfcLIGqJfbGgHF3B5rWrccvipT64t/Ys2Uv/C7mWhlSPfpY3EgXnOtO89
Klpqm/P3hV2SR4L2BNqrMwB6ELjNMsf8a4HlvxWYR7fWgJuvMoVzgf/Wrga7CgkP8AzEqJVxNodn
bprDKWtETZqNiE9ljjoj3epy6k+e5eR73qo/bMXheRrhVKMpkravIMju/MT1Tn05eie7gtgcDzWN
9uVncxJUOX61lHp0xmur9PY9Hqajb40fFcfPZxVE6sFKBPdBPoHDG8cuTP/LfXu8BzPrdiE0lGl8
2ZW18VUpL9nUuf+7ECfo07KEDinhpp7hOf1M0eLtUifPaZYFf1JzwXOqISDFR7aC1h5lc6bggou2
6Oigp94GCSACdHrgTAERfTj13z4IeKWm5K8W1bFENkz3Mf8MGDymIcFUNTEfcQsjlXBf6u8cxQTn
MiZANvPbZBmkQJltNc3WJvYfagyOwGiSVULkPALoHKcZuqV9a1rv6CeCTen3w0lwBl/Zn2lroT0f
jPNY1PMlcQLE1VTP66D4h38Er8I0Hd2KNA3O5mrh7B0jxNBbjgTVunIQwKUtWoXIDtdjCM+gE0/i
RhC2FBQ084AgtWDlZwDivOXFrFbSg2AtjOeMY2Ctx+YaYdmlUzbYp6jKqy2xl5BLSt9GkJmfyN1O
z/8fe+exHDmTXtFX0QtgAiYBJLblDVn0prhBkOwmvE0gYZ5eB5wJjbTQQnttOpr8++9mVQGJzPvd
e67FUfFCY9UowPp2LoGupEzsW5/uwDlu7hgK7GADcJASLorGcssoAYqs+e5pMbtRobwkle7301hZ
+6pOYQLNJBMLPWN+eB4N3PGm5dMGB3skqLA4c6uIrZ9iGuJYGSMijzh1yWp4QtPvTaHXHjmess2k
m+7IKMaUGYDHZFy9ZyIZXjgvTMfOUg9ezaodK1A0HjhK8tH952SBbtJZ/d15Kl+DgaUGXbV0oi+/
M5v0Y2pmfUjaAz0B9FdY9orAFeBsOTm7bCb8nZqkruCrcYZwXLx9VIq4vlKbjE2EQCc6wdo+kMYQ
Nx7WYEEn42zA4UjlG69zW1OgeuKieR3MCK/HiFk24ex40rYJUWuXj9VvmKE7w208UjiGWSSY2KqQ
zG7LKDkQervJgEthqEAWTzzc+4Wa3u3EeIPimR6j3iImqSHoTB1iwmAX+y5vfgLmqKtxojIra+ks
5BCiOSmscHxgEHUlXUL6KTIWSjOeTfpLyj0J68fMZcC8WOFS2R8Bj7jgOxlRA49lE5wvoXaU4IpP
Z8XT/YF6mxJmM0z0ytrJZroBeRaCoyc7zxZ/UYe2vfxjlEG7nSjHBpRKwWJFHJm+KPMQb9OhpfKC
ijbTCkMCUO3qQr1EcOwSBgqN/Q2iC1iqGWMJF1jeB2boYF7GQ0jxVePGau/Ui5YN3g0QPtqHMdr3
FMJwtFEOCOlKPuQJnONFeszMglwfpfQrK5mf3dJKjk6taNKNHh03/kOPrLnxQq8mN6zjTRR6BGrX
ivJnjT0d2ZmztFc/YJhgj9BvKiaLRtkYXy1Z/kLNB6turYeI7VpkHwFw7KwudwE9VTXtAdl0Ck1V
ozI+RlnqfVoGkiwcqYz5wGo5ajOrbe+rAQA45GcDOmrIE+bc96O+m0wO7lQyd1uDmf1s9PZdhro+
UH5ScrqiJMLhqQD+r9E2JhhMwdPk9txIfUTNVgrbG34u7Ki31g7FrvSvHbu9uTvZC6q8RK2+N30z
P2eJfJhKQXNgC291NhSloRQ50XAMRT1iXoswECb9/GQPb1Yed3eD020HrtyTzIu/ses5p6pdNiLC
OWuTu0wzht2GDPE2ifDYc9M4lydF+mQkZOrM9Jp0ZXhkTdWAZ2cigg06HaLtjuZ5rNFMlm7KkCLX
VjA098KK1OCBQoj0CYcJU1HfeCauAAtntoZdI5pvFTTQzhni8CTk2NgPf2hNyPe9HbSwMkyGdXV8
bxnqfmqxCnaJQprR2GawJdOqZ5COtS0fnepXRi7TxbA00TLTLs+5ufMywSOBb9ajxH5RUgheMY31
4A9btbVM4xZzp0BR70W3FS0lG0D3UXszOSLjCcpjIwe4/rLK6jKqoBLEX6EeiSdUmEOor8J4x+y9
smjHgBGRUuTg66MfRA+hgTUrdYrnCqMCKf7u2vSFxZizIwa9/CJBmG9SSENYNF0qBDHHuB4YnTFq
8YVUbPdkWT5EdmY/qsJE9THfGe/l2y6IjlaR0zsQhPWmtBs2DQz5N17gMfYCi/dAYW26GfKq3UzK
OFYirp/Jk+34iOUN7926HbjHh+WwM8k30oz5qs8D6972YfJnbYEQMOGNnaxQnyyhgrNTB0/ZoBhb
6eaYAKNfh8bUH1MX2AkiyaUjrbxmpsGM3a5BU4v2eSj0A00wBPkHqTmjFh/SsnuShASgXSxyWHSZ
TBJyXCvRM0+xTLaTABS3CBY/PSDyM8lu9cQPSUU1cxLYyvSBPXWOy1IE+C1dcH0hanoXBifTGN8x
uu5hkxF4B+nhKiBjqaX6XUCR112YZvYdqawfB6WEOTgRSSquN3bHayKCOcFqdmjF8jq0VCvbhGW0
BnaR3RkBHeRRjSvT7oBk9SOXBzbLFR315r2LNr9h1MkJUOoTlmZR9d5aaJjZ9gxIV6HR021NcjVN
jzBlvscaEAiWNhItmud8nBiw6SUcREVr2nbkebqOPJaV2norwzcn9PxdHc7RraJgewUvUWxzUx86
EVX7imhBVZsusfu632ijp2PPAHbR5PTMCALmp8yrDmPN5HwoRsB8LYiLslRH2zSfZ87rm9kc9Ar7
QbOehs7d2yTHWaX581mO4yOVaMVhbwEHcyhMZmk5h0O57XS/jiedvMRG8jQ6YF/YgoRgtLBiF5RU
HdjzdGvtOfZuEOzgrOU5nLhrvSQQTJyhJ2GVF/TSnMjVeB8ukNPFtbTjdSNhwVNdMbCVm1EV1qma
AyZWRdzt6jh+H7XDE2nOSH+zDo5SsmqZYodPbt0NNM9XOYGqIuiYKAv7mbzVumUCuQsxYd6aboQv
08PFwJl+5QSpOPfTOdTTdOBNvp2H+JnN+iPDw2eRs63vR8kCF0CcNoyGrow45uTdmGvTcOcNREPJ
VethdigzFV6EIt7g4yqt3C+XY9hk9scZ6p8VUZQ3pNgZQtcoeJz3NOY6A6fxwn753QvnBT+3HLtq
QXSyO9UhekHTNJumg2K1KOK477LXkfhejnq+9vTWIxJ5MCsOvk2IydtFx+4rJ8dY6rx940umVqGI
KSed1KkfWl7m4J0qLmKw9O52+Tmgqf31mwmUp7ZvyqGC5VZQBZZIuP3lUUVL3woDRQ5IoMK0HOgU
mucXnWE9wb1H1NXrvV1SSKKXVjSfaI9gxEDuyRfDhsNTfC+H7immdXc/NeZrVQTLFjjzLrXzPNNn
uxINjKco8XNui+htWtDqRILFqRXjkfCaeyCGxOGUCJSDir/0i7Er17ixhphJEXoJYG3e9mdnoLOA
Nf0UC5ZZKFUdQCEINjnL5RZry3QEOnj2fc+6a1NDMT7ID9ymtxAKmo/Gsyus4QtTR07fsDW9XYfd
jqBM9yStPj52weTfEunZqrJvj7kwaLJpR3ufmJW1HWufmpkKdkrPG9JFuTzHha8PfdSgmtN0Exvi
NEA22ltNj3eQnrC+vrZG/7eeRfYsKnfvanteET86c7iLDwrywQr+0Xxu8oQcD7L8vYnCPKEUnDuR
BKuZSXicF86H3yIr0rvaxjE2VzxORS0Ped5A+KtYmjvoVWwuvWeTjBDjf/mKyzTAakuu0K1PLYSC
j5K4WlIlp8Yeqr9JrG+CudoDatL3HRHOOxbbL3d2Lmnhuhejhy2lMljcHjl5q2cdNlTzMxtCXXSX
P0MIFJPrPvaI2opWMszPRbn5PSUOmC6MOZG3bvHXHSr/pTPgvbvlCKVHsNa0vVfcZjV7MOSA/q2F
jIjmFJ+8HJrhYN5Xo28RGQ3rm8iW1Q7gRcUZhCYjmIKLZgpVQJUtTiIASJAKGsgmeKsJkLo7Q475
s1tFO47uL3Iy2AHYWcQ+rzHuGHqd/TT9RlPUD53kD/UUaIU8boaA8aqM47/MxF59jBEvDBatAzjw
AFWiIvebRupQ92P3mCOVZ5pHCrpt/0gRA9kZ5pQWz4+yakwOI8gFWgzdNjR7zpkIAae5yOoCvs6E
SFNKouhloU6/v0TKRXH7/W2Fn+xEbUa9KzQiVlfO9joiSIHbuUDGxIdrqMUD23i6Pv1+XTE2pTul
3jn1TDNvZUZbXXEi//03lT/B1Vj+9SnEBK8q8HBkUjFtYBj//R25Ityhv18PbpeZpAb5T//8blsD
XRcRVv7UjgxMbfzihjTijoTKR2F7p5i6sZln71HIzju1sSZmGI30AGC1PtmRj/tCDfQO/379+7u6
tcVeucyMm3E4IXeNFNjzu99fgHam1OUJi9SQL4C8QaJDAT02rRm+BkZXXhIsCLRSKvdNkMTfJRFW
BCeLJelJbPhQk9VqqjC/iiIs3tBFXYLZb3E5RLeGXy+P7cR/s7Ugw9wlG5rN571ftPLNq4CYhI1z
p4YuumlGqDCpDhHbG/Mtk4wXmtb7LGNKArpitt5M12bUIhJUkuXLRsgfH+Xvrkl08ezbWJnKz5HI
zpuLMHlDAJ7FcvmyQF7bUSncso749huaTrrCunpU41CcnThUr2n6+qtJ5lrYwJuJ2fwqlu0cBcSJ
ImtV1eP8zzcgTJ0f2aNAAvZNbxyfDbTSf2nUTN54nlmXuSQHk5MbantH34tUsCGhAHsTN0X6RtET
49DErQ5sxzzyZhQqMPZBvA6cbjmwAakha/eaDs+/73aSEVOffYIxv186BJS2+IrMPZmBxKz1G5L0
Hwjz453OzeqlXqhZi2BqjPCSAJLRnstMcS09TigZEzbyI06/mcrCPpIwSN9FGwG7w6E2NFVyz9bx
K+h1eKsMzpLtBAVXS2ym7hLyFC78G98rkruqaeWzH+DbW75vIwIMLo2bE0rBRjhh8T47I6G5mNrn
3y8TpExzdl5j1TXbkoQNvW68Il0b/juBHAghXeqemE+K95wZD99NFP2avo72yiddMVBnNeohPyJC
xRdChWSHsWZdOfuf5iaBoBgn107SkjWY3rSOOlASI4nzdR93Z7Jc5lPvpNOlb6BTeWkn37OZg6tl
wHgnQCnfyf6XSphvXlwM52TwbfYYVfBu4FNYN2Xi3LigDdfYCGy2PtUho9iGvB9NH3NvH2N/cA9j
FnVbJI5gzXmcdaev5x048WMzw2aKfK++t0X+aS/h2EH6nHTa5ENqD3BuUEYfdJMjvNjJe5HYB0KS
9+yapi2+GT71WCfXBEl83ReI4WJE4oy6MzC4fC2JyUKH8e5wnAJQaMlXBDTcIjQgrnTwEir9Vxmp
2lTVPMO2L0Eu4Zq4IF4TahuaU6hL570pJDJRysQkdVz73Wrkd1dNZJr5GR9TTz1G/WC8QMXa9HnK
bs9CGrVtqlZ6JwuAFyQmB2pMyYypt1wxT4qB6oVaBga2oQkSCY9VRjG3kW1/3+toFmozk/4hNcpb
X4SbtqvzRzWUd+yl2xvZmQEiriueQ7PbtEwTITMF3rHxuHF9rMa+kQVXYhJqPSXjgn0NkGCb6FGW
IwNPd7mfmny4EFkpH4kMvRBFmK6U+YLGwyGIPU1jTjU6452n2Zrm3+k1T0AOsRIw+l++3zQGXBB7
VDdmFRWv4Sj++f3Yjs19O4PvpE9iS21v8z4nye+sx4f58YqFqbhxaTehLIxXZrVs2VNRxzeWcPxX
ZG3MRdi5izF+q43HhNbALW1X6uBAur8OeAy9tvFPkj6MtS2CJ+qtSMhOQ4BCG3pX21SgxCfuzcRs
6sfQlK+/3+9sQ7CrsMpT7LTlW0EiLMILeDXNea1jRjSRqPttNE8aNFhBAxJDvJ0u+mPi0njeo1uf
3XwM1snyPzEMYJyoau+sVXabOprytDC89eHrr6PGNc+25vhDwbQ+EJUcrxVJcMPZEpkPX1ThioOB
HEr+LJ6vTpXdc4+UGI1coCW185hM+s/Madtm2z3R6X3RcZitpOTA3s+PkwLOxFyAlpppqN8xLPcA
JnGgsf44a6NvUCO89kW9tRD/33McHnjtEY6bksUz5HZzyV1AbTb7fev0T1XOGNlHmmd0NVWPJYxR
k9bx+cnycOh7EDE3Jf2aJ+mxXFnppTEiMG9O2j9kHQu9jO2HrGXR1qP6A3HYvWZoZo7iszMUivRY
liZP4n4iRs35ICElyQq+MxscBDSNPCK0dMDyQO70y4enl7FxPwfq4iWR90BK7KpAU+3N5Vnq1Fzj
jljcOZA4eOrJa2r8RF2Vvxc88I+9aZVUbPFtM+7vy7zpaTIfJWycEp5/9YnImlzDiXZauu3xBafa
f8n58ex6jmmtd7fQWAL6A0cSUTpAMYoOIu9hxDPQYdnw52PaT9bGgsr1juObJMfy3ts25gxriUE1
PDZHwcG8igSQmsh4H1H3DmE3GVv4KSH5+v6dJqP6Ye698T524j9z0d0hZDOsxtQCaw1IBDE/2C11
Rt05v9sFJrQuKAJrwj/VlUJbigkyBoCFGKurYUxPheU2j90wxCf6vEgfZ94BpzGbE5urjpK42ZHt
wTSs8jq4RG6MG/g2yPFNIwgeVdSTwImbKu8QWzFxcxXM16kP70Ina566vtW3DTP4ddDo+Yp8Ad1Q
l5gvia88OVBWf/98NXQXIxniDYvZJo8RYBty0qx/78MKqduCg0C+LJ8yczvaJfqDNM13YuDNOmSo
pRPrbPuOPFQl1y/F4Ed3PBUOElDicCf3jZo3zjhAxnSdz5LIGBDgZYzJnWPERIb76rUZXrUPzqBi
PkrZdDFyn7vdNehxc7LFAknzWUfUyo1mLpY4z7PSBeej1Ju2LXwDJEL7apQJu2zIH79/ctLuU5TT
burJ50KbX2kJuGXCm14lrd6NRnbmNIAZIJn+TGm8mX0vu9GaWbfRscmOc3qqQwz/Q/XmuAU1nKnq
tgmVESsPOYztGsRK7TRXOVH0BqXEP4BI+E4S3ApRbj0xR+dOVl16phgL/kO67hnZb0Zol4x1vcM4
GXob8SxzZ4tXnhLNSLid86ZrD9jJqEqGcoaixDacDjbg7gHH5UBVxLIw/6wTuKi09jEqqluCF4aU
RMV4jHekCXvNmyurQJ5BsTrPnjOffu8oPyOPJWX4VesAD22R7YuwTI+GEjMa9NbCO03y4TK7NBST
zaAs1g2fXQoRsRJT40gdAaq345+TrHmpS9U90mHGwmZxSjdHy7qGQf2QRiXXWEBlsItrdkFkDRyO
D5byXr0eLyJDeHYsOcGDtj0Kdrf4GiLvkPMTDcv0QNix3iaT/zjR7Fe2dKm1KA2c+hK1HWg6X7lh
do6EzwQYDsTYEYBGq5bdmN3A/H3lXt/ja3sj1vkGsmLGf4UJKyhndQnBrKy6np1P0dJfZTDtL02n
XSd1hgQ/sUQz7XkJK4PuD+OHLR5kItnwmJSo7oMLTJT0G+iKRr04cb1RMjKfOlFxb5oMEPosXOeE
UwHLOO1+MulwTpul93YoeQJ3zZ4T9MB00DSPxQS0VbEz5qhNFF/Q/xh0WfjBQe5ClI5+Dm+cCGVQ
DZ65xTGzMO8u77FUSX5t8+QrJi5A9j0/Yfq5FR2hDu7qUzoTRPYznBGu3CBAku8CWA0L0MODv/zv
4qYtyIeGetHvmBkm9ovVGWy9DfdE3RGEJNmL26GGRkgCOwPVy2HW6d0Xn888XKSMQI1v9RBW29BJ
eR2gy99iHxY2H1XG3vcQizZbJYN+AyOOr7mEABeRV+SGXYYslZHRqmsDklCsRu6SUBjv4pnbQFBT
gehWGjxSWRZt5rgfwrXI4Cyh7YnFc/aMlOkVFARlvTCgd2ibggaKeuRdpQFOQ/oPqTbSe8xk5W3s
sSNPzTL46CzrNcqyklYKTi4my/gWUkKxLMaHzmk0SwClldRkvreWqXiSOfmtzedjpJgO4xltzO3Z
KhEAphvEEPFKBRWZBhYjqYoftzM4mNh5e8hT3ZIXNgk4iCzblH0FoNBkX4gKfOGzvmFwBG/UnQlD
XQLOh5gfJO05Me31s1GSKAaue6GQ56cApnwyOu85Iq/8UPMmr/ywvG0s1iJ/UM6ZnnaKLatBQUfX
pwbM8UdQyHTb0ud9spJMHXlE0Vlect3XcbNKirG5p/VObif3FhFGH0BTtU9Lzp+l2xvoSLW1wR0B
gOrQiqJhL297GxjsZwIQamemz0WJ0dWLz3Xgw2tyP9BAJhgc/CtRfwlDwLQhWvk+nBM6gV67fNBc
mi0h2aqyb6slZObzf9xaA0+AgSrOIIw3eWlPe66/acVmzFzXcZpsTf4CvPlPsPaoRCuSm8kheEc9
Cv1IPDxVDI4jrMstu8B21cteH1PR/zByHeB8+B6AAsXUtzoE7OLXA5iHVdxT+9GEFmuW+c0jYm24
jNFyhZO4j2n3ZG8bMD5Y1bqI0czzTxKj3R1+QzjG2nxeDGnJspfoMet1c05wjPPlHIryY+7Ndekz
/y88HgmTBuo1xupUmwGLs436BBvJqNA5RctBrNcsUKBFPXpDTohTvA+B8SflqL5jag/OosdMOZbB
um3ocFOGzD4BVB0YbUPGBgIM+q3M2C/0+YGnyMmitQbsWQix33gEs60vraT4y+B0AFYTF8I0P3qN
sm4bHdk4y/jdIELQWRtNLJlENbSb2SCF6ZSJy3SdxzxjcyYxXnnQFuXpFpYllD+DNH7sFVcZ44Qh
UlodjKR7U7kd7HybHyhhklwJdRSGpWjb5lCfGN0Dm361GxDdyNTAiO1x4apk+LTnYbFFnIwscmCB
TX+rcEOfbnm1QgC7iDUxUwYqTvj3uGyJQXAybqyBFYwmbCNHJLaYmd425BUJE2PTrEFf3ZbxUO4d
V5dbELTY19ioGwxc9uQbsRQP2ePvqwvwCi4LJFW9w9nIRuCXHjMaxzc76MYN/pXceqyDDNZmHZFs
XpZa5DtgwO2aDip9lrrkopYIC7//BEmoh85x1tIwuvtsnrz7qTa/Wy+trg7FGwhLKxk46XHMBwoo
2JZW5K855FEv+XswtwFnr37P3f8+Ima4w84mdd5rtilFUx/hpiTbIGXz31dq2Pgw6K5jk7HkyNq9
tO1CBo5wqi2XlWlhkBwKdtimRV3taNfR1Y2MM8yv+WlgeEqyJiz3JY2HVHawsYJ4figMLOa96+L+
oBIZPmuwiuSJ+zq8dfP7qSTLPo6htUn1xjSKM0qdvw20d8MuH3d1R9vf0FkH0ZXVvm79m47l8zxK
vuDHOur+OymZcrBq9qsoFlyjjkEaCeMk7Pceg0jl/yZL8bTkJi+q62mEAjNS9Xzf8IuEIGXbM6o4
ReXEBWEh91Qxttcwbi6dn/5A6WMeXqNDGJH1OOtBkLP4GyI+0GE+7KalHLazYVv3dGK4GUOtKGiB
bGkEYp5LSRuuid4n677FCUsV4E/Wc3BEpFhNGJT2cWyUe4ZqpJijYd1CKZSLLatEEtAdb5UOJD5N
hy+RuPjEMQdD2y62YsxnOIXbWTpil5XZ1csSQkeM5VYd3WPs2ryHZvCjNXCsK4ly4xRi4mmLpzlV
XH8MtVCyeMuMGn+Q67HmdSN/Ucqmzo99dWiNvMW5hRxSegQ9M8Pqdglv8gGQQmpN3ASk3ICBtFjn
Td9j1MXj1iMbtQGUy8+Q4/DhKeVgg57lTQuYhWFIRdGPX3LMmqtj2U37qqNP2UolkLXwcazFZuxB
3/T5EJx5GrzAuyZeY01sZmk2ZnfEkRTU0jZCpbo6YMjKhsXaziccHGCm16B8NtK9M4aMBsImqne1
MRJT8d6xcTyOVbkxM6gbrj1Q+X2MMg8jCAPwOYsZKdn97bxMgsyihe8m6xrDcLdOPySF0/wwolyO
slhjbVxR6TIxw5IXs89Y59T4rD40/kYSgDbz1rh+Id0yOBrpXJ6GwP3UIOfYvPoHhv7z4D+JaMZh
sEzBKqdaAqbuKqjVYSzSe53ND6TxXtl4b5aeererPoQgxlxF4S3l3se2v0VZ2jYUo0gLDqXIOduM
2TdRSAgfSQQxo9jLvjN2jZ1aCHfk4wvuXBM8aIAdc2XnORnR5j5sv2grKPe9OSJJus5JVt0B71yx
dUZ32qmY4UTAeXoIMWrSjBOYsIndpt0NOXE53X3LEu9hOTqfeMH/jDx9ayqUM4rk10xR7sv0DJa/
OsZp9+Zgxd/zEcLD5HmNn5m2rqI5G+ms8XUFmGI6hDjldeOp4ZjNjQEF2Cqm6aYsx2Ni8W654eAc
4xHVOiUuB8HTdDYY1Og5s9mu8xrGVd35W1f25wrO7exY7W1aJnj5DUIJVp7vRK4fC4txE/1j6zpJ
gDwjY67qIdhqJ15+LHObNxor4QyxCk6L2wSLfuG/jyL/ErN3Q7AZSc54ZwfZ68qGYzF9slCqVYfH
aQNRYVwxO30XWBuxTkVbgHMzF3OV8Lh01v6AWGgSx2HeU1GeNe9tJfY2rbOYoLmYYO2xwVSUmw8T
2rgXWgzPSEnjrqXva67DXWsXt5ouo5MDz5PlEjMz6ysedH56r66xiC4fcoRPvOUw0XsebnBvPo70
AVKU9hCxzhtj+lO4wPJxQp4wHr86iRUiyjGKiXiq91dyA+26mb6GxADInSkuUToFMtfeqi766ZIS
pTue/DXwJLZ4Mn4uwghzJ26YnVeV3Qpn+IQ5a36gTPh5WLqHQUPvhUI+1g62MIRBY212RsPmdw84
9qkOxmQnEFg3VUcUbGYbl95G2kJgI7M5evlJ59SFDbK74SwGZlSayHoYzzZJB+UpbHzWUBsbfEhq
MZikyTDYhfVe8dxykYstQ9/7aAR71TR/W99o11kEkoY6pa42sYy2zC1SdrGzF2Da7W4BiGwo6mKg
4JWr0hPfFHS1q7T9y0wTnJMFCkmOzWsQunvHc9bsQJ+lWX4qn3IT4XyBNOvNG48NQePghxSju3NN
k10r3MKNqegu6+Kj3eKPT+pvH+8J5lJSqeFExCE0jkFjPlQB8JCIAbtgx+kXzksLRoYh+LmW03NG
QsDlKuIK5pmiCyDCqSoCBkdmCserAF0opldAbjJP32uXnaE1WGDaEoz4svssBlVxWi1rbA7ir2vE
kE/dVW2Zxs5GRViD4T83znyM5nib8JcjoOLi4sFeryExyvlPHrlP+Tj9IT3ZrvKSiRVea2Km8OuR
9r9pgS1Xh9qXbE0hEDCr9C494E1Z5jFvIuGSBtrQCsf9lKKLonyxGaAxj8UjJvg+MxecvybHveZB
/5mBvBNh9NfQBX+Thf84cXgp+sUdyUrg46AIuiQI1M0fjseyL5bhJvwJZj7VXjBsvwk8nxIgzLKd
oWoA+1W0NaMv3CINgAEStXC3xMrt4w+gbjzMUourm2ltb/cEW+eCVnClds4g4Qu8Ij+tExHUeIJJ
nFpxwGXYqL1p9+l+9opTbXtQ1PzgkaaIdUFV4LqHvuRarbuZ5vAuchfNVQaPZoH8LJm885QcnGbd
YaEp7u2M6Lr2FjLTju7CU6zlNxOmu1qW6hbJbjrmhXXmpsMyjwjv1n/4E3DnYNDH9m5WxKBqSdk5
78cjK93XWNnjQYGv07bXrxLuSg62RngTZ1sZYXifZFRsRAaOSUokg2owbtKcwFOBiZhpS0lv64Z3
iAyaQYMcQZrCkNPB8WgmSKEYd1H5nWVOvnmIJbWL/1/kOy1FvhazVBqv//cy36PKP//jiFja1/+9
0Pdf/9+/Sn2F/IekyMxyhQtxwHLp+v5nqa8lvH9IIKqe55J3cPC//Venr3D/4bqu70vXdITlB96/
O32F+AfjbeEHjhO4QeCZwf+l09ey7P/Z4c3f4zo+P4FvmqaUwrb5p/57F3lNT0hLkRpcTdf608/V
rZu6z57Zwobx6T0KuRjXQ0NgDfrSre2lPwASwiOQXuQmH+/eCbZ6vuNkzlafvvhkjE4RsjcNbrtK
B/AS6DSccDv2RjXftvPFD2trH5GgxOhdE2K2Hzzlpyu7k/JIfjDdFBODV7dy1ya3+n6ajX0hUDKZ
u1C2U0LvVDTw6MnSK+Tmo71v7BEfS+xf2IQDyFfTDa8XNgV2l7m4USBnEUtHBcquv/OF4NEd3sON
nwCElOfBpfTBdB4IGMY4aMWDWT8WsZXt7Cr7ckOH5B4nSVzGFNndT3RwrUcDlGAg66cCxgvNfldL
Ow9WLx6zHn6D7VGLG1v9oS0ydntTfN8P9b1bOA9Rnn71Vf4x+85JV/P9JJMUCmd8dJRJ3b2vVpZF
ijpKw29XweDKMbyU4BrIyTJpYCWc7U1KYM5jE5hOiLNN9EL9Q+qk7/gux5VfyyNTgM/YIpbb5z+p
eveCYduH5VNqiksyRzsQo+3RGBQBkqNjq7epZRlPTdy2tfBOqHm3VcWppWiyr8SSz2oShyI2L2k8
PZnUlmM/ZHQqjJMVuRw7OvfqlJxfLFgkCmM15DpGCh+GsEEBO8lPMMY/Zhl/FMl0h0TEvrDk0T84
GwN6XB/z8lIL/Y2esddkYq5uzR95ET73Xg5Ke8ZK6Pk/YSSvccKItsx/QhtCZCLzZ3yRitbCKm28
9aSVWhNt+S4sFD4Fna2miC7oqdEQ6R/SNdGqzV4Qb0ngNEkNXGYXEdrusuIr9DHltbB01cxGZepM
fMPpeIEyQ8VnRdhdmxUbyIoUrknlU0QlVMQmIfMkrbU1vBnGDO0JSRaSwwUXUohMYSzPTixf7Owy
LhL4TTPUuyYsAhq+Rk4VQ/JdcsZY9+B+SJOi/sKu5OH+UKEKbOScfCgtLw0axKE24i0w9PYYQLVf
GeQ+F+Gu6/CYefwNacLnOHVUeIrBeasKGE3ptNdiayj6UToTD7ahiEpoOzkV7XBIfHDMoYeBse4Y
lDnxUzO32GrN5I+Ri4fAN07R9CgcTrp+DEvUqOKf0oh/2ib52x+SeljSANmm9/S6mkbU5IJ3W0X2
Yw58LfJJeslw+eR40K06oFJ5XN63CS0sUzd/gW3qwe+HCVRSi7cnaW5kkv8gKj64O6ChJf6YeF4T
vb0brOg4zcDY+jZlWPBaWUF+oj84WxnxeGAohiu8oCBF69suJzkdl6XgUKruTPeckkMmbv+qZSz2
ujIAz1OWGT87NIVtWwrAODFx05VmRiCpDNd+jBKE32Tgj+ObUkgS+Ueh/efK5H1l4/EaGvm07ugX
j2Ly7OVDciB/6K7SsWTWhBfWTf7kCbA307toV3LmUfIwp8Uaxot378tPL+JqKPH8r2rJhDSqxcOA
n21d10TvfeuB6PEfLY5dFz5wBDYPg/IeTX/2D4Y5gbnON1Xjv9q8+dsJykgqFOmoAEvcfzJ3ZsuN
a2l2fpWKuscxNoCNwdHdESY4iqIkpihquEFoxDxtzHgtP4JfzB+yu9o+J8IO151vTlRWamCSAPY/
rPUtJyVFQ+zMubjYdm+gO4CnlIzNxrH5NVVcPkSoTLvmFMvJ23LxPLhJBOK0EsBVBy51YH93DpPv
ahJXjyTWVREyi6qTjxTTvtM3u6LjnsFiY64cfAZgM4ub3xeMTuJRoqwrR92Z5WNPiUijkNSE4qXV
A8reEyeOj+3bFzR863aUCw/sFCQB8XADnD4PNm+KVwhIDM8AOcqdVyS/CHvyna6De0+SrRQ8jUv8
YI1N6JNCBsY0+6C75YPEN7/SyuKhH4lbraWLcQH4RvQb5f8yJ/Yd21RsEFP1sjfbIVtpvT3Cupb7
si0fIdoh1odn5Y9z+cYC8uoAJE1H/W7SjWvQLkPboSBDr/VWdo/fF7/BrZT8BteGSjMTdLAcVDGq
hpVIGI+Rfbn2LGiIVYNgirQOhTluHVn5E4iQcF0tQd+DZFHeRbkfPjeym27aomFEaLNA0EYifDKP
BEeow5raNPrJmDtOP707hW52O1do853JuzRG9QBTYCXt/Il8wi/dc+4Y1EDpHCYkdFgMwgQFNtRQ
4H7QpJexcbUmycFB6w//R/qpKh+0qiNklevdNFCsEd3W+4keYHhRWuyTiHUXwS/2gcQRemTo5drM
MMgop4QH2OT2yshVgxKDfssS91OIIEfp3GG4ChQMOBgp4LIr2k07ggk2M1QRjJsZ+DDE2cpwvKsX
kQV+G4TjfKgDstTcvRUDIuZo04ztWx4tl1nvPBKgEAgyEQvmOH6wDTpkDXpMZoot8bsIekJd05HV
mupHd1mpa4CthXIu9YAjooqjlL6dOXloAC2pdZJUk8fWUOOhwnJlOhVPFL4bnlZAeuWMv/KmCLhk
ciL0Vk6tXliEvIgBA5RBElLHa43Njpu2gFY5FY8OPkGWQBk9n4UDMeJi8PqR2wf6VQ6QizXlOpc2
beRobDTUyvQJzXYkTMbprUe399Zual+CnlJJnzn+nEK91G23xuFzF1XBu2VHPwGYpFVJy7ZOxDnq
yw+n6gnnXfI7skgeR9s+GMtlrc+SiapzCdI5ZJFT3BODS+r4nH6MZnMSmDXBgvPmGN57E7IkNkDz
4vdQJGdzIbeDuQMxeA3i5GdW0VtfTk/SeamAW21oFa9eP5ygc0GN1vrVEPLMHdIcijK0bjKvuNRu
65wfSoUJd1keU7avAd86Ky/ztcC4gl2GKPbSeUaz8/CeEtG5b9P0qmvztWqgklc9b7ueNYUfz3ep
0C8TBLY9Y81AhM09LuJbTmDnoIkQNSFsl12gcy26k5usax07mwuMdtPMzZY6eeQKwcSY67a7l2mM
AXYQSMobv/Oa6oDpiyRMlxFw1e+yYA6OkxetRBBOdO18CMLS4dhuWfg2tNtjtDGYzsf6pK8Gjk+U
d+6dWVEkJnJPD3yjh9WjlxdvzHLPncvscokXbWqielOCoWov5LpBnRVawbfFckDg5PdJcbPWeCXv
cJvLtea0ew5RBIws0TlnTHxpPEjQLRBTwYxU0xZaBM4zQz7W4SH0lmW/bf6kWfozdBVh0mpX4dEl
7rc1fE+y1dLiiT2SYaIqy96qH9T+IegZa9zElbYv40mt7TpZy5Q+WTgGLjPviRgWDGGzdU7lV2OV
0S5G4743sVVmza+OZ0TY86wqNH7FwBpnDOxLam6Yv99bnOtjBjjRgIDQ1Cns2RJ3SHmY++JxtsoH
xIdvlTAtSlhM4RWWMxl/hBM/TmGv121wuzWDj9amzOpPyYhCIdmTwjXym5xlmZGx+7KYz+rOh7IR
lSB2mjMeyAnHG4SLb2i1gy/rdJWFzqHwsjc5qJc+OQ9l8+FYzsXLvc9Ai75oer5Cxot4SzDcoDj+
HKDyl6A2MUhEwIbKhklrzE0djISTpNOVEeWucxPSfVKf1TwFbt/hk5lMqMNFvUT94jDzbO1blsnB
Hcz74B6h4pemawRG5YA8sjx/4+b1Bzn7NTQev7wMEcSWkAcun+4l0Jw37J8laZ6o24exeRkRe63S
/KXNgzfBZz9LLgI9tLmRnOk6ptlDyK9AxdjdlHi/V8weX2RTfjFCGA8FyOKUPUAhwqNWc4RZUn32
XCU7W/YPRtxKJBdMbTlxpUy/sjH8mUbCi4DIzAp3o8hXVSDORrYIBFsGjlGARFx1+zbiXaltlG+H
Z3w9D8t9FdBpoO3jgRBH8IacCl5AMderfekEHz0illUtFx1GzcWbIQAfig9whNa6/w68mAWvlvz8
frO1rMfHjZGRKJeZ6RgZ2c4TyQkrW7dQ+q0Sz0/j7JBLHl9erl06uZTnenOFQXYENMrHYFN2dCCF
YWvFKWR8ohIHDoliolnUURJSbI2XYSqeKh6ha1XD32DRGaw6UweSDptlVVwzg5DzqlPxzhiSTaLv
iWQK0Wz1NJ0ieQOdOKcYVzVKrqQmhKIZ1Sqi3MYguyR3EsjqVOku5nQnSF1jlAuEZBdEICUrj4Rn
koCaY98i685DRjPZAwUB7Htd+MpU/cpLKLZNbbymcVeDXsai7hC5VQA6haJ+ASl9dKO3FlIdaur+
ZFDF8KZ8Za31adUnB14Afn5zR8mUc5KTReo2hBW3FNgSEBQMugjBUEfuVWh9NvUA0o/T3++a8Spj
ru+JZgj+MozctLpViAFwKzcv6CdfnIjC2E2uYcKtKBUlY13/oJADDvyjk4jpUxTwTgu4V++VwRlH
uWyD0fEuAzY0Jy51Hsc4mQfetrh/qcnE1hCbblhm3Nr1fJXdgfGjZCheviVjcJm8pPGZd4B7RJtN
PsIav+MXsoWXYqTec238t4jCVlUNNs+oseeHNOEYyzkmpWTEOql0YzRnpIX2ijPD3KJQuk7QxJir
U73FPYUNYudiBd6STCMdUw+9AUs54kwzZ+P0VQ796BFmIh6kmrVLL/WFprjFo/UyStykzMXfWAG9
yJYWvAjYH9LXk5PFXlBnWJqpx8Fz31ngzjGTR8ASYNeQnKx0M/6Ynewl1IrbDPu7P7ZSW0UBI+yY
p7bbauUiV+UThgWSu+onj52dsLTXSfEgaK0aD3nzZSwVm22GXziI3zo291NrfitPGAQpgPUkEc7F
c+mcnZDrhVm1X+ZWRJWK1Ccj9pT46WCkiooC94L/AM1Y5V1DuygX8+EBQptiTrubPygaFUD/1WBQ
gEibNefgVe3G5qhZNW6LHG5qfKuCaqRBPV2K3jXedyqr5STHoQp4oIyewsC4ySP5QxLCTdILQmc6
o8axPEIVma5WYbpU8BSUYLSaXcZ2w2LG6SMsQLgIlcAK1WvJAenTyUkfX/azF3m0WAXF5lSJ2wrY
rtNxxEfZeQ7VI/0QEHfnIjJx387p3hIUcmmwZiWALtgYS56bwo8cHgQ4RI5mcz9KdrzdBkgShE/9
7HouAUiWu/7n56Kn+FOVTfnT/st/+Rz/62dZTaQeRe2//cuf/rR+/G+Xv/2U6m+nx+3lr1/5p29s
/u33X4ff5fq9ff/THzZFC8Tg3H2r6dd302X//kv+4yv/X//yb9+/f8plqr7/9e+f9HTt8tPCuCz+
NOBkRvh/noqC7G269+L9r9/x7/NQw/vDdFxc9cTYSoPpxn+OQ70/eL+F1C1DCMuQzv8ah2rC+cNx
ULy7tiV1EhJN8fe/NRBvon/9u2bYf3i6ZEjqOQQNQgow/pmBqPmXeagrlrmr55qmYTmmLmyLF/i/
z0Mb3KiTRcvJBZtXMD5zzxzDFf4+j/dOSQDmtmY2FAOBbuXdQzeC7cOxIkx7XVG1wPcNCEa+s9kT
twd3ktUb1fFIB4FHzLhEcqqA+XhmwELVoo3Ym1BEWFlPLKMRSLta82wAmGZ8b38OTjwrlv+q4/ne
5ClKoMGuniehofaN0XR0vmlhMvMt4mKyfRmGEw8TlILWsc9sRElFXLkapB2tmbdZx1gHjyCBLcBg
aev8PDcE8jMFQVhaeEc3Ramjf0kjaWGtaPLkSk7J3B+qBiPulhahf8+LRvuOe9W/UQNEMP0ipx39
TnS2eLD7MOi3fdrl/YVQLFYdCk+/Ab2zhyWUozuUt2pS1ENG55Jo0UDSue8tIj0pfSpiJWrGzCYi
icpakpeKkiFFwEGE72sWhzFm5rZhAMKg1JTTMiPORfvSxKjhn5EtZ6xFqaLwvxBzS5a5EfyMdea9
xLZReASEYdxeG25eyX3iOEXzA2G/cd6K1muaYxrAKKJ6sahYmJL08TelNXotX9pTBpWFrjAw3klr
dnKszhSMDD3syZxvjcxGboBrHfnkHDmRER+aGdvvdtZrzX2otWZMXguHkvcNVmwnyZ0uBsIlQqRC
wFNL8ARWMKB8gqtiaTGRRak9XDXAmB9OEMCWjVOTFOnOcGtyrS0tvSazgVBBr2GgtvgnuEozzeBM
z7lI1kJlpJwwO8yRbGpojrZIeGBeZdglkz7jDU2awbhWfRV/paobPwsDzu1+KllbbaRtm9F9Sewp
EO0kd7HKhEv4i5Evi0E9SgzoNMIdKN7pbVeDnTt0hHlgf0Ii7BH6MAsy2eg3wI7GGX7/SU4DxVNm
GXGE0tUzX4hswjXfRUU9burUKYyvtoTEtupwjmkXTRaRCacGvw6ehslyfOiZ7szwhkUAw4zeSLdj
I5p5pxjj8yA309x57AB0YBzACYhftTPbjUNqA1Nai8Ses5lqI3x/b8oIvBv62j4HhuirPTOZJD8Z
os1RaRP5G0H3d+LJDNishU6M+rnVwx+RloY8kCGHh418G3udTYmTHRqqPY7CYuyvDPcoAESpJe9N
CdaUBxdjHHKoLKLLIsgX4isv0hFLl+Bzv62JG213rQjGbk/LUil4TJU+7yoXiL2fWUVL/q3WM8fb
QdPrnB21lsEdwZus3XV0m+piSAD7MHncLnqMZUTgFmkMAf+MIu0bHHaONzsbPcsmdSAquY/fVFQZ
wyHKRy7nFPKiXFcIRt/MDuEuGSLQcVhWY/I7eBJ37nPstEEyUh/orCgKuIzVka14pm7mLs6NS+3O
sNFL08BZWVMtzYSd5GhQsqGiDYMbn8Rvk/IsVq5pINGK+POYl/ktm1NvOBbKNnWokJV8gh5YUL6L
EpGqKIWgmu5CXlzcwNFeo5hAwZ/1A0mw3VCr7iMZACRTSmtRQeYKl/4ul7PLAMx18OarYNntGkSZ
IexAX94t7YmTroeUIchTkJoMw3sZiEtSOlX34MmW9sCBL/CKFNcii5pFnEsBnfSWBKkkrNhBohZj
vA1dksVgcOtZehodJ4YpZguNK2iMg/BlVhPaiBsLGpyZfXUeoi6ATREuEARTXVpmr0uShkbhExeM
gH5xvdEhEiBI8xVyixqR/dr0SjXarkMRLTBzFYHIjhGTyxkcBTzfIh99OchJXCDOQtXnCpPZJp1c
FtWqRWR4rXKJVjHisiE7kw19+gDFNP+OFU2Kj12hkJdsNOJ+pbQGSjfiMawRiHbpnc3Z4/maZdov
MwPJvhI1th3fS0gB8jEHolgJPCQ0ty7J3pg2Q+W8Q6cWNXmP9Gu/giourtGceg+NO3bU+GWScXTR
eCCmiwcafYBFHutngKbK50Mt292UOw30rkYP/NFhX7rPcrC+WxTrISMdSQWv7WaFX2+jEzGibQQL
rn4/931n3pqo0ea7f75Ku3vv2+/6r4XXn0q03Xd5955/N3/9ov8PqzP3/7qz3r1//I///qdqbvn6
f+yq/6B+MaG+S1OyqTbkP4oz9w8ALh4lmGE4gFAclwIMffVSgBl/mIbBGtrTqdpcTFH8uH/UZiYl
nSWEhxiK5Yct3H+uNqPYo/jCnRiWxbKQd3WHbbnjmrqLD9iW7HH/XJxNc5K0MPI2YrKLYyVL1mv0
0obZ342HduxTAjy5T7zhtokNFk5LKDlSd+RFNoGJYPf9Mg3ndaU78LhiP9UmneyzvnzsIocmJmF6
zW6skqEBAfK1q0zB009G25oAEph1Vb9BSIT5Uwltrzef+ZC/OBypfuj1zkkbtHOFMw6PjfmSOWT0
tBF6Is8Ixi0ePXNdOLVzLBMJ9skcvkRuxojTveiGbQNCI5AyZqYIULMQ55UaAtBuOMVp7m0yb9x6
VUWKHVFyK8WYe91OhAM4lrENI4nxudWf6phZXhmPxVGbc2Sctl75Q4eQzYS3yzeBDCF8/qfS6Kuc
Zd/hauShwEXNhsQ+oKm8n7z8YJidcQuMxsNDDZphWAIVydRLLfT3Zgu5ncXmPg2WAGuGfhqiv73s
vPS5gvIDu+NBipFYudCCIPpMyG9KAIMxbuCw+VPE8jDSkEHXAMxhESZ3XZLuOviVp6ouozM7a9ev
bAyDGSBnD5NIBtT+0gqTjETdHreyNfk+Y/hF/MvyfhB0nWeUE67+MnpdvM0NUi3j1H1yZ5ufC5ah
duFYt1iLLqgzQKZoYUj3qCyew5eGOW7IgJyTiylN3fRr1SUEQkzhezpFn06K19Oq8GWEs4PBgAFi
VJP2Cpf0OXJLHde77SNdI6kkPRgOUBuoBNPKA+K7jWPY0HafeBsyZLCqAOVpZNbCi8HZhe6NJGNb
TZ9l3ugfLXksNldhVI/42TowmhMzPCwbTCeM6pn99XpoCenm5IYFPG8chVq5S633MHf8GY/ftedu
3Zroh1ddT666rPKnIY9zcgQ7qkMtrPZWUXrwkkdCT/si3nUeK2NX6Aw3c7HVF5ZUxn5RT3M0Hj1q
Db3rvq1KFzfpICkI85vCEdFu7vn3MVuqmbuHyV4aKxS+yLHymvHQkpjqBUx3awtLFBhJUh7hDgYi
vm2zbJ13or9kbCkexWJ45YH/SJN3TGrgGsKb/Swz75WeP6SpfPOqDQ8UVmzN6O6csgc+4ET3ADCI
mZwQfWIoPiozjh4Vq5JHCI3ouakNKeDg2ETwdC9kY3p7CNyumiGANlNzB1HKH0s7utCbdMynMLWg
DYkv5EZABXLnI/g9kgpUtFOJ/qkp4TKpC/SH+RdzVA9jzbNth6euwe2K9AFgYtF7aFEwGZRMyHKS
0poMc5NdpOj2vI6IuFDBsWJaE3/B6Wr3g4lQAF0axFjthvS8p6mXzk3aEAIDpPwgmuI8ZzaMjmy4
jwO38ht6HN+SqAub7qDVcl+QCc8wrWH2lVB4U5sz7wwNUEPGfKVoDza6neXY1CDSGBqXXarPoPpn
gibb9tRUhAAP04DVcPZOdZSymHXAqjS9mFcTwcA3qkx4eSHRIFr6a+jM8ESaxz7ugOww0GBPy7aK
4PbqCegUCjUqZL+pgm+i+X4Gpyse4gzHtUqMfZLqYJE6/BgFd+Mmchs8tfDdCN28td3qhrnWNxt/
ixC4dN3auDIqA9tNFQ1nSvb8OJUkLXoRVJk+u3rEIBzKpmq5Tnw9ictLOoBf1YxtGXvWFYtpsyGD
Aspgj2QuhA9k5JJGYF6s7C12N9Cat2HbnCyegmdXVu+L3HSThCTbDpNNdA6TR2g7me2HwFnoyLZT
HCDqHcU9/A4mnlLHeB98Q7SANlCEqBIMrHxj/Ty5TYhUpvwqSjr3SeOoaFrrZoqIOAXTTwjIBCTB
iuUZ/a0xwR9ljR0PA6wQnPP8UMWEKn/WXUnKBpzE0WESSyHMFW62sP0Ye8biFtGLvcXRqK3iJsND
Vnj4Y0pSfIhxnNuCPSCJtnPHaC8pb91CIZXIIYKFYbtPcI/d521zZ+lutdN45FJkLxys3/+JuoJ/
UOxtDKd45M1hrOnW8FdMUjmxky//8/ef6WEcVFqzWivNFruYJOAJPHAsf5Tqz4j9o4MKaRmH0PsM
jXiLCOqt1dVXx2rxIdJZs5HH4vltvQCx2/jGtgbAoG186UbI0laOU8AhM/tAspiGKzjE388BgOiU
c5M0u9B957TlH8QT82g3Ex0akRCpx75EC8CMua1ZrXtX+9IBIvg8Pxz86GKJYjQ+0aCa95MowACa
zXdk1NAQJc1y0T7OAYb2LowfRzzTQLIQjLVlz+I4TH8QjAXEcxfEfPQMBlOMobBDIsjM0XdVajMO
8HJauwOJmMLQwRE2FW9syIiHBHcT0o3JaLUr1x2QTWBS2KtGPLxmSjvvtvOR1Mhir7BH3haegxoi
qAFiE7ZRsiDBKG7vRsGbloFguxmaGfkz715Tix+3szFh1N0tmxNiULRlLqQfQti6Q9H2G3MGY5wr
W4NiWvxM7K1PVdO/low3ZtrSnZxLze9QzG/yI9TMgTd5tnmQWbdTj6gBINmj4eIuBeG0JtlOoF7C
8JciY3hMsUfTAIhHspIpihg61CMAcdLgEoxhRMxLbrKoF8csYy0+OFZ5s/istNAyd3bXLRsmQWhj
OSK9GwrmUckriS4LVk6wHARtsmomojS5ceKdozU5dVnO0rqehg06CY4YdxzWWjmoneG2+xZvLiaX
LnjA2jnQAOp3MWPh+5kYn52mY2fMnMqfPCbxejbyd1OwNSwmDmypbJhoa5H1DtIo0EBJahyC0EH1
PxDxHQDRgjKL9KMwUvB+SqwCp8IHRVfIg7u9xbF/dWpMEoFFlmXoTpto0lBwhZONpQomQeP8cqXB
2Ve7NufANNwYeU3jyS4gqc2vhVaxyitNAH+YdmOX7zPYJisSOcRDOK67eXAwNiNxzqDusb3CYMQU
P1/rahfWVCEBSpjtMANu0THe2gm8n77YqRaxG7Ym45adlnHrZb/SMWpvgsI4YzI4MG9cFbT0D5M9
X5xJsr2f8R6omO2z3rR3eY+ZgROMWLU8uxtr6Z3dZK/NJpEKaEAmCdFRM781ZEH4NppunSjpk2gW
HuOAY8EM4ZNTvhHU456EGya7DCy9NhPJkAzK2IwxGLc29TgWLOOUJyk6rL5MtsHAlW6b096iWaXt
6/RNU2Uw85zqxlaE6lggDtZYlDOIdEWx4WkLDRXA1rBBTRVsB8fMzrUGyTgmLjcBEPHU8Jy1Smtv
ZoP1mZY/dDkx23YH2PA0n/R6eipUHz+UAcBoPWE00cCqMlR4COISiVSgLX4Bku8kT9OgSWyA5nn9
AJUkcZfYRDpoltG9+SSMo5GCocIiXR5d2E2Pk9ddq7msnxq32JJMG59IUKlvQI1M3pEJm7cy01Kd
XaV/Yo5hpIyiOx955/omQ8fSskpJPKaGUgtw8nMjDub8PDbBVzwC6ax7a7u8MHp59UQY/Smd0K8k
ggK81IZHPcjLmxg2h50v7lpvSInAcXZBK8YNmVuESmXZZ68g2+nJwesBMUvX6R5cbfpQaXp0bMdi
ICFAEJlkcwTSvVdIL9bOgzlTPo1VeT+5ZOPoqM0U0d6rOk6fiPjhzYLVacgFlu8WWDUHvBzEvCAX
8NoTy1Cws15PXLXVEgejy2rT4pn0g6LKjjYay6uh8bxj9GOddJNYAoqQZgPFDRcdt6rZc/6iCm5Z
NVxtzfs0EvPU98ZjP/IGtqI1NwlMp7FfiYacbV3hzwFIgHnYHQWZiKUftMRcRo2O8dCO7+aOb7Pd
VG2BsdzzcE+JbNU30vSmE9CRw0SNfcCz9UEC6CsQc+53md9mdUNnQ03uLcOSoEjBeHHLr5KBJzRl
2LTvTABwKmPNl5h8AkhQfBM48zBoxIcZYHm6vjpopbzWyEQTdzQ/4z56CIfO3Um9Ltd2qt+5xc4V
aApbu35tNa88eIWqkdb1r0pVGOeA9290SVqX5xL56rmzjgEzfgpVdEZ0BXDC7s21ZO8Kh8zcEe6G
XlBqpHIk0PCyTd90KXHLRk3YeXLvFYRGgVCiioeStckjL19r3Xhjijr3i6pF+iMVPsP61ixtVu+R
SnYaRAGv0J+ViLOdo5i6DcPKWErg0V3wx1nxig2CAUJ6ikj4tUqa5ZEPmpw1Zkq5C8N31BeYnFRw
zZjgZINzX6X2s2G7811vomHIi9Aji3S6LftZ29cevNX4V2bOgIjD+r3pFHltNg6lvkWUEpVX0Sqd
tJjKvWtS89nK4q1G2PQ6rblN4Oh1yIq6e6Hy9kbrevQF1vjez/pR1QmyOwuTquTo0OyxOSWQoQ7N
NJ0iA+TDPAIW0UKyQVMXKiq8ut4irSnWmTzHVwr3DjWI3ZH2QpOeRAA8phThgRvYWGQaRq8BwDiC
e8Nu16UxNrjqVfOC/oxFn0H6eKdzuwysNEmu6Ju1M8cTT0d3hmDSCPfOG5v2KKboMPa1d/f7/9JS
BmVOBTJ4LlJ1xPDN0BjUhwFK51Rs53wOti0ONram2N+rgLAnb57iHQhEygbVZ9swRwPttPkHoTPG
kf7DOKswB/K7hDHGhD9bo1adUNGwsHZEvxs8kqfbINCPeNnWYN7iTZW3FNbdKM4VCpYCroRVDn7b
m8VNorcnQ47mIWd7bebGrVVPz6PsL7oDo0Uj+G0/ZbV31r3+FjoFz71MP1iimJ7aaXwLWySB6ayr
g5JBtvfw8OoaZXAUpTTJmTutMS+Rz5Mmyc2UuucySP1CBgwlSvS3SVffmHeew8WRuagJoNv2v3Rp
NTc5hx7pjD8WiCp/rJt0A9FBrBTbj41UpbVrf7Pj03CbLimAiURyZHyTPAngNEE75In25vd/RB88
VAOLhPgs+0SsmZF0K9zO5X4wth1+1nNlbDwG9zg33fhet4seoi71glAmwsvRasGZR+NtGjH0YE+Q
k2iIuTITrP69eH5iBaG2EaHl5Gob+AUeZAOrCaelt8EGOhISVN/kNRoYu1ymRQSuGRgifPaTAqWj
uWzqA3PN4uodWhfSNeX96sPmR1RS4YimQs1GXmtUkmas0zpWOtB0QkJvRAfN0/D0b9tL311FIl6T
QDKoQobgwnviTZi3gsUVOAnNPqPRvTYVSziLy4BPLpyqI+hnxAIGmXI6TGNCaYNNMOUCCq/Rbx0x
3ermeZrrfg2OJvV1q/wlh2DvugSm5ohmCd5kJ1jpT4JQoVIhpS20tFmzszjOwfDNay92cWMfVMr0
LcirA+mBrBsnm4CcmjneiFvMENmjEr+0fgmbxYDV9t5rLnH8wd1Zl5adH2U9W+yPyFTwAGruEYUg
Yu/DeyM7ugRYwYiPKbV792QGtDDKi95xpV0r2PWMSuJwM2r3sLPuKMx2RoE+HcqRt3EBB0+RuHcE
UK7ypqxn3nmHOn8mHPMmnl94zUBl2vHRypHjz0P2WbTDB/aNoKYcJGzrxXHzlin3xXHhPHQWnyME
FBL0lA222x4IuQsoHioFCniAjA+i6j41OSKYV6Z7Pu1tY+IZTFih7fLO3tXInMloA83f074yBhEj
H51tet1RTs8mOXqYA5EBN8flVSkbc3wVsYwkRxdkyH4g3Jbg0fzJJcdi6yjTuwGqg990+DHTIP0h
4bSABNAP9qHHlrJSaDpQyhfGptZBtrNCgbzm+lGrOPd1sgZy+1RVQ71NQcIKo77TKNz8Ze8hl1hx
FsiqRUoF0IIFa/DQaFKe0TEB3SgBbus/yNJ/OFWhMGU0DwXAkVsXzhQk3qeWrVTnsRrRrIFUAZo7
zriNTCNuXsc+6YNrA2OPsOLCpQNDfcqrEdFabr9ZHhcndXEZCvHslM4u0X/FHuivLkYi3YkIWVnM
+jpHc2I6g7jv1fjeZI/69ATxB4Q63HjLzMPj6ORrs6/PZa49FU6riIovC1g22E77ZDwmXcJuPgbm
aAAjzvHRV4Z2Ni1IRouwcybWvvTsYQU+P13Tfvc2CU+ELcJZTrZEPnSrwsIyInONYVoMi8bpgk1s
Bw29WnevRogklm4zsWwLDMDGVsXWfeHiGldk0skkRNKbfWnQ0Vfc4+QAjRpUby04Oppm+zYKBX+y
43gzRrFcFSY50aMHT6f02Qc8zmWIBULxjjbjYcTqvSe9aPaZ0/5gZRQbfTz3sG1XEkXzNNn6L1eJ
49xNcC4igpRN/Tkc0cy6TInE0Lwkc/3NxuZpRn6jbKN5I0gIBf5uJJr7B4jVftSDDaRgB1u6zTip
CDrGyux8ZGJtjdZrbzLRvTIwWMW1uUtRUh5yxBa+u2ClQnGsU43IJuMlt1r0twSr+ZVSFLZLpDuH
YVIMExax/DEZp7MWOfd6wa9L+LTnRm3G1j7ORF2UYu0S3cSR0867UecB0fV4KGUKPDdjsANCFVLB
BHtLy0nJI/Fow0rrPTc60lKqt/I7b5nWeGHz4nJgsyQgLG0EvhvyhXOXoQTwXluYRTTBGLJgVMH0
Ts+hNPaFwAPsTgxiq8H9aZqqJtYp8a3Mu+vr7hvCMo2ppi9Cc/N+wQlroa4d2ukDhzLXj4J0NuXe
C4Ocmxx5odL7/uAgXVlJoh1xTcMfhX2zqr3sHhUkYQL0VStN/4gG67Vb8qta9xWFFa/BS97G3PqE
x8cjC3M1pwQ6hweVZBCSNcoHUDRAMBX3V3DRlbK3M2MlW9emneqjU5iN3Z3rBVcuDoMnc3AOlP6a
k4+wZip6NCA/kz/P/VhmOwBgN0QNYeDzJrSc1LJBGhztztrG9rynYfedeonfm6tfbWzts2EmCg+F
CR65Esf6irUjlpbugWQaaq8lVMQo3oekOBQmO2ee2T+AxXETeQQ8ai3++oltZRm/E0JxwDv+hMz5
hcXXqXL5u4CbaJULRpXc2G9WpkMWTWgUppLptsiXqVWMko6qm83vPW4aXkyQwEgg9nGo3pMqODM+
HwAKzetm5zh07XjpN7bmLFVk8D+pO4/mWLEw2/4iOoCDnaa3ypRSfkLIYg4eDu7X90LVL6p78F5E
D99EIanq3qtUAucze6+NyFeguKhvWkEMJbRrZjAtlQ7DVMCTVjr8hOxOFoPi+GeItE/a9jpG3r2o
+UYm2DYEc1y4xS8HX2dJvWkeqqalsbKsj6YvDm31IPxKrjSZvxZW/VFxCawpliHj+MZBhfmLP9g/
4+hbizYbrihjoBxA1xeWBVon/bWS9MDwsr4D9B861dWY/2Hd4qfva/6ZSrftNVhXi7EYuJkvs892
sxvRSbRzhgFakt2A9WHn5Fayqet64ZrtNaaekPI9R1OXGeQkYysiUVG7Cp1CD6iSmgLmFik/kD2P
Phg+dG4Ybw1pLMKpO+Xx+FwME+5meeE4fY7ASDOdovfP95mDD1ET95YdLSdw3Khxx18j/TFAuS+E
kcHvNuJtSZltyvZFL7GLlrxlgBTgmjU57xucjAAiS2mAxVFc49acX1bBJwstJnDxYJ0zL2N/VdyX
U3vHgGNcERvI0saztnQFxkKr+lukSH2CecvWArNEC7Wryp88k/OtIrvV72ti7gRhzhUkIMorFM5I
Ryo72yVm+uRZ+FvlqywFA5c2JebK+xpHJOgRGBWuLmcVd8azNkQo53sGqUyMRl+HNdV1VJ8xQYCa
jnK4IgwGaSM/+JTmy7q2P/OGyUQiH1CZh5jsLH8ZxcVBgtZcdJo89CJ68NjqR+ArSV3Qbw4b/AWW
j3VKHQPXd01RNg3Ws1PWW37qJ9RGBoai+ubpzWsLTzR0eyZTah5ISmTNPBVLXq4Tqk9RymMbwE0m
wQmA4a3A9bxoOhfRfI5CFI3dRtcrCjavveP5OpFIEhrq5IzWmqibE6Ka+zFCaprm3+5L3GrPQW1c
R1MC+JacqlHhwlcCjdBqRy45MhZwoukp8eVZ5q6dQn0zTCKwTI8WAbqM8Zq1XxMil2XHCjaP08+C
uxwSz32A+7ZqrZ8uN06xok6s7f1MQSEZl1NFZM3e8UktzqkZgVSfLGvcZWG7DKC9LjJbPo2wzTw9
eESffbJczvAMkn6uw9yYHzlWDQIgNT/SImTmJwGdU9FVUXVLhdoYHWtjSUo1Itl925Rbo0cTN2gY
5LSxfdWV9xWyIfTSa+f05mLq6A/68pSVJoYXbr7Gbm+Ex6xcYlxReLgLwvFw3cqrUCngHgzqaPEJ
ztbl7DfqnoVyf7K8uwF3fBqdHXUREpdmhf72RFOntfj92P3iWgKmHcThIUfPmNvjpfGN5yLtbwIw
lWk0hz6WKzOMnloz2+l+Cfe02NExF8DEvMP8PwNa+kFf+ChcElgSF/BAkJ60Org3ynKXmfEFdPgn
E5Zb4ME8sPv0pwx5r9mVx1zYszdy8nZxZkeI+rYi9k/oDreuhffATJZyTW40z3GuQJbJtIbEEUDH
bxaDTTZV5Dpfqsv2ghDAhVDafvSZGA0G8umQwVPSBv2i6Ts85ukEjusxFvJauhNnCH63BRTCiilB
chkdDsmY2riCzd7paK+9L83wwyUzHHTE9viM3yuBPsV8fm9b4il03BfIbvtinmGn8qlIHHDWRrGH
H8gBPJQYegb2dfl7FlC7RAV9UzvTmVL9iunlNrUGKIdi2eimycIVuroHJi5jpmwnXKlt1R5Z111F
kRUM+O5aFhS621zj3v5CwZOvh9w4G121ksDdTEAhgeeRD96TsPPmoOVZkBUYMcgzn9G9UXb4Z+X4
4Txg4IqKV6g/qk08lHuUA+2iKYmHs82ixUhtbOcZh+Pls7yeJ1UycGy0yeMUyFOeZjvNI5Vw3lGk
zis7xde8a14pntttXGB9rrlq4bpFk3ZvVCLkgctvvjJC4lzStShNdyVjHgZsxl7DdzHBk9TaEvBP
tioL7q/AmcUH6S+A388C/FI7eWevf+tz59QKxJ6Vk+X8kr2DVaFeZ6BGX7aPbPQQ9LWnMqnxb1Xn
sLDPufGVGORX2WrZFuqYC3Eck3xDB7qXPAx1R7+McXNN8wDmbayjZk4OZT7eElVUDPR/3OlBlsVR
NN3G7kiocSEHM2JGJG/P6Oz7PIPe7AqIuaYRfWtDfUjIdih5YOtN/c54jYdFFD41DC0RWm5VaVgk
6qFIG5n1MhkxF+FTkPVXj3UsrkEKX9Wqm+5jZ8JWsA7m4jnEJpu+9Yn+bCFMdY34dxqbW+GybTBi
3qyG9ahbmosROc8SJV2+IIeDUgY9f2N8+dgukIqfwkAe6oY6XJG36ua70aqu0BZP+fCDWV0q+zok
FCdZ+CTLahuI8MFjD8hgk8l8FzBbwt03IfhkE3KnmviTWI6vMfReSfw8l3nenQaT+EVQf1eLQevW
DsgT8ybrbDjtjxmLY607587FXjTyeAZ2z1pnxZ6JVDp1SzP4nEnav0PuP7G1WzGnWMjBeWEXh/Hl
OExk1zfcp24/rYmXvSqm3AAjXvP5ISOccYu49L1K9QcyIhdlOD2bk7ywxnnWed5NoI44lt0VSoz3
UbDRafsDcZNsD4vgDdc53XGwIyyXbJXROQ+D/dX22BbjnkhmiRmvJiezyt6oEosVAkNYkCXlCplZ
/tLIcYPZ9aZhQBvm/mqE4rUgL3AVChQKonulVK/2Hi+pC+wPqxLNwup3auRvnATPwzg8advYqb9x
Xt8rW14yz/sw0uADmBLj2XgW/zDeL/ud58dw7TA2rRg4b3WKEcfmmYV4cFkrCO06Blef+7uMnR8V
Br+pjSEZJTckV48U0TF+6nT/PGOQwKvqExdm0Rh0Vp3LXEiUww61/UtofzIae2apluIn7eGeqm/Z
tJuca9gd4ktKsN3WHdkKxkG0mRB34ndNd1E8XC0FOyorO2Ytw05zmCeSnGAvY3dujWLfZ0lDKePd
m3W6NzoOrTGPAAKVNxAHNcaYHkAlsAyFAyR0DBg+A+sP2yRDCDDqJgP9vWX0j6/eFuc57CwkB5Ce
NY951JHDkqZYpceU6rys6Ra0Hql5znOxsJk2uKKs7iYeSoMdY0PFypc3BK4jauoAoUefvRyHi/mN
AwWKvlNbS2KRyWH2o2VqMAQtiy0ztI+sXWcMpS0WWMugMa3FHEtS6tmBOf1XqbIcJ7x7roGI7MYu
eRpKtCuV/8vkTC76DGGNofUlvDBnHs3+ySYI4iRkOyCs9ORL/1Ih3KbElFjOIbBlDqgUR7RbstU+
7YBBDka3x95R1wypANiF+VgrW3q/IVrOsjkWgdqSnfEaw/CFurBbZCwWeYoAIX11DHsbkxNLWh+s
WrmvW2Od1y14cuengInXiHZYNDrCHaEBdqPOHjBpMkniyCU7Oz/mIz2SqTHcqKZVGCfXKjY3lSG3
YUteUa9vNXwFpLYQGyf6YtuVFIrm6C/ejAfyDRnsLr1sgkqOGN3uX9KYIj2I6c3QnSR6uOFGD9D7
TDkTBdZ097qTPPgs9y3ynxYv/gzOcIwStb+6Dl6yT+mhupASytDZO3lxsUoapNCTHpxCB8NdA8r7
n6ImqMrXyusectm+TQXV3KB48PfNuG7McVk/i0GccmO6Ye3EFMwadI5nNMXKiyjjqAv3eWd9QbEi
cYaDMy6qm+N2V10jG8ZU+pvZj/gGcJUNKSu7dALh1/4EmXhGGXtyeLWmTw5LY76QGLlJzdbedIMi
DY8rR90N0mTbjjsLI3Z00V3AdYmxdeE1b/xRe8xFy3rQfo8JL0PhPMtSaDQSqAWJ9qJ15rOYG3xZ
yAcmx0ujIR6Gme/m7/mnoc8jbmDRBe21DTNnRYEy0m9BPbNAKNaB9BZDvVTWcLbt6teiDKU8buD6
kUerT+0NPYs7dYeR8UYIqgw1AbFm4RyiAT22lMFHSeIhHW5zDzLyvYtTHNYJO5+k4BZjfLtI5npH
UAlNnv1TV8GDFF84BRHKUSouUj/fqTnSOzN/xYgXtu7AqLFb5HDuOMcEogOGV88V3O9lZRbuopXl
QTfx3pXTTBjjgEsRsqA40Gsyt4gQvHkR6rts0YpqC7kv2BBAkeNV9+jY0co10EE65v6iqrXV/Ody
Fh8LE41kHSQoVuSwwL9PsUF701PZMk5cF2ZL4VAGX1FdvRf2RKoPTVfhTGrHD7iFOGhv4UMf/RzP
uw/6fRVaIFH+yVBqowbkhO+p/4pX0ojVsJmejTk9NWr4VypiC4N2GTEFNKN+39PL2bE7HFFB67CW
QjzG5khCldafKp+zAHj2dEhlOx2QyMeIIQ8Zk2DqtgCZzPztPNStfRe/1jGVReawo/DryTiIhoKE
Qz9CwlHRM6CT589bUFSmqG3WyMo+tNB311ha5oTsMlcH384QUTridfTrcQmqA1+8aUMV6dJtT/v0
b2pU0sl+3cnkxyBtYtcY5tqdX/K/H/6ypP6+RCLIZLjAWwrsRmcsZZNgS3u7j+YXNwY86+cPf58J
8DtL/NuEaNR3dkfiVJBE1cF0u/Lw75cpJ2PUJOWO+hegZe89gokGe+EM1AmSItoik8ONOCXwvj67
5JHaCNnXsmEXGbQ9TQ8t8yHKMoaHE1C3uBm+goj5ssH4Gyb1fTBRrLON7F1vq8ZmY9ZI/BPBQv/v
w79fWrqe7AiCoG1TTNz6uGXurCZ0lQzxPJpUYlJSsmrK957GYv33vcSW1DF//+Hv04nIcJdn3vz/
o5AtDn/f/ffL2LW5fci1G4vxw2+yI5z8fhsZfs1eiBSvfz7zHBo64PlgqlKfCabxTRuEjGsICzaY
8wdrfhHwPZjjt4PJ7SXSg4cmtkFFJzIrWI+Zh7OzKDdjBGmQRJxlYciLPfjUPngoD/X8wYHJdzCj
u7xp1nbKvouMomiIuVi8Q+XGzIOxbhEQUC3nfKdhij+DFMS2w4KjGIbXFoc0901OZ46etiCWInLJ
5SMilWsT8dgiNKLnsKsfZARqUU9hNE31qSb+mKbokDXNyZXuD3b8+mC0HqYT2d8FPdbQH7+g+GpN
7LUxTAAOK9592xrYMDmsL0Box9WQMPLPthk91nWQkLqsGvmc1Yab0Yo+QTAQhlHbgHJ7QEupQ1hP
iwbES45EyItHVqbdcj9orrbRINFD/mRqlAMmJMu4OSGVIDjQMnzu/ajatQwYvbIHbZmzFGhUc2Fx
iffLnlhurVFmaBfTs8q3wtc2NX3eakCzsii8vtoytpVXsydfBairVjfe3mMpRwwxigctCteBD85b
sehZKs0R4DI5SbISwkM9sYVvspRxisdbgGAQ07SDGmd8UaKGg2ZTa7lxTJoCuOEisnQG1XAVYotI
RLbilVRqnblafhdqn7B6COLs6SbXJmlMZ1xKj4hqqVzFfV+DskFMls4N8rj3vrgvRlGfOiuFxDVq
+brmUU0znn8yHGQ1NrHBjYq6PMZo/apUE3uZh8ZJM629OwwZfXDbb0rpnUKSeK/jpDffGeRCIqeL
bGMESUV4if5WCzLm01K9GXpq0jcOMMWgorHttThD3PvGk9adwHHOg9btHx2NOmmo7UNZGsQIdrO7
Tmvs764eGCCX7L+rELkIERvv3BDbamifhUfet1Spta+gzNkChxVCTLUGYmmpgRBSDf11Ye81M/Fu
YqAJxF++RIZa7typrlZklkf7IuUlaw4LF6kBc8ua+B6rKU05mT+rsU7CO7xW29Cn/Ol062Qrte/R
QF4RrALZ6DS1d6Ei0whtvXZ0mIaEEK8BX5BrXPDTSWZSxpwJVBIrkja6e5U9o8lJS47FxB4HIx2c
Y2aA9+RvrTQLmGsdjiS/kYJ1dFi8YnAb63u9tvYNRr3LYOp4udnG0XfLg2IV95j78KM7AcTe0Hiq
RGNU3MWxaiF76RFoliA+OhjetZjfN1HdVyWj179rAmiXt8L6o3ZZNBEDjNw5GYrskUyR5zBobYTu
abNiLjQzD+IvY4irN1yeh0qSaQLfQhyckih1XqSpLxOTkKwQYcPGyTr8nH3LO2nG71pvfbKwS5Y5
5tlFo4aU9yPd8eBArNyLYvV3gXWFfyznFwrqX2fBCigWned8IIgjDZhzwGvoYUQIjYvSNGY+JLWt
Spb1RY2tSrlFfrYVUg0NdaUdmcgXEhBHrdo0ISxvaEjwImJEUopV6inPZjPrGD7INCRegYN4h0vP
W45EJG9SYgW3udZZiH0T8dTOgB53UOMOz4zx+PfDBrM+I1BrsoqxVcx3V0C+oaxo1Yoi9AgE9SZw
/B4xTM6MxXC94ox9zmKAojukWgIXT4v+iJJaO/e59eRljoNRgq+STNp7ETd3hIvGgF4Sd23HDOLx
MnsntyGlwzFTeWqG7lr54ujGfCc0rGmJN7Ze/f2TvVDohSqzmQueYePGtO1N1JhrJRXTgbbcG3bt
X+p2gExW0C8wnSyOfx8MpFP//CUT8/h1moLdKe1k35mJvTIyIo1A4VQnIwBW23kKVm4D+S1o137l
Uney4n7uCzxtnnbGmhuCvx+4GnrsBDLu0SGORnQYq3ROQGiXIvfLB7OLPzBSFgOYbqmG4i5RmEiV
QNPQe81DSZIvJOkTcvaGbJIlGWNiH4IkRgJDFmzpiZPoR/2EA2eDr1mcYEuAXq2Ef54gue7z3qKW
nG/GZmI+yJFyGCLQsHkDr7rOfGc1EoxeYMwwW2KgaCbXodSsOwLx1nVDtHDcEJHg2M0DS/rnBnMz
GCwnWntd+MW6cTrxDnVLyviZUNube1hV8Tauk3bVGwN9099DzA+tc4Rk4EXeu6Y5blhsqKWtJenW
grW8j2vmkMP4ExWw3ZxspOMFWaf0iCmB+ErM3qdFBNwdpzURPthAjlZrlKu0TngiGMPALxgLezhE
m79vRbLxr96UP4soOwexH+1UTJlui0Ls7d6PtxCnkpUpq+JOcRiolJ+YF/bT1t0lA/19H4ZMGf9e
PKmHe8PkSO3K6QHxXXwnyGZIC4QmiV49gdP4Vej6zRrERACxZC/yEPuAYXBfS3sz+K656Lo2QolB
O2SNWbkECODt5YjVY4QivvIJLehS23rTbZJ6VdDcGQjMFn0B8LHrxZdvWB3I5sy/mF3HjNdG6znL
qPB5reL0EhZe+9X40P5HkVa3qMmyLRbKnwgBIQI8UhTKqlJbs1TUIRFjSJjO4klhPnBaVogRKMYr
GdhomYLQ2Vrd2JyBBt8GXBIhXKFX0YzxRmi6RYjOTPOywmctwg4Vyv6aTs4j2BRzk/dpeyLNxd/9
/f6dAQesbdHdDLFz9Edu+L+j10uydNNZMOqtFrWi8u2b3lbTJcdQezJD/pDf8q/BWHF2sZgLIcTL
96KVySEQDa4bQahvwjmG6PPOS6X71bjad7nFGSdfQ/CJy7LN3McO5/qKAEN56ZAzGQGQ4l5zqk0y
zT0wmmHNYA9kGIaz57phDjsg7u9tWlY94Arh8dgdRzScC2WPewcS8z0KGoQyKeTNFgE1I9/oYE3c
OS34k5Wb+t2dTrl24gFOyErlffx9VWu1uyEYLz/3bntQoozXlTHhtO1Nl7Q5ON3kSYyb3gk/8DCb
HyOfwCr755NQywiRTDWdymXaIGpvXxkctJt+ds9zQubrvArokLoiPfz7mWaR6yKrbltVYb/TXDJr
An3MN5GXiXXQg73KG1Lh0kSjVCMA9UwcJSusygOg58bELghSrHB7Z7theDRRIByCigVMLCKxDbP6
JXeKD5c2tW5t49HpQN79NZR9o9eognExTKOZcf2Uv8mayPLgoc5scPaG3R0IHyNPyc2e8dqDHWDR
paCzvk5DhN6cXZ6GMLMuRmtPlLy2aSSb1bHSzTUjHXU3BdzDRoshIdeHKFgioYcQVqQ/vWQbpiVK
R2jHZ6HevZAIYm+moWy3Ng+0E/mA27zq/RUhPZgk5zMk4W7j9m3HJdImRuNeK+e8UlTFxSZHVXQX
ePhd6n6IP7U542zM82fDUu66YsUTE7GwweQ9vgv3pJdt/xYRKrdtyrFfTr58J0ZFPbObeND6wXl3
6Gtc5b7URN08M9Py1pZWfbgSz1MMefMCjQzZwGBnXxoUwtpyKbUT7alOGfmgeu7uTPwRjiPVAbu0
vkYI5bz3PfP1MCMqvD0XZM6urKQsT57phVeJZZRdlmc8hCMECDGNa6Va42vUUk6TgRIOVSNsO+o4
RAz3bAfeccpEq7AeiXlrYCASPwKflaL5GM7/IR6I8Kx1sqHcQHabydbpbFF/LDp49Dt+wFvkMRVg
xmBhDgsuVsMoLNCQkoxx6dLWGOJI8Z9DX6yS7VgYH44Budg0Hjvktr6y083fvcKItaU4izeOppi5
i3jA+UaFQfLmSyyH5h582RsCw+g9n/3a3WsbYz4KR7UJJ/IW68Fy8bERXFdYBPwGZnxGZPzuNKbz
bQsunTr136JweJvM5hOfdn9hP6Xv8gkIrNDh0tuKrQHTjHJt631+6wJ0iU6SaZySQbjVek4PLakw
KVQaMSGQ5SeZ948u+ypm0rm3T1P93aOV2FYm8vqhUPGqCRqkS4QOM4YJq009BNHOjOoXdEnAhLMA
HR5nGLAT/AicrrfQi8+xBSfinyOM0+Po2Gelj81vqUiLLJDiMfwcd8o2fEaJtXN2GPRsK+TEXGL5
2hga940Vwr10+4E3jWSmifyRvdHzztlprx3+9x70/5vB/H+40P9/AwXNSPP/BygIcHr+Hf93TtD8
B/7xogv9PzzLdU3PZVxqeahO/o8X3fRwlZvsKR3TcgQwIWhE/+VF1zCjc9rYvmf5huMQ//vfQEHW
f1iO7eq+A4ifFQ9+9v8NKMgQs+f9v5vRDQbN/FVQCMklcD0GMf/TjM4PgGhTlc+5h+Ql+dRhXLCe
sM7YwO6LxmdOboOIaNObOUqUCfbaDZsHUBTjU0qUONKOhxIWqxaQOOCyJdL64iQQWirQ5QBiO7RL
Q/HpE5zuos+ZZKEB56o/Cy/bMxleVB29M5TxeyqhLSBB6oQMhx/TeFw5Ucd8GXsjnpjn2cLBEIqA
ory/TBmzk5HMs0QMSMKa/Oj7QbNJ474EI2lYS9ez8nUjxkd8uRfdy+0FEhLSFfG7O2Q7BexGSGFY
xUl7bGdSe8UkXxJm3nTQwlpkkkhVcJ2Tnr3VBALtPDaezUFspOM+EtOIjI+CibGDv0xyCCMOGVa6
Mtad5xxb2sZON2563xytiD5l6IddCghsIDsMCXv1DR7uGerRrrWRxVlszEWD9cFvo1Wfs7UIInYs
CIuWvePAJZQeOgmzP6WR6g9QCvl2tvShp70IXCduQRaFG4XluZE4bJj725fOqtdSLx/E2OH01CAV
pbn/4Li2ScIM0ugU6s8B3sZ+NNxfYNPllkvkrYAB5NUhapY0fRrr8IT+nxdsmsR28MzcRj79qhEN
3+V3XTI+Hky5TBzvAVK2s1NYJFcyr5iRZNLb2CVsXMVkPk3qcZPp4R5CVbkv4XpOkaOvrBCviYZi
o6lasPA6fo0kJQaDSXc5MjQlglrrtL2BXCbqcfnFaOyWeoaXCtjCElY2Ut7m0TXcb8M1rz0b1nUq
xl8MeLjA8uHV4MmbZygicK9PffDjpMDVdklARqFImlPspE9aHH1GYXLXT1xTwUg55KTuglylfAWW
7J0rqTlMYZHeJdNwkKo9TY57T0SQ2voAQ3UtT7Y+mRfwi/xFELRPdVZckBxDEN3GvJWMNlb6byaJ
ZYrkW5v3q3wMkfbMu5gwREDNqJmZSN1voXZ3jHS9gx2PryOOiE3YPfhqBGfQyw2R8dc+MYaN3YS3
yU9YZ1kjFqv2jDq3IZv7rtfQlc+bR4LF/DurI3U4yB8iXTt7JioxlyDnIfnyJRWEYfXPQ93kqxzT
jEACvGwcke8Yk336CWQVlmOxdFo2YhGrH8brMOqGAN54kwVnCaiO/oqYv2YymLX7X3WUtHeFZcEQ
05rvoJnOkdQfKsch3DvIf9OWcbEsp0fy7dhnZiCg7Lp5lwVHazYXfazoULw6lG5ZBqGRmN+lOzQS
excj3YG44qXZ1M06kdoLkC/u/BoRHxBGT5PADiv0cKxroSkF2Uvp8hwYmDMsxvquUVm6MLv6vUy0
e/nrDQxhZMrsR9imWEQ1CSdkm21HZcXbxG6PeijepuBQe7Z6QpnLbGXWmRfI+/0RiHsTnxNozVby
O2hsFgOcfsUABTv243Wh3YKhblcgtPJlKK1tjg7ngjiXpheOQmIJavX62JZ2cAMSHWeCPS9cgbwi
FgELAWTV17ZxsCqj9LYdX21KCPdrL6/WVoMvT3frp8E5u3F9rDz96oyEBSQJlLFgIMpUzak2no9v
AETQwbFlOTOuY3I7C54AZfnUBeDF6y4/kATNyFS5BnoClEfTRCJUn+EpComkNQhTsY0o36gagz/F
axANR2ST3arS2fi4obHKkk4nbVqeRzM860OJFszyfgkPIt4rX1c2qYMYJA6xMO78Ke63lE/+UrHG
DgP/2R+0gyZ01Evh1q/TH6IEf4IcyzeJai/Kku/EEZ2curlGRs79aJLKYGF2yAcb/6yk9x28IuKW
KN+sMdGXwo7UDojPGvJkdBZj/tp4s2xKrJhKwNff1k52sQ160TJUm1avfqNMKwkMr5FcsDJR3rao
ePKSenEP8a7dRP30llsfSUaKVctYdGsp585qyVKlWI1wBuZMcnT4V66oTrlITmFTPKoOL0xETAa9
469sgEZqVQFMkv6GDExs3faBbu0uqTlQuix+zWa1wBAh5hPifXAMoI/5vjWR/lD7TxCnFpVtwcfK
Igc5QnpBtgWYzAg+hDo4lf4q9Po5qlB7ATY+EMLwEY9ROAs65BIGCwm3DjNWYZ3irntHFo/aYuzG
VVVY0CSUufPNX5Nd5gJWESoqh4iRArJBDoxhwpcztd7WGbMHN9IuY2VK0g56Eszw4GkYTxMn9vaV
CtjEpM2LA5bYTM1wZ9v+0iSyLgvIluwNjJn6Uyi5a0fTQQRkZTvmGviEMeL4F8NzZ4np1O/syTxW
nVq1vW0TTGdsNPxGjOIByxjohDsFzWQiRK0wLzh+3xlUVSvTRExCShOdhW6tdcykt0rPzR3WYRys
E45b5F3D3oAWimlGENB0zaJuzfbPucfStOnkEBL86bYrXPUv7MsYL9hS2410WZDGrVtXBKyT2iY/
FUVhL0y8c7rloT5IP3rSi3J3NvFUBBua1nhHShMyqTylbyazvp/UfaHDVR+Hce1LRJE+cWLtnD0F
MnvHUnjDnpiYPBk++hMLbU1/IvUQcf6UXyRoPt6kpad7F4QRS9u1kC03zAyR868LmREVMr3aVfya
k9FACALuKm381WIixnO4qJLwSFB/SxmxvxOht9On6LczRbdQHloUyW2P3Tw3SZR51dIYnYP80ak2
TJ6250HZr2NlA4LozZ2sKS+m0Nuk9KlbfjtHX7EdSVLazGLCnO3nIj01ilRbowruKVqxqJd7psML
6ccv7WDk2zAPt0JXj2afAoBRwSoxiTEh8G5V2kgrpOOAfRh4OxlkArXHl6DQEdBSFVc/50IDr/Bk
gCEA24dXOGHoxOgqb05ZPNBCh+l12nVzFzrUnrwZFj+4Q3Sqq+nuFobOQkNafVYZh+YcLM+qYo/8
Ml4Odaofo8+wENF6oqrdK5phtirIuCIQI8mQAJtO4r30I85cktniAdparGGCjRkFl8V4ZL2172qb
GbXMPrxRXRMjRCgwVC3Ht6Isgg+3aipYFPDReWd0bY06fdr4InpXpJcybTQQAyK2JcKLKJhlNhQc
DxVvJ1rUbQ9/fiQGLPRjnZG0V28HMNd5DNgnKnpmhZNZL1Gmqniojm0T39K4YvOfD8aKSXiEjnhg
hURP6nZRuTBs/UeXMUsczNpsKKnbANzyO1k5OFmpTTlscekye3aNdmXXgXY2Mf6QydUsMOjd20mz
b2qk1wAVDUrPFuW//9kKuFGGqW11q34gGWWt1d4RzhqHT8k5ItuZUp8IDqYQraqBVKUwmq9OAKEI
K+AJ5hOBIT+hOfY7I1GPM5SKifINn+4taYonQwTGhtcQL3TXuWVFVW4M6hpjcDCIkSVYJk04n/li
WWbbFjLd0jHJKMUrcAL3jsZlGZR9+mYyhUWb5VlLre6OhWg2Gs+zU4IYgFdC+A2JFd88hrRNV7Vf
URcf+VvWEfGkd+GM+/PSksSmnEJ9Cskj9od1qIdvvs9s3oEpxay9WWBQrkHKEFmovPoaIOTGZhcm
1FLRptHZrGh+WZOF9NLWI0B7PUWyaQH8tbyblXizigiYPr2GdHE7F8i616WApa2pTx4RdyOMnkWW
QLnUfesrl5Ae+uE1822PmRQTK9OuqOm7jbB49KHMBxWfvoemvAsMJFex4/CYDaJLkH4qO2YODZfI
MEd1NuFELZXPDFlWRyqNN62DJmHF7QM8UWtpB3/0jSpa0CYxqhmWxIjguerUJWSrhsibPaM1EYoT
D7fcqz48xcDdMe+ionsMXR5FGJaAauZXUVsZBiL8oaNqvn0gKYvRISqRoI4flQwfIDDEsddhiHWm
ea1tesiObRG3KyCaWQrfwM6w0xDHzYySYTjKsxZrVDJ5j1JXvI8EQi2mX0OogGlPe2RVAYXDJR4A
zMcKDAUhcjkEo9lXht8Stf9DBsRhKcUPsSuCDJiU0Ng6fjIhNi5yt/hP9s5jOXZl264/JNyAN93y
vsgii66DoIUHMpHwX/8Gtl6EpIYa6qtz4uzY9x6yDDKXmXPMLQKNa9by0XSevdKwzgU8MMpkMlWM
CRPmfqdrXYSDsznoeMQwHNySAbk2BSTKiKm8GINFPAuQSzSHa6/EtFTW0zp3kQWU0UiRNqWXuqon
wnCHBuDXcp7NUIUBPxjQfgMTehyDAaMYt7RIEMO6iBCIwREAoeWsn4L0mXDY85RqGSj0DmkeynH7
t2YsviA3AspO3J681jil6b1vExbWjv2iWcg1y9mnEnjtcRKE5WgcYk6bP/Yjc+OhqULsHqh3SnYv
i5bNd2Y3zA/lXkw5pLbE3sNVQ6HbtgNfUNgoaffksG22O/U09NM1tuJ9aCE4gubQIESvVgagWz7R
cD+hHzg2ab2Hggf1O0boaxrJm6+OVodljE+3Xw+V/xD7Gpv4VH+AAHawbddc1pldrYLx4LZQsUI+
mDWcX2ulxuAhTi6eJAHBY7afgHVLUKnyrctXAS5RuKlvkTv7EXMOJZ+9IC5SGgEG2SM7yQiAaD6w
au4evLjDxG/eCyS0aWr+FQQTtdUT7IldMxZ7DRJp2KgK2xzfkBqFwiCjjT/yVSyd5urMk2PkTQJL
TTiCPVr+++mCWq7Vk7tIkx+NmPZFWiCbjLBZL1J9YVoe4WlAtzRQxLI7a7pYeVnh7PIOTnunI/6f
PHs9eOZ3BhCeQveAgJtKkYDHKQVMLp3iOczxvSjZ3aN/QHNbnnUFrj0kjdEt3nQnjlfpXbJxW3dp
cjXydpM6jHPMDLaDhp79QQ4TudJ1twwj4p18rdz70v2m7tkZRomSA7l45Yw6ekQSj7n1GYJOgX6Y
AiygU4iQt+RkiEmfMwt3ayDOMkHWYZblW3IzPONk2FzfiGQ3LuakvEcCaZFKUPcWGeampKsTYPiN
TL4Rcv2YFoheINhaU31hN7uXcXpJm+xRpRSGtvqpO/hXMUJoJIlXVaePCL9K8phm/0v941Bn65+u
rgjhjdxbNLlrEQ7PRFecovHHSoOfFmc21tEIH6j8CuNZrOFu9W76I7n8GvUTBpdcHG2/v3o+1V+d
PWOSO/UNemRb3UWTv/WuPHZ19pjX+l/dqJ/EoqEO9V2HemP9778Qf6iMUGRr+rMSl4UFW1r0Li8p
Wq5S7zdTi9YXncQK59AlwSdGSMx3U/jDMnUQIOmoKvkVNMKosKRdujL/MEb6ZJsVzlI+IXf4gGa5
GVOD8QNa14xRlSDaV7npQwQMkp09PY1RvDlQCxYN9glPu3ja8Jy4sD0M034qOwe3a34RDtE42che
J0UvS3jhyjMUEn1x7Pr8MXX4oZYbNSsW5ZQj20x1D8UkV2z8nlEM0DT/2UF68XvOHjEsrY5Jiug+
HHBY5INErNqdmzmrfHkVWjhHcFDcKUHYVN2dVVM8FkD2fDUQUsR8xfVf5PRt026zcL+TqkMYac6j
avFRmFl2ncxqH5VOsaAy/LAjyZMd7lwm2ZCfOESizzBjAcv2eoUY5ja/XpQh5LsmlwLTHi0wgQEm
HXYsgs98XiJEp8gZQKcgSdjUmM8LQXXuUVNAXMM3ETo8cET5xJp+bRvtVTov4B6OtgvKK6SRQYvJ
oSadz3DOTWjLiLiXEH1WULGwQX0Zx5c4Vi6zvHZJmPpLZGJXJosLUTYcJDVg9uslyq5evMAILFA+
Ryul3GOmF19mHGOcTi6hp4ylG0HvCqqTjjdLjd2XGgim9vvGWCJZP+ocyRDzx1XlQaFsQhbz2tEu
igvm2EdAyD9FwBfM8vFrjk4Os5jT3Rs4enwq01j00VIM4EDY+eoiG7ZhITEI80RYwx/t2SYbume7
xGDjJIeJ7SM3s9lO1wp+W6frf0SZwyMit2byMdn1JEuSVJJcSps3WlrpU5NOF5kSKh7wTnQipjnk
LJY9kz6kzGDR+U/FAKrakWVpRVK4k38Gbvk7f3weMqve4t0WGbklQbCtFZWAN8iPhhkkgtJx6UXN
S5vWYsYtvFop7SrTgUmADZ1aSM+deQMiAWEX/QGMh52bZx9hPwJVdM7jon7jbBoGoJyAUd1qLA6j
Xhxl63sfwSqMslNLCMWVR4044/n3bNttoQNXNgt+oLTaS17gihj6P5ETtqEPOt1++eQ74xtE0ps0
ShQsxBVvTSiquaaJlcYIZimJQmIyRAEkhPsiOxAGwFpeMSuL9f9fvfwLr7XZVvzfVy/L+PPnf9+7
zP/r/85nsP+j66br+D5Rj8B757/pf1VDHK71HyIRbFYnLFEsR3f+197F5K8c3XIJHzZM03F8ViH/
zQD2/mPbBoWlq7MmcSH3uv8vWxeXWcH/sXXxLB0gFQxi1JS671j/cyvz/XlLykjxO/6PasIsLg33
YBjNMRiYDE8pO11Te+57/6Wzxwfsp7+6Tfoh3NVaSfb2CHnjeoWwu75oVbgN4L5dwaxyQtXZ6i3D
QLeN8U6hZwxPEtZnq7eHtD+03uQuBx1JWp2VZw+uLmWN2GcCqbjF4hr4MGOgOmSVAHanjBNkr6bG
UDfs3jRAIcL1vsd6vBJW4KwmyBQO03UaC/JyJuSKCxtma51Vp0TBIojt8MFuumSXUxm3RQ+YFKGz
yoJg2YNNY9++w+BZrIEtQu+23QXWCxlF08ZlCT1rPfFPG/QAyaxYT9ps6ZbeTSmWJWmEir4wtk1n
eVt+eRghMXJymcK2jfV1rXlvRTxG+A6YcqUo7SBMkE4z35iZUa+GghsrI1lxqw+lu0+0/K/cgxz0
l/1Q7hon/vHg38MlF1s/64+9mH4GF2V2JsUPNhZkoaQZFQQBEOn7UozTV96xkMgfSTz/VgaCp8zi
bZ4062pWaPXHKbvlOFgmI4O/Mt89TF3DPMQiSFcLD+6D++kprlj9DqX5gLoUHXkC3dHb45c6oo47
UrsCrXAYc0ZO9pxSqcY+bzdmtwPT65mryXvkpZD4kVqKCjRCpGmfZYo12zOPbSDk0Ue5svTr+AZ1
8y8auh3mjI2FD88JyXJzh0YytDAeawg36HY7b+MN+Vq62Sbymmtpw44otdl4rKVr2+wOPqx7gBOY
J0rIRAnplouW/F/mIBqdaIEmxyABRIKkA6uxiVrGHb5frpju4rgdXpp+fJn66FVX9Njp0L5aPWYY
VZS/NiYvJ6lQbDX9MR6yTVICsqG0w9eeOhc7YxOHoBlNDvd+rqx9Sv27AOdtX0yLkUOW3WGLdNDb
ogubym2oEDt0+bD3bHi2vQ9BRBv8eud23ZWb+MVXTHo6LWBoHMuNTKs9XJRjwypi6Sne6CrZqHiW
R7vipan7VVZRoEWK5phUQKb//UcFS40aJz21MWpUAavFtdx7baV/RQ4Wb9Dx4HSJ/OBj+MptlK5m
6r2RV7Zrs+FNdhoel0R7UU7lbhpQOogRNT5IhSzFHtyfQUwXIV21MSbnZpj+1SdgHgG7eSrVhwME
bqnjjI4Far8uaLjaC3AZpX7osYkS2FDcYzf6cgd9RaPVouC8wFu+t3ZxjaIhWtohhm/P/cpj41wK
76nImoonrr7aHkBIVaDzcnowbEczTq8pwy4Sa5+iHrCgj6M0iig/y+SSWCaRC8cmYsJoFO2HIMwC
o23x0DbBZ+aDfJmqa91FqDZrAFcAVJwmuw4jUgW4USv2m7OwNj7VJjelk6lrKwH74cXckj7zjhxe
gunbDUXByC9jIju4+zRmrEbmzCJjYAP7v6EuwxTg4iHDjp/ePEG3Zpr5+d8fSnhIENATI8FYxo9u
APDCvKudRU4ozdjMi14AACxYYSsV8cZv5RsKqSuffxSY5yqO9yMbqUEz90prHl0PcAI10VeDrAkw
gXk2KaSLjObHAYmAm+kwhTFDrjHcMdGn61xprbnOpfnr63zp2WgzrowZWc/iwQQjusVvEBPnsY3V
/IN1DBXOb29gr7Z8m8K0eyp0eRVpd29NSqps5HmzYs6z1G4veiQPY6htM5PFXx7E97omNTUPq+fR
907VpIaVIdVXlOinPB0spEjTquni36LXngszDpgXYvFIqltngZQAkxZ9TRZ5YlmMi8GKeI7gLCxq
4xsTzEkLIRjZyjcXfpb/sVZnrFGV7P+pLXOTCbrtvbPuig3I0lA09yFIj0q3Lu26K0KOcFS1vTdb
VqQ3rryafKsIGSMUxsqfThJO6RJd4oMn9HwTI6ldJt3FqZ2zGxzlwJhElGf8KR9p1X7Ikj0z3Xeb
+BujnxHieN0CWxLHUtyIfXgjHRvzyYA6luhu7ILhJEJKxv7IyARTB7sfI6W6zK78biH/WbakrnUa
UpBBvQaO1xka4PRZcu9B4jFzYueda0DZ1ePklPeURpykSOup97BQ6nY5npzY6pcCWxJxmvsS8eNF
BdHsVjnoXvsS8LQ4KWHKlr8eGQTYxOiVaV2uBkm8i+/Eb10QEBRrmi9sJR6mvr9XenITKJYWAZbw
lIi2mXZK8MlL2WkrRbpeEj6lXAlbuxK4JjhC0Y/uav8X+NOidDU02hhzWBPQ0CAGRNWHBCzwBZtT
5yUaHI3mnu1un91Vz+Yyj0q1KmO8fnor7mlVMeNP32m/NyF7/RrGIfNK6vjOug8O/ABcEV9Qz04w
cHNSet2zYyavcRzhACKURWcAFQbWuvF/8TQRrDk7KKOBwZcp5B6F/w4EpktZgr8WoiCKRvOjqMD9
gvwBkuG3uLq6QgPd2KKl9cJNR04CxhwRnCoYCwuV5PKtW6URH2Zqgte0Ih0X742xK76xVsfh2Q0M
b0ccia0x1mtXi43DVODXGsgBQh/R3Ly2znB151+SacQiDkB0hXZgHyYouTw845EtCDuIIrbX3tQ5
G8zgrzhg6c6s4Nsq2eBBce6Ps0+ckR7E3VxEy9A2nx3NMJedaJ4KbOX1goOQaGJPkOsDRRjs/DgW
VyFhcbQ2MVVGbh/bSD8h9uCFUspUEA0gJkWmE69T7aMoVA63CD1mM2Td0RHlMwdxsp3CcM2uTt9V
BRkznTY+9DU5Skneb7oAloSQ+qquhqfxbjoe8bSM3xfCUiTSGdFB15OdaYzvRBpru0YrjhlJEsuI
emJZWAhJiwqy1gQxrVK/KiiWuenUO16luw3z6J43wLIUDzw2fSCiegtoOFFbKxoUJOnZ8xrfXIJb
FyHA6MXUgQYVYpo2cWKESzxezqYWGEhJxTZcxPNWTrbkDaWfudPbO4Jq6Eh+RZtOIh/g/DcnZQRK
pQgEUNcW2sT/Ve+tdeEWDqQd7o+q5Bn1vHDBYkv2DD0ReGqLto1vLf4pHjj6Qqz1GV/b1A6QdybF
SfPZfCLlJ+swQV3Cldy4LD6nej3P50VzMesQ3GQlvrHNz8qkU8UKmKnmfv7kquGTzdxrzbvOh0xj
h0k+kWi986DeRR7Ldr18tMfpOeTSSxC32IV1kR4PQmhcIc0wMItiCNqD/aR6wqny5ENE1q8uCX/H
im71a9VwzIuCvRRSPz7VcGOzL2hnsYMBfjPNX7vcxHpTfo2Tc+xj4yHkd9WrZlcF0UMic3CqE/nN
+FaSzr3JRvsglQMweHIbzeYnKGxeVdzf64q5pSSTaCIFtZnTl9O5CKyOaKwfm3zKd7jB3suaMTHZ
Zqc8dFGPiwOeWaSPwt/9+wAam32UGD8hp20Tp9lmevYLOFdbFMz6gCfxLmsOO4u+YgttB6vC5rbV
aWWgvc+tigM6zS+1u1OzezISnQiSkgC3ujoVqv/TVGzsIpz5Q8DKE4iU4RWvQWh4BA8zJ/GM8mYY
D/h+f4Zg37nlX9gjYoAYew5k9NPFTITbgSkoF1ncbQQlZSjskKUooVyOlz5oVfJGLPNJj6YL1XS5
iyMPlkn6ZdkR9Hs/bUHWOdui40HQWERuICmFK8qOzIm9k7AqUoKm6blzZs4PyxKBrNn26n6Td7/d
VKZ7q3GI9zDjnZ8xkXL5vgROMO1cPb8mTYbCLjmOMAIyAqClne1d6CYHYAevJRinxvAZfobqSdru
RXPZk6IRHZdxPxtWgu45mbh9WyN9nBARZ57zKidaLp7tdAFu+5DV+sZv5CVZ0h1eumyiscLS08Xu
OkmrrZUne6uGsWTE3Qsi2Gcr6H/6yDz4rv0wQMJigtTzS81P2twDziOWbLoPON6McITgCAGsj34N
/8XtNNYLsp4XaWhjJrnj851mnzYKsVWYpj+REVU8SKiNyiw/NAK4Z239SFU8D1FOZAgcnmETiewF
FPvXmEwNjGJ2BZr91SWC1xiS9QyS+5jy9GgdOJyyoVAJUvOTKQs44ezNlCEsGv+QTdzghbJnWeH4
joaYe0Q3/nDXxFtfp/Ql6njwXJcvMC2sUaMSJ5dgNADGF9OzyMpfa/KrnQH0QQe6ACi6XSOP2DMY
Mwvs4TJLbkHQAd82WGJ0EXGjsKLaYo5RKZaNOrSuBqm1sw4R8wUU8FmMMLd5TvHQsDrkSsIZ4BDG
tY4bVFy2StZhjNdXc9/ZO+810uUJUl92Eqydl7d/OnU2qgJv5fb11W0MWHHqqBL9FUcRKQxasuEg
puSdpoPnxr+Qzs8RYrKizzxyXtyWDUK/aZHc7zETPv00MVGpmVeL7YxXZzCxSOBkMQzuq5VtgorU
5SrgosdcPR6SYLxZDdKvCtmg5t91VPe2vvMC+yMvk98UjTqsYLejgUNtkEfNW6YGGhK8ac7oScw8
8QZ54NJW464OwJHi1VlihYNGrw6qsV6djBpHY7wGfi5NGUPo2c1qrU9EXDF/AJA4xAaLskCts34+
zQBXDJl/hqmJQKiof9haPD/2hvE7lKBiUElCQ66OVDBHNZGmJqOx5gWGAympHAszF96NSwLqygER
WGJBxO+fOyqtXZkmJ6jk1pp7B/0QNJa+9nKE1OlTPGhYjQg47ECfrEY0uwsjd97FJC/Z5D3Dwp1P
Nrkp3ezJryD2DC1fC999tP3ye1JFsOgoRZZVOFxLzNoYL5wzUgXFvlIHMCXfGUPSXw/rjFmt8HOU
ZCw5AAfKJQIpdvc6LAJpDbfBbI+DYyCM7WEQ1KbYdJZJSEQ7XKYOs/sYnqAYzH788slxud6Cof/K
LRPCL4GNehh+NDLF79dBi7enoV0yssgdA0OHL7ECGL17KPvhICyg2EYFFqIOyXwqH+yJTk4mryOQ
nJxgT5634I85y4+WG+DyxLM25T8kQL4Q1I5gUGxkOxHH0/uEv4hoQ14c3gC6tbCcs9HHMp/P1X20
6Q35O+uqlgaga45R1o/CnR7caR7Dgo+wPHbC5DCAE8blvUDj/sC+EWkaMV6LzBRkGM0RlM2poF4+
lch9F1XX/Oimna1aw5Lwo61lpiAWOfEEqcqT3cZMDeCgxbBqPffPcomfH4pDHO5q6gyMrCzW3XpR
EybBHjp/NlSl1qAGK6f6rU0jQHSl66uETZyQXCc1HpMqItMgn7xdXWP7mTP0GDekVZ+tU7d7t03/
NfcYGVWhWuslwlW/Z7CHtDPcumlJa1oHHDJaTPei0OTILAqeEy7+JHw3hTXsulKu0lLDIARgTcch
GevirRhT0O2WNZcc8ScqhVUDOG0uNrcajr+cw4C3uAJQ7Kj3KtbpfjwdU5FOuAsIBy/qgODrb3b5
Qs9DQxmh8EPpC2WmPeRFw2mY3+OhgcgKrNVgIBLJccFiWqxzUwdKPHnk09vhQU3VPSggfXWJ+Vbm
6DqB3GCXvhdadevl9FrVL2VWviYcHxktPY05MpfCInCetTlCGpacepkS7mS1GkelkW/VKP/Qy5FV
kSTh2krRiQ52fEyK4WTAuQJrzq4TH5AdWd1KOcMtjaE+lDXb5YR9Qmk8pZA9AXZyQVnVh3oRrGLh
Ew7Y1ysT3LbhUYiPjC3SfmUpCBlIpxAjl/ZXFpVvY2MQ+Ocg6wsdjbg/jyQBLtjZfhKinyMnoO/R
p4B7uvnd1GyqvnMWdtK+4sHaz/tMJ+A4dCegJGq46ygHAbPwyUWCYljXCQgoTua8dbezn0C/ecxL
RKgB5gOgk5LN7XJ0u3l/MZsaSmDhgsrPysvYkYkdMByl1jqMQ/Lej9qFjmlaSXM65SSUBTZwJMAR
19oKfplPveuIahYiL9gamROkeVudtYynLNU1sUXmRYcYigNb+9so0l8/fSOgt932FZenJXvamOxa
aej6mqpapgWMLbYgkGXNNzMSN8r4u2rrJefpM2m4L1J6yH4nlkbySZj+x+TvxtH4oIH4CyzYPzIJ
dqXuXuuWWNZOXvW/0Fb5ITEjZ+Fk/kjf/Bf8w/i6ap57FkvLzL6awPxQgmU93123R7/ruvm2MUG1
YkJ7szmtFzDGH8ea+l06DNvC5K8iAmvdI0XZV568qbzeBUGCXXUIv00WX6RS4Me1q/VQlo9ouPYJ
EWInTZA4EBuXwptImPf1l1bll4qqOgrYkg9Boa/G6ZZoFVY/1b7R6thbg1ShgcVQNxaP+tjtzUC7
JB6VbVLny8h8H8OUwYMLVUtrolkUJam9oF2hiFgqPygWtusfGz+wUSPWcudI88eAYQncTpXXNOeF
2+lqIgXgRqTpV6D5TL2Miwpho7V1yqvjhmBOyXIvUTutnx7H9iONip2qu3rDnPyjmBew40eLHoZe
M/xUk4uqzfZeirojRtDtbsKhmQGM9YpAjhx31Z08OwCk17sook82yQyrPqy++Poih2oodLkXUBI2
1rACDPkQ2A9teCyi7l5a6muwkkdkPn8wP1ljh8MWeOcn8sTnPkVzFE3DSnnGWkhx9aLo2/ZyrNK0
TNA+7rnGIxNNXPQWwyndLQA7+uguLAKpLEabvSivBr9vI+sDx0OyRNaNsVaJ36nzTaKC4SPwJWZi
4x11n2PWohTIUXhYpiqZIJ91Zx4VOtE7KXh7hAlcDC21a+V/dunIy2riYx4cXE+gFkmJjlP4WsLf
NmxZNCZAnjtuPDgV66YFGe5SQuTJETrJORUKkHvnfesCaSpiv4o2ndu+ANXKlIlJO2C+ru1uKqke
TUlUTWqUBC40bE1leM5F99CBKc+HOgBaUhLDMNGi+3177cCg6R98IfSnykoPA0HD61EaH5HvAazs
hg92z5RVvX/Bx4FNs+BknwxzF+HOj0PnpYPxvggxe6Gm5B61i1UAMnkVB9PWciw2nzGJKpX/MmpK
0SqEZ9+oLplL7MnEJKrFr7RpA0axvGdWVPwEJBC6lTpkPmKM1o7OlWahJoxf579sC6Z+Ak9j702f
bvpqJdaDJiFDQt4/1uAIKb0/5ym6E4Hk0w2Q95UnnqX7pkfht5UZQAYm489kC88oNWEWV5x0Wkci
GH4g4zEFwEDIqMhfKjS+kKjofEvr4iqmf0QNYkXodxjyyYnLC7RiqXPuCSBbtr2bM90IDoaYrAPI
F3s5Jukeau4G+22GSivNIRBoxFZMIdGQzmNHbbGM8nFrIrob+Zil944BIV15BeZXUUXXZFHZevDk
exjFzfRTVGhmizS5VMg6t1Y6fIXozuyOwJiK4CnEFIbFuJgozgxK9OBa2FObHzk57IZ9yjNhf4nJ
RwXrRK/MJrTdNKQXaYTnCT3KNg/8n/A2f0rO2DLGC0NwAXrwrTuQHqUCdFWE38JV9ZIIVC4h+eeM
cDYtOf6hXSfUPY3PU9ps0iB8yi33VQvylJe3R58XoknIuY2r6k7ceLDIXKD3aJ4fkvn9qOO2Bcf2
obvWu6ittzinFczKKYPROQWrWptu3CgAro1NirSBhq5bM5yexdspbZX30vrc5i0O1HWTE9KDAXlD
qmWwIn+IYmSHU/qStWw1FVvNHhxn2IvnQedD0uvNCN9taVWM1S0/KbdNIZGq9YqSLFoB5f7TiuGY
TGLlB61c57baMmpkzaeXGy+y9hiV5ha8pioo/SU8m2HpEvhRpIi1TakutP3DprDGW2hiJG0S79sp
gmqn1nYZ3zQLaR2xrPNAu9/QV+5NTxpzzqq9LOXZ6+tkX9clExJG/ZEYWAaiX95O8x9BWFtT9dcO
oHvLEWlgqX1GteXuGkPdlO+vkCQvW/etx8hJtGeEko1kxoLd6aEgZ9In93jtCugc+E2ZzQLvg+9K
KeBl+nZinh69dlwM2Fzz75hWfdG19AStkdl7g9gOraZN8FNuDGuC6qYxkByS+qFuQjQ0+rmaooOE
c7oLQ444Q6HFhoK7AojAMF+wU8tixAyxyh5s9OEsGT5AiUEBdwHXdrwnrUbd2loODZaau/IKgS4R
lGiD8wdcufoKi4VZiGrhwMlYj5HBNiz46zsVbq2e7Uo2ufvG0r05m8Ba2nayHGFMoB2MtaWqUcPb
IXDYIFj1I4IMrT5HKUFY/mxxJ/usGsLboLvRIaKLjiFhtrqMLwPQaVPlK5ZizjZAa03ifbxPBFPv
HkzRxpL22jKgnKDgKN2Gr14Twoap3JQoG7p/DuA9X1qcRZ1zs0Ld30RWdHJHNMshpTaDd75wTPYW
yi7Ty5RLH64QALCQhMUt7v43TOMrs2DhaEnAM5moaaITkWwGO/qGR0wCZWnkK4JqNGSERbnXzZRS
lgCejaenF1Y9a+K6jcukHs22Dx5l4fiPMRLyrRXavCuCX7uo/moVTDedKeOhx0oI/+ExEM62G0B9
CtFEZwSz57LSXplRvqUxbGQj8z7reMDbN/+jDFp7luDi6HF+W2Mq4CjA76sNzs/cf8hiCd7fDhaT
0s6EONHelQYyNMhxxwrDMj+Qf+tzDxRz1nxSPECdMw9VDSrdjlv6ppFpFx4hhTL4kLYJljEgeNGG
VOAHTYCPUN6hi7l5/Hy46vAtlpNlfmBDjx/avkXEnJHiUFWF3OiMuNMqgyebPXiZdsrs8MUNHXNN
QCLjNdPCfzSYrzU4DiBldXOw8ARRKXKwhmxS22JKz1ruWjueXTgIvfE0pska72y8JuD8AmP/tYhI
kVFyLN667H0YC9SgNqsLgs7P9FP1MY7wKDTag+bVOz826i28uHLfRd5T7/ZcbzRca89AGmSHnKAV
J9daBoVzKdvSWIdF1yD24Y9+6oq1P2LhKbjwrg6bxn2sIxiY/+RZbXP99295WY57AzIrQ3sEUw6B
J05HK1VRFvDcqxtxnkcbrdWVMF9weCb5UkCjsVQwC7UEUY8+BJ2SN7Fo0Sj4qNOW0qe9R5kJGzgM
DhHKd5w+T+y3NR6WHJTDnM5YcOmtYESyhf6Wrtnt7dzzNpYpetSMmJy6vlDrpBTnJgcPbOmEmOWR
fxOK9ZgF72876SWE197ekLmU7A03XAexjzcQnuPSNJN01Zojbjl24lZA1mZIM9pIe8Nmxt5WzKSZ
ylTdLM3m5Bc5L7uFzJva/WeZp8Vh8NFK1X28THVP2+IzvFiz9GtowC063QZdtaBL9p/4NuM2DdgS
hAY9iqFaVHLz18k01U8nenkUtQJLY3Nfs562EwuOGG9rTU+Pjj/e8nE+6rXwriUMmG0batiRKF3K
oq8hClNPNhA+847RteaGwcKPm35PFew9Ki6UYYouCIsOAKOTR8HvfXUDfIfzVJt94ZUIcVbDHrdh
W8N4TCNKr6bbt535avluyS+x9szauIBOOBG4NZNP2RMkSRs/B9F71k3qLsEPsNYerhLPWJIFb0qN
Z5/txXOlqs/C5vx34lpj+edlr21UI0U2sA6aAs1bmLbHIpZYEZryVYvzV00QjsZZgM7IFyCVJ+7Y
gpw4UhLgP+jkaWIUiR4Mp91rAAlP//6kpSZiYRM+bWJoctPGjn34948cltcq73JcuH08wFTtEBqi
4KYktDOQC0O6bm3SX8dWV8jnhQ7QB/Z0TLdfsO+2fAgsjIytEyfhUVXTpRGEEPIaKsR8PYKXQmKj
7th6+QxkTkGfM3UPPkWj/kj3U8uGqiPENctarQOUbb0orBRrXfYH4MMQJYR8LjPnr0+ktTbd6qfr
/XPNLONFVu0Xy2rtkFZsDLs6OEnGMnGk1BGC4FcoyHQMJhOeEubXDS5mIg8JZ+gy586Qv19uMphf
lLAVpoje2kEA/UjK/Bz15h2+3Y64UBCD/9pKVZwyJOnbvFBLyDvBCtKZ2mUIP5eBRg9KMCUiFI5D
SJVL2DTAcBI9wubKsDtvY0wmzc1PEnMbJN483bHvpe9+2aH+mKeM+MN8RBBgVmsrqr/liyb096jx
PkzlI/Ny5ANvHuMFFziEYS86kw60Gj3efT1JwSFXyOPhSFJ+sywIoJxpSQXQW5SXPJQkTpTWxgxl
f2KgrZa6zmdd5LBt4votAPUP7OaArAkJhZdk1+wiXbT7fcUFnhLB7pZrPSAyuKXDUArGbdtgRlV5
MGxJMmHoSrAtFdLAwLYhV1lo0RE+nxeFr2NprmZ2niJEDJHxc+/OdgTIIyofkD1z3G54xnksJaNh
jVQ1TN5XO25uUTpcBwf5pXHknCbbs0lYWtv3hEQ/AKoDOc35UfMkE3A2yolmhudoKvbIeNRMJSZZ
OavusVntknLcxUWZXplVP/0XUeex3LoSJNEvQkTDNNDYit7JknIbxNU18Lbhv34O+CZmNgxRokSK
BBrVVZkniZ5/HQtA0dZsv2FjQPtebXQ03kqUdsjcV6HbW3DbkapL/RFH1leYWhd68StRMylxCS4/
IGGDf5B1DeFsyUfZ4zXlv2+1DUe/GV/MVoOkV8ZqTIyvvIFy2Qzqc2zNXwVGhKEdPhn63kJiPbE/
Q9ErX+0RR0Ngg3dLzPrI6KzbeS38ryH8FELjycr1R9fEIUsAcyvbJk/wYYgHYzPYVbCOGKQfNWlM
wrHHrdNI78yogcnUmPTnbh6bPQYcYtuBV6/QoIxrtDPjcyf8H3Jze1xMsjmHRHBwqKD6yfEgbJQE
ZlZ7B8DLDEFLmth5zz6u4gNOpOEdXTP9h17jdwl9cLIYjCxcAg1W89pPJcqzMXrliQrUgaTeFbr8
XGbZRdePp97iZHKNkuaSGX0azfTpWWhSHrzfXTn/NH3WnMoGn7qYaDibBaJds1CfWsDPTUpL7QxP
fkHyoYdult4elyv5V013btzFK8AUFoe95e9co403gBIxbBXpHzmnzYM2BZsFmMSjg8umXLxWxaKV
72IK1SHF7+GMDnQBlqcp0O0rz089joK74fpmuVG/sql6V1EGtUwTpmhTsLmyrHdDp7Abwi/r6mE3
9foEo3xaajoADfW06yOG0mMpkQq46TOx5QxHrbB588zFuFE2r848f4yh1Jc+YTmOcoluyRJbh1Db
k4sGFtccjeLaH/ej2b0zltgOKbzQAuLbWnkRiWfdq23MzXHI6/PcROE5qhN8J3I5sEV3yLgOJUmm
nwmnwMDh/O4d91TA4F7lHed9J8sLCzzFlcIhm9fFup4BUtY1114UMvRjl9jFHgdfLN+xry59lJS4
v2A+uzgA9r2ptxEjzCZ1IXGohKYrkKPL/cagcLpQc1F8s/Dsp+A5AkL7khtD/BqhMzhVUMdSaevH
qis+LPZ/XhO9+7bP4GQoHtM6cfbFYpZ28KNe6ja8xgK5lNnXIabWwnhG2/HXy9PiVGKORbQjiy2Y
sG9Jia1tSbnWdCcCcEluCY0DouFhZbvaOUAssdA1zeGsAH2j5x/w4edfRpFDSmBvAWkAFLWobFKA
wmjbu6E+wuM+ZmH62AJli1z9icYp2Bi8E12HyRfVTrHxhKbxjWOaRFTmsHnVAmtm4+dM1DadXb8s
eReUqqD/uDoODZOvvixOOZ7YTQvwmV3buxq9f4vUaFf47hG+a7vFjX6ZgpQcu7HUu8iAg5STSg1L
O2kxVjTqHY+hRN1HFanKgxRY8JrSe9Lph4G1CqMaS5zxpQIWnH56GggUrP253GrIq5j19Mk0klfg
fkgGcoVZHv923nnvqeyrrayqNz8DBut2+aqW7Js830XeQPsmnjwHezrBnjljRUOxVbXAViyAAsI9
Zyo9UDd/2to+diCWcLI06c624OvqrrvmIxt2lbCrR73CJccnjprrJgGDUXJJ0aHs6NqzPUe9utZx
0uD6K3HfaPkBwbJi+4lbXGaKo1n+Tgb2pSLYd1ahzmkgD5Ytgl2Cs2bg5HDbdi2iEVaf9axCDSm1
UegU7XxTmLStOUFWTDoClNJltRqU+e3LOWMyTGsmaVjVgyiOdmPcj2v0zqXJZ+sdYla+rMKZOFDk
M50svpgsUKYXdO59Bw0RovX92Cp7U7hL0TGdqiFa60xMa/KZkdgQFcKAJMeBtzgEce6ue8v7w94F
jAAOugfVgiAl5qdmhDQ9R63JvLXqh2PsoB/OB9yvrF14+0tJ39CrOuR3I8mXoTVfGXGuuwrGRB4h
rZ00dgplZJ+x7nMMaPKWmkBY43Fkg4xxq9dDSIni1U/xYN8cSH/7Gd3iOcl/DYQdHFIUTFndhLvA
SJ/Jw+rx0RAQV5ickhhfT2npN9smMnHOkiD2bFB5+AgtDhwNoNqVG7x7lgmzEhUEQWk0jIV6K5JC
HoNSmk/TnJhPHtYN2cNdFegoH+zejE960DEosdjbF1MPH8729plvv4Sl7i6xNT21mVFux8S96tKc
V1hnAedYUh09Lj0R0efbtu3fkY/z6ZXkJc0Mkh+5lHR4Eh1WCvhoLYC0FxE3wblnaJbRKLiYOFHX
IRt1YWLtrQ3drmuvAtpAB2ACrb+tgvp2b0TFKcjYsWVxoG7viGEd613PcU4tuSjjTTDU4LaTQxMj
g5m96VguGPT7V7IBln7/KuIX1CBVVqDGkbRrpWh2Ykic56yR/bUJYP+LqjEwo6Qcii2kubSmxc1c
Nb7QNOjfqzZg3+lNz54xJmDiHmZmXEFowCoLVP+EwuZIt5zYVIZKOl6WR226F/r/v4s5H27+kL+m
OnN2/jCfHL/5KrOofAepPe/DhN4bzc3iHeOBi+8MmW3i2+EeTgCo4nYkhTKbKM1t0a7aMcqPiHHS
bedY89b25uEdvXyyLlMCGMaRRWL5ljZZsFx2ECRJnuIpIIHc9z88h8zGyP5pNOyFtO/rd6L3EFfF
5ypXyUU3ZvVOzrAJnoILziouBrBvHpYuK2B6AySuWTElaKHuvMd5rdjaT9bKbDhZjSl7RzfrPjtN
c2kgbrwbzTgxwgGFFQvaoslpUuMfPaMWYH477GbyWy51VxA5INu9ag0saU0P5IF/z24+JhOTQRy1
+bvvOPnBGcm2sCpG2FlGrnwPfp8Z54CYfnliYuRoXFb0Pe/PnNkt4SSpefLdmnF54KTvrmeTcmdL
1mtEPO+xL1n15RqbCkG91TitLX+Kn/1h2OduTY5X3MSXcHL7t7rwNhZYU+Dp6gVIprhNab8v2Hvt
ys5xVsRCM5HkhXJZQfIbc7VRU5gfMAEXr5IjpMWl3HIS1ei1H/FLVLc6PM6lk7zUyGFmMV9bm/PC
bxC0l3L4nF3F7tw6MuvqtkgmaEKQc7oKMKWRBJf8M0gfY1/jsqzRaX0vjBrf4bhcjFqAyWS42at6
Sv6VboX2ASLBujRp8rWsRQeTFn+Ys4yy295q22N4YefDOySUkORQ2Isz/rx6JoQqLqfqkLFrWxuN
yVDEo3dCL3iTTXb4pbrp4qIpnolYT9xS7Lq6Cm4B59FqLvz20FUObBcLyV1CEUiVwME3cZjNKGbB
oY/0emf5mwNKEv4WOu99zQqnOv8J1y7yrtY8+BpLCAFB6YDFNesdsS0lgal+pRa2IXYFQtD6U9JP
wWMP0xIpOr2rWjmg+VqCdptI3rzAKbcJxDac5ZyqBhgjx3H8k/Lm5MFnCnsa6u+xBrdYFHCdFbsc
9ExEOfupRhK4YHzs7FeAR/ddLNK8zEsi9uk8vqyKnNTsfKl/sY3AK8EgkQ5/zcWeL7Ihe8ynLD1a
jqhXdiSsm9lzSCeCvEZzRBXt9X8rx/ZOBB77R+kVNYkeJElZ/fS3MUdn0xlmtekE2ctNTAdpaWJY
7WTsjCHCPrHcDeYhPwwKmXiapWQll9NTysy89af5EEW+s3KXkyIKaWu4boTkablrKuIg2hn7YBxl
nDdq7q6N5X+IMMIraEXUTx1thto1b4tLZeervtqMCBWOZqNjInx1uRtbL9uwGWsPcQzQciztABNV
cwowxmymzN1DnShfCuiSW2GTYy26bK3DwngtZ+nzxxKYTBNAaoMu9oYONZT3Cj5PU/XXMtEzTutr
16HBm6Yiv41eGe61yWFfZ13GNpTI784bubYbv2b+11fOqI0pk+Lo0DBcmYbub30dZCdL8nbe73Y6
RKXKW/YAWhQKO1OoY9vU6kQIpQkCxA7fmdfPRz3CSbjfjWzP2pK/BDjLoK2g5+5mpIvpAtf2qo2M
5pgwjUZbO8kD5YMkOZFLg2QssVNRZW7c5YTSdR4gtGQBx0DSPolKv5NBQZ5JW5UH5pYtZJa4W1p6
8d4owvZmdMssPSFKwF/uemWTb4HiwNFbPu7CdvMdpQ/D1+WnZWZUewOix38HQ10VA6GRWJrvf9nO
E3mUDSS1+18O+zY7Mz7SD/c/ZXSRuDi1/ed+T45etoCBCAXkaeKocJ9jojf+e0kim147C5Du8pyQ
PzXx6o9hnggSOcaj8IPhev8Rvp91kwvr9X4vD6xDUHXB8/1Pemb9mple9XS/p5T1u4EAcLnfCz1k
nr5pluf7L7Yj5WVCiMN/T19k1UB2QD1TEvHaZgo0mHie5pLIy+nrPNoMqCx29586E0eX7ibI4Mub
m1Wlv238AK7K8mBDSWMHLGpA+chPm6zMDsQhsHQvfxm/RXv0oOOB2+XBQz06pz5XjEXu74kvcsIB
YNDdfzdP6fgD/r7d/7BjjM1zCyvi/lDVN/FrEtgohlCANB0gUUBk/VuFq6oqwvE2dxjA7XFx6TwZ
ve0+oaC1ziC7mQoiaxji0ofRz3Wd2Tn70mh6mUV1qdh7nwRq2r2eRpMs3JCGpceaX0ZKXPnsT2an
EJBTWO6xKTq3cflPEWvkYAiIlTLZaLAqhaAt5nGkqTeZ6wCl7o2okxzxIMNt3RGSmlp9txF4cBDO
E32SQ/+TbvaSWkQ5kuabvHpgmrnWhDd/uZHqy9aheIvj8ZDUpXguCoWTu4t3tQIrhxHPp9MZ9agG
o7epjP9mXOUv8JLzG41NGDZDC56SXf76/j25MBoZBRxad7EYWcslrp0/vbEfDsLWAoxXO9/mat4F
btnubCcgzHP5FmUwgzHc+uu8rRRgBl5bElMhKMf4Sk3f3UVSQwMqK/PFxy3URph27jdLzEWUGm/3
/1CF07YNkcuP2n1ydWJcvWWlrKhh1vlQ/Bgh4yM5yavvYFaJGZif6yImBk1EYk1QmEeDXIHwz3N5
tdGNbvHSweldfqPFxXToW4m6U1PnLksZ7TnnDF40QXDvZjdPjh1alRxWOD+0PZ3vOcWRMUzpWnZR
dkPtf2zrHFeZy9S2KFmNy+qfBTCDS4c9XucYwjAxOY8GMRVuEPbP7lTCTSltQC6cwl5izrQs4GRZ
jtx12jfXBC9swAD1V4H9iilw/4LVknH8clVQpREeshrK3dgW3VUHefhUNw4Hy5M3zNPNsW3/mUOb
UDbfu2g5fAl36B6tbD4PoGParM+v7G8fB1zeCAgZAIZhsWdlRJMoYjbzdfwyZ/2fzi+sBZxl72l/
gzkTs/FAEhsbyo5WUBK64SXGhwOLZ2stMYQihUnmhwwomsDMrmEC1jqhI7B2yEK7xuP0a0w4cxhZ
jvT0nxJDX1plicdRVvpF1e2WbSxcMBH/DijK3kYRZ2tVVNluhOuy0uNOCOcYWaG1Nfp320MiNHul
3Lck/k2KUO4kdWCnL3M0iZdqa/tuuGnBw18JnM5Lxe5v7v4ZZHusg7HKrqKh4Av9d7wbOIfs5GCV
bC+iutSvnfEHaY731nQuMkMZTcgoUuopduzFYJ1KfxoutvTfslLP8I3Qs2cdjklzeU22IYmH79ly
u5UK18un+YbgAob08Cjq+g07qrjeb4zNZLfkewZxAn6Jly2qhFUoodGz3Aslb4Za3kSjsbc+IY9r
UV2ZTFzhu7ZgUe2zy7w+82YbXwbLSZdby6X2RseZjEq6gbZPIzEMw/aA1e2gRK/AGGiKdQMOC6Dr
kraXX18DTORc3QafS37VXIncCtkA4ZJyp4FINLO8qNoDb58iV7dpz0jnVqvefiSqg8GvSUKIzaA/
1J99ZYi1VFiZyC3yjnlH+8grc7gjUU6uaVwbb60oxD7FaEq46jauUCDRa/cfaswuazX1X6rCApPb
cX66P1wWi4hIiHcNz6xr/J1fhsPbaORbgwJ6FxqENwUT2hCw9tM2sVMu0JX/ZEoDT/HsXGffcK5L
2YQW9sppLJ4YDB/FlHx2prsZU3tA7BO4Vwsq7DpSA+ErfeNdOSmLjR/KFzNLvkpJ4IY7lyAb9SNt
G4ToMjmPGS1hZL8PjDC+/donZFt53RvgLJoQ+kqZn74WPVu8RUagHNLJNQaeRlmPPrTJ/ewJnro2
nrX4KBloLcwH+q7u1D/2ACUf718VBRp6VTYfFXiNiMYNymlWjY4pVIpXDk8U4OBKk8uw3CScRpup
757zqvlIPC9/TKcxf4z+76uSPW/F9vSgx/zilB0Cm/sj8uVhXY+9Grrdazq0m4YSmiqZbxe2dJiV
xvTFE0sYRKehD5W1cyy67DRhKFuNHf2jkY7gY51FNJEIcknRXW2rLKRah4RCGPOljbFKJzOWkjaw
WTgBS9rxUaETu9CmYqhKq2UXxXH9EOeDZucMC+T+Ax896H8PGZbHGbT9gnFOGZbxfZDwt7no0K82
/WdmpGzKMmUeWXP+96v795Aa5ztrCi/RXA7H+w2MzAyqWPBNHu1nZJv1Vvlmi6ElpYlh3W+9GQLW
/bt+P6N8ud/vkYK56S/qvXBrtFQt7kSAcNC8tJ15AzOXf/dV2a4ZccX0VYry1kfiMFV9+mKXWCf7
nIQo35p2EM4GJJ5WtR4nKFpdO0B0bfxujcIx2Mgxgw+AJeeH7LO/nW7nfdD5AGOdwDz0NT1dkKHl
Fx/WWgHC/6EwlCjzsemW1GdbQl2IprKpzyw2RlgeGv0SqWoP8gbRXqxOcFsbWK+oRUlBIROkIQpz
JFtnMt8q5Z1olGBzbUz/RY9QoNxhjp5JKwnPSUvshvDU8JM+GUYff9d0+4rMRSCSGOaJEUP/PM7i
3wRxl0HV3szaZ3iz7jvwJIKr53J89Wmud16o1mjs2S+ONqy5CaRe84gdzT5UA+JNNiTooHSUHvIw
/LGaXdkq5jaMaa91zxirVU0C27obtz5z2P1cya3F5fJXnX/GOaFRofKcd7Nx6bp8zm3d/W4y3RK9
p0oCTpao98TBMtBU6T6dKuecWLQ4GAF2xFQCMvWG8DVCb3+IaideO3lv/djBO3hp60PFxJo3FhOn
jP43ppNqa9Tjl6iWTw9mDSu0e0Ue9cukdcceeDSelW27Z7dl4NB3AT6R2nqyiSKYQt55O8poLfGu
EC3WIfpDtqZAG38xHf+g+xr8NRDpTLJnDWdyvRksp//k8DSGIKHn4wPgNOr+s+NQQBvSu48pNqmr
BIw3LY/M3AEhUpUv8AL05ARkyRMhTnplJzXeItI4L4QEOe+u8WvKZPXZpAACG2Z2KxWRUVHgl+wK
WsBZ2vgc/O2IcMYx3jxWc8SU5VeoErnVdNx3YAGIeAdVtA5RcakUTJLis3QKifzZ4iKnGOHp4CPy
i36X1FN3JucBmVNrbDIIcxc3bTL6D+MPadQoc2yA0SJHkzNMClUb8u5SOa+6CSlW08ZWu7mAMhcw
o4sJUQIyDoA9RIqSdWWy81Li+ergh9U9w49pAaOy1CXJvGmvEZYRMLa0ymf2iPR8mxc79BPom8Bl
mxb1DEVxxAK10CMdMlTBuB3h16AstXwGEO6oUEMxgSNYj3gH7x+5w/LMHsg9378ao/Df0HThDvM9
cv6ITG+CcBeJFrmogzdgVTVluVqmzk40n9NObBIlMfDlpr3VJj09dEXJhf4bQJXixL5tlYVedYr6
sSCtQ3vI56kXvSk5329c9iebxpkAlamY8IbBkCy2tY0RTImbtGsEK8I8EfVyU+VEDE4YuOcCicK5
o1mF7gS1G8k/Nernn6lVmOYadIG80WcjvCr0aqseISRRpElEJreOTvevRJXV20oFf1CQEonqdV9Q
SxmyVzY+Ykxcp9gywUqbQXSSA+y7PsaFbTFfOInlhpFdfprM3D8a7OjssPjvO///szqefokR+dhk
8yAbuclxFv3/fiUXbp2PGWU0Bvzy3EwmAr5k0nuM17azFzF1YJ+Z+r+/jfrN23uJ2njLMwW+3M+J
1a2dzvqdD2Z+rOj51J7tHzxNREtkocfw4ksT090uCjYSbORYC+/ZWMpoy1Pd4k/VCYPTrGJA447N
wSMM6OQvN8A8+5MI4NgmmtRG0NlVCWq78m0yrYhyuciqZn80RhlNLq4/U2H/ut/rycQ63b/6/5v7
9zI3exx8EcGsXwH2EKe67I2TlKymE3yph6gh22tqbWBL0YRXyJX5FRN4u4IC6CNxPd1vTKSvm8qB
ikLO5nE2DDp9FPsYNtqHotEWwGuLXKVBbzRWVoAt9tqf22adS42ZNElO9zfv/gklcdgeUxoBTmUM
z/0SbxjSX301kgqR0jBS85YBolWJkT2byurDMVsmiJ3wvnrP/60yY/rhY3uivWY+o7nFKGBPWx8Y
CVCg+r0gQpjurPXW6ZIM+LY7etYs/xYF0TPK1f9sgeoFa8kxLuxnRt00wBHZ0go3jc+Z2FwiyMpk
ydedtl1c9qva6IprUiXnyFu0YnZZvw52nGzo7HXPSQ/6pG/wLLu4VHa2PcSXygYTw2H+bRXNcMrp
tR1q6YV4Udr0xHzI3FcmiNXZRjYqGPQeRVWeLcy5UDLm4pkpZrYxgwA8w2wV6ypDnZjAa6FOZCiY
tb+zwd6oDFkPKWTOrXpQZcp4nVbcKkwc1vkono+9jeOsbl4Mrp4DtrmXGXOC5UBBluy/hgSuRjan
ybqgwQ+foTHewopcBDxKvCcCNyK4D/YOpbwkIi/3oDJSlpBqPFrSwBFoUsSTNGgf69ZCNE708L4R
ttri18JaAD74QRkjRZbJiLICmD/znsctXb2m6Q+9E2zLjAExUQzOoUhG+gcQSTa9xX9Pf1FuSPoa
GQ9l6d70fMJAwS1Frh+8EKaAt5rpX56bFwdG9KF07ae0Us0arYF6hdeh//tKzz0pGBXJc0ucYoZ7
HHNguzbFJB5La7xIDwdFFNSwPYIn9r6aIRoT5Ej5H0uzxJnKhLIdgZ8thwL7dyqerQr/3gj9J5bj
xXLB/RKU4+Oc28LPK1dZKU8tdD93n3g4xtwE1jiVxVU6zHcz7BmZlezSkly/YajY2qQ+cufaoHs9
OI/9HHz2YfYS59+tXctt1DndTlPKsjxYD3ESR0s5XD+nKhJgBIZ0VdN+fZKQxce2FK8ZcYfeAkry
yzjbeqmb/PKnh6Ibvl0CNtgvGw+j6Zsra6zeqslA4sAlWoY1Dakcw5UGA5pg3pqMtt+1DBw4mnzv
F9UGa4RIBpol424eqvWgqz3jTHvj2PnfzDK/G/OQFEJsAqv3jhVl3xRaa7/ymN3XxGR56F/8oBsx
ITms89EsPmjWbslLRr5jkYRo2tchj0457YQ9k2u9izmMBW57NLa550TPC0eUuEljQ8Wf2vC4Ktcf
D0SlGPu0d7xN37jeqrKMb65OyCpeSfaKXtF3rDVgLi5nbJfswD4IEh7y2PqNi9w6WQtcmqAZPoa5
/Qq0yeFAEJxXm+U1wg/F7Nr7XSXy9zDonbm8eeXgoSMTOWuW+Yh3juQkT1QEoIQkEDLYDPOaaBUL
R5Nspz9IlYyVszjX0O08pElsI0LO5kvFMtl7ILB1Wf6TTJBbuZv8ftNnGbUaG526BoDV05RriuDP
0K2CHJ2qGdavMzrXHdOdPd1LPPGjZTBn86p9QcrD0Z3Y7U5Tla0aY7GgT4hMfND9KjezoxFMW2+O
19Ei5SBnY9rT5fqr1R838V/VYDvbloCmh6oJ2q2jZLgfisIGr3Lu57K7AOBqVgVG9OUXOT0BvHA2
CziOXCTzn7zCijlkNngKp+meFrY76LCHOMa1bIZkF8YAOWFbIEGZEBs+1BOh5UEexespDiCqTQSN
xzXbeEzkqIdc/OpOO52nuSVRXYxbwJE4IB0YpvjagUThYEKbFv+gH+bEgeQpQpwLus8/ysr7HHpR
E9LZODR52x1XiXjb4otAwFnfSqJfEVcfMids8JNQlFderdjb1goA+jWuQ/XoZY/kacF+irV3gfk1
xVO6VzF6YdHS1HOoQFzNwdt2AbzIriDuQsli3fcQCd5qD45527qEkfUmE4tGEXLjIkm07X2CBfDx
fiMe2t7eRdPsnJpwcFZhEPcbuDDYJKo02wkjQxjvpdaudz1/pZ3klOMeY8Jneo/3m5RSBBRye3Tz
F79mn4NhkmX3p1PfGYce1+y0XEGAeRFtL08h2SD46HwXiEPevFahKjZ0e34sKv/3CnhpTcwI5HPU
FKcxl3wEg2oOhPP8JNgNN0OToiyOpw/RSXtjxtSdgLieZeytomr64HWzNgteCJgmIFWNdwbLxuzD
BeUrR/VQaZcg7pjut/9ZlYZ3mTklB796HBd+qE6xVdB/TdDzQh/zxRIpGOEaGsh0jGKk7p4Afo3m
tmjj6gPJ5ri1ALhkWUyeiwKb0zibQJNfXZjWxxRNtPqNVWywZVVFHF9cP3ninw4SqCWLl4yrXomC
H38SCSTit4zN9qc0eMIpIO8gUGTe1jEKKKEGaETa2VSe82QbaUHKIHwDvyBuxNgnR+bfpFawVXsa
gIACO2IMNIfIuaExzVzpnL/EO8IYi8i1IWoP/TWf5+BUX26WNWyQxY9pGG++Ef0RLamAEHLR68Tp
h9eVByvPL/hYjXNHRqaHltnKkpNUvtimoYXCuVBwJ5DjWahLtnPsPpIf/I/WAozvPPkbVtLfsTix
uYn+8K+B426ZMec0PgESW39IuUI/JMVrmQU0qvh4H/Dr4EfD/NAK6CbC1V8jmAoO5LXoY+MQi5KT
esq726ACHyJN+FSk6JF5iBBz8u7QVZjUwJI9kbs2h+0PivG99msuz77RPNAOKMiWz5BwxtH7aIrw
FM3O9NDr+GcS4segswHvhkrBBlgDRNxnNLNuqzzZtED3/TzFOwXMlQE5Rk07JiDSI+w4eEmIYRlY
LhoHo00DLeABVwVaRsQuUVKTOu8pyIaTsQwMsZODYoelAMPcfoYjgOLMOrGErI2QmAKJdXNKzG7r
Bb2JXpGLYxmxW4tpllStcxuM8NnL7B/bSaYHq+o92pdGis6qfOuM8JbO8KKnfGYAJ0EWQcpn0Gjd
Arf+iEBeN5P1L6rYrmHSX4GG/mUzeUG1nH47IAlSM22uHYy+SJSvEHiuANlMokGcX3gzyXJRtKYq
g2sILXG7/hOR/gyKJoDqUYxrNgkvnQ++ZMq3gdcQ+tBYB/yxvOwJzDUdwyGO1SZIiDRsDQfdMGiu
gS1HmMEXUwAsbTjYKzenrp8PjKeBwmu4XLbb/jIsLhdgg2YuRfIpC12qCp8RuCgOplriRThvUjTo
hFJUF6Yo0SEN8jdI4/j0ZoK0D52VeNu3FDwVZSrI8cn/DjsMf4Chs5XvuVfPJZ/aUHzAdO9/o/nB
sdBOtKGak0NEC6CN+MGN2F0YabB27fQYhTE9utzrVoU/nLX8lVrREeJ5guIh/MjK5nN0KUul36Cy
H/Qzpw5RM4zEmLD/wKYnrNkQPWmxf3SIix44+r6KSvqwfOrNpewSWjlB8TRHJJBltHN3YYIjBC0M
5h8gjxrndTqEJzV2MMA8SsOMdLcE1cY+j0m+oe3IVdYasB2Pv1hznC3JUhjA263WMwVn1geEr+GD
KmkUpdI8W5AY7JH1EI1tUbwhunLhBPrvTAAJ+qQM3Ndu+W2aOJ8Xu5gbdRcSanjhictaxi6LtYSi
g0SFyeTg1m77RWQVq3ehn+joXf00eNQ28y00BGsr1iGuNEJux6J3AOmb70A0Fmv38ORkCFkq40nB
rKYulAwqjzzSfkhqTfzwEK79kCzQWf0xZcuLd6rvhizcYjJNev3FU+dVdFAMeuyITxHstXm9JyRg
S8JaaRDL6RXnyLoUHT0GLdkf4C17Hsk7TSLGZTQyT0apIcZU/8IaBhhpC+zA5tsQfLUIrBGkcF2S
SkhmAz2mCeN5kjHOcbehjMo/NJ2gyjE6DnOPviHyTT5QsGglUPt5hQMFcZ1GmiyM4E1lw0300CZx
QerV3PgNB4inV4pQbTeoD51wR2SwJkIofwQyNlg7TMaUKEQauPMflIa3dDn/gyx/qYSZr7zIvRia
E7vt9cborAufiMeyk8+bBp3QYGW/QA182uoQ4aAUjHS0FuwpFKlYYcjlMiHSkpQBudI0PpyMpJ4Y
eL2tMQnT+NFltnEQg5LSDi9tjpxVLIZ5K4yIJI3O3dYh4R4qe5Kh8Tn6iDD95Js9S4QJ4DWu5gP7
hn+cPbzJNU7kgpVCuVwmu8L5Dl2YeZOCN9mcGijecGb/uW79KgRLJc64pPAJBFKfgz8c5g7NaNYR
liz1NSzaf2Ox63zyoBr8YXAGNPuQ42zFPyP1oQ4wAOIdpgHePoftYyfJLKREpolqfttd9j0AWwJy
LpaValPFOJxoOjvbmp2CsAssISVR7I1GghkJEyzQSHvdQNA0v/NOf04pz2tNZBm4+bPl58jFAJwg
8pAfNdbUGlmVlkzsSFivN/0kXxF0/vb/SoN8CxLt0TfheR+0xNCQblGWWofK946AK86hsr+xvvo7
SFn1xs89GIdWB3nc7VZj7aMrcF4Hv3sxAFesxhQclMN2JRjfAleAor0nSgXhT4IvXKEYiFh5h6al
5RzqHz9KGZoQcPsQh70GSR68oX0CAYdDGPPUSuuUDygAU1iwejP5IeXC3XKkEIKJs8p5TNn/FYAS
sTlhw0aNZ4zXUPwFlL/KjV8RzndGS5AxqvZf6hWvYUQyRZqTk5LTrGgN4DTi0Bjta2zJswzL/6Hs
vHZj6c7t+iqCrr3kyuHAR4C7uzqyyW420+ZNgeQmK+daFdaj+dYv5lFbBzKkK1uACPDnZuhQtb4w
55jPVjw8clMCpb418dlQqWXAep4ojDHsPNZyevHT+WgUvaREnC/cZe/K3sWyyg10JDDGiN2LWcxk
g3FMGG2DLqzjmjcPqrWvUVsCUCAT1y1ZpVylJjD/5rCRu62K6DW0WTFTYo8feul9bBl8FY9TPRUw
D8tXz+cG0OnyyM2EatH5QoRzr6nuoUdHMbLvM6Lip0c9G8A3erJ8hP8IOT4t2X45o3ntIy7JtN5E
DvEauuJ95/QwRmEQ4k19LDnvcT582o5600IuiMgUWEHbTTVOFJ1GvepnRWIZF2ADXyaELbw1Ed3O
k/XOoACANPe4Hn9syZ0pQ6scesc6ZKPuaEc7bhBR9UuUyrbUh108PJh2cgDIsvct95a/1zGj0dAe
SY6Px0ufCoxkPjiYWi/2Si9/SSOsVnDRwkCZ/HjTcDy4zVSvRkEuhS0ov1uJM5++O6cAv+QEsSBi
xlzjlQdGTQ0QF1gZPogo4tVtEnduSVi+pS3BcXpTnQatJ6ei5rnhhdEs0oXtohRbyXqoif2XSLb2
jtKFiwnKUFc71UH628mXb003ZXsOWoK3IMQhvFq1LhgRW38b5LB3R0ipNYbnIDPKo4P2c1NWPR1f
b6kNd7hpbbTjy5yI5h/zgCTT9lHYs0DMkOF3agx8M7sshGGwGjhDUoH5MMn6kxvbQZU4OENGFCdh
cciJIT0nBKDZ/S+3HXYFHpF9NhY9yG1FmIBrNPu5jBAjutqX2/ZxwK1um2cwqCCMVhynh3kiByUE
MrSKwvpUepBCiTD+7SVLoYEecN1zg1/PWfEyGmhOYs1s1+5wqBeXUhfC5CDfde2ykyumOGMbQKc8
IqtsQQEyC2bI5DyNk4QKno2YxyF3IBdQwSRoZ0iqTAKRpAVaReu+CcVb6GUTBSp6J8FuijoEAUAc
7fVOowmL944DHsRmp7TDR3SXuQjcEJhcrfsZrs+dK6rj6Ofk2JkhIv7exyIytqgeRa9vW6fUNkjJ
t/3c7JrOQnVq5uZ6KriP1TZymJSY1lHGewTvp7A2YU/1nDOxll1M9LttBegIITeb/gXbSlgK6e/2
BqdhctZGl3cQHivitoZ3Y2qBCFIQoWYKEl+ELKQiwW6EJX9VvYUMkqFw+5To1lUbgT4VPepc15he
TQt2I0oRASinLwLX9dnYJOlZVli6F0q3rXwm/aLvGaX0gS6oU6PO37g5lM/WEy8mdfSkDfKGFr22
6o3F6QLRIrwDpkZ49EDmSqjlBKOXEGuA24CQtQ1WnIZWbHMT5mkYzfcJ6ZV5BgykmC8pEOpDhB6S
twcQoqx6LVCWI0W2I9rz1gFMiB5XZ1R1JduPYctgb4Ae5FtrGrDL2vEvZVNq+cAsZMkQEW8XVwG2
e86qX2gndr6qz7qdEF3LrmVTGaa78C9GahMuNC/NtoOtE7dRzToe6JKIoMmL9jjnqJvE1xg63d7S
ekSPetCyS54rS3slxXdTd+ALPfRurPN+eaqBeLcYLzWQ42KCPJDAa01nELZJgYCC2cN7x/53Wd0w
pWoBiinrUijd3piZ+8717Gcppwr+JnMkPp42yjDzXYrvg+MohEDnWq/aiJ+qMHiVPd7zYNcbr6Tv
6xBN5xlBTWQJzhRh43MYUZsCj8o8PVpHcxkSuxOVrAJpmpze1XYDxymOrmEtJ/Js4R0d5pglloZP
jucuEN48g8grMMQl7bm3ojmwIwWusEJw1IaYYF1QG6gvTo7hf5fWHO/KOvutUnHnJq3kVNG81cjw
DFwWEXmV9ntseMSVh1UEdiuzKWRwNrl9eKny4WDmmFtKb+LeA0QQShN4tvGaJ6UR1GlrrRyeRatB
mgW9FB68Hb7YuEfuJBmqBpkE97qwTzQQm5Z51J0blyM9rWFuE+JXBSa1LSmBt2SM3NUIyXENwujp
DxVg7muSSZKZ8GZja0+g2nuWQYGG4H1dVHG5SXke19AK0Vo48urwDNryGfrMfTv1JogkHSRZ7aVI
DbKj3ZDGQ9/Yk5lD6futR1hOzUYnfoXF9xrVaLRhgySXogU/rcX4KiiEaDiICpNBCL6yuWKR1/r1
K75lqBOiDdIac6DHAIksD3UN2U4c4ApcW588AGYMHUJY6k43HWHQhrAGklQ7FXp6jyWkfQknIXek
SHFdsDzeFHN5qgWFZxV9iiT8gml2Mrtqesnm1wj1DEZG9hT+TB2eFwBOoowIJtuP2WSiC2Qf42WH
yEjPc5FeWRbbt16yQjCV726tcKfZ/XBMZrVNxiIlyCb/3UPD6tpKEpoCvdhxyEhY6ukhM2+JoaED
Hy6WQsmIsok+RoFMqHFPNbb4TVFwUj5mwZLqB+ZzGu2kaB49A2IciTVfPZLvISXgSZVheCTXfFXH
pAabag6apJFBZS/5BXiNC5NYxRC0fT8nzJCj5hfnzNkEGrvpxv5eyGLrxYUA+slZXS3xYE5vTFgS
JsL5YnY6dInhRgr33TIdaxP5Ux+UPTcB5UI4bcxxT7X3TqgWbCjMsvCH7AfkX/2mqnzyHDPy6lrL
RfKMhsxuy9/WSTHOW9OODTtEuHdaDqIoRc1R5Jo6JT4YMsqTQ8KAe6OpxtojoAALyIAIrCYOSmUM
xXoK48c8LzaDjJurJDEYEt6q6ewW5sRTXvlQp0OtOzRVhidyZMRTtbukqZxdxjUtHRtdw7gvk+iA
AsHZMWIN1x6tvl6+JdGd0fTdwZLFD2qCT7Y1N4dvIvwd16e9bGdn52VgX7poDOZ13fRPKVkTJA02
D6GtDfti2ZOM2DVMv7m6ZSSCVkufB652XsbiNk53ypvqpYHbl9Min2sRpifmeE4EQ40ZWYpnOWQn
h5yRTPiarSutN44DUgrD8NdYxc+wfc2tnUHbMWboeiopjm6MHKIW2i7iCYHYie8OTLQH8jwXu24U
MbBQ5JP4gzHnCZwvUKTlQ0viQIfrwsEpe51UZzBY6LjEYFXhDe8hsFSQtGWx0fwmOepcITsLhwEE
m9uQhCh5e4xcmu3SP2ZroUWIRoYYkQOKdxlXv2utDRrdfHX9RHITG5iHU6dXA/aUTASqRXyzjDoD
v4GCZTEzT8wau8TIUVhObzkJyYKCn5iBzSCqvWXWhCaFHIVUru7CDq4fJohXZGfmB3b2gR3mD91I
OhOTavLcGL8LjbOQ0PXzqJxbijBxNSnID0UFyybqGH7Wkh2XwyFMq6MFmIOXqYBL9wGyeOjR7JfK
9xgBdg+JIUhdqjvooRdVN++G1THYxoS+KpuTmWZjkHBzWYkUqUSpo4My9xVyvcUpAa2e6ZfelZfJ
Mz7rCJqOrrOjUzA/yN5GPmXWh7TgkgLOU8K1hPwwgEMXBqN/VwJo0EokgJrNYxnQ8fvhd8HEHUmF
g5PBZyKRW66704vw3hdI971CFQH5g2/MxhjkpWrrtmjNkuinkqBvRTqcRtcutrat3vIx+SQKHsR7
Q8ALqcBsfGfOzIK7UEO8ukbFXSO24SboZTvY7NX9VFANjVZ+wZ3D0lhbWQbMpLhm/hnqbHHqhQUw
du1HYxQ4bQZ5QLQbbzOXwW6jHuysCe8dQ+NDbNrHpJZXfeA+ZnbOPquSbG/o+gGgLphbjRF2VVSU
x1r1MaY6W8Kx5WdDtuJxmww2ixzVfpKiFmiT4XlW/mkWHKjE26ybxjXoHPr8pGbHZQ5hgSUHTH0M
OYqvdo0wPIpQ0AM/qxQLSJYkmNnEZ9e1dhCDwl5XjXHJRfmdwx2571pSuq1lnJk075pR9VTXzO+t
Z1ma+jW1E+Mqk744Q1i+Q0hRHjIlHOLkMvc5mqN9qDM6rM01sh61b7yJ/OMRooeH4NUh7DxhZ81h
NrF/TicMBQy5PTwuRm1KIDKVE2Qouh60ynWPsu+PxGeTLMnOnMs+UKN2qcvhgzHmOvM5VmmCn4Hq
lOtykcok9VufZT2sLs52y393JhQnPOBvzd/G2pztBg3qp52F+tbI8OQbs4uZa9i3dnaZnDY+4Yw3
sg9rKtEv1zVjjD7bco87YiaHT+iz8lTR704229bqjoibP+0hQSAwDCeEN2yAcGvsxhKmd2yzx6iQ
WREl/i4ky84yaj7mxHzzDByvEKBisi/j4abb7kV62APhLJGTYVbHpAPEsYgDTnHbMzRR17TFrzAg
haKn5qdOT3rDFrgprE0eGx9slDT2CsSsGI5Kd3QnDy1+6CHWJwQ9LhhnBmsq1+Bq2a19yGN18yWm
nlD74I7ynnz5bgbVwOL4Dq1+SxadokMxSBVFe6ZLN9l3HHX2Qu5zfIAqf12Csf771/Qf0Xd1QVAQ
VWX39//B519VPcN5iPt/+/Tvu+/q/qP47v581z//1b9+z983t//59Jefqv3L+bZ9+vd/ufy6f34j
P/6/fv3mo//4l084rZN+vsrvdn787mTe//kl/KHLv/x//eJfvv/8lKe5/v7Pv35VsuyXnxYlVfkv
mV/mnyfiH8/D8uP/69uWR/qff11XZVT9t788ftf/+3995snXx19+f+f//u3/iAzTvb+hcvBM39J0
w7J13f1nZJj+N0wXJsIwW/dd1zb/b2SY+TcXA6vr+6bH/2y+/5+RYcL+Gzo6U/M9w9A8g2+1/38y
wyz4n/+SGeZpnua7yBos5MWmo5mGzde/Pv6ZGabziiOdQGBpkAYQ6Zq4InGkLx8752tKn0urb78d
k9t9VZvsYRSgj2SWjP1HhrZw3B5gFVRrHxzMIaw8ETSDuS2zu7RhhwkFOOPJuYc6Iu7HFLqkFmRz
Ju5hqBrwpgpz70e7Tl44c4+zZxJsGs8NIFBlH7yYCYumTT90GMOa0NifkEbtBCoInLKVYVjI+72v
ceQascNfYj13MtmnpcW2LhGLeKzcoixtt36mAajNfHjAkaNOHefDc2NGh6KdvF+sGsn6No1dDbEa
8z3B7zXXuWtSYkfFggogJXZN12wdudIO40SxMEXyIEX5qxuGZF94cJBpge88V19w6hlj6ckkHpmp
p1FewATnh84FH4GP8T4erXMG3AIBLNkxfmPQaSIMkcix1o1RKUh4Tbhra7/aMnWiU6+6VxABWLAk
fHVlkMFgkTMctJ22M6d0OsYJAFXdIVOrMcgGwhn4OQ0kGYqe4ZwkytqeUJEjO2UR5mycxDJuynuP
Z5kFdlwC3IvIABPVobBLDudJMR51E32rk7GgdzHJGaaPcFmnRSi6k08jsBw4L32c9j+G/ySm5ibI
HjmwaFDbKkk/6S2J4GjIiWTUJiDX+0Glj9fGQXyFyLY8+csH12JdkWCVuU9keSdy1/wsiA/CMgHr
3UpdIkyQFaaauQlnQLQiWrw7JM2VnXpyBy3bhC0EarskLZMNptQ87zxnDiCdhIGqdZAlibWhQ98R
lYS495VSO1FEb53T7Hx6nRaEqCivTW8SW1C1xP9E71OvthEH3CI5pWhrbeYCfU1ORHHwBro9P5NH
nL5EG6RL/iWh9SKWJC8OGlapSusuukRKrk3UH4LnNdY52JHy+hQxJytilMYWmPs0aRSI1UAyMHlA
B8K+yUx+Gya/MhxKhjgL7N5U8a0av5pIfPXjnilicw0NtKbacE+y5XwiO4nYyLF6nXN/g+r5G+P3
BbfMW1TohDXLcqUTBeE2uP8ZIDb2ePObeSHQZ9eoY3kw1nggx7wMRNFds3l4m4fiRwy/0Bs9RLn1
EtrJY9mmz0Sw3tmoExIbTGj/oWnp52xOF33w1CbXWBPEmMsyeD6zEzJJRE0Vd1cfEckqPZLg/kJj
p6/QZFYEdPBrDeVcuW0wEoBg8GsotDvsLbuKI30U1mrvSIdQBuYgKTtVF6yT4l3ptjtFuCY5cNmD
O9gg0c7jkLyQjvQMF+p30ztXp4EerCW/vK67EfAmobAZdxDRsNyyoX7MbRBUHQ6+qD1KfmeqEUw0
9tV3PQHvyLG7HjumsmBYXqx8QVFytLr2DBEfNV4YAd2QsCYbGo7MTagrlHZplfaST+COYhrXxnfu
HWFgaYtGtRp0BJFcMjopuSQAkKUWOBnSTaKEFaA9GxO5GAGfQwVRUdrB+UYWi+buOUkJBSuIxVlr
wGMAauVBPOzGSGG5D/1pyZgpD0lXtYfRIiIxLbtXBJjs/OA2QFaaLlhouAmL6fVPceLFfrqqXJy1
pulRkJJ7gD4SOKIOF2mZvAX4E39qTdWAi2k9S2s86LO6Tj1Jp2mdHTpJVZHr0AMjvf/C8CNH2zxL
TPlOyNg9Sho0VzVfbt0fTDo/VZ4aQatjzexJFXRQe/lDDX5FB+HNlGY9IoeFoS/M4bNopouT8mTN
klUmsNHfzCm4iVXxZ3s3eg5pvjlq+CnvXq3ua5LJ/Iyl99xD5YVeQyGkypzhYGWuB6P5zGwEIHUk
9+4QkWBkVENgWc2Ny8DewmS6KYUemy72Ena0hGj9vKq/DFbx7EYi3MVRJmE4dPtRyxggaofUHqqt
9Gp0+66R7EtHMt6F/oR93dokmPuhLyf1qRNw41t72lWM60At4mbDn7ckjzWPtjsPqNqT97yy0EtU
NU2/rxMLgxOENcnax7y6ERn8ikrqU5Cwy9vJxWQ6quGnCzXyB9AtggW9Azmn/+R29VZa7JymKfd3
qg7lDT3ELw/lW19BUrTiJQtLrz+wCLETMrJns2CU49hqC6mCljrh7jWQwdBikcMe8t2bWNJcq/hQ
6TQd2YHEj0N4jEnLypvieRjqdZiOzYaq9wob4p3oXhwRdv+bVEvGXKDC7iCvmCucYVfXhZKfddZN
SUFC59zC9h/ksXKZgqSlwHY04Iq3GK15LJ2F19/skfrZ6ZkhtY4D0yG5jC61sSs5RYUur1Orw4+J
2Hnbc9swDoHuN01iz8tibbDBw63EdoQ8aTzzDoyQupIcOAFIa/mxSaPgv9l4/eiJ6/o4J2TBT0kU
CGF9pgXOYk05CqqPjNYFyzmncF51xkdwUWMi7Ad8KXR8RjdXn7Ak3JVetpQStlAkKPuAU/PpPu+i
t8ljHD2FfX6Wn4XQx0eSQHbhTMp6364LdzTXIxTv0fuWzZtW4LMjhQh4vmIe053smHd+pzUHV9oz
2or6Mvfke7jITRURpWPu7WujyVeUju/d1HTYuvmsJPSTd9NJi7TAHZxwHSKq5Z7a0XfQknkfEcrq
zTz3WgALcYcwId4hs8OBSu68QkrMhF3fVIqJJdOmYkVM0ovfVzkBLUBoVI0pGVQhMrbBP1g+SWdD
Zuz9eEYSUm4jmEOJX3rHdjPM8s0IF/84Iu4N6IGdKHUsCQ5TvY5X9GJV7iVFwYPP2+qCaffHzaDM
uj1Enb7B4crYSBK056qjkZSPaZreqA/Rs+m0g7E28IK5/pvZAOBxR+PoeL1zdAbO6oFGr8AnNuE4
3sGqOGBjO2nCZVkiw+Yu2nvtwFBHz/ytM4VvrixoRV3lrfrcejdnq17b/vDQJBhdibJdSM6Evk7o
RaWqT43LADxKcm9T6zBJY14NkhqdI7JBAhFGv9g3RXXjMZ/HmljB2FKEHUCTKAfgbag7stM0EtC+
gB3m/I7zAVPZhEiG4BWnDadN6hV5QEHCKnyOIyAOR0+14hKLo2sZ+pagdiQ5DgI1AWOTRTf4O4QZ
tzx9T+n81lmjIEhHrM+wcWPImVusQxh0Vg32TW5feh+wdTH5Ktp7Hanc0ZjlU5p4H2yNWHaF6EmE
FnPoe+aBJCn+gtisgmVNOszaacLYt49LEcSoM+uMjK45NUOGt404czUTGwAfznGp9vIgLWQbRLN4
b20Hp6yIHjzR9Atnb16ZI8mRdWnD4yBKYCSMo49/lfjcCVWAZqHmdtvo1gYVB1Vmqvl7u03GlZw6
HWUX52aJyJySgHcoWbuRP/OYMZSwTgAyitPA3BAws+9lkTzmi5hn7J38ZGboXmvd3rP1Qh/apVD7
CmQMfmnjAkk5oPLUftbitAIU1K+wYhqok71XhQh+NRKHwVoEGX1TMGzjp66aqEWlFDJs6Fh2ThZ/
YGh0TGBtmS57yeEAW/dJmXd0GQz4Bo8UxLZ+bA1Uj4VjfVj+8MaZ0qxVxKlXzeI7SbgBkZGkTh6L
GCHTe2wHNbc/CUuSzZvL++Ysata5XswGZSIgGS4RS0BC2vB95umnn7lZILm7sQQ0rwganZ1Ro7gp
wccMZtOfR4yj6/owZy49QleR7dbhKct1PEvLq04ScsnuySV40BXcN8iF4B6wAcx8xzYj3rUz73nb
1w+eNLSTIaPnVu9j5l0qIMKGyX9u3Gq9VAd+z8oDC8YeI9uRBz3jElCLNyZGgl+mHjt2hQpDN88R
vr5H2ZoErmnYxu3hMRMkmIKe+Bj8cI82BWUC+JN1nvbw3oH8kSGEXq2bo0PaR+Wd2xDrp6H/XOlp
K+kjFyc6oGjLwe8ze3QdfQteQo5sAo2E7jD6mlENobuAbBdbLZI8t/zRmKRzpdd49WzGlS5ejmlJ
2p1CYo+wc0xq0h9U6jOJ5C80EJBhx51uvC9fmAilJwc6do7ChdYXXjZj4/ZQoVQFOD5jYFDpkyEy
NMetflYK7X+Ru0A++ZB6X6bdHGwSOR5FKwjVMrVu3QzqFTtifJj8xR5egDGcS9QUaRiSSt2w+Yk5
kBkI3Gpq3gduSt0pTPR63bMmd0tjq/GfSBDhhfQwa2+W0DXo94fYh+nGBKK6D23mww0BigXBUs9j
Kh/R4EFOwCp0HAZa4cEhuisn+XTAsgHvpL/NnhGdFYQ9vZ+PQ+g+DJGdYN1GNAGxKa29Z+DA4xVn
8b1dZAerwspMjLW5zxZUUD31x3BCKBgPKBfivpzWVi+MTW7zNBP61u+gTUwPcyue4MQg91ATR0bY
nOuc2GE7JT4m7mW0h0eUP5ARLtYZd9NVIVhcmHpFyod/NqmxeBdYObfRBDyAzrFlWrPD5Bp5Qzen
t4ZHe/zzwURhEzJ6PnZJcj9ieQR5w6E86ukB9jIIYPYWeBEckpnJRKzwdMV4BWh3DXWa+jWZfPYJ
UG/Qu1F9Ls3+R3WivzpOu62kFyMUwLti4oBMZFUfIqj7m96C+ZqnjCMGKAykuVjy8ucDKdS3XPOe
x6r6zmG/rxUd7qZGdwtxwlH3fz6MkLJ2yHahz5U8mEiXKbLDcbwTqicUnEDqVe6J4ZguH4iY11ek
0Bqb2SJbDHuf3NSSJDGCdr2jTBR++Qw6lU29wU5mYJC4JUM6fZUO7OnS9Op7r9aS16UWs9IUpS0Z
hjfjGDGPaWfZPWqW6DctENOVJqkxehbZL0llH0m73+ta3X8gMUH/7IqGAB+E2BZ7jE1rpO1NAKTf
aKhqaV00BacK8GUM5Pq9tJ1AL1k8ZmH2U1f2DkVP8eG3WbuOk0niBePcr7g5kBs4G2Q1GNmJuQBe
hiG/b0RnXXubA6TEbbA28qo5SjaluQuctmOKmzhvudYlh7l9SWDg4BsJAdL0nbPzXLqkP59atkXS
rqam4M+nLficLYCI9YAhC16o1z0bRZfseNgkYdVD99zNNtkc7dxu/nyKoFoeJrU44CAmNjYcSx3G
5l2TmWfSqbeg8aI3K6TipdvDXRYWGEGS1l/Eze5BYdVb1whPNrkEX+9SiVK2e8M2Fh1EPUYL55Cy
dVMyvt9LngcGA4Qd5KbeP3kg39FOaEjufXmbvIPHebimb5mvKMfgJZnfRVcXu0o4feB2Wr5jS30p
ZGbdZcTDbeqYwZFGbFVsM7mScaqTpT7R/4+o7vFtPHc4b0jBZQplyoo3fQl5NZxsBkEVaWqGJBgH
tLk4sHp6mWIbYbMou0Nlk/8jciWJDLY+Jks94PWKjigJSwlKLDfvyhahkdeSGeHa6FQ6vJ1Babk0
B3MbkZeS3CrSt9/NXjwgdgCDrFBL+5Y463Ns7bKO+dgcsYxqWn2XatoA8AqzXG+W7ntfqGtNbJHX
kwY5F7y0WggfdLZyjyQHJLbAsw4Ycrgp+PVIn1x8Ni2lhoW9Vp9Y37NL8Gx6vRjCGtKz9tEiv7ZX
7hVnJ0PF7NuqL+PYDD8Ysd8cGCazfq9NBPA2bXKXgWZcDb4k4SZ19LMwI1aMZYx9zSt/IvJYGVkh
Gnea7Ni742/dsesn7NaXRMzkMiKQZMXXkQYjNW2Xx+kVkKjYlJHn72FB7ngZmWwiGLqXc/YSpsIg
yw/pCTNxdo6ipLHlLhlqGBujOCSARtTnzFHyCDN4D5mGYPZYINwKfWjzYXzO+S9VPlpB54UZhscy
PYW2dHez59/FVcSZ7ZczOre1p7sGgxo7J2Ib8MRkpNxYsqg7N9ZIsHthAlK2qn0PLHZvLBgrPb5b
uEOHyZ62g444OQ+1Y0Fi8Z01ltU+a2q5tmuCkFoXcSeHpMOMMrThMkKoy3hb3jmUjU9Rnno32xYP
zMnwH3pUeKh0ViM2ky3+BSOIozJc4MgghiIvKH+j7aiuAyrxIIKJGEip4v1cMSet2t/YnYdHVsmk
GhX23u3me00j0qZgCPdV2/HaYtXoFOYLfN34qPsIn4SIPzTqtM8cZDk34O4DnvF4RvQ3b/w877Zg
gHheFJZSu8fazqrk5FhY97LStjeebn35GlmnDETEbhDtb7zeJxSrTPEUgy8rhSQ6kmdwWuDLYHq4
YDNclIwrGD/8TJrLVIn4Cr1HJYa7hCFXgrBP76w7DDziM06tl1rdJS6IqBji85WF6kJwwOhoIOIm
oDNEwnlAd7JlKKUdrZiVKOp4dIQK+WZLXIgLkS6/r9uCQD4XK6kpaybqjXOgSKyO9CTY+YsBr2N7
rJzqyyv18hLGWOhLnRGQclstgD/irbAY7aeJkWyohWuI8Yw9s+YULmlbTOHiPRt6NAbNaKxC5b6a
LetPQQz3te8MeWfI7tBm7riZTTyCsWuEWxSF1UoXQAcqHWd82jMSK+LaC6p+QrNtod1QJM8MRbQr
MgchnQ71vXHI6dSQ+9fhL4wtTHU1KnXsoH3Ke0xvYyiYaZEEbhSbq3HAauKWA3DxCrVifKoHz3zi
2fTit6RU444Bw1Rj7+dg2ZsRZYipS7FyO44qg5apd9t2D8wLn5VFTsE8k745U3xpxpAzVnLBTXdP
eh/ydxsAAXzlbyO3RfPTA6rTM2I5k2Fn9r21ZqvyyuKuDEbWniRc+M1o0rHz+BdToz25V3SuJqTb
6Mzf2NIvxih0FImAJXrOxOvji5VhV5WR8ZAsBWyIPyTR4/fMS8udP8Vr082Kk5/Om0KQJ1Hj8BwU
QT+S7efGxSycd0a8dZGOrvWSSooEKeZkkfY7VNxnTYnajfD1a1yQAaRifKe6SxhVntOiRAnes9LW
7k0Tn2ynQXhMwnYf29pX3+nVjs3tSct06v6ulGujaQKr7a1tOEXbuCJZNNOLQ6obOxyKcqNynEgA
yPKNM5ANRahhgY6KLAwt6ZmBzh0LzF7f6aZ9Pwnq1Wkoz24sf6ap+8HOD43HCBm1xc6wTeJwlbbi
HAJm5sXUngT0WcUmgGl/uTNF+MBCpSWgpMHJMkS/DVGzb8bkimEHSgstzEYv3G2t4WdScXc3MNYG
Fxufqi4pj38+NEvqquWTt+MN+VXjFEdqKcqDz+12LgirII2gIxgFWvTkIgfXq31qpCVsmEXAlUys
49Gu9ezJdvzx2IVqMnxKecYJ3+wMgEnrGDHi6jy1dbLXE3pFvWEYa0D3IWfMGPAdt3Q9+Z1xnBS9
sZvT58429pGuyF+ZKDV7Ws8kSR/iOBuvHrufSoMk0OktHBkSyVoNmQj+F32VjKbY9CWKqmLink8t
a/S1eM/yV82z0DPK5LnIqNwav3kj87BYeT4K0NTJEl64cgrKTF20oe2CSILmLhk66ywOUE/lLhl7
IfJrzyEac5IhRjyoHmlcICsLW5hWjbOuRlryaYbAUVjKgeSO4caylymGckhozdov2LJERVkm1NBg
1onFkXUIvZa0bjjk+CdMmiV3OUc6Iis1qjyZu5jJ8uiF5ZtjeUHj+UT/xSWSUdeDdS8Qg2RFfbaN
x1aUNVem+mxIn/G8clxPHHZQU9yfmeP2gJzyvSrR4jUc3qSm6Cuypi5oYwOvsMV2mkAsyKK/EjmJ
jH1OtctoGByG5qKZ+lJp8Rln+nxSefxroOYLACdhhDXO3dAZW0zShOo6Jnq5DMRH4xMQBAE6wdjG
JMcuWjiTC5dbx/mlhx+hWX902C/WvpZVgTWnEL203twKk5iuLrNeW876s3DJIK+n5jiU1c/yf1Au
ArvZF26QiCfALdcqvHpGaJyFR4AMuizyZluv3ZVFhMde+CliDLKiCvVcuKm98YmeIiSgwWBk6Mhk
BuSI2vjU9xSl/Q1MNqG+oNATrKDLrPXeU9yMjZiSiGqXrt86OIxMwm4gJS8HHkwU7AqCYapMDso6
jFl2OESM4JDURisOIJURU9dW3MeSpVqQJ6+zhkOFFGodT+7ZZ0ATjxG8ANfXAlybz3/+LpE3h3Tp
AWN8n2FnsjxuSdtLvAWLOYV4tJKayEbkT2mTrZWOdUnnaVxRRjxRvl161d4aWHY5FlcIr9rRiwYH
Lyxs9AwasC0DHqjajov0y04xUPcMnjvIS6TGGntIRC+m4ZGSN8eoSk0G2jVJc6ixV/NySMj/w9J5
LDeOZFH0ixCBRMJuSdA7WcpsEJJKgvcmAXz9HHTMYhRTPT0liSQyn7n3XKIJrQRpJlCtuHyxo+yW
j9rFGjB19O74Flleso4vZsHMGMXog4VgnxEYwQ6FASlnxq6XtUywk4ZZvbNLdULtCwM+he3tRi/+
V2bzuwbAEcdAD7HL++wzdGhI8alj6/wzSxBMmRTLsBxe0sC1uCxRcxNwQjSTHT3kJvgKmw/3qFm/
Rtg/K7hiK9EYT3pp3W3N5HfqqJYD59BlsYB5Uz9kOdBDxmktyiEufL3vMJ0010CznO3YDk89LOOV
103ZViHFXpOD+Sk18nilgItrGM1Va2EqeZP70qq+PfGGV8KtdmZHUdvNxobWDqxjkh+cgVmQye4C
yVjvu8qZtiPkOazx3DRSu1t6t6yPAntPMOVdb+JX46GcUFTq9QL+buudQH/kmIhqykmxEKXrjZJs
ww1QkA3jWr6jGX9Twf5B41Ig8QFGQr4FLgYSDPk+NkUNVvCEnk+KXT/MNicYo1ZnQDMdh3Zx6gwX
Q1+stmjZrioGBCUwxekas2GUNpvs5jbxRymJQpvL7iT4D5TJc2iFxRaWF4laNp6cOn1A7rwZ8aaR
5o0tT6SUSwREEtUiAOshdMzp8rp4LnwMztlets5naFQDK/jyMCpzZ7ruv8hS73EvMB9qDoNn+5sa
t9jpEjeLq0NfNZMauSZqp5o5KzOYkwnf0R+HaNFSxskpG1jnmzU2bm+OdmFtv9YTQcy9Qko1JW6y
iXdllECVoOynSWy9JtvWGLPWNOEax+bdFWl/og9G/fRSCxGcGYxSsE/jtkuRIreKDxY+n2hL9vbR
aOM/E/0EZCs9OjZz6pw/Qm++LZ4N3zQ55ZRgz54aJeW0A21lgEF54pf4ZBn+kk/y1mlw3nIYtmbW
sD0eqCLp8tboUGN28MHPXC5C7BGAxJQmLVS5xNhKqNGoo5mxmkAyXeYcVmL+i7OCvO9GPjCzx1+k
vwBXj+AdEgndRu5h8vTpYA/eXWsKIrxrGjsILFdQ8PYGS9oRzMpDE/c3lOSshKomJtmL4XEQOsF+
MNm4NN+xg89maEvsl94hq+6yUxqTCXxl0dBmbEKINrFNOookpXMipPqsaW90L4+px0OYZRhn820y
hvGTVaFwxMAGw3V894b2PZmCH9yyARnr+j2xe3zEIR4j73fSXB7VeryiBTxRS4ZgKWaCM4k1QGke
6eRBOdwrbGZZsdvwSDYuiExvweKGCQupFfhM50ZcDrcmNlYxBRejieQmHMnyDCXh8WhaDzWwJOyS
xJjHbBIyrIb+PPF3wLDcmEaPgaAM1KVYfLUFAstaIoAYNJx5mWtnmzDGZsPu23dzPp1JiYZCSaSk
ORMEt2+etFIOq7oiLN1sUkEPm9UE+cbPxWw0vvHDKcd+D2s2S2q7voYmQvx5lt+CbNwpi7/0oP5Q
iHhwg0zAxaT4zGuCT3tWYWbvypNlxMvOIVEI46WFrCBENKoj800R164yTL4HmUyH0aVYzDC/LOmc
LrlvApRGt8yUamtaJ8ES/GUm9lrCX8VdKEmVWNSxIXKGOl6C7ob5gAyARQsxAmgFCMWZSIbkY9Uf
NRi0pG9azjlPaHUgMTwxjeE9IHBu5YiFe0WBtUU+npAX9MQTuMmdY5aM89208ychDLHysvyWLG+G
HTA4qrLUQ4zMGKFnD3YUbX/zltpLL3IBMahjODYrIHPLl6wb56MebG0mvCgfEMSwRVoHJbPKMWHu
lS9DJgSNGlDx3Cl9UbAMs8Yq2fCXWRsrjwWS8zR4beMhXlck27WK7hKO37R2Te8V5Vf20OMWNdge
sjsJ/9G9cKyx+MI3Gt9Epg2ra5m7yVsXkmZoBECrq9ept6db1FmPmARK35oxpLd5RS1tuMW96ynO
QjPz1v/90eiNcdfpKt/890dXzKTThuO/IuvEpnds2rRwvNqu+l6WAFz/qTxMpqm9jgbhqDbQK+D9
6t2kiJOG4xwiCFmj3r/hNuMvIgX+oGGccIGf6qQx7gLB76e5VACBsp2LoRXDve/TE0/w9FgkYri3
85ZoTkoaIRQOJNXRwafxQzHh0erQWPDwDQ6YTVKhmYE1MWL35q5Yg9SVesGK9FPF0UsEe3oL+PW7
k/lxZsZTly/tK3uB7QhZlSXc/CuEeHBxmLU2UKwy4clJl7Ghh+CVqWswZJtRLrGTBdvl2sL+SUjA
GJnmQdPRyzdYwoKcXUja4mkJQ8TTxRov+VdQH2WdOetiFGwzeX9n+h4tJIO84OazmdmG42hsCVBG
Rda9kz90bsqO69wS07om5nHdm4c0Z9XKepaqbQUqA6Nfw2FOb1TsDdKOApC8W8U1xe6aMiUh+Kie
OSGJFZ2TeA9ImyRtAiNk33abrtJ9uvt8pw1Y/8q0/mA++aml+dHDM72adRbxqnRoxgAQdFr5kmj4
mMgdYFsM9WFqnsLKPCBG3kPsOePMyddlF37EQGoFqb54s0AS52Z1TeViDSXTsQmfRxtWPqoUB7Vt
/Q6HPN5xjG4IFiRuqUme20TQA7bLdibkemZ+SmhvBMCmjDVIVuFLJc3fdJ5IXg+ydGPHhLsYyYEi
Gd5PaOc+hQ40YqPzDYylRuh+G5341g3yesYMe1olUXETqeQ2L5w2/abDYVR7UKKQHrbY1H0yIdm4
ZtU2KexLMqp63RMq1brtbzXhLBhr5zckHGXdLxGZhsvL7PXojauq9uHFIQQk5Tos7jVwCsbsABsk
7jG9Qc4MB4QawaWX87T2AObugxeGPqVtACcBgUCTMV9o3DwVyGMZ50ssIGv7uZDZpRXqpmZNskbr
3xnIfVEsoE3A9IcdNV7gOciqufL7iacKz/4KVvM+RPfWDHQM1uSC9g9r88SANcZp3vjU01dpjSQg
5JRs7mIDiW211U0DnpCQ6yLFvG7msSREoYJ43mI1dMAA8NKjEjRSVg0N4eBGiHV8YJaOGRsVp4WA
Y3bjeQWx8nOuis/RWJDRKaGcELENu7h2I6EekSahFVl18Gjnha+w3+yJn3qYlLPse6O3cCxfShmq
o1Gk+PSbdmcYBZGIGmeoIT2JMFD/bTqitvSyf3cws2JiCw76YF+NgR+BsLOUlQ6RkVQaCe5yqgm4
NiRyaxmb/8CbXgDjAYifDwV50z4b5cJHQ1IfG1KKSbcudxFjvkqZcMBbuS0rY7gybohWk+Sj3wV8
cmMqBUT264k6445pnKG/ZvuxzH30ECxqHyccYuhah8+GdnBV6e0XCB+TgQkaTRso0drQMwJdE1A5
ZrhRifyOUDQhFQ756MvWx2PwYrn/SKjR/B7k9S6wnGerM8+ZUye7DJXX2l5c6vLVkNaT0r0N1JNg
xbYNqEYGKIV+h82resrAYwRknejhuYlzScZUAdG8co7RhDqM/tZc7eamCrktC32D1QDDMgxEdmUZ
CJbwSVP8SBkEI1ax9lUtWVAtiEhXds/CWwbGjHUT9rmrRHPpACk9lW6flOAdi+zsnTPZW3uD+qQR
bUaBgkUpHIy6l/leqb/jbuxXRm8hWEjDb7oyHlSrOBZmfMnVnpwPsKLyPpRqN+CBeQ1TOtEKe5xA
0RE+ERmbKGX5cABMbCf7OisLzD0MrcI0Im15oJByLSQmYO3PXkeOWgq+Ikn6n2FCZ4zmhVl3Id7S
TFecXsRSVcXdYn6Rp+zIK10hNHXmB2d6Aqv74vQqvYCNRvBRVfuR6S7+kHCHlo1D3lSKlIYalUP5
x29BtZ+U1RFX2XWW+lkFxNrwMHDvd+K9n/QRPD8yVuIad0U7bkZl2Wxw09esC2sY9pg+Cro2K78N
jUa6xBgfSnA1axVQwWO8ZNIDHYagw3cmFyDUh+QmE0A1rgyxyuH1SEgtEuR1rq2WIXiNKCds+2dk
WAgJ0Q4b9c7pRnM3uNO7baMIKWIkseLOTOaH4x9+9hTvkmoCgBi8AoKIzWHteO0hCsun4K8J+W2g
IPzpbn+a+ez6HbgCLfdywj6cF3LqL7NHQo7JHB2Fnb/8LsJA1Uu5JEOEkTTbrPoEszcUlBRdW4CR
pOwgqjI4UlZNbYdnLM2MST5cJ2baQL7cMPbsclu0sqC+UlyaTMqwW7AfYZxWPnryNUc/v/LI22II
cuYznBH2zdTQVk8kci2D2ejYDUzM3TG76Ua7rQBpbXi436SzbUu9340qZjGvbc5GxXYiC+EWdoTP
sLKRDwHwJXb/4eJgQ6kdylB7qgIHTF3aPida/S4LokJBr7phppgnoYysueJ0RkGDMC2yWKKXfoA6
12qPMIjSrSgl98mE6bUdnJNsLNPv9QZr0jwa+yiiXhnzo6nB6BMRJDGkR5aXv6POSjbl5K36zrtC
eMFNyVsjFmddY1acYMsXtIDhmq0wEXcW05bJDY6AcfqDC+zYDk0LPEaApdIIkEANZnX87wsvwIjg
DawDgkNKl8QKfakA9MrkpiRG3lpb8NPACo4BDIajLZb8M7Os2DtGI4V8X2w7Plhb2whgx3flUQdN
PRNKx39NrBQ1EBkLKxsljt/qmnHEeETpiVkE6jZKQyr5ZzY5TyruaxLVsv9/mZY/5jM/VuW6VC2J
Nu6cMLumCGvA6KhsLaeaaRi6tOKAuMFnKL2xdHQTQpPi6ImRgbVLP5a407/Rm4xNEC2L7IL+XPXT
OWaa2cEZaIp+m1TlyZ6fwukXsQEhjbF6Dr3oKMkyq3ImpmPcPsy2fksYs8xmeYg16FOxcbJQjTSp
1a+Z1+XiRyusixvVF3TZVzJ8zp3N7NUBQFcFxh0bLI4/3EjcffhDSdwbCvvsqA8MwJdwJKK6a777
AECOzeq75MLQgD07cbmHfFVutA/T7N6RLfF5lhykZGXTaYbbOGNlZmCxWGej9zgYJWc6bW8ZHHIv
63Y5HS1A7Xdbync+0mhu+IntdF+Ajx3ZpvLBM5k6xa91nc7ot8I78qyduTjZMBzybUOLIykpD5Qj
9VZ1OEYlWrHApmObL1IfKGHpk6HMsjUyl2zj+gOpyNZjOCyghSbIwUfeeAZ+l4LQ9E2irB+XRhr8
5NrUrw5mIb6T/tDW3akjfgT+p4kzxTX3cvDQVHHgSAiCCDfZ26vnLNMfZJeBlyqBUwTUUbgpPmWp
9rJitUHVdUDLQjuDaG2UL8WIQr6nXGWU9mZyZ+KFOXQF7KMv9Ex3aIcMArEnrg3T/dEHfdeYOybS
p9FmGKdX0U2LuODyhgdAGCC2I8AgyfzS5eNDW/HCMzVHngp23xeNvbM9WnaHlTDAbdTtEYE/GYtL
QDnLc8xfGGvL/Vpc0YW+pwmGnYSBiEHXZBIunfHOOWfD2kUL+LDJnX09oS6Bjs03j5h1myr79dwQ
33baQMcNv/lo3sag2AdN8IiAjf2lpCFl6MXQ7KWr7N/GE3c9dI5FDAdasTeZveodk8yyhnstcwpZ
YiNMGbwoBpXLv5xb0y2X+CLj8JhXROJEy6S0BY4KJEIahEpbLRc5WekczrJ8zYrh2eidX90aScNz
ffJmkZk3FKh49/A1tunDPHnnxCrZlOQF+kbPh//0TFTDMauWOLXqPA1wDDisDY79Bw0Ey9y7P3PG
DecwEogG9hJtW6Gcyw8tku6qRMaVElIH6vPZa5FjJcCbFyilbppfsnF/sArjACSZCqEItx87gdwY
z44evNAH+f0YE4q4WFmKdm22455h7jkvZh4DoF2J6A5NEkZru2LsUJO2tQjve+R7VWf+emX2abju
Y8E/y+Psu2dWI72mXeew2cfpoUcyC7mZq+gcT82/WNNs1n+xjge+OBLOi5b9VIHaWIX0V5qt4BG2
iAaNdib9U7vbb0NW/BsxD9SZ9zhp1dlmKFA26kzzjEZ0zUF4bUuifytdbtOCs8BtxbxRgeB8tzt4
Ys25DYZvxwBYznFSGxmCBYwxOgwpVAJrM+Zx72X/7PEJzPPquU5ctlZG/MqsbwdU6M7siODyTUSJ
2+Qo5kdE+1MzPYc9aFlnIitcaI/JkBwzyWHY8T4CufNo8VjbQtl6ylv5WjfWN9lvbOiMkQUEmvZA
b1gCx4ubyNWFj/U22LZ6QG568Ak03GRsJ3gaKYW8EiyIRKZusWdJuuyA7V0hF02p9/2YSrBCMRTF
lNKO7TE0dteSfQWEeCIQ8CAc0WWiPpyqV9HSK6fZexo5XMvcEc7AbxGhFrDGBXWLBaau5gmhdncV
xMdloHvq2r4o0yCntYazEpqMr8JMP9eiOXWBQ1GUkMbSFgecjtj3XHJQdDCQ9GJvZT5erYxAqyYv
j5bLm1qJ37YRf6Awe55cZJOafGSq/sws42DgzWphMzpquMdZeivG+QzX7a5Nw5kl76rnWNz1FG0r
RLoxYSsEFM/BS0Lg5MrQ18x7ESWEAaYRUuNAybP8/ZymL9voHmpyTK3CTLbgS/Z85Bgt5r7DmHlM
k73hFPv8L+VNa03FkNLWrI1pqYFLjcMITRliNbN9GGpEpUNzZetPc05ZiyilgzbrOm244eDmm3CJ
WrX7GzTVmzPIozvyqMa6gIFZ919BWrybXp36ff2URqzPGudrsvk22iSPrOC4dCfB7pqWwSDy2TeW
bww7/FFrBu7Z+qB6/gFCLkwewfxLhgFCM7HqbNUdhHluWtQIUnXPHtjbApkrUeUxAdfzpuAtWzW7
sJ/xqrV8kKrgcai+wqRgfRogs1oMAZpMb6FTsqGJYOPGAYRWF9VpzbHCDcErkIefhcACxwgc/aqb
sgmfzYvOiQQ8+DX29IOpvuK+wTbC/+bCMWAmthw5TvznpJw5Y8JHpMTEnI4sv9k3x6ZCK+ZcCpt/
rSNXLMTYzQyGj71FXlrzZJO0s56zEUG12NfC2gZE/dQFUmN4mvckQ59tlt4xKbNdjQTX6BGpW7Z9
6kO0Z71jfKgweAQVbFCsB3ctHfurlieX2kPyWJT9Nc0nezurgO19c2lJEjc1XinNquNNVz+moX4O
JUNB7EbPnWv/pES+iMmCA+d+dDntCs7+j0D/Lm2GBqbLXL3yMsS8XJJJOKFDRb+PD4njTB9QbQPB
C/viCNzpnX0lHAgdSk07fQehrh0sEPGsIm4GCUkrLUh1apzxV0XaNXYTGvsBZLJy/5wJqEYuiFpQ
GengQf44CZz5lNXv8CzZBerex9RnjDdC1KUG+BGvv7ggr2jG2vesW/Aov0n1mRn0ueAavvBbKyZ0
KeISk8RmIqLWqYFVMMXP2Q2axr67MnC5dPPOcekaTESv7G5QvlPUon8WkPdTJsFB5NzicXp09PwZ
Vj7oWBDJbpBRArTVQwkDZJ2ZzO/S2HivUhhLoTg5QnxkHrdKIofkAB5lZ1G5YCH4EJ1HQE9ibhl9
gwQpAlK5R2KuZIe2QOlkXSTFXklJBge5FFnq17bRfk4AODjSXgFJ/+qqfXe74hWvm77Kpf5m85H1
p57A4EacxsnWn8yB7CGrhC0xPtowZSmm0z+wWKRgjKa3b0aAJxlWnhJtuims52KtvBp7DRFeKxXB
QR1tjPEWZEfAFRpzeY1Cf4Smq/cOapDEItsqyv4R2EtT3Bh+g7ePsKJbVEJGA9+NyUgRu4HHX9Xt
ze5RJ4L6DIAtQgPINa5PEyEUXE5etWSbjaRA9UCmNpEHj4vfWXXc4f3AVW+mGuLeiZzSWntEOOV7
YwO/SKIXt4LzDF1gxNWP3hsFx2zGzQOrtFdmQ48e0kdleRpZ66hHbWTFbvbaWk+J1X8hohC3ZOgs
YAzdNhCkb0ODANPpOSAr9Se7dHYEd4q3Lj2WiabDopCfPdblfRoX5MeARKf3QNnHJmkqRvuSdcG/
aAacrgq/qVH+MGHXN1U1PvT2/OoAeHLwZp0VCMuVKhAka7jRmvQviEvt3Dhy07a99ejZ7kM62e46
aToXl/VvYKUFH1xcgsCyKre86oDVO/q+rd2al2wxHnLpX2IUPyqe4mMD2DZafA4t+lsWh9lMBnhp
HyD/APPnXkr/6rH7I/PoKPveO4JnS7ZthC+tEbVfqJaU0OFactTXNr63thufF9YCIeczZxVmn7d4
1vsTtw0P/mJwbtpy2M52+lZzHKfWTgMattMNO/ULnXzJqGNu7dkWJ7t1m0crWFyT7mFcnJh1OpyH
WAy+UcCSQrSJcs9AuVVoz1JqOLMoAMC014zR/cbqvqUT/5QRSTHLT1WnlNsRa/soaFmrRDOAZRR0
TZDTrK7HSNxACd9I2uLpFS44pNze6WZ+FfqN11eDFReTvI7iRjaYbbwKJrWwLxHxyqvWQK8vshPP
9c2MOSCs3sz3RplwT9TUjOzJ8pPkrDB0asJ28D5Qlv0EeHhQ+cNlEtmzCs8eHiAUYWL0W5gcDP0D
5lNptI1a++BFWrGbAvVLpPkp19LWLxpIrtacIO4yXj1U5CsuEeodd6SQCPY0oE9hVgCNqrPBT9tH
iG3nSQwDaoVA3/fEosxTnB1qg74pmbKKsPSyOgUM0fStG9T0TYW8o1y0Hy1PIt1C3stj+uq5Cj2S
XkEqKeoKe3v8lWfTr5Xy9lJAHEu9mpZoWorXufTT0S5xrWmNr1c8/0BF/3K78Z5gwS8K4a8BDKqf
tewxEZjQHQ/UDwMSLhtsDGdoaK91BhaYgrh1gJxuTJyAT/Ih6cnahlY0r7BEwG2KZ6Ls6Q/E0Do7
8qJIoYnsbp8n0XgmwoF0xgXV2WBDoOIvBqQObnxzEX8wIlhE1hEt8dYd+FlHj/mdOSTC78rHUgGk
H4KH/5LQ/vsyJ86L1Qh9L35ji1OtRQaAVCdCl5Q3aMQHcyfRI21Sd4SHXbfpRrIegnXo/mWsv2cL
zIk951hbXKIhXafho3x12WAey756ya0gB3ACRTV1H5OU7V864oAaMhdRMMwFqsOg8ZkdXGt0/vuE
JcxBWwp32Muf0LemVxrfw6ywvTNgI6Wv9h4hu4QE7vGssex6kfX0RsiUcc6iZ2GNkoOrQxolC4ah
KNx69pLIPpgJiEePEKQtCMaYTGUmsmzaTuGCHp30fthVgxwJlxZAtHv0oiIe/cFEUmgnuoH0jbCK
wU6+Vc3KVqcdwphN6JKFVGSXBdEyHuPJrYxYWwjkwRaF4+y1l2kBshdpQwAyX+wqA7GTom9VrXCv
aqg9jrIISm3bnf77R0DcZslgIUbjhE3AHzpy7mZMMAwTx2sjyTxC8moG1UeXEqmUhP2OCwsuctY5
m3TZpU8CN9ngzVQUFpKuyuO8rfKy/2/E0bUO9KP+DPW7RpzkbCaNqd0ETyA0Uhb403SJ4RgcAnts
L2ZCdoDZlaw64GLhyDp52fDlIIaivfFaOIftrRWMDV0bpkcjgO3JLN42qXwjng4IR4e0VwvL+zB0
OZPx9AVd2uC3ffGFS9JaxQ82AwlfMe/dW7NizO24a6dvxwPm2PkK0OhtnICntd50NXPGGhWJ2qyh
mGJrqGZUUFS+LBF6hXl0tzw7Zfy0RY7yodxWZ8FM0OagwEehqKpFnO3cQn8LCp1BVZPsjNK21vSZ
VctL05QoEOcBTwWfsWMQsNPQVUf6uoTkOtaGva+H6Faprj41NXO20Uw3hQ4+T/Yslarq3onAwPeN
EBHZqV8jWII6pD14S3BvNWCbK5mTpYW5XB8Jsdu9k35gL/6obK16jBzmNmNDAKDLFeGGO7uaWBtR
36q4cHcx+Uroe+WPLYunhnmaVxXVISIUogxo+2YbTlidOOs5kRNSuSYbMTHwj2byRUiDYFSJ5jgf
Q8zUJa4nryoT/H/Vm92onI4iYTaXf5iN8x2HwFX6Cay8MU8XGc8bs0xTPlASa1VQb4eC5UBpx9ew
1cudR/DjNmWYrXMuvHNjTFysILD0VpuWHGG46etWdHLT1Pzfmlp/NmpxsSviXGqtuxc1Igb0DzdU
NjTb5roubIhSUdntq6wxLzinaf+0ur6j6yWObsSInVozsWhktyPhqcH10dtThfO0y64nCMHVD9It
HF9aPC96bvhlTafIS/BKy8SyM9J3UxjIfdblN3OemYo/tDjvYVda7k0DecUNscQwmSZO9vjkNurb
M1X/EI3s6HVnD2ZrZmkW/7SUH1zl2OqTyGH2pdKTsywVE4jeIqANrjT1nAokHLQvuKS88aKC7pUb
DkNQYpjbeARUm0a/XHqk8ATPoueZLTBub+HpsyA1SjLgRjwTXg4i3UCy6zX6D1Km5pFGCCvW5J3a
tYH0+Giy3yR1t9jWc1nDoezvXh7UzwuiGNtqPPuGcRI0qq9kv3FnuuC20GLrQ14/aODrN3av0IaS
aB5qGmEGMSoo6Nf7NoHRL812XVbpCC8N2UEaq9cYRIJrS7S2YoivrfnbhIztS9fYt9Jea24JaYsJ
c52hulfsCfGRRsFW+YsGdDs1zbGewesBRqcm7f7ToVvDR95gE5gD4h811nEA5xfm24hPCYeVhvh4
yzIwBEbXG5d+cN29SAeEFpkBG6HtPq2YgZhnxTvRM8Jok8gHhIKUpuNQhMR1ShtrPehLJHWmaFex
M82WeKyioaT9Ep+tu8uMzntMCVvvB2N5Gxg+wFW5tvFIbsrMrAfsNWxie34pgwSqBJce1pODVhjY
NiOsidmTmDpSxJYvbYdwzjWGYuckL8Io12AEdV9zCJjnbnfYFu4KM8pxfYXIhBU6r6EHD9bbjATM
xk/yUYApYl4tEhzSw7gzZoeGvWdilBIjryyHHK+cHT2Rxcemdm1SFIxmk7XOkzEy3ULnfIon0AFF
QPYNAL2VW4/lIdDV3bG7c5tQL2hOtZSijViVRnrRys4j3BJJBuAOsc47DD1F3xqHsKuORgaDGfCw
hhByJc2aj/w0BVtdh1IwezP8faeCC2HRDNRES6FvvAlXvyqNu6O0iaWHY5HupdvBuFHNDvo3giQN
nCO3ttqwJ7bWrgZXMIbkuusmgnxmtfgUdYws8DQQ0ycfnsI1XqADWBk5ya5ANwiGYw28WyKgR8cs
jzlBNKt4EKcaht9Z4d3XhjmhvUNDMlSEP1lz/6GGTDwDIHjku6rnAC+7j3qDoRh3tr/YFmXAnAzL
9kIVwFKMu4zEb/acFJDpsBEyYVk9KNTLZn3Ca/kRq6jFTJb+FQ1YCxOqE4kO3bBh2b+1JZh3TSfg
LUd23NX9udXMQ6umP7w73tqcIGU6wj52Jid0XFs7U2PaK5KW0RFzIFTPNlDuycReYhd7r5tPZsr6
U6En2jnwGPzAiA4KLzFR4vrdbBq5n8Kxf+zbCng/NMGDo6hQidJmzldqlLmR9s8OGzjcaTNi6hnc
o1YuZsCFcR6mfzQw3A2WbZ1VC4qiC+PnKcitjyWixyKt2JMpg4ag+gXYSgidXchbpuYfBzcPUkPk
urOCRdS72j+H3ZIPMxOHVpCze+3iY90j2zcpak7M/4fj3FlfkQQ2PPbo1LWROI6YRIHVxCoKMLjM
C2vbjYHht138wryAc8kNj1RyUEkVr55n8KL1MUwgyyv/9en8GU7Rdgg9aEbIXvSpAh1cd488oQjw
4YjVH61mi92EPttPerHQD9vmqC1fzHBmxv/fnxsyzzM8TMVzO7vuZiEG6paVY0zlS+h07EAtHXWx
MdVXhkjRTenNXgzzcHQpL45dl5+pBTjsAv4WLTuM03kuOXTLAkonEZLMJjqA3JpR2VsPATTj2lQy
rUE+oW8mUof9nLAGQYToJ7IFhPj4dFJUnOz7AW9Wmx5FE2zlJeXLfJQkhrDXiPd2zn5cH1PzSB14
agoqI2PO/s0u9pF5rN+GBsUfI5OQd1ejW3V/S9TsQyEQx86oZKU5klhO+kCoHUdU9OtEs5qLChcz
jjcW4EWRB7lF8VVqQfJo6vWFWfAZc8fySSVkV8LAPEVEYMxDO4F80CkoYtEy4vDMe6oZ2wwCkkgQ
rFtizeaIOUPV8AMM2b3yIt2fAQMZbp6f6giClwHklZmB2qHj9RlAspuY3F+QRMeUZQUZw/IUugzw
3TjdtD2jShD25npuEhbImUMoZY+5TAdVWwW/mF+Bghbs4ajlXruicXgSK5091ISdwwh2pt6Fl8YC
+9ECjSgTFnZpOBwblCYralHW5RH0cZp+7zIAAWVZp3FkdBdnCXVWqT4fOwPkbUoSwwwxYDvpHStw
g3gMTcDlGlEkAmBEpDfAXANrDKyf8gP7QI8Y6rGTSD4nfICovHrWbRLNDDfmMEX6QRdcorNCsdJU
RCa02pEMIpq4/hijQmGHGf+bpn8ZsT9+64GdKoDpNllubdHQEONIDmihil2xlMCaiayga3uCuuwQ
lcNbr3qwoE8YUvSHoBHuQ53oP1neRBh7zY0ERnKCr31EaR6/gHKzcWTCrFGlHb2MEX1AO7VXXGjG
Sh/P6VB4+7AJy5fUAVTcWgNy88hipc+59lzLOHqOTcTWk4EVJAntVVg50c0uh03cju4O/mCMvX/D
AfJZ6/kD+Re3EnUqia8oDDPjpCs5PY8UbxGezmdCGYYXJJC+rYgyq41i45llg6xE+NWcYBMkquzs
SYh8JmcwqltubjPesx7l7vKAFs9uH+3Y1R51VN+lasSxNZrfkKMSQj9szhGh5zxCnmLOLrbSZRDb
IeDAJBbvRnfUcfWXHtavsNp3KNVWQx7nG8+q8tduSO5GGAEX0x13O9Wtcwc4t+5S84vZQIPlFW3E
oG/oLx0oGUwEuqp6s/6ItEtZKFGSd3WD4TSqIc4CAKy9+dskc+onIL2GdR6+RJd54Vb8j7ozWW4c
abPsu/QevwFwBxxY9IYkSIqDqFmK2MA0RGCe4Zievg6yqsyqyqwXtexNWA7KSIUIuH/DvecKLCHw
DSiXfR5ipsR7sFDz3iqQdmruu53pHbN4DlEMuNueWJVLlabvKOHYqKM4pb2gCBE1tNnMMc/pHH/L
OfpsdJpfPQZ2hL7W+K4ZsrecBx3RRXEkn7DZGOfYRXo/mVH2MhOui2wT11LGzdXlQr3a3ojzmQBW
W88fnRvx4tV1u1vkuFe9PT65vTiWpkuOoCXom9pSvIR1xM5MAl1Zlf8EvYOorZhaoKKEBJMdOHDT
+5aRB1sKYt1ihwPH5cIfoHGnET8k6byLiMBra3KO05w8EO374mo/e4/sYj5Oa/lNlhmOtaw8ctCy
5Jfdc+wUTxNcEpjM2NOl62+F0NRuPhR1YkKKMXXvcpdUn8X0jHvgkPABQDbI6q+gO6CPoYWSEvpS
Mo1sc3KaXvmPZVcoTBHZ/CpLPd3CBMxAbBc3oujJNutYlAC4UbvCn/YpklbUe+O1NowTpy+ZpgtM
INTvE8lM3k7M2BgcOhDw+vpnrKflmE6xwhSs7B2y2wnhLrmk0EUICcwG8QGr8pQO/iMMYnUdTBZ0
RZp9mP5X2PbGcRKsd3xdD0Et6JVb6UCYqIV1tuZfqORtZlZrKjhRIZjy70KS+Z6zgqcQtoLlImWX
ElWdqhnjZRWFiTUn9Jd5esORpkHp0bcjpkC4k53zI7yU4X6Aj09Dwu1i1ldzwB6lFJQbux6tL5Ga
jxTzy2s3hSuiIw7sBpRz4vvzR+x2T5VmoW9pkhX6CgCHMZJSxya42rfKHF+90AH9SJqQtssl8Fhl
s+cZfgSXKMqt6dZFAqezn7dP6XwAroExm8Xh0ywEHxfMtVNoDW4Qtq3NK9eLhyKUTCG8frlGKaAp
o34lIHT84zXI/0SRW29j24FVsqf6hu1uPkIKYBzdORiaIcnf0giDGGOA6jOFKFWg8/wTjtPvisHo
W16ZoOGZHU/WVN6qXg6HeYjcs6wWOPV2pI66qoaL8C45xdFpLGx/ly7j/BvnysnKkva1R1K88erR
OXdCuQdHVdgn9NjsncYVBx3bkn64m17QCoCVZ7V+BnwfU/ZTTBgSnYmRKnbJo+3e1e7z6BJShuwt
OdRtT6VtaIBPo7p2GXA0ZHvkJOR6eCHCEewk99EvlXW/miV/U6aIXhtZ/+qotp/XUMh8fd/sBcuK
3Ub6kzglXlv52U4V2wlujROpwEQx+cYHFof45R8C7v8KBXxNvltwMH/7/0n4/a+A3//vWMAeYF6g
yP8PFvAh/iw//yv7d/3y/2D//steLbS+r3iOHdt1rf9k/xriXzaqasv3Xd9xIMM6EH7LirSd//t/
LOtflhI2/xWsXpt/x3/FqGv9V/JfSroW/8rzXVuatpD/G/av7bnuf2P/OsoVpu14fCt4SKRQnvnf
2b+d1w9yMD7LqWlfTEAYTeh7l8GLykPMxvdcFvM11V5yF7l6OsQPCN9xypAHydCTi6yhncgXgDaa
7ARmU6UPxKE+GC1zjMlBSYlm0tjUwswuldffxo79kN9xcBXBiLTyIbGI+fPipLsMpOfg98Qq7vlM
oub5PrWrHO8SccoA6plSdT08lxCQLzOGQ62d3YLW5EFRuRWZ11x0eszZnFp0T+SjGkWQSzLDbbxt
Sff9z3dms4fnIJ5Yitnsw916QI9C1guzy6OqJlYcqmQwvTQ2e8+C/R9EmK0/of9o49m4sr24ijnK
SNyCgSIM94smutwbpJdtwB53P9UEGBmpzhojleTHyl+S/WJnGEC5mPYMjgg3UvVwN0aVw0zXcg6Z
3Tk7GBZosPiKhFhRksWZKEWKyFq3S42z8rTBl82Hrk37oE0H53FcSEC2GE4sqTk895XoT8IfiNBE
05ilYQGNalev5hDcvsYmd4zxXsyCSVFiLyTFjUV+ngY/I+46/yVcZIujQ8UROuTgpvFT5s/LQPYY
QJmFH9Wl7ct0q9P6Xi9l9kHQ8KMASThUcXEzQsJqCmrxLdlMRH6kwA2iKlBWe4Tb3z0ywvJptiTZ
YLbp3zlJ+2YQWcrQtgxPsvXVjZ/Yrzhp7/vMs5k1i+VIUb+xS+Hfu/4sUJmtmsxaEwExR8mtM6z4
xjpBbGUGnz2yIcCMiV1dR9s7F07u7gWsgX8eFGjS9VvbDfkuR3LI5+WjEfGjBUYzaLZ4dlib9+Py
YiXF1l1CHVhV6ezQHk7XmkUAMlFz2LsMoU7GVLwaIuVG9Bl+dGBiL//8ksdm0ODgPYVJe8hChhw6
RHdm9lZ9MrrV81cZN4IxjZPJVJT0h+g8FmVzF40sJBZdvvA9qG3lNM2lZ9WwZMNMoqrm1oXPsMPm
ofb4/ViEwaoz8xHnuzS6nzRkgBXt6nixHx3WLIz+jWtmZqiNRffhrgMfWeIcnjSC9by+mzJEP1k0
kqKyCjvm6VMyH7u6ipoBpI48+viUqx+j9NLDP69+aTOl6wddXAyEzBu/m7eKze5D1vUzFYhNI+Su
++V6a899upfpMP37D0XUrnsh/WyrBin09mwquzsr0XfnBPkZwR90JYOXMWaAOHcXe3Bj1r8bMwNo
rpDeznKLo47rGuek314iubSXCs/izHtsA3FJhm0RTQvzp2lwkGmRzicimgdp4pIuycjyiBWvwr4l
NIcqjA8yxytwrvmJSisPH52iffPyFfDGzOGlhb9JbBF2o5Cp5VRZJcWrTzA0CqENk/ESAMmQILKc
iaqL2sm+6Xz88CwifMh+xQhmL+nOB+5wNYr2W43ZfDAAhrOIC6M3Fq3xpshbazswRT4XU4fFZXam
nasUaR8AZF7PUR1/OE2VX30JONyDoWSWibNrFNDhEhLnGb5Z/VyU4i6aoT8jEyMmx//TVoBNM+TS
SRn9pN0MT0rNRxWyX8Hsvyv9YtyMwEVZYuONYuwTBzyfqKU7uIsNvky8NH2D9xiFGDiPt7xJXvIh
+wZTn+0bl097liy22Nwt/N6iKYNuwiohS0dux7Zf2F4yxLWhLjedu0aSevCPOnM6JY4LWKMpyJQU
uI6RUZrHvBv/+Dj657Qov/AZ8Uk3PUMAPasTYNoZSzp5Cbmj2928KiNnWLIOrj44OHI6MPH5Y6Ip
ICy7QOjdMmTR7B4n5TFqqgx8bEP2VScIAMmx+IwNDIxprIuDU7on+JnyoZj0HZP3M9jrOy89N2Yj
tuZI4VXPLqPFzDQCp4FTGk3FIc6wTeY0Hmjb3HCTFTZ2L9Nn26ADR9qoXuC6464nTbbg1JvHkQ4v
JvDCJHjNooYOkldQAR7hxEEJ0amM/yoJcz1Kea8WvPh2qKs9j+dmGkF9N1VEDseRbHpeQ6iZQKv4
xWPEuubypW34jKkCpaJi48Cjz/Se7iqcqlfilt8JE2J6zBAIDfLW9XkkGaEycmm7E/IJh3F/9LCA
E4EVs3EUzKPeA6ZbgH+Bt3Zu2/kF2CSIhqL6x3D7ZMXdB9RnIu8yGO22bwR5WBwsoMO+hdlHPxmE
IxFc/ZwXy5O03Sd/AoNNODY9XPHagFQfG6UPFoQkp86/vHkIj+ARPPMyJyXjjBh0to21qgm58M36
N0O2U75gxswjLO9NxEIIGOleNuRVONCato1NhAUWFyAH7h+DUR2vHJHiAHWKEXtqNTdYz6xuK3pJ
/PcQHUuLqTW69v4A9Wozkyi2WQTu5jL3EU/T4I1p+xtMH0DrqPwUovXXmSvqx0yITR+DJsFemeD7
61IMRJO39QpvD9LjxgfwlbZzt7PH6anrs/AyJf3zVPFgWI4dH4B389jIeKKs5ylV2NQrY8IqyR3a
GCGZ4hOfLUHdDBIbnwUTqc9ZvYIbpo7QNpeFTtsgH2xYqLWON1wzH9BgFjsnmJHOaZDEvNDVrQgJ
5+Tl5MimLjtEPGYo3bPOPgJi/CzdHmJ1OP5lCsJmufXx7VZEUtOWrcE73aWY5n7nYaoK6rMavYVV
Tf4t8pSBfgJIdki3giXiztGIsDoQDFpVl64moUshjeP7WmHx9GrIRdgcJqty0X7jFKHfb6NzFFeP
hsIiNHoH+4+JQY/7ZqGpC7PfanT4O8bZiWx4DLl5IZhQ7YTcUyAmvPsGtRfai++pHl+Fhh3JJ+nd
Ox5TSVPHp2GcGSabmJHCbmkPhcNAe11FMgv9MputQN4bRK7v77zGIu1mRgNazwcRYlRsdLSSzdjD
F7Z7YvlhookskdjChTmBuz/lUCsBFZRr7BEeQbdnOtaFV6kGFGTl8jlb/cucVq/I7iTXADJy1fGx
I1MMqGJWXCMeM4WZzsinc54MWQAd+NsP1wjbZHhh74IkxeZAE80XUHIHFnHEOKLZ4mbXBEe5aaCK
1aZu6A84bVzrAFuGsf1sWOGVBvGnQBU62EjMnRH4G5tplSWwcPevc/sAmTG/cjLsmpEcQXueogOE
md1k2ebFgZ2kqu7J8Rt5V7XV6+IOP43VOduWhMvBYtqOzZrVUYSjitv4wLLgr1MSB+aYpQ/FWKAI
A+fk92BBsuwgsXo9mtgRemN4nwB9oRF/Gav8fbQK7HU1aXIZBkU0/1RsXQrjHZo2h/Ij7SlT3Yjf
CfqaQZzzaq46s0amGkbOjsBsQdvDOtfnJ4s+r+CtSl0Qrj0GjgF1ZtiWzdZtc4KleaXV88Akc9Vw
FQdUGFtIzsQgSvmoi/UzQyk3jDyq5iKhTfbLw+i2zOumD8+ICWLiM8BnwquMORRfqJO8CCu+s8km
jFfZaz0QYefJSyfqj1kapDw4HOqNnM0drL8IODsUjPqiu+HqjmvA3Zy+sabbFCrqAwNjyQbVEaMw
K7yLaqC1Q9mNwLIRQPhK35Io/Zw5mhyD0Mh+xJ4k5bBXcdecupzApqzJA/9JeAiBI/J9kpH8LN1M
lEn1L6wbj3CRa4zq7SguFSLWjZu9kewYbY3RvY2EbJLu+OOzK9yqPP6calYlfc9MVWl4J+WE1Nxq
k98j7QofF4T0frHePGm0l5ZR3VypX0tRfPZcItuWH0igjP6YVpht0DHaxyQrAlGW9l2Wk2DbYKGR
rR63svHNHUGe4PyK5iPmukAt/DX0QK92ItHnsOpORP7yVTeMOVyAagQv1vIBJpV4idIwIJEMfWW0
aqf87VxRyzWjuuS0U7A6SRjH/LOFPf/1D7hahyazuLSnUhjO7uw9+MYjhSAP6KzeGpG9Jzz5Mxcq
J+2Id38t9ccCGiWqmiBlliP8bCUngDcZ8E9KhrZZXT6rSQY0xtZhgfm6zHGQlm0MmQqlcWs/W3b2
rE+OlbxGdKCLn79Rym6XJk/3mYlzfeXbWFBbpbNcreJaLd0lczGzj7P4IeIDV1X9i2Vw9GCU7Wcc
GugZ/JIpzci9VWn+eAYTu0vKEmaxiL0rHT+EGC0Oohom+A3J59Aky4VzIRzq5ZByUSRcj7m17Hvx
Zk7uE+Q4WiCbss7Iyb+mhNxCp34DmNMEo2Gd8WppmTynblfcaQExCrxC2Bj32kJrSch2s02yqb04
NmN1LI8N6/kjc3guBsPtMImgfcUeTlDycGom3uyquZ9rDN0s4x7KWI/POjc/nbZGte6uNIs5Z9q7
5oUqgB9L/bcSNm09Cl3Fz1BTxGysCW97m3DUK7LqTbPFkDaMN9gY1J8ZgRtxLQ5UbuE2BV3CJfJR
mz2zbAQiLnRJX03zti9Q/655wPaEaXmu1U/msazsDaae6DpfTVd+DNp6rtoMJknLl8zeQbcj8XCs
F4v0HAljJIjLRrXJriHr6p17xwyPdsdDr1XgGhAE5Loo4xAo/xOl8C6bY57gqXGWCFUlpz2Lb+5N
rAtmTEkJVYPydzCpewze3RJYkVlb4d42+tOQrJEVeX+Km3JfNEBnyipHRbj4r4k1vtjapxZDXpUp
IjuicL0d2orYJWoQ5VK7z+34M+C0AA/kYVfTD7oSX6mVg+zuqmPTmc+x5zzzcz3BRUgC2ONR0DWL
uXd5OVtbffuF+HBM92u2DVqSPnqY+hCj64IirSgPg0TLWbUeTvXRfbZCdN55kj4IyYs4OPJ1Hl7T
wTwJm9a9w9IRZsNv0xEPdcRcdjT07zipIIZaD2bYOpg7tkJTChRI4eIw/GIjAHkIg9tONtze5kzc
fRu904MdTTN6HYgXxyfc/55hcmIgOOVeaB76Ub62JfSppYNdleV79DrRvuqQgtYk/kT4uYKxML8g
nqirNC7Yq/NgYEK1sxwwZjyPiUFiwTA9WAl3WGw7z2XSfEdFQT0FfaTqy19OIW4LSq/F+4gsuDE6
Gv6kPQJCDqPFa29Y1sixhpLKsMr8LZOfGk0VCOvnWBskaffxmxXj0KbasoJofomM2Ns0pTiyVQCT
NiwfqR2/J6bDvp0FudtVzV1u5Ec9zj9W7T6kvf0sZfRimNN+BKc0E7sC9njTruxMC8rFlm0tGz/M
JJb/KiyMuxHghEDFPMOG4G1rfefeKh9HFT1U/ewex2op73QdXcooSi/m+DUJai1AiUaGxwqWCBzc
tVQC7hDGDBY8mFYpgJq8Ka8VBQyPHmM5/GvMoqMaU1yGlqTpAseh+HAhPeGj4zyRYWVsUB8E1pHt
DvHFeEEz1NXaNZ9xt9LWS7xbjktCr4lToUHCyebsyzbkec7mp3x2diwGD2VcPo20/XuWDHmQJCxM
1vtamt2P0XXVnlXY3hSV2LlTwnhxjgrSCmIiL137lnGhFoQPLazLtBRDUD7Yc+3eVYZ+z3m1trit
VQDZCb4Snz67L2JAqxHBu8bkRd/CTKHY5ggQB3uHxns3k7/Ojwk8OHMhlc8QsZN2BlhZPtZMOWMx
EffuJ98RstZQNaAsVf1aQttwwc5si85+yllTTn5V7lEoiSPYuH3oY9BeASXU2DcxUtGYQnRbnVWk
J0LwTlaHvHgs39OYB5gJDQKNnDUhSdxRGzD9eDQL+bC+GpLlGR4Rb28Y/QcV5NHP2Il6zsEewV7K
sT5Ka/5tLvWxXYic7Go6qtiP3xHudht6tpvkISPe0SOxPV0uSsXvvRiKywBwwWoR7KA7upRqTshT
Q8EwKjLJ9A4UNAKCvjnye2tGG8zLVgmj+arxApDEKn6Mwvg0euAMIznWAEX+suMIOmTx4CButYzv
nbQFJrYwo7GMjP93Dm/e+1UgOTQsD7Bg81WZUXxEU81Lhk82ml5qbcUg4MCr1GXxzVaf3C/5YeK9
OSryj8wS56G4pnbOqx77b1ioPpbRwQvSgt9vM97MEDhN4OYMVbOrJBHtbnDqL1l1rwknC7rpi/ZG
0HgL5/ViMVzOZ3wM7lDfOmD4VDxp85RSLMlw2iDxYia3pGRs2iuCt6LaXU/lMuJP4PvYSdvUOBRE
OaGPfklgmiB3pZKr+B2HlDhM25i+zFwTppvafwycLBsIoh9WaiCEpEHdVLl7V2ZK3tUTIdwWCKRt
01do3vOtRC8w1s+DCxBrhYf7pBKY2qEBqWIUPw7GVPx7EzckNjyBFIrH/IRA7aPz7dfZpNmUwvlg
cvxemtOfSvE0lzhwZMzEeuE5TacCsd7r0oUYOPMIAPjAj7GI6qcqRyOVuc0t5p4P/YGhXPOkSqO8
r71vlUSHcgjBPSN6KSmJ2VSVm5lx3tYAp0EvBR7XqyGtmpmRcSXTZEETffPYiO4XFT7DU7Dd6qH3
/TeEZHJTlWqLRPkyILE8Uu2gIkLgEK6/tAjkLFWmu6hqANFYnOQWco7KnNesePCHJqDDDdL6U09d
xKhyCno9qj3QxQP+dlBXU4FZTMRvLHHHU94TN5pwsEoFBsmr06dk5OazUdmgTMZZnnV/S9MKQi99
VIXGGjHV5zliLoUo7gP/CuI+iX0WenyfojrCO00gjGuTcwUB0tVSHw3TYtg9p1g1kherzOKDoP1D
T0fmzGJw7oKO2PlNQf82PzHDJ33PsThcc6gjY9zX5GJDP6+n8zweGI1dHHQPVYVLzFfPpqR8cWif
2u7H6XtmCBF/RAcSA/YwLEXucNLKt44Q1IJWLPcKfADFMdLPIq9gUY1Yp1rxIbz2eZSEhUOGmkcO
50mZsPXGu7KoX6XHw9Y5D0jQL2bRH2BOfHbVYhBLUG9L+uSNISXFI2LNeUzp9lbnIp73t7jVv4wp
LAC22wc/Di9xk99bXa4uTRdn1z5knqprDz6NkQeWth4BkO2HvEPJ1cx7Gt0xsKsP1/IMolVPKP/2
knsNiiOEvWSIv1XTLofeVxWYZHrWbpoDltfFHh8dLlG/2DmKXsJqUhJSeDCYlvzSDUJLTIJKIb+p
fBIca+s3OvhrKoldUtn0ANdEBMWqjsBAeGhQj6O4BUToqup3DNLyECcRCJK/Ms9j2NX4VpyIkbDT
x+PZ0N5zuDTfQs/F2aZh3Kg6ImTZcA64Fu614R1lbiNSA2md1ydzwtiYS5SCHkex1y132mK8DWaS
tr5SwRL3d4ndkRcTM0PDVzYyuqWHC2zdwun1XprMDlDucu50028bSTDmRTQUQKSq8Qzk7mGBJE+h
M9w84oMMFOTkSao+jWDE9QCUpnjtDEhIj4kkCuoItHm+QLKf+QFadXsbcIJb7XTK7aM0HJedkPNO
nJ3YVt1K/HDlAdkpZn9NdjnSTRjLuj4tXXqys/GJwsw+maZ4rNr4D4UWblJOOi/00Wb4cGEWC5iA
yG9T65rHcRLfVko+kgCLRQzDFDQpfihHF96xHOrdUDHKyce0CUC7Ohu6uehoub+E70BEGZaTYslx
1l35R49M/WeaB67kCjkLAs67sqX4MvvqL7u+k+dCWK/pQFDWOQnK5pdZRM6dxu5pyB6mQYHUSVEr
FSVUGdw5+5p45pOmvT1VPofPWKd/fb5nEK/txayK+eAQSdDncLS9GIr18pjgbHWNIBmiP7Y5trsy
w8011ENzMVxn4DgqfyO+Rt2YablVbPXw4+mQI0Z9d+PgBGT2ZZtGOe8WD90uq5xri3OOanHGoaO6
WznPbwQhfFpkTpu9Xo0sBNmn+qurRLjFj2/viqF86fruZ7ZXhjngmANfs5skuVgDNsddCzP6IZXy
gZgDtdFDnO1h8R4U7/5dnNfvBU/JBm0uX45Zronq/tSSsr2NQ0ZANZDHQLf8zo5RfORdGeFIg4UC
xag+JRGrThNHPIrvbDyJbpOwxULqMC/bLOakY3kh+wUBzBodZjujdxLNCH8kegR+yP8hd68Z6PdT
F+bDRtqF3hmRXZ2iyz//dKrFGpTUHYe+SS99+eCQFbaxcn8M2DgcbCz0QeQjI9H++xBWmm1c+wlK
dp+wt92JLH9J4omqGE5RW/sDjc8II38kpa6slr0YIqotBfjHbNnBurUdeNh9No1Eodeyhd1ZsBkC
xD1vum5+ZQPbAtbX1umfX5z80ClimvK2eKmS6tyExnvPkn0PAOPg9N09kOz+EIc1YwwXulLqUDrE
Ubsn9eY1hV7MjhgBxqFx2gfyQsSB/ulW+eWWRLY9Y2hypzGKbuCqtEc/6fZsedmTe4wJxzVbdJHN
O2mDgqytJD5F5hl4LMc/TNu4+SwaH3znHP+JKxPugvneK+jcxIA9a6cLd/NEdii1GM1cGb8Oayo5
zFiE/hhNJA10bcFGtgc7IC2CTF/WX4K0wQN+8B1NwAvrQ0a9VvrkM86cGSGQcyXSnedVWxLb2dER
lLSvbLGD+IFla0qTfQr1S6NQrlpmR5rVzEFXLcuL1P5rpXovJlHf1rjVwCzyE9Rx2LIWId4CvzFx
oHxDmkvANC60IO/9KpyZounVE+sgK/a+q5WvVRX5L8CaLGai+sPLJELSQdLrI6AezemaqDR+rCaX
DHCEUJBGci97W6Ip36iWsahDbS519tHKjP6ddHEOjA6U5oIYeLJp0KLwhfVJd5pbWLCt/YsINJ+m
AePl5BbEWLL0ZUVDzCMJFlu/prgf/b/EJtf7OETTj6Qu3xpdLtHvonKujQF4Y2XsiJPhgxnN+ShF
/dXPZnJwlXihya53vl1c3Nb+CQvfOWLF3jiaCWw10w9iI99oaWAEIzrGtb9sdybsyhuDOGRSLjKc
2cMCnj59TwjjvUcjm6J0z+ZTXj6H2nguh/7oeLOJKpu7rXaPS9gDYvGEd8yL2gr4Ef+JgFhdHD0O
h6Tu9qaLdWceIXmz6IRbTx7hMl07E1/OBFViZyvvaeCpWgznpymt6zysTST+qCWj28xcdRdVxD6l
9bw3PJ0dWlwARTf+SlTPzLZyrx1Dgn6cxnOfi/tuZIzlIJADWmZku6k2zhXLTQQO4ep6pRbUcQIY
Amfua2XJrZO96czN71i400QurYNnX+9hej4BAaqv0RAO7JuWa09NSwoMZ4g73Meu+ErC/M3xqk8x
KBvzdvyu5lO9jP7RzBGKxhR+xJscip6xTL6OCFr9lTn4boiwiuDJ1MUxIVtqM6Jsm5yYh+spJ9T3
fqjPiarCc2bgM+0RgSAAI/sLNsPGRMS9SYXDkMlKXsaGijxUaGVcxRNElBpIX+e5jcpj3ja40IU6
TqnlbJUg6daU0cEu8YOMQ/yqGDQ/FAOVQuXnLkv/hkqx794xRSC47ViFW34BzLtlUqQtcou59P0p
O3sD8hgjJFVqUpQniUebCxTYBIuYANTtfkAcT4TY0lQskzzjHgzvln641qZ7VLoH0T1iFV40dNcY
tZDQ2R9DNfTNxluLnRT7KhujgoztdERhkDb9QTUZ7/CQb3lUIfgSGmGXHmuPwhkP4XcB9N2bWsaL
PReu5JUj5wz7WZM0HNvKerX8YQ/Pz9x5BAbtavZQO91JvIhZtqcy/VA4p23V3WVl0iL5ZE1NPCSj
mXrvc4pvO/bea1nEh/PWGD67i5S0766xpsMAoxLYPVpAuvRt67NHccOE91ro+0LyzMiGPqe1BcsH
JoJzje2JGEOkuLgITgWMzqCwCOx0G/thnZoTbeSxEfXxvdEztCP8fydhNtGjKAAYMBzxJf+0tneQ
Cj+aU6aCBQCT1hAhPUPbJ9kpuu/eoMCykTDlQ3zKh5quluMCzvyW6eKPCXAt8D2FCIF+2WhoA2jT
CeAz0OWANWjM31McnyhDfw22hBjNmKRJEfpWMvP2pgVIOo0WLpH6bLvqtxr69AwAexWhMtoQZgqx
mSQo0ArpHREc4jSliiHhpLnUYkwgdogbNHtICgUDJBqe0Hn6mzKfXk0qom1RjgiFezgoFdEcaiy4
n+o/JBhxLJOA4XlgNeaBobf5PAreeJcJ8sYtq29CXCAfx9H3YMZEAQ3bvGHIJMsUMxnmCxQmBG7t
x5KXp8zPSYwbTkSFj/ncPFSdE/O9FsEMlJv4MIY9AjPwppdtFJTrMChLGBKuv5R1p65VF2NwfCIk
Bo9Ta5yxkqA4FoO3c5v0SMBef22RedKgXmfTmxGUEZHUauKaKdiu07REe6DQ0HDYHxsmtuReGVmA
GTJYqmi4dDlAVx2lO+HWf+MmXE5RSEoBYZfk+mF+cwzWNtmiH10zEzs79Z5gLFbnZNEPhk+IdN91
ZDQxTeKa2s4WrlKlZ6Q66ItbIo/fsupWXVw8zlsGdElgOP1N1r0diM66IxuIRY+LxwiHA8q9ba37
/IS569tMEcdi1nDliNpXE52Xpj8M4WGcu6wnVnJUzpn1kFnyYBfo8yYuOC9jQNw1txDEQdBnAMl1
zWAu+z0Z06vd57BoMlZ5BiReJ+xTUl+pDhfAD4iT4IP/nTubBNBuvI/G8pwipt/pdR+cmPFydGSj
n+Z1xAxhnmH+EjbnRJvjsdVDMOf2KmA1f7PBKaHZ2/QjFvI8twP2lkQmjdlCn2r6nF8YVzrwTJeq
w3RT8mJjxySGRHhQ2dGl7NK2/uOAWi4TDnA/ZCOgkuVEW07aEqCHTUGYsVydtBW1OQ6lW8sWbalX
EWPCg0fc7bvfZc5jo9sTf/5iz2fHMrOeHudQcfMhfGQWh9k1HBNB74AhB/c3EwV/EC9TFuqjaPqj
ks7nANf2jJXLOP/zV44cWM4BfPjylMQShgxRU6fZ83MG9fqg2r+ACdyTbbAvmFTPclaz/jdNGmjb
zLw7L6k/nA5HXIuL6xBBVr8sllNfsokwS8K178GgsLrt6VMy6IGgbLDv2eIeFLYijkRp8njZ1ERy
+oOdK/s0AMrmvrCemAwAaxoj5NeLK59xij5wxCSnJSPqkVovSBd+aHHWsFWnIMcB4u9Nu5tuPmwa
o58O2N3ZJ5AfOvcoqkRY63dg9G1gVFaE0DKLj2bpFXu0fXun+huaCoh/Wp1lCpofhPl5Xu12Tp2I
D4rOOeB60sdoMu2PWM0Hb8JnQnybg0JMfecxy9ca1zeNT30XzqxDGoTcc/VcwAl4ztbtmFy/rweS
hYkxSao3Y2KC0BBmNuEDURXBqMmCe0kwogJL7KLfzjTUCjsP1dl7niSDWzUlx0mRoKj6BjOhCZcf
5gPWD3RqADO+DLt6GM3i2lUufJQwCyKMWWsQ6Y1WGky/mqJzWgwEyCPADaylaA5eq2d0AmFxi2VV
3JJ+KW62xygLsdMzfND/+EfWUoZIcHCblRPe0MFl9u/IdtvV4lTSAXaDUwXzkP2wjmbaNq/iLBPI
yPJv3J1Hj9xOv52/iuGVveALFoupFt50jpM1aUNogphjMX/6+3D0Gv9rLwzcrSFgMKPRSK1udvEX
znlOPbmnyKQekr4JBr8haoOm7oSeCIWIBXZ5kO5E+4SySQICTFvrfphE9ytpaeP6IVbQzTOYcSJ1
n4cyvM2quDrRHnQM7pGeDswGri5r5JUauxzfd49fFte7r5EkORjqr2GQtoe6xSLtak0LwOFCsDlW
Tbs11wPcJ+10E75+r9yT83bjcVpO9pjtkUgm18RvfxdpXz7h1HwnHMrbpUZdnCJoHo1Vn6PkOpSM
HtFdR4A6y/FspRoRELRHPY/Mkc2kOeWO+WBYPBy08c+yPgQd52htk7TTYkhugOPisJ0aiMysXx0w
QEc7bbLrGAoA18rFZIY2iDXaZjRI5vW8od8h431s07PTMtGVEUeTLFliwGReexx1vUr6rZvKtwwC
hoEFFE01iQ7IHzCuzSfih3TlvxDf/JIktLAl19NYYCanuDc3wXomGiRNx5MnbdzuXSV3Vd8CowDa
HY9vzILXVU2aBUASYh24FTCL8Qn3o/sWqUHpMtSnQtXIjvBshZnxOy2PaqQdMeqGoBpz1IdJjb+L
oftA8UimURRdGosUTVUXR2Tqw8nIlt7c6a6h13dXY/SbHYUhEVaa1ZNGNBhGBKTWnkdwb2g7Wwab
YWG9jjJK93KKFZwzHxZvvZ7Qwa5MP0GRM8ibguA3TyPhDfr0ajG0odc1EYm+G4F2t3WNENer+H9m
9GtRMENR92iOIwhWIpyJ3WQ6Gn2QvsnFPsFINAdjWXueA5FuzLGgsu94vbqaQtix011BSlWM2bPB
u+n2wbCxU3l2A8Z/w2jdBSHXg6dtMD4LTDXicIYhguQQcqTeJ2FwxWQ/boLJuiuJ6gtDtQFRioTJ
CVCqQUXpeo9kguzY9K2xTcnBDjVr6asddfeqSl989JqbhotLPYBBIRzAgOQZdc05bPpzZVuXn74S
5dzjyMpPmtFDMsgrrqSIIpTxmUSwgqXYn4or8kqYSsN08aJGoUdrWGtCG61BJ4gSopqoo4e6ZLFs
ovNl6LmJS/9aWv7viYnc2uhpnIvueQyTVwfzjfdLwcGBe9EWJ+1mH14fQ6tHbICzb9VlrbEqEiZX
C7MQv6JmNctEuiSfN6q+WxUwrGIy4DpjupZZ9sxSItzXKCeSrjcYcs0XperHLKHX6wKyb+qA9Cws
xBy1xg746y8bAi6cjZcyZJuetHiGusaQECVctWW1D7CBeT8FikueikEKPdEkB1I6Xvu673YlaY+r
AiS3ldjdWQ2GphxEMD23+7rbD6mjblGqcijVgns4IC2mX46PiHa4JMXIDTsfW1BzfPCcIDqWUj4T
uvfv38q7xFjN7eyj8iy9a6Km8awIePz5CriJd/35LIrVvz+zFRo7xMjMdCYG9k5VtnsnMWz8Y9C9
Osv3LimBKzeZHaIk77k+XWu+ySPsdZOMWIUvX/7zIa7bGzu2wpNKa3M1h1hBIxLAbmxfsyusKlID
O0defz70qN+9jJF26zL6IlLQuw/EnNw5nOluPINGL9U9dzfrMFuBsW7FLuLWw5EEEZtCH85O4rQb
+kL7mrQ9E8DkpRym5l5PIa1+lB9736xPKvoMAEHcIRvexmm0deLQh589Vm9Rlz5BLmlvqh+PiOHK
Y+8VN7E16FvXsg//dTfR/ru8+Z1/6/+vzES2/f8yE63LIiz/2/942Kz/53+2FC0/9NdSJMW/pEkW
uymEaXuS8+d/W4qEhdvIdS3lORI3j6f4zr8dRc6/JNNuXEPCkS6kGotv/dtRZAj5L9txXA9LkbSV
5Jv/FUsRj8Kz8AyV2YSV8vj1v/47IngPxZRtOfyyHHJF/y9PUTQkYxtZPhr4tqkwm9qaCjZgDZMv
BNKGtGFrnOMj4RgNAUc0mXEZU8WXE9b7bj3CoNpEvvWpDGgjwm3MU+LhF0aLV2ySpQ4QU4l43Nc2
SbfleHC7ELppOzlw2bx2o5Rxm+lu380T1n3bYy9ipg33E2wgHLMhd5jO5zQxB2zXcfDLyXyH2Wkz
b9JskfmlJqD85cOkmXSj3gIu1PWQE9nIMFq/5+2EUioLf4c540CGNt/WRB2BIbRmOMyPuJ4zrOgX
0BUYWXAowZYRnVLtvNL5w1raqolaidBCzg4DlMqAJ07+398PcdEsQ0/v0BdZuiI0Ef09onsvjgca
b4CPXYq+VIytzNjAzURVEj2io/7UJ8m4gcTfroxqgI5MP2Dv4Fbc2MuTo4BoVGRc/XyRxFV5+vks
atJbzYhuVxqiPIHYxvnhQd5lGNUfje6xbfr8MMM+JoqBwmTM38wcQCLGGXttI0iXqXtnhe6zKBei
VfgbrBuMRKvBiYqj11OeZlcBQEWmVbWSjhEQqhu+DDqYIf0TIR41D5MFWHDOxTZNrWOMdubO5Fgf
C6abY3vuqyncG05367ectUJStYOg8S7SG++K7o8SHKiOZ1ibPTL4uzpd7mgGC1VlojRrG5Wd4jbb
zgVtSul0Fq9o+zrl3v0ceinE7FVjejcq35vcFohHQeqMp3UPJ55RZUYCJ8/PIvd/80Co7ymFtzlC
973o7bu4s74DcFHr0NVcN4+HBtfLc+UOBPR2BPl6OkOhlFXbatRfMrXgwJWDs+/z8LWo0jsM5tx2
YzjNgcHwJajxBdghmrhp07v2tM7gm589o7yRlIsUQlG0bwJKMQNlF3iqRzeqSOVTtP0dQAJdtzVK
VbzbaWST6USgSNpgLMjD6atSKfOoYYZU5OrxJfPu/QnDL8O735VTNeuO1qrL1YKdlruM2GDIqXil
mMWb1WvTO58kQPkMXeo3dgeY9MPhOJTToecIIGS2wxeR5OVuQqicS8z/Tv0C0X9ca9dkYqbhvRrN
saGoJGiR+zpJ2CPhlKw3nCbPQEiemePO8zxuOoOhnYUbI0tdgCjEUtWDs3gjpmqLXmZOJya77Mtt
ROsRQux102EQ5EGEjXWhzUTr2vgUTJHzPLhaHoZWwpguwMelREMC418li0vY1TF7D3bgq6IGQFe4
zmPmtGga0SGXoXEw+6LepYyQ8G68k/F2n4S/hJnBeKaA1ZYDot6f9QrAUXCuHPMDTecXK4n51Qan
tY7Q0QRVH548BYZU4T/fk1X8Xnkx1SPU1WtoK4qXpMC+Q8FDvk1UAvVaGsbkWcXRLysNinMxoT0Y
XPvW75y1FaOS12K6Fj0y9MnmdVf+mEJxEqiuXQqpyFZ3EVlAYh4OQgJILYScNlnVvKC1y9fa9L19
VnIlmtGwTmBMsd1Cwlt2SKe9R4IN2cBk/O9q5xPReLOJIw1DuKz3WUIO9dD7hw6mq0+rv0f/nW2n
gAQY9kxbDvNo60fqqn1CNMEhHhV03w1YfshT9U7PU8/sHoExBzIzzdZ5hAiz5ZkhVCDDbJdL5Jc+
G7Kp9/dtLwgsYVXGreGUhbU4kJRzSYSHygM1wnli9e2Up8KzsotsWNZJU/8xx2WQ3ltE2LIGMMcq
3AgRd5tGy18661jEqvZA5sRRwnLaBognUtx0613FWmArYiKitG9650ybt2oO6VmSxN0hDhKF4x5U
nl9zmO8+oXwbolKobfvwiTU7KaMEA+6DEHpgRPhbH3XvaSs/QxQKMaMqTvMXu4T+McniUUlLYSdA
bWt4QO0sbj6ltre+1bdX/ALrjJe3rProVbjxVZk2G5Pc2w9ifHZNTVJh3B6HYCkMscrNBiDzMH8q
shnJIRoeArcJPg/xkJp+qw8xEAGMRPYL9xT6XbPZsXhd/FjO1pAIpnDYT2uTohJJRW2vrJjngqjJ
DFq5J4KQ8IL5IxPfXfk59/67DGtz7fd6oDxuj7jfHkF2kUpbPZgJ7e/CHCaubK3i4LGJsUGYlfz0
RqYamD2ntWvaMfsmTQu+CgSW26lMnfXYUSMjMnkPsvrFUwOHRf8dBGm1GUjpwr3H8LxnsbsObCYd
hL7Yu+UOmEs8sGTdbQbH2phh2x8Tn5S6OQcd38J9qdxb/mV/ayeFv0uMcFf7A5lgg0Fep4uqNaZd
gtodlfF0cAbvc5T95yCMZysVcqdxny0PZRjTZ7+w66PQVxeD8zbKK3K6veTInM6BGDZt4BQR8pQR
przIOWa/f/N676sHc3dg5RKs0+aOOFEX0TCIBbfqphN0janGB4lLc7FQFaAkuIFaWeZfg5MlSe9L
bPGZ13LaUkfByXJzIiYinGRJRXaZ1ET1wGMrlckalIkT/oVka0lsBcXI6MAiOohYwI+kZQBZz3G7
Pfch2RRUKDVUjnorQhpQU7UPxmIrTsiMXRMe+toDAKEUwmnGkZ+Mkr30yHiwzj96dkNISpq1yOHN
dN2l7wjeJjG2xiLlsEfETrxC+nYjZpp2Xy7IGpZNeVQfCKguEZNGt7IfEfkG/mrWZYuBZFDIoEHt
mLaBZ7KZiTJJeO8npbixKjTBUYEZtk0JEZc+6E5wfPhfnhKwN6s8KM2dcCsH7SazLWkQQF9lyAgE
L6evuW+AIkWU1/9JaFWatDd2k+XcTzqctoEB49gPuObr2N6bfUNAWOYTsbNcZcsZL3g6tgH+dcu+
JXAaZGxJeq8ZPlBplkf22J89jONdkM6PwWSY63Ik/rfkNhwn6Ft6jaVIEyOdkyfEkAuwVJUTYC0Y
quJpE4eSEciaNxuDkB0Bs93OC3z0bo58Sicqt9q6pZkfzg5wBiAbqMviytCbOMTe6/Z9vm5i9Z15
i5Uj7g5DUV4To3jiemdTkll7K5hfuywcdglz/pZ9hMQq6JJoM7VAM2fUdyvd8f/pJw+7sUeyQ67b
OxfB+UYSNQCeVJa4zfyXlOx5AnPCXVUTgqoRelXZg7JC0lF60utNqKBDXYpzUtrvwnHoy9P8kKsz
UyRcdhaLBCBivmKaxZt5K6V3RCd21NEp4hU7JNJKcCF8sPGKNH18HQC3CAb1CkWH6yubt2S5ESuH
33qTMZSjrsSk0g44EgFgrwMPPDfIJyzCiSYMWnobj17mnC4mAqaIgKyRjsEe6Q5i5E1iDNbWGDz0
i2UG1vSTHNKAg6K3N8xL8hM2h8p/MtDDBYWytmKs440gOMIhrtZe5APMR9D0dzvtxpoNjyRTkTqq
mF7HfFDb0hi+m4mmd2C9Qzyajq16kzjw4gJweieXlc4WV4OzCrDo5I0db9BK6BmyT2Eb1h7xedg0
Z7TAH/M47+aZDmmg7Fz7ReKTPMqwFkS/TaoECzpSAPqRXL2ixSiW9c0nV/LIo69h46YdkSDjndnP
Fd3SyK67s1Zj7/4OiN8JZdTuWnKgN+a0mxZaS9d3ry7qIZgk9rW28+6Ch2OPpgt5Wl2YFJnVEytS
rv2F6dWwi2M/MCY7vw3inee8u0N3bgmprX+JwUIaNeO9TaxuZw3+fU/oLwtphxBoIttjTObnOBkv
GKacQ1MLcIszNmiV6geN18sli/hKAPLn7Mv8tiy7j661KlZApvgVmFeGajgJ+tS9UQJpEWukameo
NN0GXoPWJQhIIfCcZu2RfHPSaXX02Z/h6QiCazZAX3Hrfuaiao+jG5a8O5JLRAYjwk3vGLfRqzOg
S+7dTCCGGVAIzZhioCobFNEZGNo8QYTUy3w/Ld772dWMwIv0s2eQFSTVL0Mk4wdSgFdkPM2uV9o9
lJUizSkxXiIBlwE11LHxD4GQ4tAWio5hhME+VkH8EOZtu+c9Tgfmr0csUTc2gsUNPYZ+UGn0xhac
WVpDVdPb2xreGnLbCik1cSdJGue3HuGk595QT3qJzMmb7iu0UJVj4yS8wf9mr13fSLUP4GDeQrWD
riY+Vdqoi2q8hZPfMe2pRbvnS+pS2JFgz5Z1mflt26hVYOoYjFwxHKNUOaAC6jd510/3U3Yz5E7y
OBQf3dzzEpUzCVIlm3FkTIgsEwBsKk9Pefxde2DUAhSaW2fhAAiLefQGSHVK41misFl+8+fDDyZg
GtDMsjaL7Yu5/+d7f39KL4iFMkq9Sz8jAsBqXRDv1DPa/vnNn2//8zM4NtTZNZ9wpxDm8vMnKlzY
CqIn9DY7q63//MN//+HGFfF5hNn/90/+/GWjsPj52HMU2oOelcb/+Yh/vvz7KGrBbCDw1N8/Yv78
uz/f/vfD9wkax/Mnt/880n8e+N+Hyd5hPI7JfPz7eH6+/fenXbgVnGKi2v38lf88Fz9funCDNrV2
lsxJiNqt8UYoEIkFs36RtfcaYC65sfn+umq5fQuLfZLpTNdIDIcRjuzKgnZwo9Jlh2dGOOGSZk2G
rfnk5bSqod1Pu9pwk0OM3REod3Q7Fu591zXZb8SJmTn/mgFW3UaKrChkfatSZ9V93pnvOkIYEoYI
PgaE5/c/HwI7xMgwKnw0lrqXfeBfhS2OP98zOtZCFBI1Z6FP66/sdgsANcenNiQPQ/XgAGOWWGGV
sgT6/VI9gjV+79PsY/Cj6kBchfMrKHCqkHAw/P1yKopD0nPXa0yj3Veh0Tz1adIdgumULzpW4Kr5
M+N/okVddgOwS/JNF9BEhUYizkXDKnyu5fwwZDcVp9N9N5DmqOrZWtYe8h7451FLKEo1SWDrNKaf
Vqq8pYw4263272TMjq63ya2IU20+OzXKgbb0oUjBT9kELmsuu7R/Gz0GDYB/xq7scvFM5BxSydmH
Ywl5HkbUi2v2+yJj7Vt56tY3TL1lqJcslklykOZ+LW2eEW/CB5lZA9BBHy39iG/qahrwHqMkuKsr
HaOHwj/Knv0Pho17jA00fLZtXD2SQEmRtf4Q07jC8Qi5VwrjOLvuK40VCcal+B2PYonTKYwTQBeS
KTz/j6nIHdLeWH+2TXOrKtfeqH70djzVai2qyVoKkAj/eJd+tkuNpOI34ALbwa6RfHtUOuaUNMc8
wC0xj0LcuyG3N7eyUZ17HuKhwLzp46T/hk2HetV6RyTtHCqBbBgcP7HILDNyYsfuC21XhxZeKOoO
EmFrnL4vPCuYegzrXdQgzXHmD8csjvpnGHN7CA6wM8L4s5pVvI8j5i1JQczKWFzSsixvc4Opt9Wi
3haVVT6iGQ2Y0mGAI3jwY8iNp6qN00OUJHSLHdUq3tB7PyD8EtwbYhh2szObh3PlM3Vk4Qyjsh6t
S2rYrykL3l1hxfbJHOKvlESKLQrCIMWPM9CK/FSAQAjxKJiE+3hd7SILtDpSBwb/xl8+zMprLjGv
RdNm8wZcAc/yInQQ2h23WowUFU6FrgIV+nrUwGanKXtNeNvhz0jns4Xl4/zzmUo8Rgng5bqasz61
+X8Tv/Gd4+s6mJ6MboTZRqgF+pOgXhQzT47pPNa2mVyFARwH3U/g4LwygyXkqaeh060Jc4JzA/3R
eN8qMdyPLjkfuh2fx5mrKjIM2vqOSj0SSXNpZUSm6YwBTGPUTiJx0zYRODzQGcFMlNl6ZkWscdjH
+QTMp3LCR+Hq5ghB0CXRbPrsrKQi/Y6Vl2xsyQ4Soyjy/+HSDPVdM2qGeT2IXGPWr3A8fJglCZMp
OykPuIXlHaE+ZHixHN8mNkZEtjf+lmte3g22x27NJztZlhFD2qG4mZ2JfhsOYHHTsxWSOUPaDvvO
tkF6hfY/IMsTcdLOsJwXC0LSKa68LMc4I/blBFpgNER/aA3x0hthsTImZBBV0KnHbIHjpnNJ9M5Y
BI+0okflRVABTKJpYAzNCERbtWssPV3L6KWLg/hsREUC1H50t4AYsA2HyXuHBW1n1MjD58l4HBIW
cT22PHaRwD5SSayGpZBO+Qxgz4Xn5yxb5wc1V8bJWD78fBYNrPlELTtCtz3jVJhfvR3RJmZ+uUf+
7F67nKhubg4V/JoeVHdkuHt0RWuTOSjXX0obKsUdaU+o+hnEq0lZpzF4Q1yAuSNSyTVI5adj49Ql
9XS684CIYhrFdo63KgUUthamS9gOeB6QlvbK5Dg46Nbi0ijGkdCFFLRDkv/K9PTHLz/g/4prpsuN
M87RFirMF93dcDMETrEJuj7ZJKOhLh077EuHUwMdwHwfVe58SpYPuXRdhk4BSicmuVbjejsZ99m5
S+zsPKkhPPH6rUDzWmdY7jHyBqDnbgXukU/MBj3UYn7IOjAaUn6AMx2uXI2QVLwc0QJiJYzb9hpz
vnNNXjvt+CcYsshHRPGGSeGgavfTb6ujESb5WhGKHsdIxjzC35FDlOiLFvdvRDTlkMS3jeSpSn8J
h9xQL+fNDBPNNAKOZH0t0ept27r/Bc2GPsXJn0yioVetx+DGdOp3YGCYN5h3etbn7HBhDT3L4YrJ
I/MpbLkT5JoaHafRL6r/Veeo+3iJ75LlKs5x5AUhWrw6ib9yH5gUXNJVoLpzRQvWi3ekXnNL4NsE
tgPBGbGlHm1FtJOVcxx8/J7W3OOxZEGiyUP08uYwd+UjGT+Fsv84Hj7J5Nknu40p8HiXpfPdyBx5
NjcSt+TBi3HcNxVCwkQRDUQuD66Q1+VfT/H6utBe1glQUAPbBXJ4OuT4pp3UnfYwhxopYx+vA2rL
fV5ztrG4hcIsPP+ElvFO0dEweeL27AbDtpltFO36THrsqyuB0tQ9a+mOO5PZupD4+2DBQbBeId2B
cABWKWScbEUVHtt5vHV6/egm9TttwmPYi/MMjYjxvyJUCjanZZF+KpP6aPmwVnrY/A7huuCd+6Uh
D1jlMOfP+uLec4utyWT5JvC6c7ncdUO7Ztbl2M/MFlnR13BSxYVpcHcJFMrHWLIZ9+zvofCIwc3w
yZqKdiVkYbGqx5pppaOeGL7pbZk/5gEx5Kmw/sR6OI2NweGMaXKGNBCPyTNCh3z95ApX3fYwareo
sAkTmR4mp7jKpKGP7vLV5DN9ql3/MiceIRXymmX3imX9mA7OWluwe70c8+Ewli/KjN2tHczdygvz
e/IhhsPgJwzsKpNTGV9ONJ8pq8kfmdBF8H4zQjle+rKeLl3tW1RO7+5CEOkw0aphbB4y7A7YIlg4
pE6yN9zitnXa48xfhVQF3TYkcpKwILDEPkEQuK9DyWmklxALKangYO1Fo/lZc4u2OH4uJaZqHu2q
6wilR1ZOBmlTwLi2mTCVuJxGg3B0bsqOnMenot93PJxTHY7bpnCekxmURR8xacBmcw/twRjHFzvJ
MawyXWdQY3/Urf040cgZ0TbMXfc40J5tHNGLdVphiyw9hpq8r0CXJEgNdRd8Lruobf6AxSvfB9xL
KpckSyaJ5K6x9F3Ro89FdRGlR/5gGzAk68232Q4fTagMW68a6FO9rDgG/H3IiliIxtQODM5OTeKr
lwTash6XXtOI7e0s8+IlcnKxtoToT/mP4Rse33GuItRvI1iFEX1wNuboSmCmE3M3hkeR1p9GGndY
NGF+6MD+Zq2nVqrAvG4x0nqYTfnHiLlLxSaDq8Xp3FfWubKARDEOZ+xATXluZQNdh+3Twa2rM7E3
gnxYK9z1Xj9cw5qmn6wVQANjM9xw7s5Xz7XddVySSFGlc7x3BgAdTnMFc8N1JETGqwyhYKhykli1
HmnShLnhluEPpE+ni3ibu+VZ5+KhnDKY8zyRb1kwfNmxDRcm9k5N2Ly5AxPVprOQqNsYW9o5ukB9
r3jbdyiieE1WTgwDOswsi+1VTayKQC/kkqnWkQX90vcrIeqjaytiDXP5bIPNPhUuyZB5hA9JzTsI
g85GoQvkJWGXrCeWpz7k3Y01oUz1PTgarW0hVO98riCpxBrxTXwbDg3YBAcZuu9FQLGXESenNqvI
FU52ogIS3nZ+fUdecb+qyKrc+7PsoO54yS43DLRYPHFs0MnU0hYJXLypcE7CzGTyvgnm5KuNyoeM
QMnbtJ4WJLvzx3ST363bksmsMfL3PJN1VT3Z/nQVEaZPR72iPL0QxMoIsEwYggXpTtaIw9w+2TVZ
8eDBpUZbjVugjONHLgqWZk5aXa1kyUCzQGzf4ka/SSMKE5ZV/tb3XfyueCdWsQRfBe0OEtSoroEo
voJZvimGEJEpXxloW5sgZrXbELW7a3FEc58iDqClKkmc0T9aSJ4uExf8ujZxDFLFw33uDHXMupaO
NitrHmpbn0wjPGJk7PZZUT2WffuQMFucR7845W32Gzdss7IhSJlWfx7N7g6mW7PrFPrE0qRLUFm2
zYB84e8X7gHYADL+PlLrrNIYGmIKbUys92UKfKW38AQHLTsVu/iaS3ZsLUKEZoijjesD/xq1cVeb
qbkG80LQlQ05qP4YvAhNlWA1KbQB6cfdsnaKIUPxmvmt/Rk5kDEgBK3MMj0lBmYzfOgLjEWT/EPJ
fxyBfG6tuIg3XaJAy+Tdo8RfwTgxJu1gjo2dn22qibtGbpXbfGK14Emkzt3kkISNKMhX8e9Qmghe
gWYhWCTg1eDECXm+/fJNRBgaU1QUQDsCOFNTRkhRnuyYJFJLReQC5gj7qQsZoS6ybp9gevzBzS+m
iyNBNuikFJ7JLcvb9GZoXIDhy2ecasbG1o6JB5mEPN6E/CYWca72LEBZuvzBnw8/37AydFAepM5N
ns3BeZgMUph68lDGBBiXmahHpDDdoQDJSgHLzoblu6mm306apFuL2XAb6RQeNyg+Y+o/pEFchqEJ
HszJTp9rG4LhEqUgN23DxFfI4EVN5z4dPQ794eDC4d/ALUU6NXygi4dYmJvOSpUM8jvbKTcmEJbA
MGCIRl2270csc25ENHuRc4cNAriJ8EwlKkFITfUnHcjMTSyitsLxwD2/ic6F6TzjOi1vE7Ade1pE
QmT7tanzd4NqEtza1KzbNCfYDYoXGroGc3HEMQJu/ZJWpnnj18A0oOuAkSA+qaF9MCbjVsajvU/i
zj50WjcPlTBRqEMsYElfrLUto1vsvqs8xxMwNPlrTvDeQ+vb12rGAWNq+TaEVOxDhWVeQ421A/lo
57x1VWLlGz09FWWodn5HCU30Xt2V+pazaccSnAzOQF3cRH0UpZXsoINxxDXlnXC/0npZ71TsqtlZ
n50A6TJqJgo6OVHaddE5qfLPnFUY7emdtjSIbx8qRoD/YiJUgQ3Lpo+LX0hRX0eTor2G8H5qpSIP
UZ5SiAd+Mvp34Zi/20hWKxcTedAyG0dKoRnyYyv2IV6V5WvEkirCWRNUClCc4b9ZySuavVsLR2Iu
mbAG+bx1XN6MZWo/Go+xdsERRcRxyd6ChVfqR2I0cMQH2a715XuakE7G7ZJyS4LNrad3VhBMZJxv
YlwetPAuVSW/cjYubAZGd1MTtzrAx8hdke7gn7EShdQB6+lXtBAi3T7e1aq8dwfMv7Y8xMP8TUYE
7mv4xNvkKyJm3E7MixfgjzbIuPNsi7sPESipoixgftIK8xmbdLmt0J8TrjUcUiN4yDL5nfCe24CR
+HRF6GwaoJ4TuEvfRVMeNdZdrl1i0WlcK4Io00T9JobkQ7ccsnVVADLOcBKRsoEAYky3CMNKBLfg
LlyCffYjsYyNb7H5HEWw5Q24DqcMNoXzRac4AlGt9BHs49EawmOGGneHuhGkAmNGBj2vMaCglWUt
zijXzvYZ/dVayHrT+n9qugU2LMwDANOQZdrhJcPFtHEtyiuzk7z7dKoO6YQrz8KaADU3f5ioYisH
CTv1X7fXOak88KDXKnBfqgmJUFgxMDQqT7BmFrdZzqh+SLxfoNj9Xc4BZJ1ic/DWeVcZz/GUvJVo
Qb8nXa6JxeE+lafTLVmUI6qDWt2KwfSPsSyYSnRmjIgmN8BKUmY4YWRdiHTEfUzXY5Tl/FW1yDb7
uXjxDchkELujbdSUknD1VF+UgIumJ697sj1Uc5qwn2HhENphgHzU9Y7Cg/8kIuI/US1UX/3Gm+z8
y5MZPCdcfDn0uFUhEomUt8VoYhc+e37nd175BKbberyySz07CGG/9Ng8IqsqXxaS1JZ3b3tpp8gh
o4PIVEwT62bsR6TTFKEhG143gmkG55Zn3MmSxxCnrp8ukxYkOK3t3/seK+phOPZo4b50H3zZs+s8
RdpgVNKE7lHafndXD7xYcBiqL7pO2xxfWEjca58SDwiXeJ6CmXGomdPHCDvcSkeDNpoizDR2hyO0
XLw+2D92kS8jzPIwCPIPYP7slThBb8bWKA7NxBbF6XNiVwU9fxd13S3bF3c7+tpDbTHiNifBmf6t
BhN1M8iqO/RzpHcG64N3v/Op19PkNdeA0ArJeNNYTJkNNAIjRguXhPkh9Nj1NSOx2AQ+oMnJeWxx
1Z3COtGnpo4PwkzvjXY6BFgO1kigf8NJOMbzDRXduVUOzIS225Q2QTpogoyt3TfXgoAR3IAO6v1G
H8Ymv2nQRQ5B7C/dJQmQsI8g+HAPc7CfiWAFoZnKNKvvLOZtQCvn/BJ6DRSNNOZ6ja2nNC3eptaL
z6LyUTRr+2Sk6CWBM+39XD+1Itknua0vpMxuy2mQKBLL/Ui2G3Ff1cGUEuFyiFgseCLn0YC626ur
r8EZmcr6LIXIV6y9n7oZKwQ5E+wjZWhcxkQv9emMDI8q8qJmQmu0rd7LRmeLMmpfIIW7rTUJtdo7
9qZz17vztwitE7aN32Rb9qJ+73obkA1yAswmRqYFgDdQ4PnEpEf10c4REf9rhTFJooDAkNlv9TLL
6ZikbrlbAsylvgQco4c11vLX/yDqPJpbR9Il+osQUQAKbkvvJZESxasNQhYeKHjz6+eg3+JtZqYn
um9LJFAmv8yTiKgevrKmd2Is+ByfelqTV0nOAUSbnJewyd3n//7DpfZ1U5dMz1uKaWUly5eJxuFJ
UrEUgaijxs1aTJTFYjMcIdTQWVJm6KCBtyahUV5s85UQg9hVVnyBMQicsQXaRQISDXz6TA09PFbj
AF0xs1PsG9Z7HdjGyZP4eLzo7ANWXTkxtaKBUekvOi2iMSo28RFOGQmOhb6W0wkuk1/ZaiMZQq6k
IoedNeHP2Pzz/LJa64wnl9eZs8qZXLu3ga5D9no2oeTt7QR2BbkMWGjanvTDm5hSDjkwr3grImtd
Rc74FALfORekV5m2O0d8hyudK+fKtangTMgbrT2D4H7f49Uo6DTY4B2oViZx9wLTQph7q3ay0d+w
a+RBre3msUtbuYuUA+k2HMDxu1tFyJ8uITq8+Ws4yDDQpdJJS2kXx3R+Rr8cbyM4JkodKw3eP2Dl
knpJfITeK7ztE+dpRvKgkhB2zBoACHd9aOhwuQrfYrUc1lbf37KiKwgjMbTW2nEFRK3aA5XduXr2
hgXsnVJPkKIxwdScIVp7D3r6gAKb+F3nkMZuJB1+shx3saEXcJM0ljY8KoBJdu3I8Js0iqD7d2QL
GPJ6g7b0FKbyte2zTVdj3qsCwWgvIKFptgfTrp+oj24OmdqSjcU94p1Kd+i2rx2mkGVVg4aQWD6S
+hWA6iNWrn9qqzpaFVNKh20XrPsZ0zPPCoqMKwbiO/cM3HJMj5ut0XKM85t+neiDvzJsc+J/rbwQ
pDvVmafU0Y7Z2PJBJ521h0a8i2wC08BYJm50I3IJytFBGhg0DNNa6amZAmDaBiwqi7QVdN7Yz31i
Eteoht0U4gBFO6VHszcO0JB/Q6p+YMuoft1zmMszp8U+aOcri+He+f//wxhqSnclEgo1nT5ZeX/a
BFTNPNk6iJEst4+2Pn3HjVbiTezVmszOAh71rclCYmuDclYMk4bM+StmG2CaY8UoFYHiShTFomhF
Q2Wvcxj9OEVyqPmrHIel7P/5aELLHkA2fgabVT/zj3gWFexsC0grbfUy4bOHdMpCwb82p0ZlRzsq
AZuJ4XwRXeMo+dFcvVp3M6nBpmNNxBkjQ0HRox5UT45F/tKPecTayN4Z8Zetp3tV58kVLgcd9G4I
eqhZAsE5Z2zozNh5D3zMqqT7gX8oYr5jUxprO6riXVfWWBRQVqvm6I+Utw4RhLg6924xktwm88Z6
weQ+s5HcRdGYR+Hf6VWlt3Uy+Eo7DnvldRYDaoT7cRLWxgKGt7RCyKycdpaDwG8y4eQN7faf9Onu
hkS1gtadr7FqBtikKcYVeYuU9IinySJFTuTX4xmtGfKfh97fR+gZwDSZprTNiGSFETCK7IQ0Lwar
XicQNpHncsHA+Ro92RHV0HsZOe5Jc5IvXGM/Igy9RYAYijG/euYYU66t1tEWrXs3ajwFGa73KMQ9
p+X5mZN7yVP4EnfuOfQyDoWJfyf1QCfwWN4dkedPUfibMOoMBezjsna8M3ral7Ii85bRQiZVzIhi
xt4MgTh5AUK1GWpAOZpfKJwj6Imqw5M8U/fMAmcavtmqyN6po7YWyvtnTUaKKSwnYeknV0uRq+Te
CuUm0UFMsQlpQ7WeQMyRmeKam3EhDQgKcX3JwLeVPnGEaNahsn0Zm2922D8SC/GkxJ5Djd+iGizt
QKxyATVT961b5jRvjJJ+0pBeNBPpB9MI3L+OZiu9Lpis1C+qo9+4ygA/ufpzGjTHMKTyvvckJXeR
ewgoJFkQ8DfgATNgSYYSyy3QfRMsXJR0JVMILlo9lnJlqLey8nH7OMawVKYneTuGJ/iO+E+CuWPc
c6m6Dsfd0HHD1WWxZFch0RWDtguwhg8pJX9SDXSSei51H/HGiStr7yWSmQafCDwKJi50F1LRRACj
khUpKYzrAXbwIbyyK5grleofHm5AQOB3K4/Eiv7dl94LIQRHlBWkyTUph4qAp4LiRPf6txrVsRZ+
vhu4uGJvpxQPpHtg2RerYj/A6MnQy/ZwlETNFtX9k50KJ6Nd/g0GfVPV4MTLJOOhDaIrxzmypuON
a+7dicx16pZUhpkgHGROCNRGRjBjcLKhu+zcLNvWumcu3iQWSRwSvxyE15P1QhYB9xNK/5JBC5FR
Tk1hOh0i+kIQXepdFmF6kjNRmAEmMFgXUxXD7Dug1DvVUN3VJJTczhrU8MdzKjaxwUwUI45kAm1x
syrEorObuztZwzoU8wJAbJXLen0J9OxLH9BAh4HVMjPLI/zacZcZ/ESGGb2UlfzTGcBTZQobP0/Z
FAyDXj3OU1FYYqov84fsXVYNKsbgWIJFyfEWLKwR520KOQrGID3Dlb3JgHcscMLZVRMsw0hBxvcn
B+XMfNYkkkJeSs753U/HkrIgZjQjmkkfACq6BHYEb9h1blZeBwAjNJO51rSpooH93S2ImZc4Npyc
FOaIad9V/bNmK7a2KL/HMp/NK8k6VlOwjJxpHxFd29axd+bggoU7x7ESXDUaP7D45jXHgQSvZJpB
ma7d91oaz8VMYNO1OFpWxapzfUY1RfaMdhWvId5ACYjXlRHryxK3G2hyDK1OTvI3HLHBswXAGInm
orUo5HHe+cksvUX8iUFo3yGCNeuwDGxKLGkdisBjLcj3cd1s7Cd/MC4ixuDoEkFdWB6lfoMDWCEg
lx/4K1dVZzL5hywAu4BxmC0U3XhhusEH+BY82VV5oIxybXfA03T6kBaFq9Jtkl7qkjU2N7ifcyPc
W5r4VyTeN016Ay3G+qaqq103v5i+J3D7ltm7A0BrFVlinbfGiv7bR6k73WaI+137alC/uYiN+FCO
4+O/3y6yZIdZNsFB76QPldfniX0W2DMSFdlTF00zn/gdQZGR6J7sjYb6t+4Kc6Nr43duQ10S1aFA
ezp5/V5621y7mZXPr1azGnpRc3CsloSA6xU7lwnhsoqjc8lZ7QwSnbq26Vz1GiYlyJhN3jMOnsP3
KE7XoEqurJZ80QBtlllDcwa5A63Ec2bMhRE1uSRoaA4zmmz69iUwBQbDH1wwGg5Ow4silr4pfd1b
PBPvRqfS8lMzFffBbPdRxxuDUX7HbYjA+8y5B/pyxQDwKXCfTUz56lGe+wZPkrK6owf52gCEXvjk
2GI74sJjACiiDXpAEFgIEhsQOTjzgwBAGmCWroA+R29GGq+mqXsMnpcdB/5VVW084WYmA6DpDnMM
YzfAyPV01MRSTs8jo7S1pGcnJwRqUqGAq0xS/DcZ5oP/G9Ti5NubSFR7rpjfwMNR9jcuFs+1l0H2
rXGhLE0b8CQjk3Vk4wTTontHkdEmAFK2MIgJLZQOxSLLgAF8RwQIMOjKBVP8U0q0s4cYtUrYknFj
aOCMlmnkl3w5TBwmKJkqq26jtjfHVkJtG27SqPtNMLAac1aQ8XSri4GTPwr4FJraLsjMHwnUlqAP
BvI8PMUFeqhBT45Z53IVhvIp85o72b/npsIdphdtveo0WE9A3IhPJ1fXoVtowC4mc/VEv9Glp82y
zOkJK+t2Q3f0oaUQYCkACpEpfE25lmA/e3UT/9dSit4az9hUndpOZkmBRoPxI92UklivTiEDEqZ+
tDLkooHB5NITM5YtKY4Vl+pdlYon4AiAwxQhC8/95iq67CfjMih3zRntPsXjvZubzEYPm7tGus4O
j1LlLA6Q0KiMiI+kv/RNi04Kcy5Hc2SVp4qPAmZC4dR47WuLlQJgwy+udXvb2AvWte8wdDf1gHm+
omMGrA6kfNyJ5JMu/TNjkYbCsx6TkW6tJZNivXfvPq7mtmswA/FC7WU2XZIiuQovwa+uMxrIiJFt
1M72wp+AB53rDSxDT9xMCZHBLpESg5rMfO7/+ga7jS5M3mnb2we8rfiJ4dI2DWMR5eA9c2XwiGwA
YZZZck/BVEjd9a5GZGMGDngYWwsLIXqd3QOIVecuMi5eqo079zdtDef/PgArM59C31kQMI+3nom1
IeiGvRPw/sC32+k5VR6sXcSm4fO48TMGfsz7HgVSZUi0peDvT9gjLF1mUOWNZ9hYGBFan6FlTVq0
Kk7OIwu6hyj74jA1io+2VCcMJxePIRboVtJtbINbUyq56ygW32Lyr0M+lskjAzJOEwPnLD84HA+2
SmWnMRsOes6RhKkzfT+th8vNZmXocy71dKDzKQJlEol8qVU8rPU0uWUxvcuEDLb57IxwLGLiXd9j
LMCwPjb5N5AYallZV6FwvMveSZdtj4HcbLIL7oeamsrkX5f0n70svD1Q+bVIvc8i7V/YbKmxnWUj
nScENeEdEg1ilG3+E6a8xbJqFxHKva8/+sZhTaiAtAhtWk5OYy6szDsAzx4In3GjMBpc+2PMpwfV
RedpgaKTTPUVscbfJGp6ZO2Y75KIbdNln2XySVt2I76hZ3Anrds/DiTfXOrQwYZDXPTZUzBsUa3X
iQMIIiTAu25SLdm1cUBwtBmb3dTrjBrUYLKouMGTxGlUxhgpS+583BhPgfaXa62HlxO3peZk8hgb
HN2UY+6nLI/Xk3IT8j8D8w63PfatsdUnmrvD0j1IXhP0CohoEDXtSrxNOEZIbGhUWk/eroyH3Zhb
uGAd79vyVLWwzfFvjCHl59VHGvVElY3uXIiYFR7lbalFxP05UBsAxDzE2wUoe3/fDZ+NJ+NVHWkU
IFgkpawax7Q53CIZ8Xe3PMP+MQM2DwUOqcaJ+9swEZXFNMqICVcMDGJHBW/WSNg44KAdlP8KnfXR
KklWukO+HzPx3OvF69DKbcAphwFje2s7sTRSQGi13j7Yebl828vUy56I5V9tGXzVNRVUEaYEqe1K
PTphEv102PzrjF9C09K32BkfTZnUy3j4dtqlAT8w7HnVyfr8ZpwJUQifYFnYS2IxWxW2x8EqD4wN
X3Am7rqiAALPJ+HWfLjItlJ2DG/PlBQGFt+m1+UcnbZJRlGR08b/VCXeCXNeG67Q3Io30gt+Wh7C
IJp3Z8QZeMWK31cq/9Wx2DzBGG4o+Rkn+xtM0SMpwXIYxc7mHQVVXh9riiVnIORLOHjfLg5/zMwY
ZeyAYOYU/cTx+DxpbFegpoUYKPEwaVQMGek1CYUd07Lyi7ts09/JEesqhZEDXPjZiRlUOenGn3ve
rXw4wdDecqK7OoL2lJSYLFIJcGK7WMU6KYOGNPM4sb5xoSyJMAGpJtNldc8x9zXpA1LD77Tx8bm6
ZrYjW702tBppsc/3k2Nj3PLsPfQMMGnihJGCKrCMrwyFcV6E3eSrViM2GOeJWSNUWfDz7CxwuJAy
LC6stsdb5yv31/HVdVS0Flg56GyMNYWF+OA1H0xpTrKBEmbrt5YrbGKgMscJuBnZPCq/56g8ORct
tII1mLNPN4EUOxenMMgMV75Fftv26m+1qevgOmVH2xFnHC5LK90hVD5mzEemTYwNeFsbzsSkiwNm
KvXBpElsFqRWhalB1rBbBgaBWFs03CGZhG9DxmmmwqzpWwCFPkZXfPR3nwwei4Nc8awdLCv4Cfpi
nzBptGFPWK3nLeuC4IysP7DLEG7hyKdDZ+XmrFioK4xESlEVKk5UaT/HjJbKwLrjwL1BCthFjnCo
2yy3WJ42uWm/TTJ7SkuHawYREkvy54DsfnIm3EZGgETSGI+x4dAfimmdVR/ZyOvRobUDrWl+muFJ
Bc5vBw5gI3wO8VyS4Q5O71CY+uV8wKuM5G2wJfjH/BFaPO9hslYpdhibtTz32Oz6ttgHEc13qf8N
gPTgas1Rsx4DWenGyvY1IRE/X7oRDhKAnDhltG+RMSGsBaPMNEhXpa2empBNfczZtfyU4LB3nsCe
j43wDjxdetgc3aA7MrwltO0Tphko2Mzjuy6yV9IzYOPNm9PFT1OafTSZbyMJWis/db/ZD8so4DVh
n2HR+s1T90FNJ0abEkotkM8GZbVHLQu7/qTH2qfhWfnaL6Mvz0KZca2Os395kKjZSTS9Z1NcLWoI
3UuW9N2QeHdzgrUNVFG1PkkH33vJGup1jPy9jMC/4ABCHcv/Qqs+Mi3Dbcpsnrg2ThkWpF2taoo7
Kg5wnIZKiiTJ12BV9PqaizIj22MpxueZYkPO4l4aLLr9vOlTwH4PWRaoUkP18k89FNqlbNsbxoVD
mMCBrUR6bmrqfbK9C9EUZ53zxM34bALjXBYencmtfscg7C9Kkd/LYkO4Ht/ySE95Te9C6c2Y0V1S
QEGMI6pi4OCvkL3Z06f3ZqSUpVOPUmmLiHZqlLj+uQbk1zeEstJLboL1dwL/W+jdM92oHxU9fEub
b0grvbtrFTvZNg/wzjfTE5CY2S2q+BVyi72idO4tN+zfuP+hFvQyUPFgWsmPBEMJ9p1HxoNNGAz1
HP26c/NmPxnZ/VNklGQpOAUmnvhrpaDZJwSe4IXkDl3z3vaEYwbdJi7b+GeHB0lrSNRqQNOh3r2o
vjAxrGymymXPph/VtXuLqRwNTaWlkxRgobPBIGqm94K97mrViLJB0x8xF2CNKcz7RMqM5HKy4SH6
72vSVM59XPCFFSEGfZa1RTTYd0LTv5Zgc4DktWi97iUvik3fpBcjTv/CChXttXanvyTttEXZD7fm
DxedfgDYeTPrtzwZX/WZRudG1bPvfdojG7rIIsRul9S62jmCgUnbZRY+XOxqCMgQ3Ke1DR4KHWB+
iWQeXkZoQTxC6zRkHTZoTGIUDxFhz+CSRX3bzGpIQ0vNvkBkEfJZCQKEebupKoXab7rvhqkdioha
S50vv5uIdFJpTty5aW+xEehE/vL3JKy3NVE+/PywbxU/J6xKiaEUEGWw4DPPJQp2G21BJv9IYj94
aut2zVNAywiTc4RqalU28YY5XIZerZ01OYAZxhplQJ9N0gEFx0yudZgf0pKQRk8LWp3hb/E8840a
j43ZUuVVJlg7uHBmGlsNT2E4+V+ZPmDNM/h0Peadk3Pj8domYmBEEctLIc1bSpUz/nI0sTF9tZsQ
24cJvr6lALLeBm7Pct1lHyqLv3rbf6X2+l4CQFjKtzrkFSnS4TDljb/By8jcjZx3FnLU0SeP7kRH
ew2wH4XUVRgtr19bZhte1iWaB1CFCUzV6LB6MrpLxVvL8WpbOdG14hpMkbOcbYvM0PECGkpsHIMf
MY6jj6yntCROe6q0nKtlzM2WzlvkveVwpOGpGI8WwsY27vRD1GbPBn0AjSuKDS0TZ9+wGYvY8zi6
Zhuc/DUm3gvC/ksZRV+N9C8aP3vR8QU1HIByTm3LMMPv2Ci2hYqOqYZboz82R6ML5pMqRSb+LWeE
fo4tvmmty55GtAAf7bcZrG8laG8bYryuqLUm6eyFa5IDxLUEuV8l3m2ymViONvZYaiCfyN0xv2jw
TWsY7w1zX7OQBQEXDGIHi9QfT2E9/Fqadmpz7VuV8VNSm781sXe7TI6YganrcDjAUsG51LB1BDBh
wpjWNGl4b8xkCqDu8xXDr5szvyTd4AJUoArOy7hoXsyexVjEHabkiv0V5BimrvHZbJhex+Tg0Tf5
CjPRwLfSrh6nJTN2CkwE7UYIotDG0CGLgO1tOAisuBu+FZMuF0mvO5tcYuDJamsvnaJcpRFqdBbi
4/AoYIjhD/K7MG4c22gj9PCzpnBpb9jJDbru32j0VHoLqpDMiFsj/wgenkQ79Sr9scMPlJZZFBl+
8TVEzfgI9IGgh7gxDb/1eKhH1aaLuqzORkeDgM3c3U2SVQwbDy4DPjg6dXoYrzIfzsLMCZ/yNU4S
OqlW6lv8pIKLif/oUjpILAQcfSI4nTV7B27Aqm25prij+WtPSMK23exHBV+M7zWNxMnkjr1AHQWC
zbRK9MnFSQufTFvtbAlc7iR4d5yA1Z+MKBp01EeqBX9ohfMws0f1BN0tG1qFUt1+TFYx4NbZyETa
l17/w+uRo1viqEkSxVMvzB7XD3WmHT2NZUOgAzxpmiZvjo3HQ4CVRqChmopUD10e+kmPzLtyHIWF
vFlyVPFpayw+pmuO1xlzF+/emEIh8NP2YRYav1/Sr6BGkuCHcsC/Gt0vYY9CVauhsS+ifh65/5Kz
OJgVrALShCcZ4WYK8x3J2jfyvQtcsO7GBhoFjJNGDL501HtKakg7LpJ5wRKz7jlgO11QO+0xku3B
pcvcZkI9wCPYhsp7imyv3erz4sGQDRu78a03+YedMksdmw2B/rvVpGqb54XLb9D0C5A4oJaZvAXF
vA+5FwNQIrIsKGO87kwD9IVdWUvIwdUubsvnseyfW1SiLIRSl0rzKksDvayLcA/42d5MXgLrS7iA
vLWR8nqJpBvj8JRDLM/+yals7aU3o1+Lgp3S5ZYdzcmeRGkrymBaov9EdxzOnplhPCdN/RUlxLJG
3IfEg/ClOi6DFpO5VQ4SBR1+wW9lojsj8tVxA3Y89o/ATAgJEIawDRPoK/McOPYfqE3on3TUUQxo
8rW34ZtyhLuynOTXzZobtkkbpZDa0IxLIfePULGmerNhIoBCpxXxlxtYAC1oGSk4NdLH/qCjcsTr
4X2KCW4VyJ2Vp5vPhWY2R1jwjbBQ3uhJY6sgapbEJZtixbSVTlLQPFAR8L4RoTf0Ot/nXGZCH3d0
ItUWE8O5gYM4R47vkv5lEvOLJM3uzGTQEhrDyZlZt8jnMYxJzaHeDc/mLneKY89T9Gx0PiWL3ktA
3gkAkZiWssLbVUTZCz1uz6WEbx24HUNw08d0MWwg6d371Cp3zXBVzcTAgw8LQtEJNyf3EAKISz2k
mBpHB9qY/g+g/S5C7X+jVGOGHhCkj2rtSaEpBWAcGjD7LK1MZ2KNmUtVXvsEeDNnPocik5DveYQP
EJmnjIPOgp+DlEHPQEDqWB8SZvQGorW0vDtyNS+A7gSHmMqyVYDoG6nXyXd1FhGp1mPivRmldC+x
Q4KUPZquKL9bhWZ/K5BxSPAmTJnQhhLBh+RYGLAEkWDcDfFNUkCZtuoIz+HctpwqfL85WN2A1jxg
oWnYgEQXr6N6p3p6U6xrj3Zom+Z8iR7Svebgq0Q8cs1ZXkiJo/gNMDQkUMPFIN877UmT2lFNHCrh
BPN0xagVximy2ltngzdAKj6aqXVINJqdMg4DzpgkhDtFsCfOCOmW7CA7QnztAVKS2Om5CFT4Z132
nm2Mz7Uv21tlhXDRu7eSjAd46/49R2iMmGoujRzf24TaGnBkuiZOgiJc1ADr66vue/l6ZLdeTtyr
F/AeMFGTiF8IaGa9zf6R2zlZ1qA2V0kV/QFT3YX2OMBE9QEuDDVBqAr6lU00wYauolfZUw2djZKn
xDzMNV+V1/Us0o217kbmsXFCgNsfyYRj7SZ0wwZUlifHHahkKDjipRpTInjh8Or/6Zq3FiHhp6Sh
RQeaNjtQSwWA5TwPobmqmeGQjmkADeUgXShusNx4Hw/4iGvllRRUy+sUyAxZOdSY+jKB7wuQvJwj
ttyVzhmn2gKeyzJWtY+SEf1Gdi03up/8S7LujLwLh93DUYHgaWCgpIdaX5rE6XAwUr5IpGQDmDjz
hh89UNaua4dHruF85a1Z4f5wjzHs7UUUg/6Esr2pyiZZD8rG4xGutcThv1VOT1n50nYeRtM8M3bO
pEaMoJCZ6dFdhBik1tX75Cpr22f02NsB4Jzop9O6fm+1kYc3CXB5YxAfLp34vcuDP1wpr9ZA3x1/
wsANZChJ9pAQxU7VFt7Sz/R63TKFlJXlXRtBL1SiTqMTFbu82Gez6FkkwU/tbeccgqUXdGlBzjiP
HIxNeJ7Ax7ONZotb25ifY948csoTllYTWKRg6a2aT/B2AYe5KLir6LzfwqpWtflZV/g9khFxoAFI
q2Po5/jlE+T+JBne73H0TYtYH38aCK0V0odfzwAllvYFdAfKdRlSktV/pJTz4BoBz6/v656ltJuT
ZBY0mF6u3Gg2v3IHyAae5yp565hV7IZe0DgxymtscLqWOk7SmYUtShDUCtq4aXMOpzHuTcvMM4Xg
KT9m3uxslsgNYbOLVdOAFI+wkGCFcRz3qS5xJMwrhv+JrnHKknDSkV02EYn9AArNqkaNR3nmYqR1
9BwRXRta+r+zwGpXvc4LPTCCW0O2XIU0w3PkmM/QLbBesmF/VZvex9kwXGW+s1JKkgPQM+o7X5TC
4tDHE7c2VUPqaY7t6Hza6fhw2VsW+h80WToog/BrHPn0unrc2gbUhDJgafbpuF1FvvsbDPFriBNx
5TX9xg1R48MeJZDMbyGc34AuiW3BXYLdmDdLx5iL1Q+MRnJ0xlAnd1C7iwLtDwCiJLKhdV2/oc3M
IvXSngy3RgImnMoPUwyceMLMBx8RlochfBEOZ0KV4XEDht2sK2zuy85x/kor+Lad6m5n+JfocWCw
1L9opMmWtpvuqr5ictlR+JmYKEDCXyX+gNqQK/ohJt6YFzWN+VpRcFi3qXPmyLqJy/EtnsikaiSU
+6Ja5yO0ZP3gdkicNP0pwpMuauM0JYi4ny5nH6WCjWEZuyZAg2srf6TvarwPXZ9uaFhclxOjZQ9l
mQEnhEL9GEaInYmNC7SuYOowQgnBGvGPESu+GHVFtql0j2nfTkehPhJXA9pVmrxNmaud0sRjjtoT
BOnqL8s36YPOyL93VgawvhpomhtB6fcajiev+ufgINU8DOk42KdlFBB7ooBH2kX2puFmxNESEEJP
xkEdBPHUdd3yGhjQfpmVmIAoFQ4H99/Qw7GxW65WzMeoiOJ+NUZdcaDTek2Fd7HU4/qRmwYLBRIT
3XLBOq5MfureQoZjTZg1m8Tu34DQVIferX+VG/kbs7cfyq+1c9g4+AAjb2FUj7AO1okJIc3ojJ1i
zKiwp3CqnsDzItRt2RdGUBEaNjy6wNq62IYW+ZIAXDkHoGk3inZrCNCIQpUfmJwuvikhBjRM+Bv4
w4WYA7G9YHqG37VvRbqxdfeDEbW5inPq8WBzvEX28DAxcWzlaJxoVhP28EWJH/zwnCbSPv6qcKQI
MYECh9EG+OsztgdYoB4tXg1/rN/LTdAb4Jl969fn6r2s4GiEmtx6UjC1JAavWyTuiD6C2XGa4ULE
ONmNOnWb+G6bhWM+cZRvdgGh+bQBQ1GnabpKEt51BakatavHYJR+QaAmovLm1RfdF5+UZoQnUn7b
LnYzFhF3tr2IQ1OLL5iYjCLiZAL/EXG5wjIIISHe5vQl2qDFuc9/CJtCd5d4LvN8EJqwGp7jSr8B
M5vnjfm+qwFncpuj429Fu4GxCNK3oAPkBYtV30xj+CFqMExt4Gorw+X1mmdG3IuqxZSQWEhG+45V
+MDIydtK5hdLkxtCrlHJrn3X8r2N6QRHhLiqoibLImdkNAetXC8BJcG0joTBtT4FmwO5BpBKh2ul
cOlcEfYTGeUZCFPMrdfynlRM2WctHBz4VF5NpnNbYb20HKptHhNhIxwRBFFLNy324ZCHh8IPzoJz
DZwwvqlaM1/GLvypciLmZTtPqaIciD8mQNYOborK8L+A4MXr2mu5VOHXYzTOg98adybeqH/RMxZ0
Mv/0lDUQiZZuwB6YOgKrlDkWcGnkbnQ4l3QEafDvBF+mw+cpNZoKe5yGjuViTsbpy/WLn7UUaltz
vgBEEf6ClghWhUbpTqkhRTbcT1wmG0M0D9y6yTohDTcHvwXv3kfNA5IALE8j/EMQOXhQIted4FBl
c6fKJGHxqhUmh2HotYlP+oc+qzjgPkq6gmHKiLedQNOO9stPIy5vZRS/hQEms8FGrWLfkyuu14V4
GRw3fxLR4C3zo4wExhK3v48pYkxkPQtTp5kOMAuaebTqPLx0sGSprC3alQpwDXuO3FsdoWaeQIzM
Q8ZJr7roHiGF3OHXMQbcMRxiQnQtckA2wqkpXOR8yF5NEqcrh0dg6B2aKTwUysrru12fptPWxee2
bu32LyyI0Kdsu9Sauh3mcZrTTTzCq2Sm2U1m/uEEaYCDPRLbyKBEvYu4ZMcE5hPZ7aIyoGxA3+hd
yYwmjq5dqYZjxkWoYF7ALe7go06aX25fykutqr0MPHuDeBeQXcCZ7ybxOtR55VTcfUvabjmd6x9a
YS/LgdapeLTYacYeJmZxZSOjYsgmaxirvFybo/ZI4/Kp5EK/SrvoGlEo2mC3pM+A70tgzvKZgrS0
N++6unvtTFqhyejm26DUjwGWy4MT2AQH8nCPPu1wG6labD6Aj+WyQlNYTKRNuCdzp8yDn6jXaJ0p
qlU5Mh4IJvakrGipTPO8ra2Fxjq0npo4pSrTlPE26wLsGKDpGAwkau34PBRYCAe2yfjPVKuG8ueD
FY4Km3E+98MxUOYzycPqdZBZcu0mBBnMi5ceZCqBnBSp3k1vrWcOWwveTZfsHIYnuJzpiB16nS4R
6uJgCtHCqJvuToJd3FVVNC2sJHog9IZbQhYtpFtIf0Yrh5XixVsUU+is0p7vb3Ip+MmJlEjSshRS
k46zB1I7+QguJbrMJAMqbrhHWTb1VzM+D9u0tU77coLORjV4AOhS33LbjtamhH3g1uFPYZB2EOln
KvWXOhbwOwV19LbxE7VYFpXp2ss5lq431wkdd5NVUX7SLKxDBaC/dsjOPnlwIFvdDVc2nehD+cpK
thYF1a6gUg8V5MdVFSq8UCLn2XI55YryzHnYwTnjhHv5ZFchBRgxdMEWJxnFABA02JsXnioEE2FS
1KM8BfoljeclMDYuJuyKbWIl3aprTo7WbDrML9s6iN9y0k6L/xF1Hs1tI2sU/UVdBXQjbpmTKFLJ
sjYoSbaQQyMDv/4deBZvMSzLM2NZJND4wr3nyoEfkN/FR+yCcQJ126TJJmub9tqh8pqIuKQLFMkW
VCda4tfIN46WLHgbKspZsx0RcadmxjAWcX7/iXCvPWDtjhHSEupRu2O9M9LpuUOYzfqj9dZRa5tb
w7IJSGkZZ1myRC8wvPl9Zp1R0EmXmN1iXtSpef2O0AWnZY2WlpAylHZoc2K6VwCQ15Ft7y5ha7x2
RWqeqo48LSZYHBdUZoyxORfek676pIMm0NvO3E0YMWBLypnIRfutYCAWFAQFYFyS2+raMsA4Iler
CxKRTC+8L3UnH4PhPUrxkDSzPigUBVnNe2ZgADzBan8nc40Zson8MkRii0mYcrpIiVLvw/BAjg3k
GCzwc/AHoZO6JOZH5yX9sXcYcZAjMUxI9hujKR6tVP4ZZ6ZJBcPviY1/F4dgNjU6ETW99NVwrXo3
YswfD3vMPHcLB9mezL+L1xgjOK+T1UI7rzvrT9DoY9WNQKQ90WAIxIgxI84ODPZBJQWkmyCWjsgj
5Yl9g5DF1g9l1Lr2uqPRT8626wLraPhFtQYUGzZcv2UMFlgxKs6m5i5dd2TC5X+2C/6O3YbZEo42
16LeRAtvi9nXpRhKyaWfsKMe5r3sXL1fvDF0ybrBcN4+VmBXCZG59x1eeQ1CkXXUmIHECYnEnP6G
uLmS2mNX8+pJC57AML4JWyabrtT2mqkAz9LZnLae/RqlLScdPn4k9gSqGyR6HefovdFFdzDL1GPG
Pt6hv/t7onN/G7p+iyNCGOOsxZUzqB0pZIfcxCU3U+mxR0wuDfD0lVZ8jpkc9TbrXODMHSFYgdAH
wo4d/uUMfNWFaFGjOi5zOZ3NqdqNaf3j9jxqq9qFHQ2diM0OOUNgFqBtQMM3GiAFbNXwXyyEzvkP
04rgWHdxsfImXWyYP2IsinNrhxagy5ilu87cX+x8TneT6TPKqTqeuL1knZakm9ZPX6YifVSuoY/A
hBYdDk/avGqNQwdqaZVLWv7sDHvHfgAuvuqLxDqyog0aiAjY2MjOzMPrlAogoWa1QeME4q59hq6P
jMYYXtTcX1HrcQSW+uy5EC/QylmbLn+FZGxsK4HQh+kF8YS5iZY9ihpSfH1v5cpAPkzB3XLR9YmO
CmZsv/s+EkeCcn/+/QNW6+Sy6kfa3D2kFvajoeTG8XK149GMftQJYMJo0l+DrPiMBqYCMG8cE1uJ
Fzr61V7Gc2UClcVt4eA0EY2zNvBMEj+I5jwDEtQ85FDGmd+BZcan9U6FAf2Lcj6P3G83kWdLMb9H
wnpD5czcJqvvfmPTG1aT2KEm2OpovukK9r+DR4xqBbGpUX/Aom+PZWz/cL+5a6NNhrXuiwdI9V9a
kMhnyac5zWE+xDy1I2QLOLnVxplsUh/GydtSKnjMHymLMX2gwfYQIVdpTzgyrjAc19QDZk72Fkce
6h25RknQCuNvOcoQsUX5HSzz6dJ1YkYAtn+VQDcpVRiklKjV1o5D8iVRhDXS6RRQtIXWdEZonGo1
MYFW3p5VJFJxIApM6WgwSrSaKUf8NsnGm8yjkSLMjzAHT/baz8isB9/y3lVpucWM/5o2sDyWZXjo
Bh+YW3ZhiStrREekXRAGxphjJxk9nOIBKDwWXouuo954MykKo9Xf4zx6TClpWBUfUjf+FSN2R/CA
vNf302lH3EpL8ZhXVxkx+g0GfmaE2WDOA2wKvsOke9uSDM8jCzhYkrFpMbvmITH9r5YJGbcvduPK
QQPXJf3N73mEFD1/uBF15aFxWV935l56kF4ZmwDcR31NJF1xTP1ypMNO7oMHPdyZuSEG285P/15y
Kzy7LNL3qtYYZkjfiUJn15U5dOiODQwyRYILOC5t2/9u2qynEmJNJEXwmExGsfcBMjKTZzE7GC/Q
H1ZxTQ/MaepFTr/jHiW2qgIoPYzND9ElP6bKHhBqBafKU1eZGnsM4M3GsMtqnZg47AHb5XSxE64M
xhgbvDp434RDJnFt7psiO7ZJ253zTqApahlSksIoauCVhFp4oLaKc9MQOMok7LvAFX7IefwsfQq6
Gdu4UvuS3QcMy3DdZDNFIXny7kRWSZfdXfL0OJZKZvLV+Ec3+DaNgl2GQ120tsMh2vVmdstZ3OB5
BMpS0qDlKmMACWjddVBYeCNSEGhIHL/iN3rXjeOKeIMW9LFUbrqLITzd3DzaDxR9i9aBBXaFmxL8
3AVFMym/g323qetpG8oV2R9scph67cLf7TjTR9Xhr1qVrHjsdp969vCYa7EtdQj7bGFWO165HV0H
LU34YnqKYVlZZTuvGYxbwNRtXZLNxEoVFEMOcynwYq5M+Lekq+HHSHnmuFIffLfkCmX6hCh4r3vx
S5yyJdbQloIgQEjJY3sJI51dCg0Gy2vCeFslzgS8J+kvbA3uEWwhXEAkekjX/91a04HovNDgMJbC
qDa1CMhwnZONDCYLe8K4ziKW473bTKswNg3UZp23TqQs2Vz3AXJtfPW9A8K6w0fEwb4gsoL+jmE2
Xvuz+4vVGwoNBek0XeDTHIINfQ6YUVhrHGjLdYeJS8CpwtzIes+FGJmbRBQEbLxWaKwKPCP5d8tk
TmT9M1jUHGp7iXJYO0fZVcY6YSuAPQbdupyTqyYoykGlxYQY77KxDSuIc4ZTG6fG0TtfJNVxoL2O
Eune7Kmn7ywBA1X2PXIRSiJvChPrzYy1+DIa6+ICqOSPWAgmLbaYqplMgKrusbPynzrw8Hmmj5gY
4kPrECGyAAIVm/mzmgMy7zFcraXuzm5Z/QFTIzDa4kBNQ/nN9MvexLVrblj95OfWcFA6VUS+iqUu
M8A28+1wvkFde5jN6tOuHNYX/ig+6058VAOQhYnQt5P2jLdwibckZo/9GaGiNj4CMQ7XmCoKLXq+
zdy4fwq977hwMkJy6+gQyhZvOGIgaBFleZ8/EdZsua9wiCyLs8GwJGoyifoEtzH9MrNfZ3YuPvRT
kSbes9PN+sVrjYFlPXq3SNuEtc++zfaO54g5UzEbHkrb0KesIa6hvIwN5L++nc7+POykFTTH1DSj
i6mfqtHQuDzKg8oRu1UW1DGm+s0D46yOsa8hNqVvZ0fXdDEKOWvygiZUnSFnvgdJ2e7cfUgm+rn2
IIZZorKY4M4c90b0kPcUYgK8kXScJXm7OXhJ3Z1yw6wejMTyT/kkt2HaZY/YuoptzNozsfNFz8O+
Kyjjt8IldHgeNVMl7hZ6Hh/XATAe5tD3jjHZvuSRsS8VTQdTTrjeeY9pva1exrT701Rxeir6odkv
2cw+sSc/UADYfLFYCsLBfHCZ88KSYJNa+1TRDXnVdQV9n50JTQdzu+7HCh5Dw0z+YieEDn+3cIwn
qnrKnNJ9NHoEcTOnSoXOOawmbonGP6gZu+uy1JfpBA8CLpbvAHKIM9t9QU+SM3oZIRBFRJEzFLhW
GTac2nY+JitaTG1F/7qMJKhylrV9QXtUEL1ZCR/PMdiPOGe+SoH5OFQEzqLtfUaaEh6TFiqG55kL
jsGxGOl1LDFqRv8WioQky6ozmEOG1mBrx0ddy8864p6AmTmsDXuRV+L8JojQeBtBQh67Jo/xHxvJ
kacvcUs+E0+ABgNNMjOrtMChhMHhlVz7Yh+YiEDy0jFOppxTmHqskZgVUS2H5SZQ0HjcwLrh1Mj2
FnPORRGZ7+vyrxc7ICmHmdyoGVdgZhyzbOye88JYeUEbbaqyal9SZyT5zrKnDYRlrmOVzpsEUPmD
LxEXV8yYd6J0wUxWqjqCwvQ3hVGPaPZjF5pj4L2GVgwRxOsWmR27VE+14TtUo52uzYfIwu3kCIAl
OsqOJtm562JAaNIOcfPaZi2LKPijzGn4UplDvmUxSqBs1TevREhgKsck24NC3yUAzV+xW43b0uOj
/felQawUnWrm7P99iXMO70nwGs1pfOTUteGx7uTM36YLUGcJlItV4a5HSbHlMHS9x2ZybWaabu2Q
rDnPtdyFrpyOs0mznHlVh/w8hE1jDPknNv79XHfpDwI7jGv21sdX/hGNmPRc3c47b1gqN6qOjZqU
fuZWyyDz5SiJRwxhxE6hFk3c5tNovEMs1ckGvfPmTSYDsxF7gMebshEo958AGF/zYwTV53noAsQv
gs1vWMS/knaqrh21Ad2JEf9Sza7P0x4iMiCKhegUDE29W1rrUzvQSdk5KiZkmtFF6Ib85gxxZJGp
/lQtL9i0vFUwI5WeZjxXwuiQIBZ1v/e6umR+mrMRyJz5+u+lTDSCk1zCPfHZSqDB/5syKCQi4Llp
rO7274XY6X4D+CpjCZyBoBS+WE9VWB3R/mwRVwVrK5YR9RR8NH9u77Ovf6pAkixBcoPMDPvMmMsg
u/Yckim847OlS4SvAQHPObp5sYuY75M8Ex8TCIjM+FV6Mcrwmne5daodfdAqm07/XphYPQcDP4zE
WYRivsyw/cXTltMQsmFJJYX45aFTeJIy4ZC9C5fMzzKBoodTsvXz8OAXlCFm30gQjtVDCDhuX+BW
34O1fCkqc3zE2ErtY2PjQY3P4o62GuuepfddHS6ChrI9JQnvVTWrgyptaKcEBfdeeGWvM9wxsr42
JhuJMWXl38WPTBMfNcfsiVx4J27Dh9mun2eY6o/VmD0keTLsXJ/5TusL/zQ6kiV12DxJI5pegXVi
JqW2AZdWXvGEIG8KrPnoz1SNlIgl+URbI6X4UqgRKNpX0h4w6au6OTP6rB4b5Tyboj85JFmEJPIi
Mw7RagyjMV8yridKMD884lv5FdOGr5PBrrY8kbynuYYt23xj4HZQBy8vethnEzrFznGuLAiTF6sZ
D/S+KftFZH6WFUSn0eXRzxEMvc6Kz20cvqHDG565yUqkRk+iM6sDZkPz0c/8ZyzDxG5iZJ48CljY
rwV1TPFiODCHRJT9tBk2zBBjyorHvLERrf/FZcCoqyhJJ2kBROnh2TJI80hkJk8EEu9sFXbXJqTw
VYO0dwSf55e00eg67I7tztzvo7qyMBPH1pq4QwFKzz/guPggNS44jLJ96vrGPkjDvJR5OjylgVYP
YTRdQ7Lz1ibanI2VDwO283kiSyJh/ueAz0jRg9ZiOlqFbT6rst474OkKmMGnvAhejKI1zqAajnrC
SdIhLt9DR7kYsNg2ECv+CN9/nCQf5GTDpip0gNpqUltQUflZ9IArNQ6RPRKB3AD0Z4Xtg1uYPDfw
cAtzgqAsjLs02bKODVFyfJOvJAuysxnVEUdm0G99uGfbUJM27InafhgzdBVtZfDDg0NJzOjqse63
UZ+c45ZFFFOmv4qYVWQklV6XQ/veFfKzl5M4SLBjDFggaKb4jQnSiir1MoMrPrpRtczV0+FgggJe
NQEuJOjue6YPeAQwpDmaeHAPvhfK+ZiVesaPWVbOL2vC7tqB8m14Gp4qR762aLYZ/zAPcAq2H2VF
S14mDmjpEtAgWWD0bGN2joqxXo84Ip9AUh2mOleLORH5qyC1OExGA+oXG3CvRdRQz49tQG+MYcHc
+iSeAISg1GBKFay1VJsg4nz18+gFA0lOKSLC38NmIFZo7St1rDGa7l0n5bC2spaYFHHtQ0PthtD/
KCDnbWugZQlOuBdikR7c7FQOoXiInQGuzVhnB7+jW4e/xd6+PbDrPgctw/OcoAzFibIpW0lK+/Kp
EwWyCOVwzPegtZrmxY51fUpL7HbNIlSPYljNcclQzGuLRbeeK6hsTDECykZcZDjdisXwHJm/0W4/
pyJyj7XvMYQcB1aKJfV3ETHV525JdShujnfMpSfWnURQS++RbePIHokKZOYZF49CjWytp+wSgu3c
wuWoRZGySU+dFZj1TWzNFkFsklhdpR7qvHzmbspZyXozfhvnFLvIMbKaNt7qhYv1m86o6+bq3AGp
UYG5H0XmkUaEldgPu8e6Qi5ISfJhBD0OpTJ0tqA436Xte0TtIkwms8s39KWJgHTZOgR6ZB6nGNZw
gXys7sf+oIfqPi3h9go+vqVjl5Wh/94aJhwZpSnJlolPUWTPKi6eenc+zT020KnDY9CYG3CN9REy
T3TODzhomq0CpIqg178tSKNbIz2XTZALFFUFWEoVgUdBxGUyde/QPkLh4lB0vjEt4c6avow+lQdr
aFf9oHwiCgDaGBXqSxn2aLB5bGEtfyOHAY5DGZLzZGv6KKBmVciC1anFoR4l6Yy5vZ/MGYVPpXAz
e95nOsGz80xEUsFd0eiibjS35MCdZ9xQSY/RYTE57qPe//jPpzL5B2F5W4I9ho2OWeMKfSvKaD4Y
cXM0DSKQkhwktuWDSDPJQDaM37n13nt/WY5ReJj4yHO6XczAhRnhvDeHp/5rCtrsgXMbLXYTvjdN
Nl7d0P9JbFTx1BoINQXwadVM5ZfUAbwGtv+Iv652wXJSz96vIPRvPLfZngsxb1TH7V0b7hchV/jG
0nE7VNWJtTlHhE1KKftTr0QqFA6QznHLrFAMKB6cD502TvRWmM7oeDdtGhywlS+OKNCaRWj3tNS9
3iYgTpQyjV2IKRyAXnRj+LxzW49pb0eoKRSR56UWC0YO4HSgCpYyPg0VFe8YNCcSHbA3pkZw83L5
DDeXklik9zKHrucVnXVhISgogeo/SUxutVOrj8CWd5EQVcMRi0wjffWnYDebp8FvOa/qcjyJPP0c
a9ZXMrL+ahKqNsN4Shf9sCQrbe9BytnV4KCNLn51oL5wpBWfNhiYdYUIbEslvkYv9lulE260JPD2
s8BEETX5O1WN+dOll5ia6D/humU3P9KGOpJwWu0rVp8kuUM3AtRkbmasSOuQFWzmmzemOc0mLy1C
xaz4w3FJ7Kk8/ZREyWKsI5qqgg29Mmp73LdosYYurs6JBnBhIXSIEvLDXV+zL6h70MYQ+ZFOVeUu
bY6lpteLTH1oyaKmuecWmof0NdWLIb79oNrdN3OBor+Gqkvfh7/P3ilLP9uy7BGohvghwu6Q2Iwr
Oqm/2glVPjumTdIZeCVBhIMQGR4ywxxfLR/PWPWr9hKCehDqnNQJcuQnpytF3jT/0VkBCoZ+nlF8
fwsUlzMKvn7mSvKSdUssGHzF+hQ7E0+ONn3RJsy+jKiGiISTvv6pMs24McQk5ogMGo09vKMuUg8+
Inihv0FMFxwUqGBjJkADvsULYVr3ueqPTGph7LQMY2tT/JXRtjF+cms+aAriEbfp2lLe5xLrCWmL
VUVUa3ZOYuRuWbBN5nhzDFZtWCcjjIPVL+6opXhnZgWkOD8GrQ053m7crV/s5zLOCFu1aBjNmpF2
W65J3n61Y1kRqYtflzH1EXMCo0eXTNWslTgze0qiRMTztlqCMquYyF76O+Y4vFe2kKwUfOca5ih6
x3qgdZzeGnxxTGfGPdQJmuXZOeaQYIayTaCgSm4pk5s2IUVscN5qm2z7ZuSG4qsVNIG/qo3xn/TT
xe+rUx6gUsjtK+yA9sl3sBSkCohB0XZ7v2mezfi3qwGS1K1zz53ij6nt19BO3+Ly2rcuE/H80cja
alO49T6ey6PrImBmnkZi/doFonMchcXMHhyIDcHWNy9MW39jS4OcBAL3zsyS3TbCso2VoIE2Muct
PQUlPAyKg7tXJ5+zE3yzzbqZnfMwMjHmRuVJN6vx1kTRlxHgOcUe0zhvYYJdtk5ehR0/wW97i5sM
Evfvuc9/jLR9D4vmTg4O4lSQMhHDZkKV0zt8OsBj9vBctdERw+1JIlTysHEwSTUvtYl9RBg3qRxG
Kf4mH0pwo4rmnk08CQNXygOKBKJ0CBg61CEWnOHbmqNnu0FEIvqiXSuFUceK/4wpyBzT4BjOBuIg
TPhIuHIZz5BdvArTs9GiSYlNnHWOINbRZAkqCQRcuaXR3MIB1VAYs6z0VHaRCQLWuDbDNXPkE2tD
JBFuelzkrTz9qpWWfMuyZYI40EazLfiYVPlRtcrZBsUdWOCzF2Z/BMjdxJvfUZ6wWC33YiIONMNX
vQGmp9qg3JuDv+anPuPktZiVEOM9F7NPckp2j1T7ZaIBckJggQMxCLHzUZo5BrNwAWWF8YfBYQhQ
EdG2ffWHECXftGrwRvjw663aQFDCoyLfVCSF7sio4GHAftxr9IOzSNJgu1HMqmJLnbquzZz5bSLO
cxZc7IA8Wj3527k81R3SY6xSaJ8KPnu6Nm9RTTaZ8da406UfnYdCcN6r4M+A7Ic078dRYQlDgo2p
2eWJxV7jRhbuzRnmIwU0eMUcrTMqSOhI7wrbhNbiGYLip5jSN+IvAexGHBqzhwd5wKiABzD+6Sdj
ZywmwhQWQuDoU2anr54yr2TatdspmgBbMPNHXHPMfW56bvx7kXv5pnDSXeDTUNAs8bnXlMwoLHmS
477JmuCzLZDwBrUCK+jMzE/SEJgH53htIKzICQ9QBmU5sVQ9Oyj1FRdk1qY9gy1RAelipH+1bYQF
yPc9UEfhU975Lzxr5eo1ilj9uwqNf3gRbrORPVvdOjHeuWbZulVIYOB7944Lkj3GEE2xcqqgXOxs
kREbiQmuJ47P1ogoy5hziUcTaUmYj0ONxCxR2G4Vs8R+QOs1xMZb2sECcuxNORFRDmiBae+tULG9
sTOWpbkdvQ2j+dWlM8vnusnXWE1vjrm800jtXcQY7BInih5AuUtw8AgLOiz5kxIExA8+Vox1tLVn
BYfQq2v+NsxaDDLZKdyp18lU4TGOFI/N2sZBlgDpvidN1RJ4SQGV3UKwMVMKuRCQdwYNtZFbUq05
g8aAlFFEt1TxXkyMPJJzZIXLL/+9NEMNpmZ5+f/v/ferwFarogsj1opLtrtDD3By2hehEFiLCEic
jYv75FTg+bzlZRjEsM3L4i8pR9HZC5J0KcNwJM+QpEiTYjFhJnGyG0eLFlMa9CsZeDaNSmPVeggi
nLyZ1mWlpnPJLtYeJnsLsu1DN6TmqhSvadyRgxENy0jXofknbKLZ5cqQ24yafz1Zrnrg+GbcL9Rr
j6r3N6wpZ9NbcbEvuv5aeHBpB8+FerL8Cl2qtZ/CZFviG7i2KWBbQvDy77Fi3e9krx7J2L9VS2WE
R/wR5xgY6SI9Rqr0P9jD2uca40GVzJ9mPdI3RHm8C5TH254WxQ0rFJHzTmvs/n2ZetZnO5U17DoY
YmgtXnQTXPQcju8IbWpcXZYpVyzqBGFt3okrmPEOkwX6n8I4gFFhCKYwc1AkvPfSDH7NffwrUBmD
zpyNh8v/rCKPK1bOzFXd5iRcsmKKsDtnsC0eRuSbQBrMbVA31pLvhcomt+vrQiNbZSIBkxvy1qi2
uZmk6ewihfy6iMdzb6dozHkUFmEiH0pBsJuaTxLx2QYnHyTzqeNXMUSJSRqHxPXYu+viMHnxgViR
H2vBFeNnw1AQkbSKoHdt41UmzcKf9sgLt6T7PKmitfeiHXeB1bCWSGbiXOwkeCGoL4XjSzDXlG2X
WjuePQcpKfVkONX9hl3RmpjCb4Rpw0HJX4z25rvGTvms6/Q08HABr6LdndPW4S4E8Qc3fud4qbsy
KNI3uenWaDRvLmUwozHeoQ4zzypmbHviMRwencTBmxCShVRSNBFThXN/SckNuxo7eIM2roLe8mCb
40HUnrkZZkBgRfhZzQ5asll+95AvN0VESWDbXgVojBdGmrwUcAMGzXIqDWlN/v2em0lU+CSnMf1I
O2unS+1tm8xirupfdd4nK13MpGZL5k9+COx/hKG2AUH7NkQy3JddZBIXgvCFefdGN9VuImgI5U0A
WQN3Bx3LtxdVEiOK534gid9PtSx+9xw3Uln2NS5JXwvyKyiBle1Gi+04OHna90+lz8QU+QvjnABY
xHfKCmmDCu8td9s/aqItTujVdpXESxSy0DWoX55NrytPI+EkWTR8iWm6ybC9tH1YbCNYw5ditEAz
1QMIhtBjZylCarNBwIbI5BHSx4UwDEhXtUeYXN+V539ftt0RUxvFfuk8TcpedGZc8eaCBZyGt45G
Z1+2Y3DNcC/89+K04ScaGLHFFriKJ7d6ciBZwg6W1sZmJAKwDY7Jrs7H/BYyQaaEnrelqvpdk2dP
RUJyxYr+hUWt4U/bsOV+N0gCWbHNmeDD6vzckWriqYJqry9OZtOIlHqEr/+9ZKORb9OFo29yh8Q2
03iV4KbDi1We+uXl36/+//Lv98AKYmbuA4SdRkkG2jgkUKMEyg4NB/EErc474SUHkZ2QYZ+rCN5k
E7n6FMkErZO76EktdKsClfMxIfBh8hXe1mr5QP+9OFkfnOC1HyfHEvsES9Sx41IPG0Z8K5+lwSWV
2kD+zJaC8ofZc6dZTKQn0KU2LjFsH8k4cmwgtsCDbNen1hwwGoRlfcJRiOkGdbFPQN15hmdMpnVv
F4g35BWKNxylSfbrHOfjOsIUgKKYPVvTFgacZIE6QaNUn1gpnaEz6v9eYFNL1Ot0w31k/WDPb7ep
7S5S25nB+JjOJxOez54o8IttjSlyQvF7GvH9zTbynEGsNemk2M4+Bh4CDElRnbImY5+ASN8xWn6r
Ls7TbP5kPvGsKNMyMO9kUSZUNmoBEmcTfxN0vPCcGZggq3uYoghos3M3tBh2uv2pgIg9Nrb53qPf
FUkHECjazfKXmbggrmbe1xqh0Fp5+jmec5Q15Cimqj1mqblTKJgYFazbUp6SDuG8okCw1anRCNCK
ETNDvSM4khm//3caKHnmsHwdFOSKmsEfS0mwswHs9uKsNR9NXvqMAA5D3yGaqgP2nlT3PslCKQvh
OAH/TQ3+PFbWDeHMfkL15Y4F43NJDrg1Ho3BfvTD/EsG0YdqSNyZAtQR5cFNeN9anyw24ShAqONe
KmaLVMCvIHTQzzEQydhaBPhWwiliFHzOfYilVRj8JWLr4nntKcXc3LkddLwFvTiHr2zhMBsP89Yy
DISm/clW0238B8OoHlPiZFdRl7zGyfhjluDXanynTmULPGbBoTa8byO1EacG34WJ3cZoBtg0oX8I
e+Sp1g0V9D5EFuQ62Amt6pGMwrnOdqOsfly33sEhDg5Ry1uYVFeFwCHqKQS7ymVxQQTHOBl3HewG
J+oP8AI+BgNikoxfuU4IoSeDJHXtFzgrPJW0vBUuqag8x/Z+UHzhaGW/AEPdVuZrhcIUdECFKI0K
DqZCuLJQakVucsqq6MnLa064MdgZfyyDt85e3ublvYqTloBr9i0Of+fQ1b+G4Sp8+8mnJ13x8D/U
eZzBLtiTLMQFbfIxADakbZAfDbC32GmTnXD9v9WYPsV1cA+Ve+Aw4DmmuSSHga48lOUHSIJ3PakP
mX5Q555R+jBat7GFJ5jENkNUIS0GvmpniiFJZtwwoOC+IBcoyvtPM+bi0L3CJZH8sL94c2hTp4Gr
Hez4i92IEKsivYCK0TcDrtCdwyI3pCVv79Q1V7T/J52J50SY4c5JBBPTSp/RSexVYXK12XyqfEC4
JOHlcR/hD6naxwTl0JCJi82lvzJN+yGtEpO9PEXmZFozbSm+ayZPdBDk7dEzlC1BKfmjUwbPwjd4
hBkdg8vA2AeqQvCcE0JH7eKGzDTiyAAgxBuUkx7ctVyAtgJYEGDpZJ7Jp4EReJk+BdfBAG3pmzh3
TOatKkKarImPxjIH0CxYiY7vz+5iodViuTUAeT1PL2kRt+tXdA4wWf1LL6D1jQBvOOA/lOzeRaP3
5HMzvGn9lQnupp+8J1QDm9KxMXSL6MutxL4R5CxKcwfq4jA12GK0LCXmVf6yBI7uZF1tlcSUmJMP
4FrRzU/1wcMQgH8EJrBHxiK+YjLQ3Sf/poFJrsnYYVgz3518/gm1OEKWQ3WIvM6WHrg00Php/9Q6
VkQCjHEx4FKpRhLcHFzq2fuMwTtM8lvkeK8M/cWp1iHmD37pBG3TOODEr5ZOH53GyS5ZQAcs7ggd
XAkb6TGZuxwAPSvoZP52S0BM6uihf12FgfmbFCxPXgqw4zzCQIgupL2UtXzuen+dvHrvg/cp5L9l
XR5tiDhdMjdIlWxMflb5CiQPqKBAf5nwAPYVCnGjlqTfTIe5xzUR1UxgRLLxOqzPYX9rKMypoblJ
hcWI2KkWVeEYbRVq5l7yf48ug6PAfQYjSzv0SIrxtwwRD45KJ4c8dfghRutcQiNTgzGcAmv88Equ
lpFqn0A7b+dMHRggC9l02z/mC5CHAwu158/M/BwFRUQaJE9Ai5OYeWO7s/PqMpbOT45BjzdErCab
8bVVFB8eXqN9yeHnT953Wps+GBnWju2TR0ge5jKQcinWOCaW+JPdiG9KQsnAugTHc5Cv57ghbFZH
zrZJne/lyiPSYR8xawM11H902JjRdZk8ejiwndS8Dal+jD02pgWCajlhSmaf0VpLdCUW6lWxZ/jx
JbrwVmSLDMKb0D7zITWlQBRJmgKQzi8n5w210M5ONhTieu4/evsZ4OW7UJScCQffGoYeFffyJyqr
v6G9Zhpfhwevw62TtGa79kyHFiugyxl3yUEJDybYIi+mJXjMgDf4elj4J84mEMRvqhFQduf5+7Zr
W0ptjsfIVp85ZBce0IaXpYvfXrMNmJ8FtlaAngWnDDwxBfMlsVKADw6K5eyxeLBHnx2LZCim/UtM
c5gQQD8pKjo565Pq9L4JSgJurBPLsU3X4sBzchvvJ+DmbWPeKtY163qW2KDN8sxEY0E7Dc2GWUvV
37X3IbjUdYsW33uZ8BoJG2YskYsLVK48BeyDV/2EN8LpcYOlT67+H1dn1hwnkGbRX0QEJCSQr7VA
VWkpLdb6QliWzb5vCb9+DuqYnoh5aIXkdqutUpH5LfeeGz/ZmCbSbITezWy3UK/e2qLz8lHSyOEq
1MAdDxiQSulxAiJSqQnSivuaKnJMo/m5c83jEC9vCPrtY5TgfUGe24wE9LVQ5JirkiZWM/qrSiJR
Y/sr85NvaTnMxUi+z0BsG5vmjgryVpGKipedJZIRxrnzDETXjTjhlAd+JfMg/K3PIyNaA5NFkXw1
GdgAO2ezJ0XYsrkq3RpHSn2uDOe2q0ogUoCLd2Opbzu3PKmYd9RC5uvGglhgj4Sjef9zrKyQdaXt
XbL0r/IZ2FSz9dolE7mR4rdf9EHRwvXJY/WqV/MRKlaWfyJvZ+ZmqFOms+8MPUChkRrJ2SAZMPpb
EK47fzcRhV7ruj0THezvq/gbL9CfKuzwHaEMXnGGGFNBGKcpA0xmzBcEBh2LPC0wjS48OsoCEpDX
1aXNxUP/vCCXmiVNf6u/AfdT3rbVy9orkDUSgJdQ0DnOWz3cxOxwh9k+9ap5SWf5JYy2Pbd2jA1k
hbU5l/5j5TIGk/CyRWZ9VB04gdmZcEZNG4xfuucmdv8mSbFgPkfp7DnSZNBmanbibTibeLp8i+sZ
ElgGM4X5DoLLg5v5sNcJWr0slvV3dSwVKmt6dLV2g8ZJ2JqJiKy7hd+Ta4MGa4bLOkI/QSnwZeT5
DfEb3qVMfSIYgY+QD43Y3IY97vTIGpRv3U22cY6dzDiTffaQRnRRrhk3R/73O7EZeNW1kFBE+qTv
GYJSCigLbvHoTmePjjSfsnCodBo2/poFFPgbsvOKMEFd5iSqgmnSX5h+oYTLFnSdki+j1yX7QSYC
Gud8sCiEB4P5Y+axlAf9mhwbOhKo6CWSMp00+EhA0AUi1uUxTqIDS4rpZY3Mjw761WHs8NKXmbFP
F9bRaCLxK9HXIBgFIynT2bsdiooZgTQZN+SpuEH4XB0o5tN935W3hO2lBJvSr7fgeYwG+8rkTvWe
gvHgS+etNaOGmZ6BQJbrys+fCQjNQQ/E1IlJcec1ABN0TB1TAwCKq+l7nlBFWC6Y3gzUFSUZW5sJ
eLTmMeUiS3zEJkWCEBauprUO+xKlMoj2J2fKn0sTHWq/+kHaAD5ty+HVbn6c/tlvXnykrw0igars
HgpFRPgKVYrk13211ESwnlLfytNb12fooKtwKORtlnRe2KyIFra+2W+nf/hyc5ozcu/s/hnq7WYf
UH8Z8yUHUVUMPianuVgeG5ufD+t/P/v58v/9lbaIYYR2XMtp7ePP4CeuzyN7/6znRh8bFtK5WAE4
oqEbiqfOABLuUTAgywe16xynhBdRCvYPo6n1OUFPlfk0mx3ErzxMq47ClOnLkAsrxDJtPADTzs4b
BmrxPlidKUZYw43MnaBPGIqnTf0QGeYxYdlIlBMHlVDunV/oimX+MB30SDKIN4aznRB/nVaIDsf5
sfZtgQ3WAYJIoqDHvc5bBSsLuSFgnMYUd1aDjb6m7EjlK2aJl1iLu6x17hwxPVPXwyC3yC5CZVdV
FjVDDDFjAEBhIDw/SLO+jkb73POO6qCTO52io8YV6PbRnWA0uo8MlMOY+819UrE+wh3V2vbJxIeM
uzT/Tr2Hkas1qAcPqLMtn0H0/sFo+6togAGsYv7bmFMMck39iWrQMcNZpALyuH6Kp8w6q7hnib59
6MaIGVAdfaw6wP5HYwqMa4+0/eqL+Iy18AIp+d5IAYM0AzEJCEHamkN4wqiAfS+Dd5LcWVYFolNl
FzTV91My/Cvm2QmNbYWtrvGC/FJzkB3rFaGKMuab2F8uI6weBEpPCKhYLfoDBz2wavw+2CMFsCHW
kulASmOc/jJH+USdgRhFZ+8FmZ4wfx6WDYHbs1MiGCMn2X68RRVxnc1+fIhWDM1RrT9UzmZArTpE
o34T5Sa7pxpwg92ehC/OdQ8zbWWo3sn2bG2hIRv21zGr77Fzb3W6sEnrr/mQvepxPYlWPtTRvY9z
DxhB/Qzo4NWNrYnn518+ZqzIbATkfWmyvu7YcXxC00ATsU7NIc4oYaZtZwcP16KYjbLmCzh1gKWB
sUcJrVnIDppU3e4SlR58xcat0uKZ/T1OtJgBHRG81Z2QHko33Fpyu09nDt+dGWXGheF3fWjUl59g
c6nUCIQmmviTAQxbVGO16VLzKcqc380SVQS8avsM7AJEZoqtLcpCN1cbMhmFUmSq7mJIi7HOz6cy
LYDHdiNUsEh5YWHJ87iNUgejrS4/Q9Wfz37+TJ3m2FewWvBp1MLTN7KRd8Jv0tAFH8vzug2bEkff
S8P9nlmUEsPMDGr87yBKGy1oy6VjwPy/fx6TVhJG8xySSljMN7Jf2ouVOZexy6vQs+AWQfvtW/cd
Nxe8GXEQvvVCYY10F1ETUm0Qgp0EbgO25ZBl1ZNslne7sH4JgiM4b1nJEbOaY4LY/XxvkRv0fxXx
LRDtuDHTpDtqCXS7rktJenHafPiErZOI0Eh+QwPhdLGPCrwFPUpTCXR7dsmiUWxWtnxmalAd1InG
gI+bacsw76F9jPqIwJ471CGFde2YEFd8v73F4dgjp19q40zEc3LSSe4e2CndkoM0m9n6YKvhxerc
/rxl0e/cOSNTyWiB1fOEnTSoPZ07G6wa9ybeULqvmNx4VH+bpA1jPq2JFxlhknpsniYa9Qz1AnMR
QGxJfLsirUsNHy4uCNBW200gW83ppGt9Ym5yF0Wxz5KfVPANh46ExToS091cqmEYyARRaRoOPvta
itfLzwe+YfOfz5zt7ymMbnto90D0ti9/Pvzf3/v50uy1yy+/DhuUURcq+3jXGhEG3pUgk9Z7TkoH
t/V/x7Qt6cKXfvvw82c/X/58hvoTVOiizz9f2VwA//lr9s+cdwSrlZYCiVS2eXO2Dy1Gsku9ffj5
ssK0TbQfMKPanT14bhrY2IC3qe4T/GAddK9pZWCxWPN/vomzXY9q+06mb9dBPKrnOW7YdM19aV3Y
W5v/+eDF1ksKD3obU2x1ws6qXMgUxJfDL8Fnj/nIhN60vBlz/6dYjTqIfJrbdUmDRdPjCzK2OpiF
a0zw1Lw+rxZ8JhYvzHiwu7uAzR2oMwQmAjFk8Pkr0XZILBCaw0PqivHSUjNZHLrEj61vTVY/4l82
7TZItO8dk7Vk9fQPmDV/mPjviqC+2PXu2j594LV5NWNa5U4f06K9W3Pih4yF/4Eny9s0N9fAdf46
C147Oa1/8tryD9YaPxTMQJ1RpeGoyZj0GxEOc7Gh6S4/P4c3NOepHk7srf8MjX6wIyh9jpCXLFoC
w8BcGcvvzOYtbtsraWE4rw82bnrmjwuXtzXth+RdD8Q4MOX4jeCRqZ5HmdXiGaJMYt1bIArzJG9t
sj+DhkCUx8jneWvv1WIocAdkL4z2ow0KjtvBHgYwB7n/uyt77iLAG3PdPS6COSnGhZV3b0cQRfu7
6vpHBvn9IeOXuUvWKYQqcIk6ZPWWn7zbr7gdzwwP5hxMspl63TH2/o2ggO6BC/tHYxVitybyWcNx
Ddgtv5Kfkl+MDmdNqoo/3N7ovh9BRf72tfnWjiAYR6E/66T0sYeN951ueuzeInlMyizEv/MHtj4A
167Ftt4Rg+fb34kLIYOIojFs/UdjfRdeB41sXae9XRc3nXympAMyLWl4HbP0Qsf3GPrm9rky6cUJ
lk5OSNGCEp5YCFymOJJ4s2cfQapJ7tBArml328T/MBAdLFfwxrDnz2qLYyy7l1rhasB8SyhmZp9K
f/3IOuNmiPHFVzWF5twjdErdEaMABeLPIjuOIDcmrDXRTm7ZLDlpmemGt3dQlgm1rc+HG8QmxH2v
yVkt6y3b6ZEVJVBOlQnsUSQqK2S0Pa4pGDeUSU460Ss1xF951KAFwv1JEQPBJpvoH+d9SJg3DQJ9
UufhlbOMyA6Gu2bwcRlqCBNL/9YaBk1bid+hYbS4kFmJKmqrtuEKzVgRd7AGGPRayO/z2ikPyqnD
qh+/7bZbzlzObBygmSnJjteGxqanDJXVrKoghx/czAG+ONZOqnhyPEWdYoivgeG41ST3rjytWxh7
HZcfyWSaoXKXX7o1CkLlCDEvytNE3HUITN3eNeBRqMmW5agY2MVmG7Cz5yGDmHcovQq4ah2Riw0r
HiMn7qakaY9zDFxv8E6cx4xi0iw92RMPMwbe5tRmPrv/irAtx2dM7Od0KPLRcHgAhdXeVVMmD1OC
78CnOduhKE0Bl5AB4aSB0BKrS8w3cvsXm3kGmwdmpRZlbDDYaVBkbnyzZsS1jjWXIBAlvDAF5tFi
/NuqU5FvGzx+XgwQ5sWs1/hqlzkEZ++haenadIooOx7En9Tu/kxk8AEJYIuU5oEpCImELj1g44T6
9Gg6M+9YCMl7pMtnn4QJKFzJ0WzOrlgZJBIoR0RtWyi6noGZQ2IkZJfO0XiK0trmCk7P9QYKJlpE
4N1hV0ikAiui0rZQTcntUHYFM7YrfHf8sPLfTDtwWWOQJpDUrolDhNPi6zvHx0ulfa2O0z0ZeUxh
ZH/0+vEt861P0fS8KRaGER1T32qW/3yUOKlSbxML4f2cM4ealf3kFd++JpSKjmiikcVlp7tHmSqE
SQyHbA+8zlhtXNGZfiNZ48eouEOD0e0YWZHRF+G7Sm6GHpCzHlF3cwoTQtabMKJNGyzf7MHLfOvR
f5D44wbUzo+MbYPZEs+VqvBp2/FrbcUstK0lZye3TxwL4ySpWjvLbjiRhFyOGlmt7N8ylwgPz3hP
lVEcjXn5lgXR38u6dd2hmy5ZILbyogKQYMGlNWYV4wLRHxaaaBQNAM7sveF5D1FT/LYzsK0kQD/D
HQ1Hq/6abO+t7Vxig2qmXSamyfGX43hIqnrnVZXNv9mGI6RVf9BOD1SOKe+OOFE4N8UFGT61luie
JjO/Avt7kugekFcqk0Vv6bGvqn9XRJs4WjKdBWfDhsIg12bey5JEG8BniCZ7LwuyqT2UMv+XLPLF
mio8LhP6EqNZycCwJGiCOexQ1KKy8AljGm9t03sGxFncOJl4nIbm6vaOe5qtoT56on6o2ukdmQs5
RGxQ8IOzGG6sAwtSLnDwOyEV/VVVlhFUPu78boYZWpKi7SNikII1PaaZPKDWDT02jr5tv8iReFMe
t8VI2KEk3sUc4V712UDv80lCw4XxeXSUFsshtBKoTyWxhs3KodUMPHdab943GJKTRWKfNKzhUHzO
6WKip4Rymc1zsxs3LuMqAHQa1fyQLBtGeJwugDmJ8ZFsZmrt8Sa58IZrEhrXXtl3S8yRv7oWu824
ZYVfoi/KLprk4YihMN5Zb7otiumzsoMyKJtqODaS9tmFktg763guB4uhc3UQQHK270PefDMAuIIh
uUdom/tzE4LHTffrDPuqZK0ZpjXzFbpbk9kR6MXYMf7wlBun3Lof6+hVmFZ6sPFn8FCjizRJgCr0
hGLu6AykiJWFqo8tKiCAa2HugvZdys9q4VY3/PR5tsWpI+2Va8I7zaWGeaqxh8UeMEfHQ2tN2BOs
3cZ8MNLo5PeYCoa80EcxjgvdI5swFgTvWQJ50skzhHWIwG9q4iyQtjGtbPrviVL+piPRy0xpV/0C
PFRUmb9iZ6afYsfBvqEeDutU3Axiw0V42b1O+/hQNmy7pFG/KBI8z9XcQ3Ct5evK1chc3SD0Bv4g
3O1r1EPBZa6PsmStcSI7JU5lUR2c3HwCFqufnRwiUrIOrxVqoECyzB74jpFBGZw17cFG9w5pilBO
rHZhlLXfnT0EvrSWneXDs4FzyxZQP7Y1xviedGtmNepi9+wx7DzPWPtSFXuLsNkcAFjAMkBeBTCX
MWr/dnP1Ecn8z5JPMWO9+tcUqfh2Lj5MH+xHjfKKgZlK9vQUUzhGmzIQKuNY56HJsi9goIj/W/vF
YTCJszUYaO2cxScbSfrnxir3o8FiD1tMgkWiqx9kwrypVd9adSsCAC5JYn0OpGxTlcN9XllOAsby
Dkud/FrNVN3k/XA7w/MLwJyKU4nOep0dHqgY6VxUeLceU89ylu8uoqwACfqe7nU6AxgvUcjB78JG
w5Km1ZfRS7orieUzNUK7aPsWRhJDQU+ww/Lh2Hp+TEOG7wizwDfm1fXYbdncVcTE2GLANlgSobhJ
OF6GLNyv/1FrX4u4evRnLrQKHQFmWF7dlefm2NkCFMPIDSwErZH35fV1E3pjh5Gnj54jPu7Gt6Lk
MkcrHJOiY+kLhLuYwJlbrcoPWBpxuPT6lgnCs+8s16EkJh78rOZx8e8Xs5EMl82nYXBU0FMXXZj6
cI4VABM6QPt+zdQ+E9XN7LhPkRNLQgjIza4Xm1fai2+Wnn+0aiQOQmAZQOogEUGmXUnSwothcOQ5
Lrj77QAt2bfMJshLJRC+5wv9a1yTS/8LbkZ8skkyZ89VIZMoGo5OsECtrrAppzEvKTc2KKzlVLj+
N3yI7MawmXO6Aq1GgfqElZHcC2SDSK7MrYSk+u5d2PTTCpVN9nbQeM5Lw+jLbhZjLzx2ImKUX4rw
Q7Kwu7PRm/tKF2zcGPzt5j3PBZQZJe4KNAwBBUBXj9ld0zUpfhwYGQ7L28CVmu033vSMyOBfhJrt
K+dbKLt8d2oCa9ycf0aT+2cDX+ZUfriGAxwCNdhodgDcjYe+9D+yclDPwhLYybPuYfK66VL6XX2d
fdY6DMyJ4Cq+PKI7d+sWA1WyH2DkBdnUUHkZpgtnRJ2V7WlEgEg0tlE8u4bezwt4TSA5fFaBffSK
9GNe4vEBnDYZASeEIhBvEsxhCSaZchLeZdDbgGAwAWkY0JPNpYftkm6w0Scfw9WGHix4hfO3wuBW
UGRhh0LeeAibYcDZ5qm5nXOFraGf2QAgTt2lDsmQRL5WwTK5DtKu+RGGpkk8QoKd1fOXUw3HsC0E
lCON9y2W25YGQsBhsyu5TY4R3alLSFMj+dBoCMmwpto3oIarjPWUg7HUc+eFfoQSXfoKTRbpKo4x
3fYjXabZw0MnpTrflZi4kZw+8XeoChz3jbwdohlx+tWdZhUUcXVuDXYEhmrXFBuLwIHTDJdyX2Nk
PfTDX9r4BpR1ti/XXpJrXWKsBhoveZuERYmR0QN1PSTKAK+ONGGYh6COetIS6nGveGEhGhFLGSV3
jZtdiM/F7Jw6ZEPMeCqn/NK1CqAnjFP+eQgt+oLEAXeaFKdKMZ3YMaOFyIuT7lhlSnrgaiH1zMIB
sEtywzh5oDKVX97Hk3Wi4DJDowQ11JrlZcIF5q/k1Dvpnu5jPUs7uTEMKGr0AHCYo+gEgvCWVOxH
uMdfjdtm5CNBuxva5oZN0iJcee5ZTZZN9IhKPQ0sE6XJqPitRT3CaF10p4rRcBClBsehKl763hz3
VuoyeMxnrsx6I+fYOJywA+L0PJmTz7RQwo+zYjIBQBFS/3WogNWjxkhzSMfpy1IVdFzXsTHo5Gse
qq55rdtBBZ03yZ1gMaVQUnriWjop49K0U/Dh4z+qm9971rgT3Fmql+h1XDAPxK75azJBO4xabyBM
vYQWzA4jY4gntqObbM7XJXsiHIpFKsMHBgJo79RwZaaPz2Cw0Kit1aNmiHIzWr/iNalJHJkZyFsv
oFO6Q7rRvA3LYoRJkDocOP81dvCTDqu+Urjn+2aCXzdDI67M5dwbzilt2tck0t8uBoUiMQB+Y25f
HMabswZclOe/p9kiU84ku9g2W1LZImjLBbaKFB0DgWSY2bPWO3u9RJpbsFwx0P7FzuNassuu2Usp
2CMsdDgGAHV8avtv5IPOSONfWdq8q4FXosrNq1i37E5+i9QwzbP0SzabKPl32oj/EvR1nY/WIpYz
AUAqQKv80lVWfmI8nEDd8IMa4cMR8scxKlHFmUB+gxpmP2aCM0yHNcAa+9la+SMr5IOXenLva54w
q5SYKWr/oZuIvyJi47ZZ2Ilqb4GRyUHAf60PTWrgE0StdSTpBeUq/RDEQI4Eb0PyoCkSNvv04t/S
keBoe1vfPiFonOKgLhH7z4oQtLai8uaH4Lqojsww7D2RY6/GzAzPyEqQWCyQ9OSOF4fVFrlTUMLl
djOlZYpTLXvAtErqoI6eyjY767ak7kVG3PG85MMMwt8q1YZKjhCkOiG1bpOw1l3jA2TBLkTO+1WB
PzzWxq1XO9jJ4sUi0ANBZanu7YwsbWeR6aFj3cGJYBORKo1dIsr4iMqfUKeYQ2LJ52BhQDZLM8Mp
xs677Lr5tCbUfPQf68iD6kIoR158g3rvbpRJflAVO2gboXQnSOwkXPVO13dtaoyHuOLecF1QAH2/
LfuX+9EovmHUAQpAru4Yj42YPklCN4KJ+5S4pPZHidOnZAJMRKf1cdkekuZ2ExnGnKGzD4HNzd23
3I2/1IBwKmq93+gS4YQ7rODyxFK7nv6Vrp3tHv1Ymq+EKnM4rNTTxjzcolXb1NZYzbPtzerRPzWK
gAOL/fEEEKXe9qqL7OOgmtQdabbDydA5jt31A+0d9B+QfswFYgyQYxz0kS5v4iS/QxZJyJndjsep
Ue8UKu5JRykZluI9YuOcURIGrUMYk9bcnQQ8LSiXtQkFepS8A5eKGDeD0VxKraMrrlyHDgj39x9s
3NhaDQRjigOIXjVCHc795+g/a1XEAeYy0AcR/EA6EsiDJWyhbZqfV+LBUR1aF8bpIQiZA/YWFlGs
Xnb9PMS7roifZKmza0ZXmMgFDr9e38ttPuZM5CdUaNQ3ugvPOUnwp6Fx79tlvoMzYO0NhAyp77E7
tzd8QYTOHI4Z+2/jiKmVFlCyZLLxWRJzBN+rgGxgEpve4XbHY5VjcyyXMMGsupTHdSQ0pt+CnGqx
JISVN4TFMNoEeuRDarvTKO535ThCqQJwfuihzDbuxlBpf5UrsBUxFP862b3hbD9nLtOSLkuMPWzp
Y6G1iRByeZttzi/fsc+Qg74SoJ0qRfyGvbWQM7RPAhkzxnL3vOtextH97rFGHRhEHmcJIL2wSsY6
vrD2zczNR6Mfm2izMwk/0I41HXXhp0gb4DzR776g/4NfKbcVj6cOjlEW59L+BD78UFPsBHET/X5X
rgQmUyXtrcaRVm8A8CZLLwUSJBQUj6L1X9JcvycTYkdcd3LXNTMaBslcMZPyybJnRk/GtjpnFtDW
tLU5A5G9UXoInmYZh7NE4iiyVoZkxPziwaO0JWihiRCYZGl5te0bd4tLkMYoQh2vHKH5wS6IDdas
4WDh+igdxj6s1+KRoSn2H6QNPwp19HwUHxJERWEZVONCxDd60XIfz0QRiH6+NUs5nplIRbqdgiWh
0PTEfoJwfWS0eJfktBszC0MvZVDUMcg9JeWAVNSwP6h815ui+eyLrdxcq+no5I9xzSQq048ktPm8
3SRaDfM3RuRvTMhvZcq0hX4dxdKSvo3ABU+xN52IW4j3kb+6FwaOu8HuTqa2inty3QLL17RfTvMQ
x7ThM2bYAzRY91iKsjmk0+IdLOnd8J/+FIlRn9YWp6VKyMiaqqdlA+Y7iWGA4kRjguAojDG67BKb
I76Pp6+ioj4ciPAqY2yOtuPKTTVw8R2Ue/BbWSCbh7QzmmCS+ltA32oTRnCk4i3APKjt1x41LRFy
2XkiFgjHxaFzcIAX/qx4XpkCKhTTNvbliZ3Rfv5XGnTdI3hhm+eDjksd+rnkbWmwOusvPRQR3scE
Avhm81qwteRCmtzjxsDgyNmEjUUKo/BLIr7+5ecgLKTz0ld9ebJN+S83ccdLPP7awohIDt6ZOHI7
jhn5JNErqaPskHCcozE7Z2Mn9pkBXsryreXM/JEsJX12HfrcCHLJ0VsgvPeAlw1fuafCVCyrGVRm
Jnoit0f7ZhRo9Gr2RJiWogBTwEvimR+q9P5o07/rWvvBWuffbpGD1McWR1No/bUERR0MAza8Dpaf
9l57QEubAYKa0eD4aHhCpwxMYYsvEAjypeeqClwwEzuTm6DKC+ZreRqFQIreE9N5inuYcKaOg4nV
kBzBc1gR8CMGxv7R6rFYRlfiZFmBOAjie7O7i1Pv0wbRDYNFXsmA+sbXdkuo9aPJLjhoFrZ7/ixu
Rt4lrFPWercUzEgXelOnxeLvdGytsFqTKHyGDJfuakWVg9jKc1gC14IKrupn5kcUk8roohO5S8CM
o9+dTxKRt+i/yIjaI5q1vTn1ZyHymjSysdklWvIPxKwbjnGTXePE+lpKHlJZr78Ti21lVAxna2G9
azFKx9++TBhc+OznQ0ldc0EKhIq+4hRDo24WGiIMQkhPh4ZZYJxmGXWYPBUszGruyvTKTMEP/YYx
mdWwHSc2bNkXbavDyFiuU8OpSUKJd0o788viWgrNGiJE33dXRN4ZqdrCDry5Y1UYMwx0x9LfAsOc
U9y4CH4nTpCkhrfPXYAva0muaKMfJHHKaB9g47W+H1Qr/i6pdR2iSv2du6Yd1ihcBZ7JZORVXQYv
ZOH921LIhDJ/JonABcYk2+XbGkugNZX9neniSgt6Y6AP3Xldpm+IsWjPs12+Gd1qXUyH6wX10Qvi
SbVnJgy7M+nS+xzrSzuADJF6WZ6Mj9qx44NhLuKkU169Gwfu42EoiS1Oh+Yu5fcVtO1aHltVQszB
bJWU1X1WhIkN5FI1tIaWcIyjVPJsDumTMkZiNzZTFAgIuo21/pdk/GurWu8rd8qPXXXFS/6kMz86
NOJN1guEwLi5jxUyC2nDMJ1q8V0WnbVPfBLLbZ46Y1Ty0A6cHZ0orF1uLSHhhr6NORXADb4WJrZt
G38Kz/lmgwhbp6SUbowsbBNeN7URAiwb5Z0Q1oOQZHCWwiVlY/gDrXc9Lvin5hkRgTDbJzJGNC08
ks1FG18gPFKWOxms0FZkt41ELgTP5siikxC0wjT2vN4UH4Tosb6yWGG7aXILrg1ZN6D3NcOMPY0A
PyaXOTQ+SZAFZnzKh/S+G73nvok27BBYEp/dT9rVQTVYH75uoecCtMK04u9YspWhqhMCC2LedOPS
MiIss1PfJuKKAzidpHvdgg4g07kn26YSysvz4ke3ZlVJ3nU8fqaZgT/xnatEzkydh5zizPwJ9KW3
wqlHYLpHS/fUj+zvtl8ZLP6VxG1aJaQC4B8zfY+Zcq0ZTlNE9ozAHEU0HGvFITtgxWBN/ZPVGr2V
nXXKl/Y9Y+mxIppB5VocZQcXZHbY7yN/2DHZZ6hs0G3oyj97sKPdGmGUnOfjNJjrlXH95q8YmxeE
yZ9dap9T8PhPjmPftV31jlYq2UcMgxHPEsTZ0hMfJUI3od/HdfBPeN2ADmYIlGtNuRkT9iyMJ6Ks
zIeFYkVJ2QQY6L5skUMOBLhxgbDo7NEW4XNIrCvslH/TvWn36ZHNJY8O9gUwlCaKNwAvwI7gqPGi
YdVAzM+D1koCqDs3lKVAysZmnivr2bcdXO/WwVVYTiOrQLC55lkou84LAASiYKpq1vZz692JTfdv
Tw7UtymqeA+lf2dQBDQADmFxVboQ/UQ6KE509Ou2wdyOhfHQqVNNMAOdm3Ee3ISMzqu7qdB5WcSg
f+TSYHIUaA9ZFZc+drjASn3T1dam2sv3VgLzweyHE7xdfYBDR8pGBmJX2GBQ/dZ9mgCo9ciTTwS9
oS0iAgUTPR0ZyQrku3HC1mnHgWCPgXbthIbP3qON+rZdrAysUbrQtQkvm91PkfZlsAIjOYjWumdi
pY5pMA8YnQgwB+flNkCUURBDrrkdB1apMZF+B8wMHwjT+T9bRqJ0N3Ym57XflsS3aG0zPArB4oHL
4n47GVVEQTwsp5jfbtixYqr1Gg5JFYUE1p6SMUKJ5K7tAenDCRvHM/PUhQYMRDkOBJwAM90Dy43d
PLCe5Zl9JHWzJGCAgcXsZtfOz8W+JwqZoQPzMHJQZRA7No6BlnvQYTiPU+kTGypM+rL+TBBoUjkF
M9t15hH/XDeF5De7z6Y5/tWSFrnWqK2MJ2adsN2a5BUOCzVr5b0v8AoP67bm9PKWUplaJLAbHPkr
a9HQJImCoOkbuq/qrGb3dosgoLJx4aP5R3NR4hJh1t7ZTX1PDUSgCg6wvTmWv0WLt73ziOKcxXyx
qvlN3IHHmELw0Sz5cqTbjgc8Xum7AnfaEciEgZuBTNOmINAOMY4NCni/os6k/Ie3tK7VkymdKFz2
Zummh1FTPIM58S7ziluNZOkgk98a/AZwDfwxZoTAhT3zvuzni9cz9pbS9ZhPmkiLcVvgSjDsOPtV
FeLXgh2e+Pj8bOQRj5Aw/+SLjdD5pIflLiMqYV9lm7xQMagqAZTZLjOSBpvE2MBBK0z9l7QW0k1Y
HcSULowb1hkWhDkfi5HHMrbErqBjNSq69NUqjINnzIgJOEysHA+qHUxOdrcWPO3Iz7lomvXVIie0
mnPg3fZ86XKOCk84r5xv8T7pzaNXRcAyq+eW3Sos6w5RdOcAw+QcX1TxPsO/POTxnbLcP8oED+jU
y0HK6UrD35KKw9tznbxDqepXIcnP8w2TjYBg2J4MMPQ6YgUd0R9ihaKOg++p6xRiebhwNYOCPCVS
CrsFzZkvr+PET9cMDK3aoWMDW93PEf4bWhrgPACjxoyUZbc+mgx2UPCZBFYcwXsQRQuFZkC10cUZ
gmEfAWWXcrlPm9bWpdK3jW/ZGimI9PGbgvGwDHjDF4b1B3j/J3HZfs6iEJBwilcbZuhObfj3MkGv
nHdvKCnprev0j0CxZPX1H3wNAWyBmDSX5HbsI3lYQbN01nrbT508s3BeZ/LMCBQWC8HvOBTONeZZ
G7VIkLS8Iow8n4FXWsd0hj/ix/1VG//D2HksSa6k2flVrtWa6IF2gDbdZgwtMjJEysoNLCWkw6HV
o3HLF+OHmubQerjh5prVrcqqzIiA+y/O+Y71aYEkhu2SfRoZwIXYzV9nqapv2zyNtcPYH1mlaffo
BaqWoLMAN4UPbnITOgwIYrKO4Z1z6ESp7q6aDtWPZmQfecL2pQ+ExoHKWq736ZDgT9FrCR+fvkL/
9uuvf/vHv//b5/Dfw28FJnsMVV7/49/59acqxioOo+a//PIfp/gT6Yv6af582X/+sX/9on+sHv7H
418/qvrr9LB5/K9/cv73/vML+fv/+e+v3pv3f/nFOm84sq7tdzXevkHFN3/+Eb7T+U/+//7mX99/
/pbHsfj++69P1ebN/LeFscp//fO39l9//2X7f16J/3gh5r/+n793/y75siX/rf7X//x/vuL7vW7+
/stw/2b4pmH40PIsj22h+euv/nv+He9vtq+7hm6YJrJ/17WNX39ByG8ivsj6my4YSeN1cVkzGq73
669atX9+62+uYzq273umLnTfNP1f/+cH/5e36P++ZX/lJJorooLqv/9yDV/8+qv4j/dy/tGEZRim
MGDDgJn0Sd+yLH7/8/0GKYY/b/w3PXKzoRxJ0w69k1aUG1k62bomfppblYFlkCOboUOYJNH0cfsI
aHIDvWGdKXOd2lAhgsj+MELvwyjVEdDGKmimgPgY1hl2IctllGZ79hYL26zSdTYrKkrL/gY299iq
WOOBiOwF/LOlSw/I5zsGa2NjqCy67AG/43RoanR7pCdv+6h81e2UcsL15bIOH6TpZcuMPcQkbTzI
FklPIJ1hzqUbOtTfTI6pAURwx62wiwp7X/TFzXAcBt22ZHCvfbeaevS7JN0NSqx0HZ1rMCHXC5Fn
TPH4VqTlbwhaUFJTnQ0f2E67JfVNeNDLhhZBtk1y8SRfyyAnGFj1q6Qg17Fjyx3oc3aSNbDhzvMd
KoiCqSLbHvjAjEPdQyZ9TmuiU9JhGbCqX4IVAuDEMRKLVwg4ZF0UtrmJCUAbOqKRJsZMObCjzDPw
QDjp0i4pq9BpB+b4jv0LvTMOyI6cWTmfKgUy/gSvvkFa6T7q1SY223PoYpM0HEuuTIDQmWoeJiEv
dt1RHaokXFYuwZdwY3TDuHDmfvd5gTY3CzbVk1WqxxzUG9R8TK4fPkFV+L+TxywWn3E/PvYefoaq
edbsMd76BdPdXoTbRocFO/TA1Q31OvRo3NsEO9VEzx9kMN/tEG9CUm6jyHwRdL9rYx4TglrWNwV1
kDC7RyYV8Z2p65vEIItsJKXLSKlmJPbcrvLDC8B5UJHxVXLPXJG2rETD3oCkjq9wwjeuSXCVmvbO
IslAcUH2Mq8UPTcqpxIdlxv/buI/74j20driJZZuuNQqS0FD1+Elgsxi5Eos2I9WoDxAjzBbBPG6
AxywRpMboggW4OJHyAPDkL9EM2Q76/nxCUlbFNEf9XJzkCg4lgyP7lFz0l8HHrOvyNyoktRl5Ol7
NWDytRIdj50JttyEGNl6LLJCohhMBkOrhASyGTfHZXuiBf9KSmPpRbLne2KNl2Eo8uXNI9azk/l7
UeR7qqAjVUpeeWsWjfvZg+ar6gmOEHUEM7nGrT6KpjnKVs1e3F1hWTcbf/RCHZDqI7yE609g67yS
RfJA9lWTUnM4pLmtg1p3UPRtXLZhCyudh9HI8tMSZJhg5OawVQm0c4m3ntkJLZJFHhQzH3tbVy2v
CWVtPBoE0GjJdXTxfNgVwgrUF6jiU8a/osvYxzJjraT2oezkyQ0AyRgkVvlOQDOHLs1iaIgm8mJO
4a0eYacLrEo+1rzRwa5h2WDvhLhHEfwwiCBegBQ5NA6BDgHj5CXvF+97eicSdEo9zqZO07dtGvuA
QyUZVPwqqnt/OxAaqbpH8sWuAjH+zRHZLpGWi1IVdR+scz5/ab3iCTL3ZppuNPT0g6r6VZ4+qiHc
wsxF/lpiHbZY40BhIlmR2Ti5XrEwvwtrQrqe0C31JYo9liMcoPyMdpxQ0OXdblYZdlTTEGupJuQc
1vfbq9XF6MWpSVr9VhO2QSJp+gl452IWTr6SuuUdGKrRkDc0h4FX01a9tAbnVNH0R69gG22H4oRh
clmo7qyZY/tjAJl0eYoPfsHvOMyAZEZMSSVPSChNwGv6DGvHQN4xs1n1EKfZiYqQ/o2sCxGN3AJh
ZT4YVkvdpWnNe2P3h8ww1R3yVkgZzMTTR6MUzmtT87pZIVoko40UEbriiNmCLO3CvtIMVnDSUMym
w0GV1TEEVHQckgBqvyHig+vXN92Kxo1SBootg82yVZSEOBO5F2sMuo3ZLzywX9qL3Mb/ktrtSck6
J4tp7K55/TDMdh5f8QR7fuzsHZ0OW4qeDIYpOxsBT1FcMKQwxsZ6y6bsOe1MA4GfCRDF0u+18TNI
PiMWVb+tqnxyIngJPaqXlZfQzrk1T/YM4qiK8sPOMniCaeueM7JnAJaH6SVL/Odya0SOxLEeuTuj
956kcJ91rXhzucvWrl6R+FF4q4w1ziaxG3lBmMuL1xGHlXsTTqTQMs66kX9pWvs81q630j1oGdaI
3hHyQGKDxRimaN2U8ycHIw4O0fIV6z1Zi6SSgky217K+GR7dNoPOwfbtRa1mx0s/nCoTPo1f0PII
hm/byt9mrf8IKnGh1fYtHVAF2TN9TavclzI6ISzPWk7Q1qufybhdNaH4FhNCD5eM3AyPmZZR7tc2
uuT5kkvwbw8UtcLsdw66VnTYbIySmDtMhjecORsnMb4ypH18wY9dGDfHnyJIRO7PGMkbG0S2GnJ4
yrtZbx7/NB6D4WHOsyck4q7nkQvqgCDVfM9828JbipVLxt2Dl3EmlrU1w3F2qITPdp5ujEH7BBE4
AeSQT/TEX43/BtP4KZ5IaRzc4Y5Mo5809Ojxd3r1lQ7e70qLXxmGN8E+kOUNYNXORWerk4W1kBjE
9uWy9KERMRR15Bp6KE/RnWoRt8M4v5lajooQTgdDEu0jLXAKanJCOxqqK8QN5stAudmUwnGe8nNT
uSuV42ukOLplVnzLwuwTDfNKBegjAsacLE1OA5lnrrgIjwFEmjHXiBMWhDdawANM5I8GXyYTcHSg
0v0QTFgyrX9gyMOpTU6wzko9TuDuiQ4iWu6f6hqUPfEqNPCvfZABAK4/Xa/jZlVAF/vORTCJG67k
Rac3obPrG7xtAVwnTuYF5P0fQKKMZj0OU04LmMhZfegSyJp4Vbgh/B4fK2LLOqLJC3BAV9a5G3OY
oXwErag5lpCOcHu/I9FjLFLNBnowhBraYAjtxWepgwPsg2GatTEHFpE4E4gipYpHqdzAUm0CQlQL
u2c9zK+ymtVo4ROx3hCLDeODSbRjpB8JDBLQW9b4YIPHYb3z5jbFk6datcIqTLlq3HJYDjrE8215
hU2hbceM6ZEPtsbhWt54RX3IhuiJyNJkS8e/9Pz6GflatIwj2C5xdEin4NsjQxrBSP0qNQKyZnFb
6HUn1yPrEiEGWjhRog5CGjxODvwG5C3UGc674i5b2VYQcmrgbOX7YasM/6QMEsxxzhbLP6KVEXG/
hz+K0IudMwsntX64z9t6gx4aAHBhUWCpF7bgr1XJ3R4CGXAqNpBdJJ8sFOsuXkvDc9+B9O11V2HQ
h+OxIEOlX7ThizvYi16W/Mdw2ZzzM5kAi3Pi5QbArKN1hbj4yqO5NmWGdigAR9IjEzUap0OLSLoo
yoeNDOU5hXC9jBLvrXfvje41tIK7wqeG7XktNyLJn1LN/9ABjgONHKEDqx2KdZ1pDqcyb4bx0ZTa
p40siaAaFKDSZURUsE8pCZgI107ev7NZIvW+lVzE3qPhZC9a4r63SdUi2dI/EI5eUlAl5Mtl+ca9
q0eXAGYNH7g+o9CBZi8Zn99SdDrbHI3XIta0S5UE4g5nEEY7d/rdYiMDttQvGzFecNSkJDz9wa4e
qw5eW13oDzMJluEhKmxRnl2N9XIf8qGGHJAXQb8sbNRathX3RwNbOUpcSka7YNdItuCylN6lk/O9
n++tyIF4UDGamhlnDDw/G16jpd9bjNz0w5Ci2Jq8+VAvPgojkdtmsK59a5Bpx5vXDTF3ODE5c1om
gyTLQReBalqF1N5VyTIrJYN9Zg10jCG1oUAJYzLQ1XOKeCShkye31G6s5PWraqYYw1f+lmAnJjF9
DFA90TYMcp8Z5Or1aDER+Sm07hRSvY4tzcUROikKDS9rNxrd7wopS7bKKr3Yaoo6OG7wl/iEMZEH
Ib7TRLeP1rw2t+DDs3blM5RGatMI/bMTQXPWJuyb1bDpM+8xCxriZtwWRRJu6ERk7aFiI5WF1nnM
wRIQBQXnpUB/M0h33cDNXCYhHtuwFxB/xTl2rH4dN0iv9DxIj1nIJl1E6CFjzmaJMMNCY8irFhNd
0pzHjpqTyDIcmbMm2eCbRD7PGlZm31Ot3UUpGR7YNpIZfFRvzVnUHBqvAYXlbDeK1znrCVofvgSw
+ogN84j9Hwsh+40ixM1cFffDY1eF3baHwrok5UbDuMpJN3XdJoudjPk7EVJpRNpLNgCnSz08GlqD
dFq9mRoHSN6TbKSdm2bQXqIO4arfXl3fexir8XkyeYNEyPRQO2cuBuHW6Y5lSnaQG7h3JVrXOjEF
rttZIVIUeMea1yCr35zBs1djfQemsr3UOo1WzhQAuwBGY+W1u1BCYqybfYns+MaqJL+1s/ffob9B
3gY7wPCNQ+LC28Xzj7YthDFT0hjgDMkvs1nZjd5iTSoInGm1ySGOW406o/UGaWvAeiKN7jWfNhMx
uhTIxa7lssGtZvorIqDJlSQ0hc9iYparKpG84g0clFLAHdHr6Nkq4EbkDvowoVtX3cPwwE8dSLr+
kRwbCsW83VA/PMCX4EOW56zl5320CjAbTKywHgJ2XAc/zu5sEvpU1ssngW+HuYLGe53IpzbbVcgt
l5lJlJ+yAK+kUdXu8QqnmzTW7xjC11jXzWWlwVVKeloxuLF73+gfGyvEu+3ED0rl/gonarZUSHyQ
Rk2INLI3B7UxlrWYT2eH5cHk2pIyunBcM3MDv4ssZtNrobv27FnmApi6MB2Q9rc4Lm/lFDWnKutv
Yz0+G/NewSIHfda5XgdPPpfYwtY55gMgvMi92asyeh7xybEpfem0Yua++DUWOGixrcG1McXzrTvu
KsKksqE+j04SHot5GxgTdKSq0DmREUN7qi6+VT4VDZeT9OaIXhgaeQozsJuC3yBGl0YXPGdRxpKj
zdZuZFwUZOadjt4o95AgB072VpjqHDXuMjW9baC0+4YR2K6erFmqxZ1PDO42GLrxbAsQ2JD1OG0e
GKUEaFITMCoFZuwM1k5MLbDVOPRsX+rccatA8EK3LmSpIuXh5nPjunwSRH6hQmeLjHWF7tA615gW
E3t8NauMMOv6VHoOUkbHOhpBoB9DxrcDDm00LEAWEDrb2ux8K/tVzAtEdufFr22xFlnmY8Ev4aR2
KJjnh6asPgeWvfdJGn751ndNOk2fFftB1MUOoQ63WGgeOoiyFsIRdFki3wyvPZqDtaqc4tjMC5ZC
/KRJ2K46p/X5jrk1BxTkqTQuLWuuRXnwGliyPXXhaq5eNYN31i6fFe9HkVTX0J2/Wfwwx0piVaBm
q83uOI79XdQh1SUJk9V2Wq704Xdvl2c81YS6o4w0reGsg69zezQNGrNxZljdRngVBQ1OmxELRTXW
7yILHe5d9ZYxKKGdIt02bDB9pEO7VT1VAQvXo5ETPRDo9kdXtId6giRfJl/stG/NDGrOI/2QNumm
rjDeK1Sq3B/5uwltRo+OtZNeUI7sUpNzOKAVMVhgbXhS+X14LFs4XZB3v8WA6MLx36qez3yb4mAy
uwpKq3c3JZSihCw91RqRIyZ6RzDVlAv6pRE0nVkL4zWwVl3THGBDiQN4jPgMF91dWwXebN+Gc8uw
EPU9VyKKqzVbqWHpuC3uYs88mMTBk+o87E03m3bKLzDJse4fw50KU/GEUZyEVuEyf9Gyuy5u5Cl1
YtxmuWVcJ/tpmtBHc9ks27h8y4jWhohUQUmy1D1wp++iNC9xpjlLBp7Oum0/0TYl69DkuCPBRD/W
qJTYgK20SenXkLyTQ1CiItCBmpKD0GAmLoUJvg3TKPJhNl3+Maji7imLk3aHCphDxbeszVBp03rq
MYQMCcdPaKj3QipUGjroHu5xhRnL2GcqRpBZs5XtxLBMivbK3ekchKkH925KrIhRTudMNCtipyJw
V+2+MqWxH+rqvWwBMGiGE6KInpHnJg2ZM5GNR/hZxHL4Mkq5RsGm4Prx+Jb4uBYUcZQrYb7KkMqX
0Qh1COcpFBcMwzmzTdnHH64zvQ7Y3Des/Y6QtjB0ivjHq/yTlWDvRuaFGiZ+9VEsrgNNK3ZEEN1L
W4jtBKeBYQyFZJ45RG8E30Vnq7UB+oIrgmexTdmFofhFBFeuR7RxOIoRtaQSFkBnsVoLkfhyBN1A
rtKWh4gfR8/8kEadMypdCo0xoQqIEg0HazfkKBup1xNJXIdISpjq01FmaD6lTlybXpRvyr1kYBET
UxNA1uuzmnwPTj/Mc4uZxiLAuwFivltEISoPVpSwj1zGr/VYIRmVnH8dLqd85FsMHe+B7vAUsn9H
P8FLyfIRtlwf37sB5jIjXocTsgo/Kfd1X5y9fDM7dRa5H6wcq/iq9HxnMD1KymkpUyCe+fCqerUn
6ZCuv+WtLbGal4KmZq3RRGhzGAgxi25l7jHskobEVmkdF8aLP6IZL7MvVAbTwcKjGBqzjA1InNQd
PFm4nPs4AJIfGA8OdRTg4p4nGsmkaCWzA2WQlxw3Gy1wid1N6+s4EWsh7MG+shGnfmmXeAfas9Ro
CLOAup1/bbqbqbeMsLStP97pEdqe2p4zScrrCDJu60XqpMfyQHggg64URZLhFDwDKnqqVRD8zh22
lq1NuyZLdC4t+bI2gwj4oG8JUTGbxEKNW9VAjYeGKQzDG92DIjIMBA0QJFinOEn05MnLWTuTiF1e
cYkcOeMwcHrdLg7Lc0qWGSKf5lHPEWj1Ib/qR/d5dIjCDQxXMQLA0SoiUssRCbbyxyqbep+Ed8LI
X3mT2toOliFtx1bFIZrPHse5c8n4oqRU7hazJ01ai7lJUZxQmu7h13YrrEsxDsFNrVOMmQPagLq8
OhHtWpjeNFY5y1J3joZbnd1oWlqctFNp7/DHhqtUIyZ01qrAIuRzi2l4ReO/wsB11zh2t8Wuicjt
6Fb5F6MpegRbbEbiZhgq+jF4NCSOJT1+ZONGC3zYYZnM31jJ9gCRqTdmvEbkD83asVx7RTjVG0Zh
tNgza8ryMXCKxhzWhWXwlstOogvFlxN2csMre28zm1u1RXdywvJ3OwKc1/ziI7dwVIDxfyscRhKs
f9u1PZG3EKGP83lQqP+DQ59wjrXMeAtTqz59c1p3WnnDIAD6O2/Y/vg2FSPCtMrRvuiNcJNP3cbo
uEMd6tFN1F0Sk8pf61LrQaB9jV2WvIh6Zqxd+9ja9QqH2lfSS7zJ48SkDxyvkruko5B3PL2DQRK6
D67Mrjb5TW6UZXsszUjOgwz3LzIgdHIIXIYRi6vrSAABHss3XXsRvTFQ4JfHxAm/EMDy+lfHllhU
tIjJilx5pNu27LaOFVTPssvutaLWj5nFp7AbGBkgcyF7RdSr3CJzO6q7axvn+R7q5xWEo0cTSBHh
hTh9q1IjSLl+4aPDDL2C2ZTEDUZgBTQhtFJBkDHXasCIUdtlhUNs0kSTU7E4olynaW3S4bsLQpKb
Iv0JHn3dysNYeAleZyNmFAzYaPT7e0M8jRyNqeivXg4z2JpT8cxSckGlDHNrP0zXuIHmfASSQ/Ny
3Los9XxddIeq0x97M82WcQWGPvDlQ9Ba4Sbie6NUsDZuhBu+VIW4Gwmt1zU+40MY3TdjdW/jl7pz
nOCZdhIDTokmzAHhxM9mo0Ugpa/or4ynC/4OFMpt7g1HM2PkGOAYtfFULHye9kU9zldaw6y0K+ce
Sf+qDMAJXdEBgdA9CKpwP0byAKhTvyR+iS32k29Eg0dydaHkz6ZipRj2kLqMozrEsR9Xp6yp27Vo
yeyBHlHbaCpcMjWZmJAuBJRvZSY84A0eHuj8xjYfKA5xdUEMafG+eh4yMrCNsuYwS6fhKRg5HQat
I/MvqbtdOXY1zXZGxthzZibNQuf5I/nEfnE99iNxgqxAmFa2/TH7OQqCOPul6+MMbndmKhiHY/IG
yX+xCGzBFaWhKC+ZvEz2W9wyQ7AiG5UTFgYxBYS3CNCDOpQO3ZrqI7mGv4Viw1Xb0cHjNBuUDUiF
I0A31tbs7u8Yn+8qHOEO8K00SiNSvMGbaaNr8KODKxUscyeElIRJM6fCZyFWdk7TrjuxtfKm4oQT
YRu58vdQZ4SWIMBocq5CD/cFLuMYuUr0GxypRmFWZptS6/hhmFLq5Nxfhcm0MS+YuqYZ8LPMqSgT
EvUyBIVawetad4YHMc+/DNBFd+4YHwMx3UdofqE6C5LlKUcgjoArzDUaGlPNezkPLFXpdjGIau0O
/Ue2yts5IHLT4E16EKCDO1JnrWDIoGbwijgw/Xu7XTc1xTlGiPyIfmnbqYApRJycPAF0JY4auRZ6
DHXFZqrhmcMLmQ9qD8krWtWKyF0UICYUz8UkMma8bJKiEI85gcgbCeMIBETD3rL6UXH3Rp4Yr0YP
ZiYvjfgEGxs9pbmJBJCuWuacqRUictsbvmI9vTQNeiytsBjXBeIYDlyRWQLMxtEeRumT7jJv3Ss+
yTu6oS0pHBiOUeAHGqNuZwYY0Poic0aeBxGCYsDTSF6fBu/OuWdGcc3ERBBTp925Logc4eJZUshy
EH7vZRuFc/u9D/3ujkqp3tHtYdcOtNfOtu8hiUnoB1O8HjVIptPEZBJrJQgDhPzDQORNL91HoKYP
0UQfpVG88xpjCI5wu+XqiWFuBh2b+VEJSNnr9rFu4Qsyh2ExpfKZW0bwb7UI+1uGm/qQf6FT6jdR
UBxZNIC3H7xoWZSuImj+IFPH5321Nx7qjrXBPGvKQx3QqEmALuHnC2YLkCFbT+68qtu6ze+ELEhp
Bh1SsL0gy21bxC5kYzS1SdocU0wHaPzg4fg1EjuQqpeunvB4Fy2LACPal70BaSymN5OyIpB0fE7m
jJ6pwSOvFFFcEBDiFetzontB62BumFZ9i23DwE05hLvOnCvu9tg5CSwbDD+70SdL0d/gQVL7Lhbk
CVB3IutGmBj5z12Vfbsy1zaGXQCVEPlBZ5qJUlDn5FbHtOKqZnb4mrQPUk3OrhhLtrAhsH1uF5y4
xT4qsFMUrPtBbjqCeRfRNvbS1UhXsyTjw6wAr0yApLfVmczxzkbBujNZNLD2+t0XhtwxLkXsqSEZ
ifqL5vS8dVFFW/EW2OKBCPKd7cT7uDsrgyoljzdF0a6MsTq0tXlgkr7SvAPRFhg2+evHruczQako
i4uLw8AmDNT3N648sFsTqh8RLCPGwGFS9Gw+GfusIkt7Rdg3jxXAOOXeh7LUHhnojb0zpou4B8dv
v0Yun5aQSroN3VM5Otwp7afspw9FvcYky35sgYavrVD+DDLbtJAl5ilr3Yp7u/gqAy+mN+oPPtTx
BaOeF6ab2Gxx4RNARWOQ3Qei8FhUTkd2LzzvVBpZ99rpqL+77Dq/MTVnD7P/d6qaK7qRfQs1bV5b
xnLisZYQHyP/wjCe1A+nA8bHpYWFpCrHC/LSFgkycc/t8GwYt2rGVz+jzChZdCuLoz7a6MPJibqb
S4ZC3Ii7PO5vlrdH9wFbQNU3ir11FLXkfPjFjWvrJ+4bUHiN+RA0Hyr0l5EOD/iRSQQR3NGklnVs
36flER3+vcchNnPXoi1brXSZswOlEYgemc8ggcfhiC9zxbnNeCILHsi3hnZbjP0iAn1Jb9V+0Ah1
0GT9NQuCS16Y+3pIPhyS1+m4HSScwYMamy0az3gPBA/0b0AFkj6MJeeY5gTYuntqnohBglaV5brF
ITvvId88K2YuLbB0s0GxIjpQz90DAVzjGmbWiSkcsOFCE85nPzq3ChfQGvY+xw0t56YikC12OPCh
PpjguAmBl5eZZTqlhMli/nuN5PQcO9ougi0W68ahrhmyg+twVobFHm2cOWBp6mzK2GvXJvxOvdL3
1LO8m232xl/8pkb7Fe0FlXVzb4nmoo/MuMkLvx+BsOlm/EGwKtTxc2d148oUpBcZLZH2/Q+ztUce
PhZvrb3sILO3QOE1SUwRnzFSsDmRmTYGP3UERQyF47EcvXPkxjeYiW8eDkOqQZ6IKIXPMEWUXl76
E9v6vspuEUwTDn/51iAdybrod+ll5yq0ll3rbgwtQnAOJIRMiYiLjnraMbhoCGdFEkzvwWyShQj/
Fz1DA1BaL9AAq4TNV1g4d6bnUIrZPaFpNqJfKAnzK2KLmSH9XssJrrsE0eEiYg8789R2SBEa30I0
wzOpAx7RMnnNOOHZyuncBOaXS80xh6mFrrUNShSsTAgwZGUB61X6MWqstckkb6lXfrXWfC4SJLbw
fNrxqc6iR0MxAs9NwXLVAp5QcbdOuNDxQi3MxL8YVtatm7G9a5SEzVRtJ1KcmIdoF8rxFdpAhxPG
QcrecDQNwW8QuU9kEcx7V6KtuuIHJsGesw5OuEMjoUMKCoILaHJm4w7VSBZyHYIYa5T2WZ6UUJuq
gR8RF4LtH8/SwiybHoFGfibAz1jXbX3n2cWb6TRg0ybvKwibrT6bQjLinydRYRadZ3cT2AKlfvwK
eKyd7o2yBZZLdLI+Gc8j5gNmI2O3sMDdsIiLgVaXM/c+uPeVfFRuXp9xKO2jmttuIgcTjM2Ft4TV
B4bjmuEhs3s8HtRKJ8DVuKpKiuSyekv4e3bNyCalyf1nLl2XAcpDOHvtc2UN6/Y+d2Pzjl6erQiC
YtJ4GJlNwyngFgmD4DXHm73xev3d78f7JC7jVZBiQ9YwQ+wKAsKoBvFADC1IpT48VrU3Yp/Fy2oY
OBqihCTCwN0yS9CX5NKdixZ9YH2SJSkLAHU4br2dN8/Wh/KL6WqHHXDkca3iD3MIWWlnyVr29SXj
+10akqH7YDSvjhW/iBZxFP5T1Ejv0zTeDTqMgDiMvaWw0kOY0QQ33B0uDg4sIBkwCgroZvzwgxhQ
CmryEDrI0nPHcBMI91FWeraMWgCPk/+GB7RcUjnXi8fOTMSmyvclWfU5ExvPSR/yKY72WlmcUOuo
DRh+Rr4eTAS6QB90lgzdbFPnzlnMNv4Q2cjCdpt3q6bMiTDnL+a/C+1aBVt1WY/eSaFP3zLTZTPB
CLHV7A1ls4sqI55NfIpebzw5DIqXspnIo0LHxmAn8DgptFRewx5NWB1hVYIv8VlE6itlj5PAb5V6
x+OkHAJ9zfcS+AJtTvoY6+pG8PUa+ET16IBukW2KvyafnyD/3eO5NqIW9Xvt/GQZJlC3fNGV/uSG
wWHAsga1pMju0BNQoWnhk58ochi0WULE808Gw8j20vrow/DCHfdk0cpw2UYgOBFeEFduLGJSwTaY
iVac7LPoKGRTYR3bhqqici5QMHgaOSpNkruhWSLw8kK6KlSgKenFeBCibedE7IVtUCLzdEmL+nXk
BNdeiWXK1RIGbbUxsHwHkje4lZilCpms0cIxQUFwRcAjuc1TtgxjfT/p+gcbxI94wnkDnSHEgh89
w9k09pU7kpnDQgHaX2mcaqPe6SERnWM9bSevJ7S4mXakTifPghk363K82cE94HoSPmX7lPxJyzK6
WNvzaIwVf0avyt/FCM3LaJV1UDq3OS1SkQUIZBz9luVRxEVvfuW5AP3YjOahAO0FGyT6SnCx2e7g
b702/C5kj+dNtj967N5bUyw2tm+iEMxZ84YmolKENGiHkiPEMd7mfhV5ukem74AFGtPBqvCJp7K0
bCcZHDFZhswRe5fQnHFi838UnPVlW4+IYtzHhvmQYoKyyeyRGxCXHN5Z+1KxYF7igcNYUrqHSIZ7
oSUvk+EhPUzJKavogJOumJ0A5qvr1caOlVDYeOFp8kbrZBSTvnEEVkinMs6yIkKClZTmLgHkFD0B
W4h7xlXie59sVp6MkCLMw+0cad4plwWJV9Xkn/DNXOsYK7VhKRZbaIkib9AOWqPvoZjj8+hQ/eO7
ZHGcgX2pUUrZWf0DKu5iBseQgZWoiqeSmfUSC7KbV08dph9BBvjOtse3P7zZasaplBZwhaH/MBsL
X/qkEVOfmUBIRHMnzPs0FK9wCy8BHAPG8wfLCvG3NKc4t1YSWShaJfgHGIni9HOK3FdehbtSdz8Q
Ex4s+m6aww+vLqjrzGbjTnq0IiXsZ/TcEgiZtSCv0MerTkpsbWTd0mzYaRbhynRxtdv8J9KcH183
vjS84FzgUDHHqvidJikthOd+FLhT/dkM36jgyWsDkoGIP3BZcHhKgDmcUgAQegNooHgJqXlAuyOr
hfKs1VtgJMcIvcMqUokDrmftCu05aF3rdIVyea1Rqoct7vrIizbo5SgpCptM6lkKgVAbT3L9WAXT
1cCHu2AZxj2rUZVk3WMZdl+TprhFghCckskEjjjjMkseWoFUyGXM3CZ7jeHoIuHHIyXk5HgK+1wu
rhEhgGEp7g1vaxN/5g+YVSnmDc0kQQS6flihfA2iDl2DR94qsLy8g6xgxwJBOb27FWDCgUtqPqaU
Z4vECOaRwitqeiSO+8lNLWrm8Vg6bAifCTl8gjlLKVizPi0M/1aI+gbD9tBaMbBHrvDJq/mAEGnV
mK/63KYWU2cskyBdxgEb2CwYj4FfvWB9OQ1+8xTguEcsbwH1ToKr6bZPkde26zyIFm6TQE9I/zdX
57EbuRIt2y8iQJNkJqflrarkzYSQulv03iTJr3+L5+LhAnfS6OP6SCoyc5uIFfVJGz+YHveIJcu1
QgFGBId37rLmKx7GnWC/OqGgDmMOv2SJ//E1rw8NhIHRKBuDZ9drP0hdPUgKiLwMPrLA3jaVgbMo
vwQpHXmCR2FdIaaIK6J+CBOaAvY2QtLY9wj0trHbbewJYZ2DGFlavOkysz5q8jcpsfom+YgXeXY5
b8P+0fY1hHlIpauatWBeHfNEk85TonSxH93QgP/jeidS1B5SHa6drmO4IIgldYlCI5WEb435Zxv/
UZpFJ0hbLhEK+UwYBQ5xP1jnhf8rkgrgt/8X4X9yNQdo/sQuDGQ6r6qCM96b/kaZzZEYtQdoJISk
9zF0SKPlMMmqnM0ZfmKz169eOuPBrYYv02A17pwcO/jA5/EboqhBMnAuvYHQVZZObeXBlBiaUxup
6mBMJWqn0PiM25e+t++drxY9OkginnsmR8xdzYlDhv6NsiN385+Ouwo7mION0fPI4UFTp8zmDkXH
YrWbnocpuzrSj/ZogB+6EsIQBwu2k0swU8PZbRhvRURrAuluP4jsjA8uYx8FFDQqIjiTJkhc33P8
PZgu5mMgElbYj7cxYvtT4dE6I709kFmTYDc5CuW/E83ymwZfkwmVqvAEHgfX/HWjXzsjW63D+Gom
aO8C2X6R8UtnXOH35LO6zarYkOXV3su/JDOWl6F5qEED7AN3+vBNQLf+KH5Mm+F46ZEskoond6ie
/Lp6L/JEnHVOfgXbFl4KtlZrBuj+Tse1RIIBHYpZGN14LvyNYzP1C0D88KpCSqhpf4eSMQCXjN5O
sPU2KoYlqCYyGGwyqWXazztoqgM3urzHjnvIMlhPbc8gREO6HUMes9Aiul0G72aOZMBpe6jz4GTz
OVCAEDMEzH6IS4axjNnxpffByVYYFylgCRqBfI2gdj4SOiR3qgfZFDURXIWiu0SWVW7DHK+a00Qv
wPJ4quuE2BgUZPt+YmqLnZGONZDbrq+mDW/llwrdPaFpDEppW8Mc4X9sJ8UVVNR7kyxwjFj/qsEK
MJThAK2ogEXHVFil8yqdO2isNdrH0Q/f5txUGBjqu85bhmYdCrSIaA/MGx0Oc1J1wH2dCsb+A+3F
Om59zYGSHE2ABE8aHaDPjl8oiKOFEQEFmrAqw5u2GI9FSV/evNFmF5npTZcbPUqz+pCFj9gf8v1M
uuqgE8BtvfUFrvNHxzYIralDwmIz+WPo4hjdD2r6W1eFFy9zvtPeHbcjEqC1icpvjE3vlORgDezk
Ixyav7nnfChZQmqzBLrHBrG5e58Gf0M/1K+XxD2bPKxtO78P5Ejv4C6doSJ8QKwC1hDRV+v0zYXz
SsRD81q4PQY/rDAtE76T0xTPedNiyK3nLfkjn/x83ZWpiAX/719MPJSkYbYnnwObUAPlokLFH9A2
k2TBKAsOo8SMOc2A7+cnenR76NnNUqRdemVDpDStB6TIOT/35qgbn0CAWp1z4oH2oTd9JSn2QNtU
JySaeEwx9Vfo8DB7q3Nit+PefUUk3SMf+oTlcQ2rsd7pi2+k7SWVpCePFdQDbdPDWXiTN4gYtlEr
/vj+sHc8Ai6CgMeiNnq+wsh/B7207dJgGZx4V6m7bt+AHJ5S91X0XXhwIwvzpCk3aGvDi+0Z1NEG
PW7suszPap8eEuVhDM9lNbrGl1W5sOiZza97pz4HY/KUxk18IXH4H8KR77J0PnrfY8YHQcYOr12Q
vYxp0S2RkKQ2FOCB/IIzmwdk5XGmchE1YS9h2Ab4hNSGPLcfDUscZen0jgsNA4hLUFmF79eylni0
GKTbHOPKImJsWyrUXebg0lULOFfIJqtt3Q33Ocie8Igyq88wiBEKbKzbHlmDXuzN2E1IHETZ5hVz
eCmLgS+W+UPDH5ohItvgX1zRcE0XVJVrbcQz1vYApFsDMEoit9eIT9BfabnuzeSprxhhfRIBll9E
vmTeGnzrwrW/hQ1ONGaorTprU9gA8z3JWonZH6spIIpE7VHMhzZTMFKRIK7KVS9DSfckMQy4HVbz
tOWg7DYGpNyzM2XZSvbpFtHdv6QNT3Yj06NXfEa41x5cCyd3kTzYjXb3fk6/SRFgHa3fsLSuKNp5
fk1tPeILb5i3AVMJZASRk4vd6bn+tBUhPh+X/WeTJveukAwAUWCU1aMiURenTfcE1eHae/rEO1Lu
mfl3x4Kdfnf1w2TfDMab0zpv8QzI2whB/UfDtlJzsfU8HUKdI2WXvgCmdtTccaWBJhnUucgN0tFR
AmZPqLa9db5ThZGj9rXo4RnMNFipYlSIXvIyxC13I/iVYnyFRNLtuDfep7Mr87+yNaYVm3Ji3kxg
DmMApjEClwNwJUJBR18ZejHyHpIPtYsFPwjEk+ddm7K6VAXmR45u+oOeh8UdsUlbgGoRJeDvcRTO
NvbsiLbIZRsED5mHhSAya9D/Tu2soQI7FYcj4ggG3LyxaPFvTSCnI7FFT4nst1ymX2ZPztYwsMuL
WbkRO3SdS33Pp+HHcb03L+m/XKb0LM37OxkJ8xJuL5ivjhLjpTVWN9lb2zCU86oyAth1BaGaoj4g
jiShyfQQNw/qw0lHisri2RL1iOdCPddFhkuTYK62Tvmeiuir8stwl2fiSUfZyRjKv4VWzw3kfCRb
J8MATNdnvLoTEjRwvivP6GCd6HHjG4w0SgZssL2g28CeatrkZwjdRTVoLh1UtYtD6l+D5qLT7XEC
dE1fUSSnQQM4q/PgbHijdfTY6q8iIe4J7k4uJvmSSgRCDXo3kPOrsWD2b+KT1kVJCHmCkYTBDIIv
QipRln17lKWYAtKcLN9sE6VcNLIx/tWW6+1t6fFUETInHOTHWWw82FXANBGV0zpkTbeNrPI4h+p5
SAKKyqz7640M0tzE3qgc2TVWF3efT/lL60T7sK5fWWsO24HpIpiVeYM5KVnXEoMQx12+E5X3aeg5
Zgv+SwTCLw7/eaefe+XKPdi4fJVDFyHyCOmfFXlrWSa3bt5zd7O9Sm6x1vN+4Sdo0B9pDWCcxPFo
O1FFpB1SlyURDDk8kC0Ej7puvr1cfUNFRB8dJK827wbcONiyhFKtuhyQo+MBIdHtEjKCqoLDJ/C5
FGkayXbTWxtBbxP8E33+IBOwMn7PJ9gaN43swHeSfeoH0wPTQLybaI6Js0l3CLKP+BxTNkjs9Ens
BEXC5njOA7CBbvXkSVkCtiGrsSrFsxwwTBqz+BG86bupyh9An3BczubXhNZ8MyD8cBFI0vd+FWz7
h4mwJ9daWshRnOLe+lZMoq4lKkkNeo5VobEJIiY+6F/8PhbIrsxxE9XZFWFcvOp6kGzpRAJntCiX
E9WvDZu4HjJztiqwP6yqe1VWwySc9TcxhO8YngjSWUKhvQh1dssFQGJnt27SALpMom65Nfh8zm0F
4wLdBhTLUC0vQFtke5irG7ocBk7M1TGFrLpOYWy0cJo5k7WwG+XGpfRCQs322kUcL3wC6FDP2ncj
nP8EKSCvliSCfRpPW9HqH4Gyja0vI4eoLQ9JZSydez5tIm3qPaEeL7FhUsWA6Nd19EAEaI3wgQQS
N7SfrEcgVuYa6fhPEfTbvhsukURcjhoD0U10GRRdSKFDCva+26+jiHdomsdvUaoPbQVqq41H2l2w
bqVeiCYd0HFbbNuMNV824eyWYXLWbG62yeDX2I8Yxrcpscdm+TFp0ilqp7tWCjfXTFG87rrFkduc
JhSRGLFqWpTEfCZybw4kGyBribGZJBMHRHFAhcJ/XlpeRtVMK0FJsqPZYD37WBXZXagWc4fnwC9s
H8BP1ogB6LNkcoz8yV/V2jzPYH92urSbdT4G0xZwlIFNNToGUI/gAPspjRIAob6ebmB/y+QQhJIg
9RhAWGXP/QNa+6tbm9XRTBqW/FHj7Mre/jcDADyFA5uUwLQ8MtflgW36Fv+eua/zkEUk1m5cKR9O
5cIPROOztszA3wCrpiAJx41m5oX2x6E0wNrZ4cnAtgcCqSP+q+tt1MXJ+2AmLbjskZ8bE9og/vB0
Cjmde4ap2VOHyTofGV7DBxgQB2HFd9j00acrdbTc7nNYsPlJ0J5yX353rXyjF/eZSxe/NSYJPNdi
nQvRoLUQ16Dvfr2iTs49uPzCM48EwGdMXoXYWw2JYSNPCUDUa11hWoEyfx+M2d22hmEd8gETidX3
NzJzHQbC9MfcJsYG2yzRL6TJdl2EXANSbcNPAJ3sQ2ISiz5r3hzYry7MDHUcXOa/HRL+DcNAfD8T
n+VsIljs9MCbkqO4QChAlAp0nNridPA6phvhSUzikrCrawKQKQVDt22UQdv67xdXj8fAcqOjTNx/
Q1ShUEZclRlIgnU0R2eaW+6T3JTERzpv8HTZY3vcKnPY8gbP3qVNXL3BIP8ciOLXY5SMmDJ/qZxP
oam+xhrMfChY7ed1O5xqi8pwWuBgvgTrbWV/w6newanFU9G1/s6aUVDNUuZbUQu5R2PG9zqzGDID
3uzUVwQTYaVZsXlpN+k07sxQv/Ui4quzs/RYZjLG5NKiBOjcuzd4025I/D8GrvCtYSGMmKKE0Pk4
+6kaHG2GLBk0kWFG4Gx9njQyOaGEuQcNvApIttqGdWJs8J0Pz1FUnX7zoeAO59+SJVIjJFo/RHyR
1Pdiyx5miaCBpLf/SvX0i+ydAVyGz8qgx33wJrJhTFXx4MVZthaW+xn22d85wnxPkOMX4YcblcIa
A2b2r44J7ujQ6sD4uVraugEaLBB5bkgLA89Y2rspjN2te2LAZe1rkyosIKhKOeRtGyrc6gZVOijL
Xju3McSXgsDL3aIZD1e2u7i5HO+ryOSBh/xcjkTuuWI6WEZMAlBoD9tUz2BXcqfd9oRahZ37RgZd
ufVKuIhgf8AZJekeUUGFSDgAjGqcxijwtnLuP1TCDiY1kDBXqD/eO3dEYuga+PZn3rZWXvwORbQ1
I0z04vwvwYhPTIPRo6R8bprpR2hWSKwuaQgIIZX2uTLSF1SvHwPsnpVuQnz8JQPCkm4FVppNw2JW
m9aAR4RlmJ82jTcEC8+BzhY5LGhc6TyMNv9PDVPaHLjaR9D9yw+q47Ch+X51x+FchIA9+I+I6TIt
uZ5dq15XEWRHDAQvTU9sgmgptnFMg73Cw2Et4HZiYCjwMGsCYQH6Y2siOgpvzXsOs7nz/5R+/Vda
aPJqh1BVci02hRs8kbHg0+IHLwWJYhc9n+fOJ2E67J9qK3tDWcC81HKPhT12pwRFiUwt4yzt+LkQ
UKW5uXorH+iR1RnuAPgz+qwasGLYE9uQSO8a+EeLZNk4JGmhDcszoas1Qyhk9EZafJmh/7dNULzm
3dAjBUJLNYUA4UaBbTbIFUSDXVOFxWnG90TQ2FdYIbTMuAXTJnn1RX6WNUIcwni55xXrWDQVFF7Q
6RrLhMRBU7KZm/xq0vqMqMGspjoXKaquSCGP91G3NDkzY0V8CEryvYajViZ4hh0vntdjk99qWf8F
5+lsRqxNnGTpfpKueZBx2a7rKGhBhvK8xktYZBY5lOfzRCZIXGfnme17h3YRGtO8C/V1UJlm91kd
CEEh9qosn21A9UFfLCsvJhM6hAiGpbclZpaiz3srTGLop7FByREY7N0yOyVTrcelHFm7XifGLuAJ
F8Z09zDhwO07pqP3RuGKrcx9k34laGeZPw7s+iPUKmxUIfeRtSuggOG/9ybnEMbNmmG3vcuLOdmH
JmG8BaZC8mSYu/qWi5dQH1XlvSVR9uie+oAnp7DNC4nKnCCYe6sTsRzDc9g1+C1TzBj9WN+kRbhv
kF/4me0AJFKtxAlzwGFLf4zY3oiilbVs6sKJJJxhPpgBTLtwERzZ6SupKUT7ccEPGn9wTJjtnDkc
U7l56ztPopL2X3lz42fReVC4+hn/GWYk6NVEx/jWC+EQNWlk0U9roeQhrzbFaGIqf6NDXKBDJq+A
un98ghwg8Eg53nOR/aCOIua1/oW4tmSrjc9WRXxzC/8GzSRlOJSHEg/8ekw5bHMHS3UQY0mKY9TR
qMH0gnhTLiFwWBhRquuDHcsFxM+0jR89lnAsALbtrYU3vXVB/OsW4g0OzYUEEMXueyatICCTyqEy
FOFwNsgUmiJsxFP3zThD39pqtg4FBb3JN3CPKDqhAPRoo0MFKcbZdNI3D4569OyEaVRq/sKGPzQz
gFIjaDgXEv1RE9t9MLvmkXmBQgAZX73JzA6x429q1dGVmdOlC8pjGZjhumjYm7dqJspytPb4FWkB
uDdWFnlBD1yX/sYgn2ld5uImE07CkoH/eizPlRl9he2wS72xORrRvEkiK941ueOQ/QPDsUHR2bZ0
Oylla4wUo0bFAjKDi6DPPZbfIycn51yHyWotmFofQuCOG7uN7HPp/hQC/Qvkhx0ZD8GprcU2Ctzm
FIfEsWb2fhrT2zJCJdneJSylEWdkW3rSVcJMovXOrGEkN/ZKaNQNYRWGz1iMkQ2ZVvoZMSWqTOvq
JwnDQ4SVQtiMdXV1r3z1llkDBX10HGf9zBCvJSCjPaXGmzSc1zrLMQH8xuQ7tUvjX2T1MV+s26UH
IVKeRsTwRmvf+ai/p7RjHg9MpR6g15D9gMifhHEZiX5f+MkPCQz88JEzUHPQ6xH3ulWWVjujGpFR
1zI5o/vhH/YsIa1o+PYZ2nUGrwDRIXt/tklLb/0IYXoGdmXUoEMIDa8FQ3c0lcmxtkHtJR3RUp2B
LjQV018v/aq76nnE0/8EGshhHA8pIjc8Hlhmz0E9tTtSjjGlmuaH22T3rKEVLKjed6YxtLSpebwR
sAxXgCeNLa6ueGthNiHv45KzwF/nPqMlaY8BSjnkKM34kkRs3Am8XV6+bow3MoWngkUIIcFh9one
6cQuHaZTSL3PezypTmN7ZUNlAQLS7XxPJzrNVjM2wSFNwG/ecvAb/Tnrw9c5p6rwzQmnecSZRygO
KwVzWVuZQ7TbEmk1IhvmxeicCKJrC0TRnHjiZUVFCR33qwrjD4eRS5Fau848LKdDMUdPveCTyXLx
7vtUhDBr/mL7BB2R4MJJXJizsOFGdkg4Ng0E0mHLgJWim0/qUAYpK1xrCs5u3u9yShOTqofaP3rK
nQmZPI+/pfUzZSzh3jnmyH7dWKA3AdwULIEBY0XTnzaI91JJvZ7txRY/py9hH1UoX5sPRWgTxtcH
G/7NmKWvMb1wNIAfweU682NFTAvIBI/1vovEixz53ww46UdiZvsAQ02V77mIjc2Ue7hRehIQNOt/
l1hlGcV/5VC+JsL7bUbjX7KM1UcK4HNpmhyHddJegL83q3wgnWEsFepcE1FtOl39nj6WEw3ND9CG
ujBuyATarXbfMFAcmxAJW08eTEeIpwxgg7cejnym1aFkiGL18Ksi9y38LOS0i+vqY/bLPc/2suNw
jI0a2uqeWJ23tTMfgZYf78rGah+dat5blZ1spcuxS1jLJTTa22xF9JAzG9ieZn+F/JYRJgE4dr1F
rMTEWIflwaTzc+nZV653FuLbltXnWJGSmRoMb9JhX/vRe54gbSLhZMv6+20YckTN1IkjwFBDnlml
fCWhtS0i5y3hUxhjQYPHOHJN68cbXr8lLA4ZQuDgz6nvdEhbrnsXD4QVvWDb3RIvBzwxHIBUO2jl
xgnRkUlOXlo/tr15Is4r2A2K+YNjRN3NR/IZBRYnHrIhzUzwSJBg1PYZL5AhkWGY0XUusJ8OEr4l
UUbh2mp7tbccBosxscqnNGt48RjUdxyvmVPw5qQtQ3cpLOLa3fiumhiJABXIwDRkjYHLRxjhZhtV
K3UvW8dmkIVfQ9K1y6qmZ3SbEjgVkVJCfjtY2/4hX9zxEdfoXnn2p3T8Vp1T7u0Ympvj1HsxJBjx
ly2HZP+z16CpT3aun0bLwGZVttOq7LHWBsN0yZKG+QYeITpED9ZRjH5cYuf/saf4SUw14+ke1F3H
YJGDdVe3rBUTdrx+elvqakSt/8YIAYjHNWolWMzAclKJErqFSkstUsXuNQ7Fl2vE0A2yU67TQzTF
+OI6ybLFwYzLJQvK7tNkHc5+nmWFyI4TcZqUSphOiDJbygS0/DWLKgbAwXO1hDPmRugfKz6XVhBj
wDmzI598OKUe6opAzOiAlt9kmuwnNgKACsbXsVFEx1X0q7h/H81lIcSHeJAz8yjQq/2piknZ84kS
cSrKJC8O61NL0Se9eN9MlMcPmSnfCiMuz2DGivWp6ylo09QQWzNxbl0Rz+A+Y9zN4qeWxh8vqPnz
CNCD64VMPUFVhlkqtzz1YE1sp/rw1kZTiuq3fgFEwpnm8W36iuxWiKPA46fpsUaYsEk9hywPCLHb
sIwa1I/nxkaW3JQA4dySnYvhyt9K0P6pCn/9XLx7g31sYojKSgGejYfkTkiuAoaFG1K4zgONLCwe
tGBIShEqozj/qFRFD+kbObv7sUDegvSGOx45VHLMJ/ZkRflrS0rVySHaNR/U1Zwznn5s8vAV7FVT
jfde/DEjGjupxZ6NK7ujoDtlJSXZYDIIqEugJuzKGWO6Q3IzKgaCYr6IYHxOO7YqY55cOiGybWnd
qxnTeO1zqpqu+WYoMjLGFo3aqF/9cNiORvQwjt5lJlZ4xyoILVryrKYIgSUelq1XI2+IS8G0vecy
Y6aektZDlgpCNaNhMFekpKC/mhZKErwl5rpSzvdCDuXHk+As8wexGTVKOOgDXEV543M2Q1SpQCYU
eMu2wWwZKxDHlMgI8uOZnAyGMSg7WLLNgd6b5qhXVsiSUIwT8YkuweFDIQ4ubpX9bMuHQdMWyNKK
j9hZ9alxxKMij/3YB87VR0L77DbC3TBSHTdV3KDU00O1a7tltS8rtsZewIw3ZWdviPjWea17rpFJ
xjYiHRFAgXOyvH2cnXKbzGGClQoIszVCwGTEwoxNFj9tO5N5l1dEjXJcPEZL8i3CrnvbjB+DwoRn
kc+16zkpURDY50Dl1mWaI+T5AWKNaGasDdqFiRsxm8rTA9OeIWAhELfFXk4N0lvkup+BLJE1NGWL
sInsm0j6HjumGV9EWx8t0EWEwvXRrw6HFGsPIs5CAKuaKutSxYnzOg0ZADUM8gy1nOPcTcNligt3
HcTwQLK5fXDKUT3WlfMU6al/s0gcsr1avDuOd/JCLyddy/82Ehwf1HKwKRsFrN4jbczQCeDucsDf
a+W/sUkYe4kxtp96dn+YalazGGmw2zFO9hmzw1HKbIMCwyYI0nrTdWYtjH1YtTAK3OcE4sCRMTOT
yu7gO6RFhQajbS/oomsSghz3w2jrSqP6jAI+sdkJCYvmaRDDcG90n/Kb6NOAFII4FpkzkQ6Xova7
Tdq29U9J2U1xa3WBeRNQIR5Hz4POoZeEO8pxlg0CunqNOwP6CIFSVHTUStJgBM2RQUgKU5CVxUiO
fOeouBfa5kDPi+I8zM7ZnlLg7l2g4DGLe6VK9WSKoH2IE0EEoU2kYhIzY3eK9lRFSIU1VpqTk5Xf
HXKrxwItBA7Pmqz0EgwwRTL1IX24sutbzP2zRkI1bACvYZNy5i0z1PCIEc/fdAgIju4gf3pDhvcI
oODGrAnhaFEkXoABETsVWQyI+GVR9hIkfpaYoNb08T6hwMu3Rf4y+a54cLfwBu2rNzhq6+fApfMR
q+DIPOA5bQcSvsZFVAxqTEzPnq3/IMpGZ1rHb0HTGw8Vkc1PgrgS6QbqQfsY4Tw7Lx9sk1t0Kp8U
4TTrbqDUiOMDpgucRWV3KATIaWcBA4m4ejedLt9nQS8eyEBFA9tV71bjPnclZZNjtE9zGEHbs5lv
qtjK9hnap3e7dR7HidipOmkOY2bk95n85xyGtB2NDgtSPqlKYzgg1kDuPYUlxw3+MXn41xE09ToK
ExYKStktMYbYlYN6fkK790S9Nr0KwEngmyIrPDnKd8/5bHI6mMgkOlbEJxc2LlMhBjiiVc0tlzML
XDeOf8KmuUVFuHHQYLwnIS4VcpHmNzfm9QmiNiGECGgQExP/VvSmuxtE86C8XJ+lKqhKZdN8mX53
GPy5/ze5zV66kseyyB66fBhekMkumbyGPgi6jjYc/VugtXwkRtswpvrxv78grr49wCO+lX7+ErXp
8MyBPzy3DuY0eFtHDTZGlemErPL//2IRgr5LslOaDhrkV5TeQhQ5B1xpI5skQEX2EF5dvupjZPLe
/ffyueSNOwQrnFEFOw+GDzv4f96VFjA7FHyoDJYHx2dKpLxqk1VaHk93OyzHSxXNe4GRM9x0LBxw
3WfooLcV9joAd4uPoHDJJQNQR8oU6prJyX0YbP/nt8yQzwl8bL7eitGCWtKcSBc01eds0JMmDkGX
pHYQQ+Zl/VPfVOmqfB4GA6Yl2YlZkiMS7YtbqBDU5ghlVUzQjZHoe9KC5csXT7uc//jUpTbSSouG
YiVdr0afyX44RyFvzEz8hDoGMwsDUUQvCOgfAPEDL8B0WahHA4k1zBEuMZPBF8VHbu3NmLpt0Pw9
UEbLIKbd8p11JInV3aGalwEUYdWEJQcIQOWPRgnJkwl1xQmxUXUgAiMTQBzp8B37As7a7DATKkSD
gGodHU20Y89Mb4ATl7D3F5amHCBpvOi6viP3yaYTP8eD8dorzOxv2Dh25LjjNu/eZUjRD9TWrx5M
H2KLKgJBd/Srgzh8L0hQSEtny6ORH4I2Qg7dLfPFJohfxbjobdHt2tJuz1yqYOvC/MA8lfcErIjq
NZvbftr/91+oEDfnYrIrTv/9dSZA/pZueoC0tjQQoilh9+uADO7ZPeF8QDUlAd1EjNTntESE0mHN
cVPQi21XcowqBpzC495wrXHzv//gv9/9zy//6duz4MuDDHGcc+hqoizJMZkfTeYPbjtRokayPv33
O2syODoIedx0uGxPfc0Yx0Alka3++y2HEdPDLyz/JKLk5EN2bHi0S0CPR1AglXN1HIb+d6NcQUsY
KacgUXAoToQeWvuktvd6lP1hhnhXLaEZcVN/jQb2/pTKaqLTQnBy6J3+OfOoEkdGhPww0nWQVucy
zHtU7/W+MbSxyVJMEqx2CfxmBYZtv+6x8MC/DHboofbOAlBIj2E4PKcCQM/y3zGd3ucLdDGp5k/L
1uBv2TCNLVKf0KR/irI3SF9sGBA4y0wUu3ogMNWe7GGd52gOHBstaVkdZOszoy0TpmL536IPnwdL
/RMoG9IAMdVM7BeYzzKG3JVeWSBZxzbxvhqvf8zahskgD3JBo8v4CyALNk6jx7dFp/pdZOMJLzc2
+OeACxE5b3cW5oCgdu5+83G+ktNYs8mGfWKlm2528PRWE9lggFGYFtxTxb7B6Eh/DOc3ki5hN8xi
Z/eUrGX6ZE+CgsQT6IM+CuTG2hxZ4dYexRftnczJw1g8Ox6kxyLmXFb7lFwMUATRzWKauNcpWWll
/4BStR/7ZpPanbsz43nX2O+Mf/UKiPRVlRa6O/Mtcrp/GO9vOmt32CMQCEbWF1hZjia2u64c7lA2
ny1vMXKG5SnJ5B8YmSTr4A6wnA2yMVy77F1XM5p7B+hg6V6cjwauxdBOW+Qs5IaWqJ6befisjfGJ
9eaHGzU4e5OC6TW2Cyr08FpIANCWikumjPypUU4qXYz8SCVHu7+7FnQsgtyw06B8wahBJ3hSKnti
b/5I+8y0KnW/hIcPJ9yZUb+TCxvHNRs4VPM7P/WrzCFqwWeMyc58KrlwUdb0VfshRbWnF6FuMIBO
F+B2DVCtsc8AoGTfHWb3FJ62hXA6n2ghgqQ6f8wpA26d4O/TUAyUYwxrjE4XDHDYvxLCiB3vH7KD
uzHQ28f5cXGbr1F3udZSTpQfRGBus2kPoo387gl9i0NQBKudgnADDmG2YDCdOeBMtEsaNa929V3U
wwt4VegFQfUzeg75vx6DyiI5txPg6NhvnI0bG7eAbKIsDDaYOnLs8EPPkhWZpGmw2SNNiH1lwX1g
1v6vrkg/HZLXWjNzjxugzSX7MFjef31OrFJDh20pHcsSGacdmhfciqNimw7FQ6phH5h4bozZP3Fj
sySxW5b7JNFP442u/meay2GP9L8E9YWjnlOHDtNmbFDVD4WLCtcrBhx2hgZI2DVPWNSh6U8j4Q9c
2qsk6ZlFxRUtl6UoVlzn6hr+Q4/fgE0x0/q6Lk+gBMlEK71+HfY93QQKG6V6zAmq4Rx+Bs4HA6Yu
WSI32TFQj4O03pIYA3XEFGClmP6uuaxQbovx0Az9sNEluv1ovqshO0wEvK6jINqh2jQ2aQJUhn3C
jZiNV+hVuLv+zjNKr6jiAoT19RaWf+pMvbvDOB7QurQbkSmxa5cLywizC1REbfpX00sJA+frC0Dr
raIRwqAHUyaT6l9g+XAUul3dG9UaSSBzNBemPn6dWPt7P4SkLv2YefNSUIHCYmpAeCJvPH/ST6bU
t23lN5b5j57u/zZH0CpU0umtm2r0ivqA9o7A9sD9pkjjOA/qo5tOH4IDVc2k4kwxXw5oOjOdPruJ
FBBzJtsQoU1Z8ZR7DtsJ0hXLTW1+Vg1/otc2zr52z6QM83iO7p+qVddhwTC5eGEKjww/EX5NQ8rk
oNOn0UGR0uRfda0207QgICbvMGjrLRjy23IEkovDKWE/jWwnZWJi6f1Ptl595E51wkV99zSi1ZbS
R8/GNzE9vuu9mL56t9oKqZ1i6EMVZk1fUUbsCCiw5z5HVvz/qDuv5biRLus+Eb5AAplI4LZYVSh6
K4riDYJy8N7j6WdB/cf8YpFDRs/d3DCkbknwac7Ze+0URwIV6QUGsxbojzr30o7ZBDndr7RzLjus
9nCLFrQBTdLdiJLmd1EMF6EzXDo9LoZc/ejwsbWNuCrQoZJ+NTCbePsqcXxdpwDf7fAO/4u/9PGX
Na3A7G0QPKc5jJkxvuCe36i8OvBVXNRt+zSurJnEvJgKso9i+aNn1bdq0gpFt5JVKNnTJsJ5rB8m
ySdoOqCJzHN7b7vGL3tkwd5bj8HyzQyL06ArQOWbu7QbIcB2EA0yB0MJfZoNm6Ib42FUg8W3yxuD
9AWfB3Lwcqj8ttI/LOU9LDEvYOqCyWvxB7TedRLVZ/Tffzr2Ep4sIRwAY+huvcikc7FyFYtF/Ewk
/R2XbgjDiS3OpJmnhKGFuziKtmaSlqdN4jYsgjSuT5eEyK3h5FdtYkx+SV1qZ40ZRRrbqs8mpE//
/AjX30bzcEcf4x4D/1rsL7rtZLBqNHsMfbWL1qcrIOP+WSBN60IKGRBj9Z9fKjxnE33tfYoyQ0fT
sA2TDvAibBj6SV5cncn1RxxgNh9snE+hjbSwrs9HmkR819gSpOC0CrNn+4Bg9ezPj8xCjtLxrGjr
sTQkHJJFSwtAjuy3M5ySqJ4kmilAnCf8oj7788O00ImlrTcgNFLXeWVcjThK+JSSXZOWT0072JvV
SlHXtg+6+syznB/VMlmHzmzgAzZKbpuBEjjM5a1ZkkHeWYBlOuO2W/tcYRA99EKy287ZCkb1k2ui
GWRxBwRZ2T8WjLKsMp/svLv3bFYFpE0Yd3RmSNFJKa0Fcx/tosGzgcElqx4OT5GFY+vJyBhO2xBx
Lxx9S+9hEnzFCk9tkdFIk4TYUrqiBhmdJR3pwSwf7ioQXCxmwcFWF+64aETk9AJd+4vVx+Wt6WKN
LpjbE7z4nrFQ45aPy0J1MJlGwrd0fOpk3jcE6IaVROSCprh0GMBCRDp71DKIceFtsLpbCIjcMvPw
dyCfm1Z+6nj2xbRQrpbsmRlqz6fRvVSt9xCsLqwW+MU8Jqwe3P48CYxfbUjuVP5ToCwGz38ayQF7
PgmSwZfCg9NcqtiPOnnpjPMPYYtHCro/Fasj3Y9IU2rpY1j2DePQxD2m4Ka/XwqbrZudHCYrmqkw
AR2GintC8ijOQSRIAUXOaGq8vTF1TzObKx71mmaKzkZmmCGbKT7FCubtGgtXCNdCXhDjY1gfoqj4
4kX0C/N2ov3X+HCV6U9NvJQEZz4JRtbtEHA1s21eVKVzBdUfkUgfrdbC7Hcriq+6ZMfFlALn22tD
XjAGFzJfpomluNOP6SW4pgdnvlOaJ2KyGuhd4MSirWnQPcqlbjFgSCiGps0/xYJeE9rNln/84WSI
jSaZoJ/W7UXlKnc7DOWpkUTxGRaHglo6S0FjOKheUcgZR6TIEKSgF9PPJrysuR+7i8SL8y/NNPm1
sB8htmJrpysYX46qoJfLAWQafu9ntoPArHqAjMhSRZxvBwwxTO0IxsaCKMLlWVN2QtKOeEigyykr
l34gtjXqUCd2jSqma4ZNFWc2aoXhvlyT60O6N8Q7OlfpYIDvY7WugPrPuJXQ9riUlOjQoj4zd0ZD
++0cT/gqqkA7Iyh91QY+jDoGTF2a4UWVyCvV/hRxf7fYJpL2rHvpG/YPRs2XPpjeTtjqLpT2F5Vw
OKp4qa7xGHfywlP6vsNN4ncFpsGu+0kP+sFBSrW1LE4pbAz6Q/b3WYaUJpyrYGHxg/A6dFMaMIT/
biQE5vqlpnS0wRX+POXsy4LsFmiv7yzFNlX8waoHyDKq7HEBjYhl36J5yZuoWKlFMwJfKcLxapgl
NGusONlUU50rS78QbIyw3Z8thlFsNemt2340T+1W7oPAmx9mIxN71wguy3m8xxl+l+SgBOvmZ2eI
dCMGFgTLwDn3MBfBG2G36J+AZyBm8Kxf/RBRRjToYwqLJ0Z3q/VFkV4VdjieGWP5EMTR12nUyS5R
ww1lg+agwKy1qsb9adjADCaCXijPXMnouulS1mlWzXRZFc8oq59nly6MrTiFqgYD2K+L9bWURdSP
2LoWC5BkmVssJNQ3W240sbhkUuQxyLiU+2OTrbhIlrkNzTwUEYZf5uR0WGoaUcYbRB82W2fB3YLi
Sp7L2SWiPiaWwIiYpHV9AENBBbbqgEgQOsdtdoudmdIOlj1VDWQIZvkCC+1pWNiqN2LEP2tnlwy8
BBTEOSvWMbDPgKoXE5vGiAWIXWOKSmx2p1LJb67RnoLyRH480Ox2TQuEIXjebWKSk0SB7drIH8eh
9ajXsVVNEYSrbroFTUzmgBWDE4ppuY21/lXOsCyQaP3qmv6cFXt98u9j1fxf5Zo11h5npf0dlfZ/
LlXNIgmNfLn/IVVt8xK95C/t3zFs61/4J1TN0BYxaJ4NSks4aAyVQ2rZP6lq9K/+s4pOJaM86lk2
fs5/x6pZ+j+W40nTEzRHXK3+O1TNMv/jCWHy523qF8JT9r8JVROvI9WUMi1LUg/W7HQl5S5Tvo5U
k5UzYE1Z6CPbw3NS5+osAmfkA3Jur9KcuI0wshkJ1bCPenA3OFRBoLqlcSoXhOZsliQx1gIpqRmj
AsAb1eS98c9r9c/d/H9JcH8nvwluw1+5b/+cpBS2VlKDV9Ku+fokO0ubqBHH0m9UhRDape/L5k+h
8PKgx4r4vKvRLo9mke6wHbqYxgiKnhmDqnV/GYfgj4OuvMsX+unkNlinfz3t986PJ3h8fgpcHpoR
ZSvlKB7+37l0JQBdjigK31gTFbhF/aZN8h1AHfubQbtuB66cIAKH9ZTp4p9pkpAuH+6Xq7hv6tO4
6C8+PqN3nqpj2a6lHJe2kHDJ5Pv7hIqO6mUMd9Fn/MXnnszfc2BmgVkTgLAutQPShT8+4juPyGGY
dPGXeyi93KP3CNUynjR0pv6CzJYmAIsi4jNbjGSoNj+53+8eS7l8L54SlrkmDr66uqCukLI5BN21
GRr8qL0KvPA6cCB1BV2gP7my9dM9erqeth0uS1lrKOLxzWSiWURnFbnvukwprR0Yl8VifjGr3ITD
MYDqgenuJX26j0wCPAphhOdWZbO9zUh3rfgBd6hjp6L7cyBzANH1XO1So8co1lCAUolkdRkWVwDl
58uPH4sgmPHtyXu2a3umsi1hrv//r8jEibi6HsIX7lnl3rQdpbcyw40ABX+zWN100jnV5WxE+a0V
f1EdvtspIx3o45NYn8f/j23k87VNtiRCW2jfJfu+o+fFTS1dEot5N6K52pohiPs5v4nS7lDq4XQC
D4cNsbU+eW5v3pL1qPpPniUHf/NRSlmRKgEIw8dYVG4hmaPtlO3ZlJVkH2TADz++yHcOZ1uWuyZk
Wq5JFubrG110MkyEi/NZsx3ZmOWXfqj0pg38utWfPdQ3b6RtavDsJkON4ygmiNfHshUyGyQixKg4
cwDTekI1FZwvSX1jGOjcVnsNr+wv1TlXeUfCt0f1Og06e/vxJYv1mo4eLFMG8HMmI8GkdPRgcdt0
rUtlz8+pktJw2lkNGWH5y8jCKgmjx9mpDlmXIiCNv5Vx9NOuKUos8trCyvPxqby9+0yuypK8Y6Yr
tTyaIYrealrASJmPQComcwn5R82y8QZZnT6zsvDXx4cjVPXowi3HIdXUNU2bh22vE8JfX9VY9LKn
VpGs1a8oOMO/vBvt81g250gH2L56D9jyPhn13n5FHNNjVNee8pj+jx66HJuG7EC4CySSXTcxDMqF
1kbm/MDL9C1One826Xv//jK1sP9cJK+1PHqnCRagiNeydxl18Tid44nHOZVfdzq7Eya7DCJGcAoa
nzzLN5OXDWCHj9e1HS3AJx0ddYmscCqTgguNWB+vAnfqkiFl0tRqn736y7++Rm1xGPJr+Zjs4zcH
YKxKPK8kDdSsdo2R8fKSHRgm9mmBBR3V2q+4IkOOyITukwHqzxN7/flYrnYkwwXXKljsvX6LBGIn
4mnIH9VyHk9sG9BycS6txrmg1NBh5710ytk4n8T3JIT6pmLh3brNsx1TeWkcoyaJ8BwkOYFGNYCc
ueup5N8Q2+F2dPmnur2C2A40paxMOsLOz0C2HhvD0LpOMucCjGRwVlhQI7gFvoed77mbnau+DA4C
PP/FAtz3kwt+89UgCbc8x9O8xp7iPX59vWog1nOao8YP3Ypoe+DTm3HMrk3YPD6BTxcAhw6RkdU3
/BufHPrNO/X60McryIoyWB4Z2ElXEq/tnWD+AizPL240VpOP36g3YxHHsoXJyOha0rPl0agYtyOM
m9mtfWd0UbYj2ZtnPtqB+uMnA7D9ZnbnUI6StljHIkccH8og6aWhPlzzfM2n0l2eZJkG6yIIY2OO
Plqf0TK9x3MdboAr3ZMRAjpprEh9JS1kXIrveWFty/aJ6RnKTUvLxEiHDZxId6vm7me9SgEYWA+U
/TeyRDIvRu8kVcOLyCnNRVFpbFs06FuhltuPb+LbNf96aet6SxNkwHtzdBcTKlYQvsraJy1v4OSA
vFVA2oZc301dfQ/Fb4XdYlYfquC6meBQjcZZ4A3Lfk7Eix3Qw5TuBEcJEv8nL9ObaY9TI8yIyomW
NluSo5F4bqPFyFIMTm2RmvsaZzvySuvfric4yLotXPO2bcu2jkbB3lXztAR25RdBhax7yvZoU07a
LMEqPVXfPrnbb3YwGouWwFcjpM0PtX4/f01oJMKTjBdXHI001hOnMaAPheegrrGEEr9FaVbD7wuL
7GBM0/d8DC9UrChDVNamjT9btL4zTngWglS4RSayg+NpRyHEnQVmZr/VCgtYwKN3uplGO74XYq2f
C2tAiB9jh/P6+49vxJ/b+mpM5ka4yLwJF7cZpcyjMTlXlTANx6p80IAUtRrHb52qocamm20XuXuB
y6hzlbmrA+ObtEBEoXilSS2/EXwa7pa6BocR0CnoEnpNdF4fS1AxbQpojsIxYX1hJg/j7J3aFfI7
yjQfn/+fB/Xq/FmSUDigXMg1eG+WZHrpW7aTaeUvc7QHYZHdjqP9AGUyJzSIJX5IE6FErU5ghOXX
yH+RfKycHwgmUCOAA6Jji8Wwq3MyldueQBxwTrFTv7BxPZjesBGqReIxzaeOkV1zJ2iAOLhhywet
uquC6USJ4mChtpMFf3iGWN+M5U41ClOdECeAskFjTIRIGGpGKswvN54BTWyQt7xuhD5V+AZ64ytR
N2Ccg9/2DOuKooMgQhfZPtlEJimQdU7KyxBcVj0+G6MnZTtXwSdf4NvRlYmZ2ggfBFtpbeqj7zxv
1Nh2Spa+rGCLWdYF7fVhi3MXbUnWXlD2z7ZemqZbNWCFKkW7zTVoeWu0u12aLE8JUvGdl3hfMONf
JTm1/HpwwJIYyTZRgD8UXV+AAid9jgOrfxwIUUIMQGhLPz3FiNs3Q5o+5KMC7Jk15v7jN8Va3+Sj
N4XtCntai3Wz92YTgbaiqDKtCx/lZLUDL4cpFCl7f5gg9KKs7lFslS6x1o06yzNxjpXK2iJvOSHV
HZdKh1NgJEsEJgs9NjM3z0uq9BttEVg/wqf/+GzfzN9UNV0GQaoanhTO8eLXxqluxKkqfDV7Egy7
vCoJTYVccCpr+yKI6G5+fMC3G+f1iPrP6ldRovtz+/4aEZEDJzlazQIyyVM2VpeuTddoSeFODmy3
4JYh7LKQSGrSaIBZgAOp/hfX7FlrAcdxKHXIo607yetB1AjOwChDe1c1PJBwNG4SM/pRaOByhEu4
nywoxJt5gKuGbscP2/M85/iqJ7N1hSx7Ckc1L0OfzijojYReOe+weFpKwv06pFXsPXeNwJDnsaAY
huKxrILDJw/Aevt+guHxGP+prXmc0espSVNL6KN+LvywWCOdTU0nTp4asIzcAIQnFIuyeyHMZd9F
4iCza9kFN5+cwpuJiI2tybzomCyx2HodzYoIw+i12mPhr1ActDe/rAk8zIzWEZNlc57FHfCa6Xy0
YwRJII623vNK70Mapze1XvAJ48sFhvfbi1gu2QU5EBlp6x+f5TufxlrYkexfhGNRD3t9nwiUD2jJ
ToVPRgNZNV7wJYuo8EQYPtZHZNAn/PiAb9a33JW/D3j0XsbDMi21yQF1dVtH3cFpcOuSsCfnxf/f
HAm7L9pD06RU/vrSMlwZk6Kb6fc0a6Bp5XN17zjh7+yTPaB4712jEM7AIoVQlE9eHwgfU6Mbg09N
zePPAd8H7c5sd1fHnbeTMWowgndNyxbbhhb1QuNpKp3PzuGd8Zi6KR0CApzM9UG+PodQY9CWAh5g
Glj5iYwiH+IKuiELMjAa/N5aNQGxH7S0KOefH99o+72Ds49gveVp16aK9frgYH6stKgoGHfD1yAk
ODXx8CUoz7vx8vJn3kS7kJiVXqwqiHVMCMynKr52LZzTjg1C58RGrLGZOu+ricgfT6UISIu4HVNj
uwAqDT39ZSxpd8GWe3JCUikij4RJd0a7Fn01xqw///iCFOd7NLlRidcsu11t6zfl6K6MBEVij5tZ
0btXErl82TT3ZMfPn3x+7747ypFMTq4lpHn8/S1uxXsa6BxQFUNmnl5Oa3YHTCd+M6juYKEkHKX3
pW+9BsPd8uQGcIQzPE4fX/LbahzfJS0IihgMAuyajgYC1oSJbjpcCWEKty1SRK/shrV2gjMLUKSL
trut29I3inAnyGnc98OvJI2Ti0aBVabSID6ZwNbP8/ghUL+xtMuUwrxxtIWLkOxVeJ1ynzKDTTe9
fUFFGX522eu/cnQUKbhybTFZ0xs6uuxA4dIIabf4bMKuJoJfDGFdl0F0HrKLbb3l5zQ8OUjgx949
y4mvo8hubSePPLDJi+wDbJCAHMqN7Q239rJ8uo5458t6dXpHo2UQ2fhM84g4bHXnNMvln1tgZD2R
IONtZXm7WV9O1mWCJP3j9+HtVgaphhCaWcGhumUdt0kaE6m04XDk2oCr0pktkxWySpXiSkN31rgg
ptTQndM2g+CDEmwO3LPYXZC/wGdOl+VpFnjd3HJYUHaCWALti6SrCw4DhQW86P2ZRlQqFG2QOv9k
efrO1CvF2ppk8GcLfNyXTJSQ5MUZmV8ayqN4YaUnVQq20Z4f5+zUmyfoZcNlIhL9yW0T7z4wJfiQ
2NtL7/itNVDzZhAaiOwtKYigYDypdAG5vbC/13FwY8K0yvuv5XK3FIAGP35m762/WGoyC9HaUmtj
+PU43ITIZ2aSDJjvunvbC24CLLOgFVV0RkIK3ZkTePJyrwaSQ0f0GFgZ980yosNpPlt+2m/HUGE7
DKLrjtg0qca+PhcyMIWZjhVmW1KrxsDaE6fT7pAVvAwzYoMJncU4ETo7E4pgjMAQ2QHuLSPYGWV5
Q/5lgUO51j9En++T6C5qxgdDTz8ZfdhvjuTFkqog2TdBzkI9NBkQmbB+uE5I8vnQvhiyvgcyE4CT
im5NirKbMo++jMPvj++49Xb5xFVSZmIEkZIS2tEdBzIzaAdavt8nnFimPfgwEW9Y1oBftW6CRu9K
sPX7Ic2+mYt65imAwhXumZ2zyiNJ5Yu2DAjd9oIbTCEooy4+mSEDasM7S/Ow2KX8ZXnVtVZFiNGu
NqDDle749PGFvDP8M/zRjuBB8QsqVK8fl8PRycR1cBQlkODLOcdG5nEKYWo9TC4UzKo6C4bhuiew
Emv1CYlh0AxgSLiSGdzykk/eZem8/ZLoPKP1YVnFGKStoxfIVUHmjUNeIX26WN/60zLGxyyhqUEr
3VZCnwc1cteBse9MbeYiaqiMNDYgBqV2xZp/p8pin5FEegjKfgQV8FW4SI3xeox+zOYMkX9XAyAK
5Lnu3DvREExn4gU/BLEZPeThZdJZLx0N//M5gVwsFWI5EDNVbN4YJCElXn+aBy5irGC8yrX+lnWe
AjzRPESJ7FdfxHPemeRvRPqWEIpwz3K0PZGDDmh4eT8wvrZoawxJ0cQMrqVNTXmcrHlXdS0KLDrJ
p4PcAT9ZK2eEOAVG1O4I+jTYKKRsPtns5+YVZ7MN5NNiX0XE3frB7GGbGn/jgv85Bgj+Rku5Z+Uy
eftFuS9MJGtA+J3otEAPPg17vOE5YQZwEVUrYMbVbbcjaRCYOKm1pMaJHWsNCGQ5kEZuV/fYDvkN
cTLVvo76YadxGO5pIH5nDkXW2DXB6egihQ2bWN1qDwL7AvSbEBLGP78eA3iipMy3l73ZP1hFBLBp
kj2M6uB0QaRxNdnTuOsIrbHGS4Jlv8kBnJYeu2Gv8y7wIb19FUl0k2im31RNoV/QesciBkdFD7+C
wPgKWM0BH8l0szgz1Pc1iSt2NmRdXmmJllUGZG5aeGksFzZ/R0vDScJT02qaq7x3Cb1J7MvRA9tb
i41XG3rL9zoeOsc6j8Z4OrRDKnjLsJeGYqZlp/XvHNDsHqcvcjI3i7Zd0JwmOJ0hJq3uh6Z+cAwT
iOhYBSfz8G2ckUWih4dBqmi+5sNlHOXVDgzAySQGJIyiuhrKlihnuPK5qqcTs9ThzjnMARVjWxb3
JOnQUcPqsSuc6RtQMRZg9XOL58cH9pCcJuZlVJ3l5UuryTBpEnlq1m5zoRVmHF6IVkSHmiEkMQRw
6AEhphdazt6wLDK190xqw0HULRJtl3ZS4+Y3ZUcawQChA9LfdW/SA+lHg/lM8t4NjwtKysWMDwa8
bJlC1XOoBO+M3vBHsKyat/dqCg0D7kzkGzGWP0v+7HApu8tyH7jTIa27X05JcpaR2F+x7pLgJaw1
EQs9b0HVBNXwJi685hHeqTgbiygH68ErG06ROnAvt4OFfHDqpZ+SVPlA92gixZ6hEgzH02zr/Myj
vXqSSGiNVGwBmQJQO4s7ooIdgMXlnLbUpHN9RoAPFLXM3U2P9dKOe6K3fPyuaxyF8wzthfzXHlQF
784+HiesoCQiFSvYpgyS1aQQ7is2PhchLQce2gAG6UGvoMweiicAuyzYwUpngVRkz1m3bM1BcH+9
2twSzettHSsMT5O6AN7jhPoMg1HZ98sNUV3bRQXGZoDz4QdjpE+CBFeD3RF7J6KRrCHP3g0VMkmz
u8Nqq86JXRGgwwj1isEpYRAMnoOopzGYxvH1SJQC/e89xWkiAkiDp3HnB8GEatOWT1OHEBPy2F5O
8B+ingGgETiNPdlvSxP7NBLh7mqkrgS6sD/pXW1dT2VGudbM79rsS7Tyl8CDzxfOoOQV8OVq3yHM
zjXJU9D5hl05M7o2uR3u8gLSW4+agvwmj3ckHe+jspM7A8UZyNh+X3XB6mWPpW+ierkae/B7Xu95
uz5HYD6m/blhGl/GOI39lJi6k2axcPe7cIJoZFJ/GDY6hqZdAd0Kie25HJpfhptt5/CFPHsHY6Gd
b4MVaB7DsRCU0zchAvZiMrzTAQsd6HdI2vWPoNpnEIe2Qbi4J3m/Sx1so26bgmqB+7shzxxVvWdF
u+S7G9Tp1h70uGvTOthnTX4nsbRsmUHIrgpRkTjGIz5niGXL72YNp6OfqfxoDWKqVGd/GytULKyo
+isCRCBBmGpNBomr8xbw264Xdv01DcV15k75z7I0b72h28RkPw6JMvaAECA3DwiNTTH6KVKzkyIh
r8ri41wjdXfThLyezOxNIsvxOcvFFkYJVUgITM1iBFtiaZ4Gh4CgcgDWhYmZSj5a/b5Pzj2s/M9u
tty1MBkmOst3RsPiVdbxw2S39SUt6mYPgAJUYMNg1TY4nVRWE2SIE2krAxnuSbffORBNT/GtJ49L
j2aaLSVhMoS/uRobVRGXOLWgJe6BYxAtNjFOAch5gC51rrqh8DN3bi57bHIYghciRQkv/mQJtC4o
Xm8FLTSMjobzRJgTFPDXSyDPbRLk31Pmq4lIC9kjg58su75Gugz73x6XizR2QFxra0v4oEOdOuPz
xfRVNhN5G9rYKm+0TlhLk70EN+qz83u7IaaRJyRy0LXb7xxXWWIzUW5dUV2JqZBv8uzMGtiZp7q9
M5gvFxKg2aVSofDG8clQ05MD74zt2q++DS86KFufrtDe3i/al7a3CivRfx43OIraQWVA2JtfGM6L
7kbjUpkkLRUBOv6QJNSKj2i/lIWzw5l3M8j2a6Rzsm/S7qrB6dBBxzrBOYvBNJke2yCfDpabwOWu
wwMJ5Ca69S7dm/BGN1LBWe8onKFkDy8lTHnIR0SIFHy2Mld+QtaJAv9N7AX9MUHMZTfm90AMzyCm
sLQZ6fiBFir2lL+s8QYOh8jQSbdlM591kfczsermcUnrzzZB76yqEdky6dB9WDv65rpJ+qsNYIGe
h2VXJr41RaguRu2So1z9amyVnxR2j24cIdZJQiTyPhKns6xP7SDMcNOj8IwdvsOIXdMnJQ/1tuRB
WRohECelUXcePzeqGaNuZxH7IGFhMwTdLgcCeRabgKUH4QjfCKjxeHFw5oYSevUAEDcChEts0lxe
ZtiEL2dCxNo8+D3BfG96B/trTpZa2kBvGFv1nBSayK+x36usc06EjGyfB+I9OLjM8NwMp24/t1eD
w3gqmx54H3kvKj01ZuZKHSrvphGpBcZ1+kX4cQlZHdN5Oy2PvTNYF80AetRdYEvotvrdka+8ZNPz
rNpyX9b1TToJXLka82uDF5p5ZPQT08hwgaAaoZPq0/VM7qyO39QR5GWL7eknA4n95sNAy0rBbFWq
UNtDY/3qqWOjqFCEBoQIEblAAmHvHTKrvwtGQAxkRkaHsVh+V5F70y3wNvsIAmczT4bfeOZdUCH6
+/h83tmK05hH/mU7jiNpSlqvz8dum8psoHf5iROXd6lHLIURNmAN86xh3R+K8zazzXNnhC4zV90V
Jkz2GU1721eZeRgHTfRbXM3spcf4tGoG0HUyJpUruajrgOi2FlAotg/zZHG95gA+0b1nnc0ywwMF
mBIQ2IygOcgwim/zEsS6mpsLa12UTmn63Rub+qKJYrm38Sl/Mma+Vd+ipWELCVcFFYTr/dGJ/PUB
uk6QsD9XkZ9b5fdaGSNk6o6gR6+uNxbJbmnbWWzlcHAALzx3ZFQ9DuFyywJWXXYLuVEsBjeua8SM
/QasHpN9pCULvgxx9we4MgTiNgMS9vDxM3unLrzq8xX6frbl1ECP9+MyhVYtetSPNavZQkW3KFpY
g7L9du1sP/VgeoNqekoafdZ61CZz9wv7lS8fn8bbIg5nYfMK01GwoRYeTYkdbARDj3nqBxRXROvB
ZPXSU3dxPznOn17Y67kXOYwlqBVRLJLuceUK+Bqt/Za5hENehap2fdTQT/AFvhhqfFoUsWJaGLSK
WTmsxKHt7KGZQcqwSUdAQOmQ7h32wRCDEPooRUWFRI5C6J2phweDtSuqFepGgAwCtJebMjHDjfCM
GwmdpmfVsYGbL8jmLaEtr8snNEo2d5gSaLIlzepQC7Jd6tm7+ff3V1u0TqRGDGQdF8nyTPcLTzCh
+jxQqJu8L5Sxzua1cPXxgd5pSHOD+f4ZAVb157HJgEGm85I/bOFq7u7LCfEnAbdee60IiOx7qM02
iakLYhkgj8HJFBLq9/EpvK3J0qBSjmkKyuwIndd6z1+fojGoPhYWClSvbF7UUl+wi/8O3h9sW0B4
DWU8l7CuUqLc+PjAb10q7BMpJTEY0w520GO8PnJeB23vLmniD6Nkh0Z1rda0oZSDjTJNkZck6UXD
PousP9OHeDJvLM4oye+9MXiOWu8FzMZLEcah7+jwM1mjeOcbY1m3KtVojKJaOyrxpxH5UisdyG/N
5j6LUNgEaYPiXD+AsrgtrdlfxXfw/UkEqpFPmISZg9IZpxm/u0trudPGJ6/l25Um+iVWwshoMcyg
MX19w9jQ95FZDbHfdeNLb4iLnPHn44fytnD6+hBHz6QivzGIatISEqJTtaDl0v4M1dqgRZAqP3kD
3q7sXx9svd6/Xj0qKDMY6H7dKla3rFZvWDj7LF0Rxxq/Pr6u9w6lteNih3JohR6rzya27ZGqvNiv
neUSHfIZi4FHMcPRMuv7jw/15986GjRXgRHSdZcJwj6W3c0t3bFArJc1AV4mFvPgxL9bheUyLMv0
hozCjelmIJwY17aeReHUHi6Y97s2p7plNIeBIMKLqvN+D/Z3PaC4ith5IJDgparTBtFWxHlfdeCO
N4OkC9RX35iWMOpK3lQzuHJzb8u6wtw7Y0eonawvYzu5IpqD7UmFf0GmC6/nMpHUW2C5ntnpJoGr
d14kcCli/j1BODzsPrkt6wdzdFsYUGmDIOinxnI8aTVZg3Kto0rm5eYOeDKxfPZJpPWBjFN3A12Q
pZ8Bczi3vWuH6PMTs41L8nzKLfeRDHGjf+kH9gKlq89pnt/Z+cTYnK/VlCb2Jx3TsMiJQyhb9BFT
uHeSbp8IXV8XZkQhDNK9ZZtPie5eyDy5n6Y6pIhHX8K2EJ6us/lcZvctMSmrIEEPjETJmA37AFHO
x3fivUFf0dwUf2RAvCpH3/HqLIvgKPEy9tRCym5gbVc13wqZNduowU3fD+AwelleJ7PNBcluoB4+
fCq/em8EXpXb5mopY/dqHrVJaoBXWPzyyMdHsxtsOutWnoh9sWS7TifPCm/1Jg8IJ8IM9X02yV1b
eBwEI4vLmrd4mIWC1ngD8D04g+txEBppYFJ5D0PgjOc0E/FByXA8eKX2Taerr4VJ35w/sNoA5nm3
SAp4RiTPzYTeRacudNv1fl6DN8Jy18EgrtCR0DFAilCSpTazpQfdsq4N22YfTsTSdwbo7QUQLLGY
F71DCuyMYaV5wtM37wuXC7BSMW/NjDjLyiA4LnXTXavz8FxAiDylTUKOlrDJuzKcfViTtcS6/6no
ae9XLezFMCVPBsYEnwpkPBi4m4Zi+MAVn3T4jbYjKbNpvnwPbYKMhwpkSkIMjG5D94Q27XcZUCrv
hEVbbGymfTC+CJnIEzma9WbO6cEuvUk5ONfPrS3liTGS2vzcC7CmrP3i3VTHF3T1h33TZadZ3N+H
E83bMoFpa0HhRP5wMnuLYKnMf/YaLcnUDm+j6YdpE9XbExa1V+ZC3DqJuUASf0KSv3Xz6FaH01OX
6l/ON/pn30h53eazxho66nOEoJ3Isn1hyQudZhUxjOC/6AZV+yZzvskYg1yO4oNSNeUVyyAKJ5gc
oKBQ+7BSM6jMOWncFQlQgKz9qiaJu5thlIVxCiOZjtRS0lLAy2/I8EfnmHQXz1yomycAIc8krwqI
D/SSRV9+92b7659qSiynn/GiQDMhDmzM5JRvptx4QNEwCJHk3J4SRnCHhRQ5WXeYOlaF3WL8RJsK
7xdu3+5XCuF+23I/4SKwnk0Tkppwfm26tAWGmMRbkXaX2BT+i7LzWI4baZvuFSEC3mwbpi2bVhSp
DYISJXhbKLir/w70b16RE1L8m5kJacRWdwOFqnwyT667sqGZIjHzr/hKImz4sV+yS4gahjM7u7ZG
XDElDvRl5AJlp5JakJuoiO3pDkRzwlAaryLDXF+ErRs7x2Ex9yv7KZ/rSkc4RFsUCvaysnzpSvrV
E8u5dgXodwXjDVDOKQvXUn0einrvpkIAhib3btn8MoYPSjRceAUdYnHVeTcATOmNxMNb6urZMR1k
QEdI3PsuAvU8/3LkUISexWVcJc5NtzITHDCMtG7+uGC3L/rhrUB1O8529WCZygxnzqGPvAUuB35g
bNN3RctoSiN+Obl2/gBG99wvpjhTkcali/ocSr1ob6THyHge1k1ga4z9bBJCF5Vq7oGnHIi8XStR
GeHceAsdBA5KWVxUUbe+aHb2veqZS4h7duHfuwJJPYHujqhH9zxfJknRw5SLdz7xLKRzwYD/1jt7
rZFfrLzF5UAYFUBB3+2hVFIJw6oFRrP90nJtIUGRJlat0T4kyvTWy05E1saqQ6r24JtZEf0uml9N
J07nzrGdH5xYA9qsPSkW7M+eiZGR5cUxm2o/1WL0Wrg3UN30Rw5KLiBVGBs8rZ0d54eTS8v4APir
o+WZdipKUWz1Hj5jepPZ64UiPwOYJpiadrix+yxsinqMBnqKdhL6SGB7ikV7K07q3yeb2mFKPsMe
APwEeXjk8bwifuuSU9TskkVu3VemgRiOVYSKAZxEbtNP1dAr4uN4vLqjfVbLTKcZBPmdcX3vI+MC
9oPqR1WhrxfvVmffKe5wGsRL6Xon9qpjuBZQSDoV7UHxuFDBwcfWVorbkLXQVkBoOXNEzVht1PDx
LuselYRyEhikvlUVVrhmvR6aU5O/1KKhjtDbVZ76TRtrsYN6zeiHyqQsz98L0oy0QVMxjmCk8WcG
MpV8pvdJDnmlL+UpccV60L1Xx0gPg1vJc1ez/4npxDG3hJy+aIyTKc6dCb4aBtUdOaQl3iVcobo5
aBnM3MYdDgC35UnLlTPAKIvV8a4WBSBgqWDtbzpGlouzn+fez6sCsdOlzNLBXJRRMuYvZ7OqncDZ
5j/w7J9brQ2KIQ4phKwwMhRHY1Lt3Tjh5dNlLfZQ+KCxtU95nz7QR4J6N9MOnSrgmeQm06i5Xw7y
mFPsdeyso6aE4xS/e5lxUzfDTzCyA1Mn9ANz9u5citMdufkpKAWmx8dz9zlAzYpmvXAyB5R4auAZ
5JIIaktflaTzG+JIo3mmVAqFiHWArjjA64OCh3pe2QW6JyqSKVNklWOOo+pTD1gqvo66wLxQMr/v
4JDgLrCAGCGqW7Xx6BEu2OyuLnckCPgR6IXPBloPymQ5ddDmrqlGIySFlxYlCaHlKQzjV3lvpI0W
rRUScVuBJEzk66oxOK0WnvRrywMqo4kaNMl1LYQa8LH5ijPcOZp3EHos/W1JUgzefBO/q0v7LUmS
extTIEjG7zK1vjUI8IGpWFdR6Zcup0wqd2Hla7nru+u1W8oQKksbCcmDP6NjjtOk88XQgaFJuB3n
3nMw4pdAxdT2sS+G1Xd7qtoAqiO9YbRNGu4qS+neJLlaW5X3tq3D9CrqSNWyUyFsNWAWvWLZTu6J
GAYyZQhH0znTEk5nYZLRYTO7NnU1A+5uRboJzWyGd6cq5tdmcoAVFGnUio5JieKQttFuV6eow9Je
uPjy7gKaLPEzuyCBSQrDp7wCtqfavsQNo3On8u4WrYsW7C2AxRqmnfhrEuVOmdgPLB0g7S5j89Ha
5hfhYkV0CPiAqGbcZ57iPJUHx+hDtxjuKAzLg8p2evgwhF2cgd3Dgn6DamMzfoPNSwJIQQyn/DTG
akBfLZB1AhJpdmNl6jfDA/eSKjr9W1vZq8CFlhj05tpsW+d8bINmRciJa0/1gVlzcm5uxop+44bH
/26tWYMbfSijFv0R0hZmGhYS2kTqVN8TO+kxXlMwdmNiEvELUGGgY6efZkqLiderv/KGrRyBYEo/
dJNn2fouKpoKDK47bkNMHNB8HOUqnfJxmNEFHLfyY5XJ40BVqi/NAe8kTXmBViddoKr6LWFYK1DY
BPqaMd2pdiN2OKgYCNZY+HQ2vQqrazjkFv3Optza0ECwwDK+qVZz9skhX9n1NEFWt61vGJJn4FSE
Y7UORGIYGiRIXjJVmCa2bWRZ6xi5ALtAM79Q8EZRLDMIIGrxXVU5WUSjxEJxVsJ2wFo9WoxM3LWm
ZL3ZOEyQUpVOjQQWgwiFcJ8Spt2NVvPqtpubwp3Y+yasq/YUxrT0zr0NXDKOEqm5YceZiZk0rWS6
2UIcajP9UIn4QCQte8wN8aCtjoLHpnivNeoJZjcf/VVPEVfihDWjNJPzYPnOPMvAoMnGbxPbjObU
iXdiGNWQeBQOqhxMqgIRK1rh/fse+2zmlvCWZlcZ93gX2dtxDe3yUqe5qKynM8VBEex7zS9q5Sab
RX2giEH7x4FL31SLP4+epo5yYhKvR+ACG/Cn0MBPrBu23HGkF/l7rC2Rnm/HBml6Pp3fIb0iEngh
NfV8KEeO5nrUTR3dUFiHgmp7nLS0q47eAmUUDi0ESc4zrdNCHMrEQ1ojd5bfQL7QTc3F9o9z838c
0jgx4/9CgMXJ/UlOyHq7SCE48ZeX8m3omm86NqjGhOvbknI4oti8zNOPurCdwMjHmU0G0M4uoXpu
9so5sLMhdOkyPRMwPBep96/57CdRCn0MTIq7xTkIdH6088fLzK2w7bO9zridaKpgJktnzN+PzMYn
ldLbbK88nRjXoeB8dI5ulgDptCnnfCtddpls2seBG4/xTPtE7OUt0bCg6NJjdEXDw0lZaOaK5yEc
myU/eFUncToMxi1+NVp5SAGGYHq+ueNkHbyccq+hntoNLquy9y7re8cFuTp48xHcO4wy0dCKYlGi
xhGw38lhAnA3aQYLn1sOj97oXcgUZs8WuD4k8Svxa67uWH2jgEReoen+wwb/aVDIZ8HAmRyNyefx
SctanVKvC1cgA7YeVMKCAqMcDd4GTsV/wF8ekheh0eLw9+/gP16WqTIcDIZWOtb4TTr8H7VOzK0z
uvWS7teyoVC9lTS9Dba7n/Q23aejQ/66SW6NzLH/8eV/vn3BnJhQk8iLbLk2/YMUOzv5Og9xlxId
reDc9EyK6qGcL8a4MBIy8/MSdw7gREYJlfsjFvkzxwXYsQZNhZCmofO5GVyDeDmlgkvTXtaRDibX
Rly/rww8OaoD26YnPMcN/E99/ZPuxd9ahegFKsVSXe0jQ0R3u0bhDcaRwUCdzqrkzHxXgWpPaWqp
4j9tPZ5I40LrdWGfTKoldyqP3rF9sjWOH446jeBJixyStWsfDBZcbHo/zTqOj6JTx5Ooll0pAeFO
enGPPY8jjJ5NOyP+wmRTZa/ODTNr86kedHrjlPShGyaO7KlC215a3aRUdxZ1902Z65JC8v5N2DGv
Dn05SCvlTUqruHQKhxdQQPXOsFcHZkEPgQBguK9qGt1NrjEebArXIbjO8jjmL0PSl+eiEHQIjnPu
0yh8MfRGuUlK5XakMFnmZn1OHFfZrxYND6Kapt2kQ7a2eRju2E79oGgopz7Pec9a68qwfDy0UlN3
rW5XIQ26xzbm/+5k98OeOgacxfjSzCiujKr35aJ/rVYPLzUdxKfVQYe1s3mvZUp3yEtKpJ9o6jUu
CS3zNn3rwf/vXaI5xMo0YF6GTdr4w13iYAhcoOtv/POeTmGMO6bWezeiJ2yf4fLebUuXWsFU+vvr
/p5J/fGMAypmIuThHOUecT96GpTCM+h0GOKIIsEsMuX6FreDi5y+tLsKTvJmqxChyPvxyjTusfW6
9hamBHZh7ya25+4giMzuPak8KvGa0JJRBBM78L1DXnDHuUXuCqnlh8WIHxUOUtd1cBLak5nStD80
ZTGiVVJ7gRUgIM5CQ2wpmQ+ypUaQCjkrYyBluL3PdeNfc6RPIwveOCEZ3jZmFyZKH6YIs4wlWh/w
57Iajmrdv2SqsYSDO1wsJf+5DrX8xxP58xOPvhsMBDzRiRN8oqvRnymzRJpulKYUry9DVgewBF/+
/n1uW5IPXyc/HQAEb42l/uPAIum1DOFhA3mM8eP2xDeEC269kP+4Xv/jzRAOw1zugd4iavhh/IeH
rSu0AfB2DJeUOlXu4rGV/3gzv2Odf74bXDYE6El+kr6wPz47YkcC00NdjEptMGjkVGn3G53rUuBG
mwC6w3jnFOCoVIz/Nj54xQOidX5DdY5Jlp2IHkMFeBiUFVYG3UxVxsmhSKofnBXnPXp6/+zNXkVl
Eea6DK/8QR3SgzqbHjXhmp9YWmTSeXjbF970rxvP+bS73EKkGicFDUfRltX688GI+ECPkqqbEWxz
scu79NFu5zTosxhkefHqVcI6cjm9LmI8KYqb3uZt9RaXy2Fxxvtq1DlyATmKKqe/4ZYtD0AhWeNn
cAM8OBCAXNoiRYZPuXFoA6nVt2xmcpI5gUpt+WEuKIVQbdy0UMrXcJhx5mitajz0XmyBcy0fZ7HY
u7xhjmQl3LB0mzzkuVUge5u9L6YJx0LNAcGF7Rk4Jc5VplPlkUM3/O24SI6g9kA01+PPUbZ0WOdL
HZjw0/dj4jWvI7QBSL4JGpXO9K4wbgqmAHvMwQBi+/x5aEpMHKv1LnM0evj10azZK5ACkNJm0oR1
ZfT7jmnYbDv+kprLKctYhkrFfOksyoB17wHuLy0+fXFNbCU5tEknQ0i3VC2bnLGdog271a4g4jgt
BE0tPmVC/LATysra+mnqtLPicdq1EgQ14k98cH3vPFYZPNq0B9euKsqDLseLE7fQayhYNHsPxLLX
fXddthxMCaCorsPCITYd75wug88qXta1cM6gWNPQ6wWFJLVGaRYnWz+byzws6Yw7W7i3dsamFiC8
dRuD59s4q+9okcrZpeV9Z7AgHDPza973/Q1PxBdpUe+ExVw5mHkfeJOb3MiiR4xWy/SQZeywWLUp
NDU3UIegiImD4lV10tcO0Dmzemry5lgkDNbgUucTuO4mhbE/MDLUKXorLEEpmhU/VQWdsXkt8dtW
tnLkmO7eTl19RS0+IyHFOLhAsjv2eE7irZ6QNjq9cauoybXkrXfOqevuNOiH93Zbfbcrlnz6V8cb
S5/kpZAG5rXR7I+6TXcofuIYI6JSAR5vtENRUZYJieAullR7GwM0eUgNakC/m+tjXCemM+ih4zTG
3VwjhYy9J54oXHkzuP4Nb6loYLI4Fif7iQA5BSrKHPDc/yIz+Ki25dD5x1aBv7oZSnzXeyc2t4I3
noOOFzd+nLR3nVqNJwTEYXSSW6dtMB3OZhlMTryeRo0JRrs+9k0H6dt1I9LozbWymWyIr9jZ0q8j
3qzTODVHZg9MCikFP6yOqEJyIrccu6uvSe+GaMRFmNWZCJVKSe8NqcKR8L5qapsfYrPFiG+uzc5N
vfI8UjpfW/qzh9XWRejENvNMd3rIrotWth7htu/QDoUmotW29hpV9f7Q08ChrDW2W+MVAVXbTTE9
D0yi8lBV8hX0hONGTpJ8E5jNT1JNo1mligW/tUrhCC1Yo+kQHcoNzHxK2UScbGln7NpknwssmWQF
aGLuPWNfTRn7Q5u7wKlpp65VPbTnGGh7y0+iVr56aov1SivDclCoyjumIK4mEZcbxxrQB12Yh6l1
XT9nw4tMPm7TfUreNZv1y5RTF9GngwWQXGCYF+tJqGjJjYerCz/6754mUet8BG0vwy6ZjgCmy4vX
TB6ADmMbNJIeJ79t4pVXf9JuiKrarJAEPFajHgz+AUX+KZ7kfVOScUtJPew8N448o6VADV1uh9ou
DgAXjEDv1C8U6KUHj3VrGYixNQvEdRFrR7YCC6Ng0gqNLoJER8+ySm+8k91Nrt+v2di84sTdce5E
jS3MNGLNWQ6IKAuHxsy5XSaQyMbYoEIlrQmJ1cHmzxg7p45wJkBzabx036ZpfuwpI8M9hihXLSfM
VrfKkKc3zdAZV9XsLp159GpSV/FSbPNZ8mnLwigRnPzrrEe2Kr4ZI92reH24uOyholrp11x2dNM4
JhMKm74Nii6QBebmzaUmT++drS3R4WhUc1WzIf7y9z2M/XlrhrcHapbrsh2Gtbn9/v8cGWecWRqd
EHZkzdRhLhQe+IndfvNy3AWcmJ9KxJ6T5jYTQ12SPbWYobHryvLArihcGL3tIYbrfr1oxR7L65CZ
J1VpXgeyDzt7fKpV5FHHImtl5fi02I0vB4Lbu16dAz5+72zMM58UrQa8Z8O4jOhUmm5U57XTxt2o
TUMwdgS6SukuJx229F6ZYoY6BcMDp6bkwOTcILbxdKNzqjeAmRW1eTQ6qmS7RPe1jkj4qnDdT8zY
TODRjBESJ3Td7Es/Wd/o4ptDQw6C0VFscUl6aoj5TUaZPb/NiugvuOkTdulP3QTuvYudLYQ4yPM0
xXH09+/iN1rrwxYMbzrqCd8/KthHm/o0tAxRTL6LTllyWPXrciPAWgfOUMIT14bhnC7xY8WyyIm+
W04ay3qtTdbZ7WvrvErvWTXb08RocymT0ud6xtIX21R22rNzzlI90ukKPgqN2Rjz+OOcDenFY4kP
xlXv/GVDn7eCT/vv7+uzMATD0OBZCrYL5/RHs82AY01d286OwP3XHG/W74whsYW4PQXXlK2powe8
R8WtPiWL+g9J5PP1DQgO9jPBFQpugUf+eX0bWHPLmQrQaCk5LZVbl5V6nOgXCLS5vWzP93/s1v/z
BQleepwIHBWCzZ8vGHeMBpeSF5SlU0dKnbVXRp4gHSzGPGzwT/+CaPznCzo8goGfEtr+CAMtatcw
h4mNOxGHIzViFHSN5rIz4A12Y2fie2PC+Pdv9POJBGg2AjvuKWyBnyy2Hb8zGRYvKUcPURt9bsfX
/i9R6b9eha9tU7IQZyxH//OTdOdEsUarcjguJy99RY1GYjMs+Ptb+XxxGpaO4clxueHMT6wE0oCE
KfOGt6IawKM8ZEM1dYEJa7dJMVAc5FG9NefXUpme//7K//G9QQbeQsMITxph3Y9vD3ZgXGJpMZvu
gtl73sWTaTKASbz9oKphu2Jo/PtLbj/yzwUGgYC4CU5OuqD1j64mQqLpIgfHjib2NZO57B0WC9+Z
zGIX9/0/zuBcZv/xcnCAt4zLRun+mOhvMksfqtiwo9LWUyxC67ib0uF+6Qr3IHI6C4haTdsVtDrr
LQPJca+xDoVum3xV8Yz64DB/sCKT+LQXj1BWuZ5LdNddqhLzIxKObGLnRXex1va71iqkBVW9vRSD
YWHyqGvipu3XQTdvSiYsd4WuNqcYiHrcUnbVdeRwiTtz+hq9q8sUq+qTMTiMG8t84gLfGk9obqwH
YggktfxJq99Rq4ooNqn1dp0s80smq5R86T0NjTOzKNOIjAJtV2cJ3+mDeV9LDlaNy2TKrrpQV7rH
kbuSM4lUA5gzknm1PGZ2pd24M3uMVjbsqpzpztj+0cQECKiDwbJKhsdpJI3nm8tqsI+9TsvHmCnk
rRXqFin7uF2KpNgruMsd6pOfnLZ/w86MKKSnbLqF0PdWhyysmu9JbGiP5OjwKY6ecsgPtdBvhdZc
Wt2S+zIVJY4lz7pZRi9S5wUnAh/e7Ty3bEEKLd2BM3TOv0XlMaccPlk1h30Nsva0GnGYNlurEjuX
0FnHJhow5xVJbgdmX13cWRv83EFgFU17IWFq72owB/7QYmVtJ/sQT40auem9LnGGKMZg+ituDF/0
051uyKCj2hCr2RL8lpgbkb0qOkbeVkxxiFEAD5fFCtG1F3V27hSx0DJmq/kpS8hJMXnlibNQnIEh
DWI92ddwLNUn1UpeFmSyEG/mLXntH43xy3HG+aIVFP6tFVkH2FFJR0WcZ+LmyRIHEqxeRzlQeZYF
qlPUQnuyapyK3LPGwRP5fs35gUNdMOslBbe3anufUp53IEh6sftYjRTBXUdzZOYbDiB917yZ194+
9HF9J6W53HQll4fAIMrcPBQSDylEBPSGwtOiaTSUKM3KKTJikyCkhaQ7woVjEPYSJ3QrMrF96vNG
O8YV3w89kmVB56VgyHte5BfpUJxYFPQEl06mXvrYfV5gEJ6zpY4DPcM903cMgKtuTh/rZTL2elZ/
V9PiThNz/FQ8MUQVE1XLk7VfO1w3Llq33gnKdqEinjsFO4Wb1vcZcCx6YurqjmgZkTslK81jva6z
n6UWXWpJagZqne3HBlW/Kavqxpr6S+YRAM4I8J3IUdEjnhsnKzV+8ivxjaJNLBauT1c8UtRcensC
9PgCLHq725FJStU28mYw1qA0xi/ZjBlorN2fUurOA9yBvSLV80zz8SGtnzRdac8VRqLfN5I7gJqg
x0BDBPCGqDFWakhyAwlc0qkMh+JJWqt9GBqFFKW9qIGRNTOZV+w6JYMpzrSc0guTw041YuUq03PB
C11Nk2IhDJv8GJSbRadOdt7ymU2l3jdsSQPHKsqbrBInhCc6123nm7MChm/IggXGnNg7oyde7lWp
9iW19+3mFqiXxoY4ziaCokmM9hkvb0BIDoduMMJuSO5adbRDoDEPlBlOR1eBI8sn9pJlM7v1Km0j
7GgUs6R5sJbKpWAaue+K0KmgD1OnlYe1pR0zwYSQLldtn6zFQZeOsus1Au5K6Wdq+YBGES55XJ/r
kWaW1KODqJzWIVwyoviGeYxz2s6SSm2iraPaV7M58625Ivqcow8m5GgLjUoW0hanBR8FQb1MDY1i
hWxnmjfNZuEE5shghIhBY+v7dlKyUB/XF2ccO59ZKpOhkWmhTOwHq55STBc0y1QLa7beUfOCOaRV
gVvMTPinpYx0c2BAqJuMXXXHCqZsMV8y1BUNIAKGrApQ3KoDYPSKoMusJ0BTLoVL4pFMMS4Smgdq
11R8xvAVlpVj32X1fru/YI8SvBhyzmbmzBWUWcrRmDXzFoT1HkQA2JRivluASAq7G88xCx/vx+eg
bN5RoJjeL01xtYoXLdf14zpX+2a2Ko67HmfeZiRFC0kab6uM1EhbSDbiV2Xc3S7vcUsonIxZTukx
CtljzfblGXdaF3ouns8Ka0caPzZmr7xZ9k6YLTxS/HeBaHs0ECt7VjWCAjG49mQykTSFEyLeB2Wm
jmFKtIFfNvj+reSR4zoqBv1kgSq795XhVdhhBw7zLr+ME9cNShpcTmV548mkPpfx4pdFq0YANxZ/
WkwHw9lcb0oaJM21pEW873mNrLsYGkO+lO8pclfti12KV1Hgse3vFn3tArNWIIB3w94aSB4W/Ui7
2Jpexta6J5/p7kcMmwQ4tsp1pmdVl3yvdLWO9HlKAtfuKnrdvzWmQT8QUIrdVuTJGv/iViPgSt5R
oXXIIFyVv0eNS8WDqHVpi11GCt9aUAuaObzrnQWgpOKStp0ZRnkSFYUX6UBl6bVH1IiVwu8U7KA5
0bYb06m985S7FPGx9rsUY6PTZyh8LSNMEWMIWUvtQZlg8sdFXQZurFpB3NQl8hPS6pPNgzxaUjZI
JXRiTtMhiB7r0Cru6uel+mgW5aO5grnPtBw8LEDOXcbElec7C25TMURdf5U/pzTJrp1jvyx28X3B
9fmDx8qzVzfVF9jYO8zr2X7Kva+UzGvUVrG/8aqeFOKiVfc91zHZJ5ULvOWxwdQssGXf088d9ziP
fzRbzr6pxQtGmvgeCVLSOJVAhHWjBIf//ZLaJwZoZjA2ZR+WhGAY3eIilmQGXFbGveutVkDrk422
hEPXSyt5h4Y6BI5C55JC9PmSdj0t9EsVgAQMSuhPe3rmcTiNAj/KKodbTNjeOZ+xOSsWjXIYDtC5
OujZL1zT1lH080LI0H6cTOAwaWMsd1N/7w3ftXKNT5rjXGWa3OZVa7/dz9OSfquzu75FzfTs1Tqr
S/4+Wt5LhyWn0aYRE3OL8CgPPdSkC+7hI6brDJowBnbuh4L+HVqhkOlW8uy2sififmerk3UZkvar
6556gnMB1ywlc3Fd+vPI5y2mwjiLTl4E0omPga+JgJg85DFZksa+q+PxotvQbZPayr8Bo5K9SUkV
DNoKGsyu6LocdI8GyWRpggHNksgMvZG5frA6fDzWRmzux+LOcKYz9UEzBIEB8XIuAu9WzOQUMpyk
5yUrsB6iDSgU34UsBJSQg8CtyWk+5DgzGteesQ6y4aT+mKLQhZ5yLH1yepLSSB4lDV2/13MczXXU
0spSFd7eayW3O9spVzoPDNSfqKEMkPGFT0yLPQJV8o6h7D0U+D12qzGsVXdHysMJYIhkKOklum68
7LAZLVV2oxj5q1GxGeVypnABLVMnfXpRUX8ZcwROx5NvWCeeJbaLkYr1QptKCsVKKCfCLS4ll9cu
hyK8m23tuZj6+WxbNYu2txFcqLQLy7ymSpglvkk8RtugbGlINGDvxvFhzkR7FfrYHwrRfDer8onH
PQWE9RT0BQ+hvmD5wh/7ZRHtIWG+DaarZhktjEf+vXUvm7valtquzExIETrVSHlHVag0jJNYvm5b
bmrcy6CZ4qd4lSKkxBbJNjV/Nq33bE7tftIgvaYEcO8qyWSkwN/V6nF+TrhdS7/tynqvVdV50MUN
0bzvtcO1Nhhd6Ze4bwLTkBmTFHpvXdT94PeimRp8NGbzWk3pz3m1HD9PxyUqaIbzDGpLLd1iW2Y8
eaU4l5JLtZwQ3Cb2qOw5zhxgj5CvxyNTztIVoVaJo0MzcSkkZpNk/WrlBHywODPFksmL1jxOIgHf
WuJXMwwQ3kacj9GaMFtScg2PfU1OE54nuy0CVf2gDdBMcAyX6XVpYQYu5YLq3qfc2lbjnNbUfiqk
1e2b1W4vybRsiJJXuxbp1d6KEEdpcAxq2NpaovuV2PYdtatWOCDQ7Oa2sNmW/9z81/tFTLyKTFRO
JMN4XPNR2f3+nrNpgKxN7KPYtnRJxZ+W8iRi/Ot1j9jdjwNEGHFnxLCexm76R6bvc94IbcpCJiNt
7Zoq4sqfYoA95pzgUmuT/rJHrzRe7N6qIzMXoRtP+NC95IWBlRdA8ahouWPm0P7juI6P6tNx3VJp
S9vm5i5x4o/zbEEjaYNfQqWsnHALQiTNIysW68kyphDI+ngYdGZbo0kDlLaleqfF6l5iLq9ODdXB
o4SlLLGSpJWBz1h/rvTSCGIjTQ65BEfUp99A/N2A683u+3K5T1urDzD5pZHMr13fuA9qTGlYDBNT
0XLjHpj7T81JIrMDqb6zE9proeT07qT/Wro6SMoqf7ar+VmtJQkY3ZgesjajGt1iSMKe/qgOpXyw
hPKjNKgfzUfx0sZx8WDo8rVOLvnYj1/1mChEycgxJLtkRKZaFlGn12vgaUl5AFXpfcElXARPSdrZ
hKtLHlHz4HttrVIOXZic+a2b3k3HczFZuLPd9iBE6QVTPgniI8nsM5wlVjOTs0isGJhXDFcJs/Il
FZ1z1d0tuUm/idM0PNzUuQ3GaVrOjUk75KpcaFNeQQE8MRzozhVOYoLt8X7yCj56O/9lCK7/TFmu
OmazQBfsAobWfi5F8xV4xFVwVr4v1uW4evm9aq7iTtbp0TNSlg5XPuqpvkTDxHlGV4arZtGUjrUg
wWhV5FHpxEkkZsJhY1ute9GPZkBB7sjmAMCMjURiozWSzqaZ2IkUfETPVTVfpzgJ+2qsAyq6aFJl
nsKlnEZxq7xIjgj+jMFzv5r2k5eb7PB68QrF3DhCAniFggqbinbMcGqw7en1BGZHbcmSZQfDLOM9
VGpauTtE+lzi5uMAac4qkn5qL/e2XilHrMhh+SXjTn2yFkfz9e9Nn2RfZxwyt6ky/5CJge1q0yBW
GiswxTd+aulfad0rLxrs+AgPeXe2t7yOtbKV63kwHFhU6vOq2csR7lL6/9bUTLc4MiXT/bLatzVF
4S92zHI6YZ1dTSE4HRBM9BTF2hMfgzLP9WQMDOcUMdZXa77Xppu+Hqf96NpV5A3KcsiTqvZtl1FJ
2xjJpV70C+VA2m3naozYpfKs9TNN3BVoD6dmVPV3VVDbDCR/yoLwEjZU7KaT40/ajC7/MwNKTHDC
4MjWKHfV2M8ImoMrebOMFewUnFTVAbIx0Vyward5wznt7y//WZRkuaMgTecZQ9Doo/HEVdn6ZCXq
eKMyXp2q4b1gQuIPU1P7bbw8/f3Vfq9if75ZqO7o5LRcmCxmHzXQVhW5sEsdi4sys04Zoxu1bIGw
kl97pSEDMzFe7I0HG4zRWVvir4OnKj6+wHk3W20brr2ahsWUtTum1Pmu1cigNAL5R1HhkCej6leL
OeNc5kE6LNmtYRXTqXS1/TqnY2ibTLvRQbA4kgOI5iw5F+7CxsZb7022EHbLobL0WlB4syS4KY/l
2vN4VjoLIcF+o7KgJWvCBcbnk3GVTa9//3wwxHy6GkiaehtTgmg9UZRNMf+fq6HElJtAIyGWOMfq
2Z0dv24yMhn0TlzHQMsgjgMG9PzMUN6YdZJ4wSvnQ/ltwYhtJcqxDKbFnX14Yr8Hsrdd9TNOMooY
K4woUmag4fpqc98FVRs/DAUmf3PR30EN/KL3iZks6huJ4VW7cOR86rVhfjKttI/c/+PsTJfjVrLt
/Cod5z/6Aon5xu2OcBUKNbCKLE4ipT8ISqKQmOfxnfwUfjF/ULdtqaggbceJPh06kogagMyde6/1
LXyRXmeaJzGSzkoWOa6+sufHx+Iwlfh2cixHK/R3X5oi7p6akx3B6JKuWewD5tZeo9hXdTV/CmFT
nMfFZYAWiklJpgTHibG8Nxhy8s0EIcZol9WTGKDHg8JMYfGLcTcaznCojZcZICTEu0R7NkxmkbXW
daewbyzK5VzbNn1xHkY3uYa+Rs+jqqIDI2JvSooCAxGLS9dr3d5ss7upDGuvTIxwmw4Gzoa0qre9
wXzVrJm02wHpV00L2XVwqvNctNpa65svZtqXt1me3RvW2F1jASDjHMbJ1qF1N9uSDq64Mis2yyG1
SbqIZmQaGcUqZ66jEGEJ03YdsVutcQY+a5kx7F0cSxt9dLYYKrxIMUNfSKs+GJF5FdGG3wID5bvs
kgOiafMcl9pB0cdi3yNDiO0gP+i4cNEzmLTlnfFsExaEP1y4+6kLiP8Fqu61gOvgwqEuKnRD8Sjw
oCTyxZH/3uwtaTubxMsZku1ovCue2xYvQew6qzRXh0ObchsQ0gjgNZWfehriV1Jpg8MED5JDYXXP
rTx94pzDQT/Tv+VwCa+AX9Ix1tWDOSdn3HQ3YVs6O3aqbDWYWrdxheI7fTqtraKw1yg+vckyi4dZ
r68oo4u2jY+20z2DEsMOnJutV0w9Al+9NXdj1TpEeGGl7czr3IqwrJhXCS5CYqpVoKMjiDMiFxFu
5eapUJL7MC10vBu9Rl5ReD/QgjXnwl0JS94OxYRqIdO/R0u2hl1ojGCvJiLo4GfSSVQYkGSMd7cf
POBvxc7w0lUUv3wCzCgvB5RGE8qoLUMgL+V0bPq2hHKQ51eIDqQR3cCp38ipQL+Thp/UBAqfHQTZ
B/J4hnhvFhkksA7Ump+kJ3C1vy8ysRlbepBlcBgNqRCzIkIvcsdttxDTHZHjSMsMrIh1sYapSzdh
pnvPPZXrI20MqhItp36stgP0r8L8Qc/A3GXgagluGk+occSIDxepVIJVH6PXmGD4bDC+OCR+Wzki
69QxV5ZCXAPJzw3E06LaFKo9Xus0uIsuOmJqC9fCop8WcB5fV/U5jKybONTUfU87tU4GcAgOUOG4
KhGoGbeFa9KNTO9QxE2YlHobRa1zg67P2BuKfupnm8FQWOGYMh9Gezo0dXHH6k8He6Cjk7c/cI3P
Bx2vRBaSh4B39A5opdzNoKlXoh5eaYj6UyVpJABNn2YT20jX1Lit4fqA/o/XmlbdB724dcNcHFPD
eYI+XuPe7KY9o74jte6NdF0MQaG8VRcPt828WKIL9sDW1JhqzWdnHOhR5Jm5tkRPpx+SMLAJcT9o
irqRoYo/dcDS2sNnUCt5IKsh86Xy4Zjy7UwWp4qF/RaJtr0cR36/OQrbyJkSsBTn/VbUIzb+uSQZ
vW7ZMIKthQ+PJ5NYj5f3nwxhvn00sOMIlVweEqiIP7lQ2qp5T6spE6NfzCVrZqvjr8oDTqLGvBJA
6/FB4U63u6Da6BVW8Zyn2KGt5huQaj1Gjl40GBxqLc7g1Vi3d3A6bzrTVjd1QSam4W4drcKNTGLP
TnP7ftfH9kDBRY+sLVEMjZgkV6IZt4UiP7lTkXuiViH4i1nHvdhy7zvmoRvaYj/j81iZOoQ32JC7
ZExS7B45RUybX1tW4e91xVLX+aIiLFriHqZkzPYMkYqNXc+PbDf93kgLFpkEJVv9MtXjLpi653HE
Dl8Z6dHWRHkdB3AU4lix93FXgDcSILaVFBGmYzUFNBgEV41VjPuwjgmhlv2dq823feW2y/SOYkhB
hAjEUPebrLEALuCgD3TFfoAjeaxLG3WONZV+wmaSYv25ge66U4V+QKY0IHdZQKl0aPe53d4Wptvg
gcyzjYujeE2fE3VSrDDm1fWbtJC04NScfpJD3Z7j7c1ITgoOKUwMmm9LgY3IvyJe8VDBBMAyrZ70
AcbwVJrbEP88Z1ODYYER74mUoWMm65e+6b9LPU1XeHdOSlC3u+DOyVs8GkKWeDOOUg2zsw6b5rpP
+vWwSGlMuuCeJpFD1RVv2OloeWshMWU6iid3onIO8yz3UhL/qKi1EWqn9TVO8mAbh8NxWNwdblQI
z8Kx0Ri436qFiGFJGvjNc52AUUHHY2yZB2pzTtpqzL9EOMGq0Q2IE/KLDBxE/lPvx9G5Syt57RIv
51mz227YxNt7gtwOeQbai536qs0ZYoxdIk9u8cIXYXBGHs1dnI97lEfcpSX9fr5H4zjoM+mFE7OV
0u42szV8slwvCHTjIEp0kzRcDWASvta5/bo0puio4ztK4tHn1iH3sLeivWoo/ogiy1OUMqFHG5wH
oaW+4lacA4NYBaIKjzDqxKeESNn9BP3bUSN9L1LrJIMkJY3P+FQEGhOXrqXYjgAS2060ZViLDtBh
KFHZQcppCpndBCpqzaAOdioybOoJboDAMhamiHYuXD6WZgZ+YNrRPgXH6DdT8ZUhXbp2B7fa4T5L
QuwgJQxJIt0sDElIJrNM/hhU9ew643Nozk/TYO+HbiLKLZu/Y7ai1hThfe2+TCI6tZrMH029u7dj
kR2MFAt6VtfiMGB21ihiOFEcRzShjaLn535YN6JjQ6Def389e1vIM4unRci5ysV0cSl9SlVzVEUD
kVn2YuC0wkabW9AdK13C0EzpUNNT/0Bu9QcXIIwaaGGwVrnmG24nvpJObXhG/SzGjZwFAYJnNFbw
Ck0fn8kuTTACd+TdA2+PX5UcTXE0e7Tqsf3SoeyfqhCOgWYysynA20DZXdXwfdYWpd9KlcrW7HG5
xoi13eyxBhcxxoRMG2T7Bf2rKhJzFQbhvQNCISmF3zUNuvguMlfqqHwdGqqJparW00f8reEHB9ml
Zvn9ZMlbR8Fsc5Amt+pSiIWzOqmBf4wwajg0oeHbUreuK1dBd38KBxsKkjp+EDj/B/0muExywzQw
4xiLLglttW4FQe3Wgz87rdilYUmSw+SswivU1GTjmcmjojCCg9W5aVx11WLnX0l7ile1i56RPscW
M9ITPyNlq2O9muaYmQDWNZSDhte44We1Ybqi7GRgbdumPVHatKsya9fZjOIGRQyt+fuM8OklcZXA
83Ux5i9Vaqv+NAZnWnYznBH+JJqHR5P5LL7N+gqb9Ms4T34DL5BVJaM7qGK0LhnGkifIITEPb0Qc
nFs0ods8SxzU7QbU1UEjZ4AMQ2EBeZiStmV6AB27pGDweczxMzSFV3X3HDtUP4xmlkVdmUnJ+Irx
Wn6gpvrD8wWtFNSbu7jJAJf9XqYko6Hm6EsHP86a3eymp2B0I1+zm++9EedePfYffNl/uKBhwZ+l
c0GqA5be3y+YqrNKx7pkXRWZZwx9xUB5egKj3nv0tnLRPb2/gPyhMYRfi2YLabqLae1n0MQvrQAt
lyqn4Wz0B4jaK6d1kIhMn4Ni1n3MZ8hXpghAfQ8VdSFqI7P7YAV7WwgSA8M/1GMOc8/LVkTl1glr
fztCti67vdGrAeR4AigDyxub6E5ISvyogAqCnPuDjvwfHmbDsZcUYT5tELBLqfjLW6/UqubE3o2+
GmfRypJrrSuUPW//yRWDuiemdjOV+vP7H/hbwRzvcWm8/Lzuv1ozv1w0DLXaxJcx+lgXltqPqq60
Ks17/ypv2cqU+a6NSBP9Ia2wy36fIeqwUw3uIxujnAcfr0JsTMu/5YYG+K+5+5CzCMiXdhn0Wadl
DhNmBXqwTNz008A4wvoozusPbx0d5sJM1WlFvvH/swU2jdHI0R9Nmn/jGDNp5Ul6/52Lt8dOfrZK
fJpqI/a0LnuNClYuNB7p6FvlcDTq4Bv+XcYsoiGUqtKae1FdZ3N+r4WByaA+vpmtNtxqqa77iUF1
FpRDyLI2rHBcrPs+kCdtXpdtPj4Etamt0QtB1AqCD84lf3jsl46lqqGhApDw8yz9y11hjEE1tLUy
+DV3+Yg9bRUREM9CCMIIgQwWtOwj7OMfHjwL5RSlwzKWso2Lu1/2CXFH8Tj4Cigh8C1fjCwicLaz
7qPUV/NnJyaAGF3BR0ZRYV++WUx6xC8t5lic7GxpF0cwyjS8oQMJGyPKMqSP6FkUJFeZU/j1khsy
40PrBDVv3zOJwQ/+UnXNvK8s95lxPGKgfiQf2pTDKeaU4E86hTimtPyqnNNPzTwuByl1eJxSihKM
W5wPSKgguMCI9k3s1puxCa9I6wnOYE8h0nPIUjT1mZtjHWoNz2REBHELQYTuRXJFCqNNQqY2boxq
HD1JIopXOiJeARcqPqeQR6l79kquTTcl5um76RHIj+01IUl0BODUqzlIWEcYGPimxZ7cGrNJy1Ca
fhDYYqWoDo2qTgWLBIJ2VTSjSW/GIOcocMRDkH2FwhOz54eODyenXwPQKK4UEG0EJ4nveac+VZO+
S+14OCthae+YgDJstfS7llz7o1oL+2jo7iYiwMjXap20TJFv2iIOr0tidHHVyF2eAHRAWzQcSoMw
giCfr0POzvuxmoOtbnwvNY7GTHM0L+mGYq3G2rwbB6T8WndGU1jc5VjuN8AglH3BMF6hlQirIVi5
VvJo9Pggc6zBq9jsb4Frl3tVzXZuUk8blwG2WTpnF10oLfFkg8Q0/akerpLprqPReq2aw+0oiE4M
3Xnj1KV6nQ5jv3IDctMX2zyDco7NVoX3R2bzGunOZ+Fw/HJLlVK0sT61arduEAJtaucqA8ulhfOG
ROTRq7JGHGxJ5AjtmrK/C7VgHyLd2MQNy5KN9n0lOO1qKMn2JVocP8FjkTRZuU5GDjWqYEBmzBbS
Mw6LKBi6cZcPqh9V0bwLNMfl+bX3aBCBltT6NqozEM2mUuzswFrrhCpdq8m00aSioz3qij0LFkpD
FY1lCfClIczaZGSw7oUseDom5THr5Z5yIDk4gw2tB3qbEp5sCHukMFg0w+SxWQ6PcnKDvZ4OP2Iz
EFdO3EVnJlAucghENkmGfHl+VGKMrUmDEEnMBPOEtfwkacHeKuLUJ1a6KWktbpSoUp7EfcWh7yqI
UcMknGwbZT7DYOu9wdIqjP3IR+hxPcdppSAzJ7/cGKY9fCh/GKxgb92jpaF2GKN+SyrQGuyqcSS6
otrmSLaEUUID08ZvI0XtYQq16KSnuRdYS/6ADZIt7nNtVWVWxTRxqDciMri7g5LKNVy1qgw+4xvd
i8Htbzo3AIaWEsfk2IyaiSFq1rWZmn6CgI0+j8TTlDVkCVfhHc8wmi/qifWYJqelV59HurwiEurs
dlZxjpJ1VzB67uhd7Npa9SBXBKjRRvL8IreD/hCzUcycMFAxzbdZbQWbVgMyROxWDWvScnlNxpFE
gOiEQ9qITbmPlmD5AMv1wsg2tvVHJcUb6ACTNZq9BnUc3iEX9/3vhUydzv3oDnblx123w5EJ0QL9
YBjn8X0Xy3Vn1r6Cq+5bwBTKntGsyYEeKh7qrapsoqhR7ifVbK4TzYKrmQ6FTzIC2S/JV2toCGkv
TcKGRlBedohqe577+RBAWfJ19EVsI+2niqaRIOQVd2xXQxhorU0dPYMQvDZiGmOc0F+qsP3y/kZ/
Wb0tb9pl0EOEs26Bhbp405GeAMs0u8rPH6aOzUJmI08OrT8y2IkaiwalXAOrrD+qrPRlY/z1DMiF
8TuY/B/ZdogpLjbOJIMBkOplRZpT/zzUHGxwk2csN9Oz5mCETQM0UKOVb3uCuKpGVNt0yW0thh5N
5uzcuUFwH7JzIVsCtq42ObVgFt1FYRLQjm5pT4SIXZMc7TRUDcdvy8bXrS8u8tIDfWs4fup0NDq9
hb4n8VcNg7HJcwEuzwzdVS5T+0rXEHBZA9OGRLEhfFmkg0StLY+l/ogEHXc8ORvAfV8TXRxdxNef
YOwe7N56AZ/fXxeWOx7Nwdi2NetHB28+7QjoDSFF+4pi2+tmdO/KzNJPdp/ddYE67pi6bxsUFWyh
+Ah5ZpJDVM5bta4g+6Hu3TcB9FZ2koQlbtgooyRGKHC/xionWQjrsYdAD16FgfTCpRuf65zdI5Gd
RR089VZxN5mkqJeV4CwJlLzmC7gz+kIg+BUMqZZuFPflMaCjhOrpkJNpGNlts+9MpfOLUhaogQ4F
qUl2aa/cuaaVSzM2lqQVEK4womPcTiil16ZRItoby2ErIfVutKl7QrFkrQO3ZURuDDd6Bq/WRXoC
ybEzETw5PybEcfQQAQ4qxcThubwdE95enXb1CfUyhEtVCra60xLjs09InPB6xXgkx1clLZCac4Bg
HuTO/v0H5E3gJXcovAe6Q/AxVGxcF3VWRZJw3GEs9dO4mOCG1CCbDMPxQlXZR0aCQb6MtbVF+8Ws
BN9Zux5COR/iMKYxre7efzXmZV3+89VQ/5MbTGkOG+X3RUpWZu0aZl/5yGiqVR+BkZnFqxto3+04
Oig5sEqrAqOtl5pkjbRCiNTOTdi7HfL25qVfvlnc+rXynAT1twSXZFsOQHqkeQeicROmtdzSKD3n
WflEixudrqYgs2IHSOPq1ZHzcysFWnq7uEpa+Da2zmJmG4Tk1MmzGhUvicz1tfpkVdLAJ0m6o9pE
zybNR0gRWH8qbPRZRxR3u89E+111jO+yiR+cWTZrEs4OicZT+/5ndimbuPzIlhL+l1NB1gctah+W
uHEByyGvbOjxJeEZafnn96/0pg3w81KOZasmnrFlPvL7pcje4XiW55UvQ/sb1NF1G9h8PEtztbcc
etB0YyGWKpuuB9s6YM19/wVcnkaW68NXW4j6nFwxOv5+/QbYsDtHYeUjJObYQcW+FDYvmaLfYpvg
fkHZ1wbhg0UizvtXXt7ZxXKOJB6DI20epkI/79tfPmTCwCv2rrrwIe5z+mvUPcgCbCigMd6/kPaH
92gAkVF1l6Oew1Hv9/cIl6AmFasq/Cyrbqp6ehRF/LkwgcWpkQVlQW/XVVl1WwyFygoFXbucj4K5
AIzmXnNE8aqJZKgUfuxV3phnG53hstxOH/R3xR8+ESym+Fs5jjp4NC6e1BLKG/cdzlbLbs6CyDYD
M4TnxvXOyZc6yFDrIxz/lYZpg0kz6ZspKkAzoxom0PjzqDjTnlSwjcrRi7fyFd3ZjDw/GQDfgQfS
xW0dYrdr4nDcw2MyDO2DLu2bT5qxnsr/oLvTHYcQcXE313lahq3LkATYkrZprfR7mC9rf2EdxjDK
PDJNUAbIzDjPBAOdnVjSa15yaOVWmC9ZAlktzCprJ2wpbpDMajCaEOyO/Yf3xOVZeHmlSz4uvg3Y
gtplb5dQ2Uqlk9iD5EHL0JjFSp1Mw9fwu6+jzegkw3lMangb3ROCgT0VtbUF644Fi4MpmiH2qCy3
tBUpfKMVHN6/Yy8bNv96cbQh6UgAJrp8KEvwF21A+U5iArQZCmwQ52P/UQfysp76+UVRyi1RyBhI
L78svJNxAl6JbXopYpyx+z4FkrSFLDg3iXxtTWVbIrIK2cgHY9G5VOPd++/zzeq3vATNZMW3LEdQ
Rl/c8VoEHpQ1sfOx1TJd7zhtuw6o3TKA5GA0KUWHfY5aJGC5wyFlDJjKffASLrfH5SXQCjHowdK3
eyPJijMrLOth7nx70m+NqSE3uFgwEkN4VTfowWfEvkw15shLp9heIdc0t2b2ZOvTR2K9Nx20ny/F
1XQQURZnvcv+jDoQYyswMfl5hEITGg/xjwl+OBru2XZsla/CJQ2nIXNW1RDky0ivj6B3kA6Ht7Fh
RRutLF4BM25zSd5okaK/XzoAHWmN27qqNu2s9FS09ofx4n/6DHU6qxYWeZNPc1mAf1nKmWVnUWXG
3EnkfO4lww6iZftNJfEU5HNxqjTm1oPLOaGTVzF6NlM/KSH32vvf5R8eG75JxAUmnXxXXK6fqKQV
SFFG66Pr2EGLgjOi+P8/lyC0QrN+lndL5fDLO+1sKFG5SgstTvuviRGs2sa4ef8Syz3/677IXcCt
iExQZdwlzEtn96DYlak1Tu2bRnZyorjB4CGOeZDt67HZ9FZ/NOX4wV68vOyLa0L8hHKgWgarweVe
nNh2yNZDFdAlYJCL4ntMno8eMYm2sXy9//7+8C2xN1DEA6V1kUstN9MvH2FZKwmabSIT4jH/oVQo
Juzs/9WMzy4PM5abYKloLErC369hDoqMMmpQ3yKjGl1K7GfglVdU4qGndpN7ev8tvf3KuBy7ieYI
y4Qld3FXSC1tAD0ppLImzgudxKuoxr+h6DjNCCsFoUtqskbk4/tXZZ7w5mvTTAai9NtJlmEqvGxy
v3yUlRq7GS2R0ifWGYRvEE/HITcqbySGVLNSpPPzcMxChveDDSa/d52NjiQfHQJ6dqYPchdPtrqd
E1pa2FQPBVbQVd/ZmKqr4Y5ZFJV/lCZXdSiuMTeDRcK5umlQT+7CAtGBIZQHjR5EPqs2RJ/c9dSg
VW9qN533fVh/xwhQ33R2sK4BldCVdYvrmLwq9NunCFHE1hy6cJ2hobwtQo0oD+VRSQLrdh4LzJNK
cDcCkPSYLg9eYdHRC0OCa7pCghIt75N+mvxOa0HiorAbu9jZK2q9EkooPCNUgtvAlt2hnbAkm+pD
GopNwTfoKYMOEqsO5LHDWuBmhnpyikg7uR1d91mO1tfZVL7rmH/AU1AYBk66rSWciiawIZxXiu73
LdeJNPmMmp5J6eDcJJlKhJtbY1hqHOL7VBliLMWRHSKMC8NhXCu8vlU9qNhNWnBsIlUqL53lAoQ2
4Rwt9pvlQNosrlKBWyPrh0PsKtqWk3ZONKLnLoNBZ0FLA+e6Bv/NcPqlNwzPomZNshyjQ813Y0l2
h6whrkbHQJfSy/NLrGiEjaIyq+eVbMBELcGamPvAfY1FBwkA6JfH1DhaR4STrind4C80VXvIh3gN
0oIPIK6wTAv5aTTo2866C2c+6eWuFn6S2wUfHgHmwmlvOcv4NRAHPyiQ5Si4QVdAdrAIW3xu09DP
9/rCKFjibehnDLtWdfcMp5PdhHdg0Jz8Wisr5aZTDGzflnhGJMLH5uCS1fMesjaO76nbSpmka+2T
FjEWGDtch8pCYYdbvbFFVlynTnCdhCQrNWaqH0GkZWq+BatAMzoWnm0gU1JbpyDYlB+O9OEMQ7Pd
ha5BDAwM2xMYh3qnO/2uasyHeW6VOx3gAkP95Am/qLYmikd4mpnfFtLU/ZLzaN7r4VlN/QrT9RoG
iHq22XetAei/i9Zlkw8B0w8OlYhY42rN0zxgzBLVHlJad8bS+SVxsc0YMtvTJdTQ4SypsmELqAgC
xtwx7BhmcWVHxuv7S8jliYN1EtcROtWfu7d2qQbMJQP4vDdL37HKYDN3prZSq/6r03Fnvn+lPyxV
BBUsSgp4JdTeFysyz1NdJA5XCtPqR+foCgNuusdWXg6rzyrcv075SAj7dqNZODrLHmAYpvYGApPY
QV/FdK98vU1TLw2Hu6pdnpMGHYe7QN1JwK5xyK5RFgMXQEeBn5sh4wSxnq7HPhcfzUjfbrMCRDgn
UUL/QIPZF1sfvBq3grOT+ZqDidadgq9lc92RQ1JPxfn9z/sPl6LnQ9nM0YZW1OWOPgRZrsuAHiTr
+rM9kTvU6zuDyAKe8ef3LyV+NrR+Lx84rLKNmoBhVWE7F/VfaVtlwx4Q+c2C7oiK8jEOJ5yXZhYu
AT5oyrR6lYd2uVOtwZNmq/pDPtDXAZpfB9ZXQ8+ZgBOjQkp0iu+p/FJgLd3Bl4UoOUyQO/uqvnKN
5Is5pO2BNJjBSxdwV6IujMnI8dMKEaO08pko+kUGGNERVftK8diwvpRMaRy9gf4ngSLC725ocbU/
sAN+nyYSzxML7Kgiz5ApFo8nULmQ18Rw39OAMWBYqT6LBJnCIMvZGwZEhInCfCVXVD9vjZVam1+T
sgh9XMhn+InpCl8t8ET1M+Tl7xPnCtZmbfAztTkoGDqARQS3pV3ENLpWqWW1fjvGYpVgsMUhLl+7
2LpBqKwTKVS6x1k3dxWC5KGXvtlbFrEROEacJLN8tSLlJZSdX8nY2MgS0o4rk3q9gFzSrkn2rTNg
CUjLHSkT5WmIcnNfhfaRjBJSdGiLbMzeIVyLuxEf2CeRQIBSrZRgRZmpnHQy28tkaqH2Hj5XpSX8
BqnhFRmQ1j6rGRKx9j/ZY0U/MyGrzAk3i938sUQwzYm+/D5podjlMkjXVkzfIoOMXKh38RDGOyxX
2qorMbG4SREfqFAQGtHygoKT7xTN+Nay9h6NCu/dZ62tlAe7YCXXenFtWiXeabU/5brFI1TpyrXs
pgcnxEUd2JbwpO1NwgwZa+NGMO9wpjf7qNC/oxjtrkrLRjZKMPxOH7O7NMSNEjejcxT1hBVZc3ha
xIMoYTaFNXoq3barLWr1AygYsJsSs3c/xQay/QLT5FdimVrfzsrblvrnSjTDvlEYHlZOEFHVJCiH
ihuHCZhHETHR964MPxEo0pEx1bfR5GcI+IYk9HLMVHs9V+6gii7M2SPyJ3kcDDgvzUxtnNh0a9ix
iMHj2McHaMGNnXk0tC6Dqg0nQp/dbQHtaKN2+UPUEp0GzImCSO+qNW4/nsJeowiIqh+siIhwU1ik
gNr8kAgtT0b5ntNUt21qsZu1sMKJgVNKUchYIKmJfTwG+afU1Bl8NadqmH8EnfbkFlV2XdQqxyx4
0CBKiJIx09ckq+ZNxKyBNDd9l1M55SIzjzyfyqrFmrNuqrEiZQU4neEo7rablG/NVD2mjW7eoMdF
FxMCG3p/ifpXP+e3JYqcP8ZHtDmw40Hv138vlQMdej+W38RvOVevE5MnuYIKChXLWhdTdCXhrOzG
Wu3Q8Idwi42GEAnww7la8K/MvGukSXhRIvdq0WSEeZAZzmKm+Folz4ixo9VUa/rJMlfIEL7whPMp
N4ofzc43muPAiZt6Zyga0xbHPqItKFcxIpN9qSfxWuEjo/TDxigy9zROfXVlF9Gz3To/UKz9sOJq
Q1mJVV0HzMCw9FSoBsAP0TLmqsESxFNDHLT8REqefRVWrLVDGWanMtv3gBW3I0r4q3nEYpH13036
AvtZnx8UBxBK5uQI5Rtku6H7Q22btaKnxdUYFMWuGaPbLLa1lT7Nzc7V91JX5HXRfabb8MlsyuZ2
sBVoV0p/iprYXqMMYrIwqrhlldDPxg5fMBk9o5a41+NIwA+KIeGhrpk2htJAvEqj/CZyv47uc67X
X2KqMtst570VijtTle21GgtYcbqFNy1LnVsB9wRlmLouSie+CSi8Z5FtDc7intHZ12kgk5t8cies
ShyTi7huqL1wCJSKs52s8GVAOV8g/GBZa72yd6D0dLgNrSZtfQZGTPFcszkCZHFB4EgHn1VPtJCa
LE3x/jDl3XwKAaBsc6FuJ7uuDpnqBFvFawq72huZFB84R8035QtgcgQLKBos2wQeennHZjI3Z7tG
ZzNXDWlaVU+YCRE+Q89b07P6q9HKcVXh9F0bZWxSqVvgTsB9B5nyrPN8bckNTo0EN2HeEIuDAsrP
MYaTr+O6m5r9rEW1TMu1O6Q4TojN6MDgjsUdWcPNnWzygz1g0tCM0T2grnCv48V0nEcP4EifpTuG
IIKjVZEaN3MPwnW2nGY9d1nkNTrBkP00dushMQBCKjn0HoaF0ja0FdmunZcX403QSIsclxlSR3ls
DQ4JdoK7CLAxq8PEufDnCvAf38b/DF+L878e9eaf/8WvvxXlVEehbC9++c/ta3H9kr02/7X8rf/9
p37/O//07v/bw99+FPXfTvf+w+Wf/O0v8uP/fXnvpX357RebvI3a6bZ7rae716ZL258X4YUuf/L/
9jf/9vrzpzxM5es//vpGX6ldfloYFflf//6t/fd//LXcF//x64//9+8t7/QffwGFLcr/8d9fLv/G
60vT/uMvw/77Eu2MFNNk04NaR4t4eF1+Rxd/d+kLC3rkKMVAZ1Jf5kXdyn/8pRl/p/0Fy96gmgcv
bHCoaIpu+S397wagd23pIAFcsDlZ/PW/Xtlv39D/+cb+lnfZuYjytvnHXxBwfq9i6QsvGQMIvmmI
qiyMl5PUEcnmYIQMDWWXzr5OmHwtz2xjYEIKyBoTVAI/DSGc9lULZJ6UX6cez1VfPyddhZTFGrpt
ObbPRUHMZDbUMc9C+Gia3/VRJN+01qEyKpQflaEupQe1qzR+dFaPysw4uAELzWp0H9UBVhFRX0DB
kkTehilGuVi03YZ8wtanlaI98AQwIygtsNkzzLporJSTcEHVLL9qS72/duNoH3Z0arrc/do52Bao
0H2ZDebeDh57MwEP3xNmN7fTfG2P5uc27p3HdC48C/njVT44rxaF7iPw7fQE9QRP0vJLvW76o55q
OHj4Oz//stsl5B8WlLs//0SdSFiFhh2wU+VX1Y9wqJYHMAuYpqb2YRStQl0cIfkZcvcso/6WsCvG
cF27FVnmDboyntR00dGI9qagOXQy3eyEq1C7G4tKu7Oj/KmPgh951cCGKMLh/qf8VWmKBlQ3YMWe
jqLbZdmhL9ofgp+7GUxYdFlT36d5awEpDKMfmRIpV61pd/dW1bW7eM6R3OGFvSHTY1cv/z3LXwEN
hnf/+kMcRvCERZpvJwV23nK4dhNBfawPW7V3b4LacoG69GBH3flVnyl+Zg74O+Fy+dLENYB+DWtw
7FxDzzv2dQCVueFwNIzRTeqITdISk5VZkbXRNDx4oBXhqDnYJPSBbBB9PGQl9t1el/elZp5YkqXX
oPDhcCnSddK3ECmzu8JJox3jjWrtlMo32A7yMKjTPh7wy1JV9NF1llJ6JObwXM9zgx0sV73/ydh5
7TbORF32iQgws3grKmc52zeEI3Mmi+HpZ1EN/N8MMMDMjdCy2bItkcU65+y9thIPtmexycxdt8WJ
Ts+KMdU+6NVv0njZHWnho89dCgrbQRumaO9O4uKIPt0FAsoUk/nMDD66wjlhB8m9/BckM0VS/GLS
wSMBMC9gTAcNU173qDODXU+TecmYsm/0KTrhwiq3CU7HIermGiF6sAw2pS5VUpYqn3GCa7ME1xmM
4a5VbLZGCMiT8WoqWAdlvuKiHJIsOSWQ5xZ+e00wiHp1UDarzgVxbcbhK+jEN650bWV0Ix6oeBUp
ro4KvO3WjYX1ICx4m4WNYKW38eA5hKjoKUpI7v1w9xtyQUe0Tk5HLMRs7yRP4A+wqV0JwGoT8B87
v+agphFq/tkmfvjYbp4KO31urP5xCIq9ieLaURmHZJk6LaOs+6G23WpQ+XUpH6spW7oCO2BagK8B
WuKNzmPs5kfDzv8musprDQN3HI8brO2KB1x/H2R8+o6hPNbNxc3rPWlvsKvKap/AbFlUVTksSkPs
rCh5KgTIqhpcMXNDY4342BvLhgDl4r3Gz0+Moi6e5v9JMX2wcxikWr6Fb5xwp4T7viIc6jeoSATv
8LdBYm0V54WdpOV/O5bYatZ32TrCU/0eR3StcBLMsRisMysh3UeX+Esgx5CuJtz6QH3mkZpX5tC2
rEx9btTqrVXo2rXE79qIzrKKVMlUxDhZMkhoHSGRQaN9BDJKlkWdX7Laar2cxphD3sbF6v1r6Do7
AgIikmUzbTXOXj2HPa2hHjU3VL1aGaHuU1A7EbxJLlN3ZQcAiYq4XQF4OMlqJDA0QtsFIQUbXnKp
ZfAA3ITRUX8dU+dEnfwDt39Nj5WugCQsL9mUtfgl2vdRT8sDrpWDllcbMbpfgXqy2w4LYgTOJsfW
pyExjHvxnVXRQ51Hz60zPuqKPGCl+SbXYMGmj1QnAmA491ZTyU+GDLSIrOHah/UmDb6aYfqyA/cq
7cpZBCzjkWLgUfefafEt6Xf+6dn4wgyv2fjGyH4oTOb85HVuBwelSU6lA70yRIcr+tVoyn1d0GfP
A3ZAmWp/hNZfOVlPBJF2j6jgPyJtV2SVyZkKwyBvkL9kSJvsup3WTRX4F72cD3vkVFsh+yZ9uYgq
gl7IRyBImRbAXJq6YvwoOywcil4Ov6J/HmgHOCnXH5DP1eSMH3lDvGRP6ucq9rHqS6tdhQiHwxaX
qI+A1Etnk6HFGhv747Q1SewuzdagbB25msG0t8vWNvJDatblvqzeMNFkh26qsoOgbp3CLt/mZciL
GxWB31Kj6knhvRp2MhydgVXZp5u0DBHjVqq1sWP/rZzq5liQnm21Lb/aBIMhBqAmY7J2x0K3yOPG
va7GYk8oBDtFMwUvYldvsYCHGXGPAorZvRpsXz0Qmq9BSWvYCCP9oe3pD8dDM6yi6ruNQvFQhg8U
IvoKNFKwpKDzALNyLzRxXSVq9DhAauuK70ow6ZDDOdUpWytnpIFoiXKvpypplBnEkTapdN6Kle93
KqL2vtkFRbazAnbavW2R3xCpyGLTEgkP/kovJrJ72WslCc9pkW+DsU09p4z9c17kZ8zi8DjjDCkc
2MRV0xOfXqsQWDUgMmStsOmgOCaUgZ0EuUE/bta3hxLycimicVtFQ7Zodfe5TzA+FimZAApZqplN
x7N6II9kOpN6Uh9on28SH7W2qFfWZLwliLQW9ny8T5iOhM3Jj5o7UknRsfbWG31cdEyD/gj2WsXZ
ZOwFiT/LMaqKFTKweK+0RLNZPiwyGxwbcRCo+s0mw5mq7pIGGibulPq1LLUIs2Lo7GpLNIccBje/
5fQjfNBkqVK4z37evephpJxL+EvHfN7W6NJ5Autlw3ydyueimnWM42Af70/hd92y0jm7dpmtejv6
1qxK3OwxIe+2meb4HDImDGlcSnUqb1Mnsp0bsrSNY7UCQ0f7ArX1lXgR5Rpawa9tiXTPmpJc+eld
4DoXkJbIn/pUWRSQ3HjV+Yu2OmI+wEy0GdxcXEpzZZi6f9bNurvQTzmOneSKiMDvLpxe7y69bq2t
VGmO92dmwTowJOPRHapzWRb2qmo1pHKoSbhqCaq054f7v+4PZT4GHJ+EYE4lak3mYiySenggVJUH
spEP96dWI7hyR1O71bgH1/8Omb97P+6/p7kyShvmzv/5/+7fr+eX/e/If6/43/P7v7TWIbykbcv/
7SXuL/bv10kTTgY2nJigGIul07BqhR/fIp/Z4BTk7UNbYEFsNM14bGvd9LAnxs/sQ0kskU7/korB
XpidHbzJCJ2tHcbDu3RpMeXgDD+LIvwoE13/YhZ0y9Kg/WGmcij6Lv4bhgFH8iydo6D3cnYH0aJM
jtKpMXeQRtUbFqjqwW4WnWl2JJCoxar3Cw2gnbFDwe3/gFW+RLqSf8s6fw1kQs6UXv1FvstmKuHW
jDumf+sVRHIqPbzX+TTxQv7UZ3azk6cqffpUDjQIiz6zH8qRXkeGGeompAB/4SvFdSglfZE4ii+5
iW/fBsl4yoeq35hu6pAxOFZbuy6tgyzbbAdY2tqbkmurqS179lJHpOMk/tbs8/jYOH20TfIpPQHo
LjbEgRVnzg7cklrUXURDgzBLmEL5DTbzMZbuzbdYcFTdzx77LlG80K7Hp84AA8DuVHmmozgL38ru
tZ+NNcTouW9RzHCTvHj5ESTTdzRY0Rd37KfUHQx2G+bJ4XT/Va1865YmodnEXC/tMgeOo7dfcU7c
8QKUyP3tt5XXqqkBq0kbrHNi1WS1D/ZGNOb4myb5iUpTfJOy/iTcJv9qfe0rR6H7waYvJR++iN7j
spnB5nJ81QsE593QxC91UrUQvSLjKREkBQeqUT2GvZRLtLfhQxK40artNJPQc2GsgsQaLiMtOygf
SXPGLpEBa9WL02ilwVa2QHBTvXG2zjikB8duzV0Sy2zvxr2+n6Rf7GJX05kx51QmkWMcubGOmKXZ
keAOt9ZO3ypnmArROpxEep0Gl7idPm9vyJJNGtGO/lDYPgBFpSC61gk1+tZh9wzuLmUMOjgvIWsU
qr6ufrPBtlJjROLdxi21cJJEfoo+5IbN6hbnNbq5wPpprIxkd1v+NZW2soIUEEs3TgsnDWP8Udbq
3/se4b1SdGQwkYOtTe9DtLdIAVR8vH8I2PaqYQ0/XYhqOirFFxmq74hE808mSji3aqm9cxU1i6yJ
0jcRFBbJ1Zb2EkrurLiu8mejQ7Zrlr3zaCnsSc2oHB6qKEV50OXFjXAyucIrFly1Et9OVUHcMbvU
RdWCY5szRt8YxjQds5YxsB9b8BCzsN2FqTbutbyv9k5dqIwZrPJgwS0k1Mqtjj0krM2Q1u0Jghcw
eF+h7gvqmgmfo1/AYmos6757jZQwmCOos4fIDNpl4LL1V4wakKkcxVNdMiOpg6p6UeUkFm1pma9q
ANC9IxPgPRzYEM9sxo+2bj7hp8mvOksf/bSLf7K6PbKzsn/jJkd3YNPVlHJEm0aaBYvyQ0J3Fy/Z
pzFZI5y9Kl6wKmJTmijiwsj0/+aOgzOM2a8eqmcr8PtvevvPQd85n4Pm/MR9XX5wUu8DPWPr/BgC
rbT7IVv3fRQ/5NLR1xMWtmVXSHfb9xlVinSjawHOp3PtTVdNcP+rjZEL+qVTL27c5Ngs0axZ3Z9K
tdL3om6+yLkCeSvg6em+QviUSmfEh1SHYkDQt0UBfHP8pD259DmdxHxvKTGGNtdX2Tj2nHoaNnUY
535mTEeh7Cyp6pdSFvlGyLzwkDP4twLEsIYGgyt+eLNMetUTmNCtUlGhWsmpr3Xr0iRfquKHt5ao
+B29ZpqQML1umKm8aZycjQnrka2VWUHRJtFUl4G8Jv4v1ShO+DsdpLBuIVNVBIqwKiSVFotke2S2
dgjKot0w8Pv1gYcnQgWcP0kvyrLoohRBAVSZDAeX1skaOcLZVtdIGwoGw9yQlYFZR58DRKvN5NcC
XDEQ+Xrshvrs22l+bNpEud4f4OawXPY6SgbRjQfuVy/Ypf2Vmo9QlqlP2TGYS0VLoi09MPZgmlY+
aI2OIaP6jOyp2TEygzkk6+E4yGjBTzcPkSi0WzA/iLpHrKEagFtjezfL75Ws2CYlUwJAiyw+9nAa
pH1xMAIdkQelNwu/Fw1y/xz2unpWG5/0WQAGZYs1S1Bsz7qVnM8O1BDNAy9AinjGZl/dEodkc5v0
WodriKvupplJdYN6bC8riw/g/rQY+pLgm9gjgSJd9TGk/fuxYWHSCRi7fss+a2u6dbMRHYMJFDfN
rRIyXA46NJpBltF+LGbMzzw/UAJwM3rV9hsiZaGKWPWtE70NeG9+S2r2onvVHH5GXdHPplMtyZWv
l0ozXwSt2m+YSCYejj0iNJlP4ZTpkptqRPUuLGH3aGma3giRX9BjFCdND5JtMlL9yu2QquEtT5Q1
FrLSm0wA4qb+OIWFizaHXEV1EObt/mA3fIoxnoU1RFhNhsa1lWV+0wwdJx7W1NX9KQ7m5uAMxrPj
xiAM53eM1IILKCj1KNhtrFUS3hdqnx7zHiKe3dvlQsf+73FEfAsNI77l9YBDvBw+KvauK+t/Ll+U
luSk2OTU6YmzgSUpr4j4/VMv3OUQ0KHK59VAUxJxg8r55Csi39dbLmF/UxjDK3zwU1PYobvgtoQ5
Ny/KTRbQzUpSeaMIkDfAs2KH0vyhSNUl7Uku15o1co+P4+yapxqgXYvB9BpXDAgqq7TP5GhuU/xK
VlTUbyGkxmKIFcYAybkI7YC5KWlzFbO9oF9FWRQvAiKwjikrE0Px/mRZKep27li7ZqCXJdnWvDV0
0Bg++NNLiPbdo1VIM9OASa8IRfPS3gmfuqRzvNSH4jy8Kbilz22X+MC0ouKl6VG0M2MKn43M3fcm
HLqocsQjb0y29K18ug5jwyodHKy4QWNAb8lK6s9exxzZZnwec3d2T2Kzv6wwnVM34PK8iqIDN50U
qKGdUidrgsVo1CU2J/KBdaeGIi/73WDpwT7szHdHlD9xXU4Xx1SyJTe5SDeVVy3TQeWFkjm+T40k
r1U3JI9ZTT5KjfKb1EdcaLoe76ek4mbQAgtLISmGHcnWLhAuSsjmHPr9ZuA9nk8PihktDEFpAw7W
E01fu3G6sqP4Ey1Fuhg75S9xXHVjzOjMlETOKBlBi01qex4bwm5aFzPsmLI/LrH/r1jvzJM9P9z/
lWPFwQlMhd0FkUsEAIbtwtIsj1P1s8zMAlzC1JxCLdvM2bRbqIXaS+vglBBpNkKOL+JTFFXpwrAY
LI69CSW7dNtlWNEWdTUkfpn4aSqiAkkvWCWB9gwvZmu2OP7Z0/6C2aLHju6OinIATdb3pGgkj4b6
7cLffkj80pqdeiT6acdq1hyqA7/b/cshXBUCGBXsQIFvPijz8aURvprz7+oycEJVMmd7hKRVtuIW
gC73BqHTxJsABrPhFNhj467f2HkbnIN95wxEEVVAMIKoVT0SjpTXaDAoNqJ0I4ec7IMh/0gm44es
13qtVzCSM7586Npk9OZcnTOLVLAwIzzBSW80Czew24f7Qwvtti50Zr4RZBHVmOqLQnNz2Qdmhx6g
UJayK8utEun6Ax25TQm2xavN6CNsiW9T6rK92GlJy6ib/BUT0GOITSqooDo1ubGRTbAluj7dFPUI
5Mc+6z7ozAqC36IIjbPBiXjr8nKpTopO66QCPYHhMbDHrZ4uIjtVN7U7LAWn4a6OUg1FKRNGol7j
a0wHb6FZWfauQLBeItiwtimGpToJnnqVnWoPSQhjXkVfhqKFACIG4rEabJDWg30sZbzlHMSR6Q8M
amr6SEXB7kn4SuXZgwFCj14jEr1FR7UjK58UUdaLRR9Z7YE1SllprdldZBp+dal+4FzN3xNk54B0
8j8j9pU948T2ROnZoli1GErQLKS24O33jVPnIwtKFGvbKVW+L8KrmqDQGJD/hL712Y7GSzxvgxqi
eOQsTUeCCN6TOlWxyjPqVNIWydehx9I2i5GPdhXMQSA0/RcueNYTVjeSVLKmAGVKfy3i3uqXTrQW
zhf7S9zx+EOXsW5uLWEdsLkHxLgE0Hu+onjOFhUN5PuKkVM30muVbf5hyPSlneYtVNUvCl2Ll4mJ
bQ8rR8bEXkBxrmnI6ez1gTPKhYFchBWOnmlmEZwziBHvCs1Xozm6k5ZeKiTfUJrlR5YzDot8EOEU
IyLI/G+jpPOjtIagZAgHL0mtndRLwR5xp3GCLyrisSHPTtG2mop1XBtU53XxiiFBoSsdNujFFYX+
MON4fFsfgGviJSIfPjImRqx633nIxiOau2xaEG7MQtDVr2wyCHTcVwR+VJuQ0OF9Nc8XTNkvsnhq
N0RNrI2wjdkxvkulKJZCQSw1A0HzGDB+5NuChli7mWTmLGza6V7R3VBPVTtuRdWirNddmzHhgGdf
ILxY+coaoXG2RSJIsJSZXarWSjzpKM1GicDY+e5keZMV+vuAEBuiSH8YQJN6ZJSbkiWiLypwf41T
rggR6/V4mQcwXjVFJf+HFjDSbvd5liILuVIzAGq9mz93RHVPOXkzciJ+k8qTHJR0OKEB8tdB2S/b
5o/yAkxY85dBNiLGGAB05RbjDqj5gwvNdxuF/row5bHUqNyTaqsLp0PZTGR43b8MfUpTsQsvPcgS
BfAx1IToVKfizbUinXKYOUrGEMRxRu0wzM6LfnBps/ZjcSgGxknSKLbWwKoFLNkZDlGchdz1kUdI
eGkkTCW7smP2oTjsx3qVekk3uz1S5m5vsahPakmY99Q4x6ywlwn8qgMiXX1DXytnEklCUyG4G8dK
dxnnh6wddlbZN2u9HS+o4soVu91xHgzlhzjJ3h06oJw4EcMlXxxNHOSCEvM6Bq3YZUbwmjh5tK+j
dmd3MTd4+Km7ruvIcir8ZmWrsr7Zs7ssMpWNVLIXvVGYGnKHT/LSX46WJHcNfZ7lluU1gbadjiqt
BVrHXrlzWtM9lbZyUwy8nrn1bajx9OT42cmWreWN9mivC5vYsjpUt5ys5qJCU4szauJ80IhaZaLm
HzJ9w5Krr/OxtJd22581t9wYk0CwxmbHRPC6T3TX9eLap7cXuY/6REJSmFbM7sr3Hgj9ftLoQGQG
kk07Jgk1GpRgGfZRd0CrqtBJFGQCj49FMnbXJLV/7YnuTZxm2ymJH8y8/7MAtS/wzcGUppexMtkB
LnSmdwsbqMCy8M+tOjmXpEj/Smm/sh+N3+kev1uCKIsyh7sb1+a0axs5sH8lUmrq7HxfhpxJE3TI
HaUOWqAaRV4fNO4mFqJ/UCpDZW0kzk2nKlioWk5RzmLFjcXy/XxHZHy/g837mddEaFLT0utRF7lk
E8Cp5Jykk0bnVM3Q/jPrI19oKva2Xi6dnGum6TeJUkybCeTfmkC90uNyj0HX2aCyxqm+MvEOsAu6
5XtXkeultaG7w3YSvhuvVPjVu9sBWpEW2ON6fhqO8sfUHPMasn7++8/3r+d2ai1tEjd2pKuF78mH
XnTuC5ZjNI/uMXRaAlvmh6wwh7PfxsOZGHebjDdJH+1/vqEyQNiBbmPnFEUHzYmNK718+WzX6q3x
J8lImmfs+96Tpi3PMpXyOWbiSjikk5zuTwubuAJOkvCYKY58pq1JwznUgsP9u6ZKwLsjySIbaVMT
Dli059okoDwHkHqtoJviFBXhI3+w5YXsfZ7JTRLMhez2LTXIRrdju/qEMfscjsw8Qb9uyQXDiq1l
FfpUm7tJTMLdhBaA+BVzFYAH+TVY3Rn3rhVCsf/gNnsWly2NvO4cmTWGGjGl1NbMngvM5YwlgaW4
bsA4YhDVC/IJf92XxOz0U1m/xDMm0phUDUUG38UISx+sof6wNL1+yQyGpjFtseP9u5E9vOZ1Vl66
WTAvictbEakiNnqjZYz9guopVCG2T3b2TX7Em1JPzhNjOrExFPH/cYBFnfoU2sqnMdb/11fo5x/h
Z+5/B+hm5jz99zuwmP37Hf7PV/h/HnD/Jf0xyf/7K1ozLw5NbGd0cUS7VofaXupG0DyGKpFwhvZ8
f3J/cCxpUaDS67k/tVSZnDqr/3eE4TTNY5+z88yixjjcj1DSXIF9Q/dFnV/x3/8S/jJUaklxwpc0
SVsHFImcP5sa+YVrX5sU/ez8avcjogj6ECNnY3s/ovaVADm1+Ll/8/4wae4r9HCmMh2nZi3JGmht
t6ZnS59M65yEgRqfXcQGS+it/yjwVoPMcaaNPT81pmHcdwYWZ/bI/iPQDv+RBE/LQUpdBaI/BIHT
InkzKa9T/JDoXrVtARlwiaa3XrmAU5u+f3IU4htJNyENIqmeQOXCGuO2GSpfqvRf+oyQDEl3tTPR
qFrjmoRzEk1urRTv2tAXlBtZC7uF4Z+ZfSqiOeXh9N4GjoppBk50xZVIBkXZedJiz++OK6biV+xT
EPLc6ln6FVo4FBuj3jw0M48pC+bwsyDrD3kULsE8latEoWUHfiLdCo33tE2sxejTiesUDaNk11DT
Ji+Gm7trESC0aJvo2k2wb/ThFhH2SlksPytpPTCoMYBu4dboUmzz3GWSiIElX5Rh6jJ8GYKtqMHM
iLRYNfDolkYqsAyhIdhNVrYbWu49Ku26sqAwys3sCRbZuBo6NaT+btsdV/KZ+Jhf1QThJDUyMIsB
rAqbVCqTxlNZI0Tbhx7AY2NXlL12bml479PUOd+fOZmoDmJkb+IwMDHa8jdQkvhDGgiTfV3ZK1Ai
CHyyqP0yxOWDpdFOavicla9w3hmCI5vTpTiFgPHS105IqathefSodVPAxMu45pNVSdRQnJYPyKn7
pT7HBQ5CfoZzDKQGdcoKYv9hSm5dAQmk+mUjjZIlXVt99KdOyYtvFe9ltIJ0BL+m3/VZAE3YmKBz
RsMfm8MtYJtnVK1yGZszCDi/1Qn5bWVFvyKnKQ5FoCWfkHRUQkWMLTWNiy58ItJRQTbSCiwmLpFY
Xjymn0mcXFuwSJ6BMGOBOShX1RYtqs6QK50jPuvRG/yp8XK3hoXXd+fSRtk6gTWimekCfXYgxjOd
HTi/MDXo/OUWbz2cbMf95rIh5l4JAapBtil02FltNUJV4P7VuX9sUPxV/Y45EeRG1X1N82wadFnO
n10cIoPDRUhZ004ROriqXOZRKw4W6K+8nxxScVvyNd1MW6OyOynMxxZ9OLyr/VDdZBxcaPIypy0a
xys7Zi0ZwHN8RVxHOFxR7cg1agNyfLuwX4B05xTKwq0W9O9o+lWo2uM+i5RNr9GkDkDPyHmQUTnk
blIwrhieYIIu8gXqPIKwa6TsWPLXbGWewrBclaGxHGLoBuSqMW3JYFsjU/bQoHgqyu0lEh3aHmbP
215dGBlvGiTGq0mLv8vam7DgLsVUPyNrIZnRCtWFtc/EEB/bMXtr48S6QaZTUW9F1IJ9FSaQclUJ
WZqPukuHp0Kl3253qGzTcKOLEa9fTxejitUHB6YNRnLfA/ZNv4XcawbRuXgs3XM/gfQq8oALKxMA
nbRsodWcME3o3Ez2DwZSGmD1Puj8uIY/L8FrufFD0cCSQZNI5J+SccPmjyJNRgc0VClQ1tzPToqP
3CBWlRUNLFekKZvKKY5greOV4bTxEjna1zgw3MG5kmwI11kPMdMLxNvltpKUaAMpcK3OaTTozVXV
SDyrGtozClhbYdMz66pDWg/KIq3iXdyM4w0zxB5nF1F8JvZSOlH+KudaheXmUE+lRD3p+yarYOAE
s08G1ldld8jFwShkmGoSfcRsDGXOlFRnINyvtaJtLSM6OSp9zzGg5nUIdFByI+DMhaDbdNlj4wOD
0bI+Ys6h/5oZt41w0Amu5XqTFmBkKxTZphWEDPZBB+jP2HQhyag4Y0x2NqyPXfqVQWVadirgogI1
SxTOip4Wx0eD2aEekEwEXjWpfzTYEIuFNocUHdMPoueLOX0RaT+CUDaisO6ubOD0TTzJV1nuazHQ
FUDcoEXnaCIgesBhtg6BzoG2d7w5DnIRP8oSF6OjDB9+sLVkQaKqBgxIGDk5qrU5i+H49GHQkt1I
7p2n20Z/xNuL3/ygtFG57g3/JXRYWqoUeTcNjRQTom35f+pRdtzpwH7YIEizaaTIDh9IxQiXRLSf
aogChY5TSgzWcIaHcKU/EZ1d2rzumZ5NchAkYAE6QJ0FoSwM6Eg7ILS4s4gtSwTrb3oJugQZeMi2
GhPra5PWfwZhXLnNLTUCeJ9pOgR2w+1wOCpH0mBeFb/FhWTjvUxJuuYeNC1xjNyyoX/HssISn04b
w1G/2GS+TdYOO+9OmwOPmbRt9UB+4BVZhCL59fNaeGSd02zN/XrjZ+WXn36PWUWDTRIbYxvDtjbg
VI5D82OQlCm7a6ZFMfoidUTzQVKF1ExrJ/TlUOgKLfOsf6DtL7d150Re7jcQlm2t7xf6KPSdGzjy
gQi18sra5oFRgew9y5/XWoas9d9zNZk+SoW2zv1gfcIeYwuBWX9+qUHXAWbpxLLev3v/cWOFjiNI
EsaWvPpg9PLA0OEbC3z/cP+S2xOIS7uQPL37T9SI52ACqF3vhzglOmdUoioUzPlHENftL6yR3tL9
1Y0IiimkLm4b4oR1raGHnIXrAEHJKAJE07H9kzvyBwAYsNHkGqOmccdlR/JtI0gHQVsbLgKFyzMw
nL3LlHoByZ64XdV0Nw6gLZzGOuO7AAR46+QPQZ68guR4D+w69wbVngNhvaRPPmLbOc7ZmYSVKV9I
x8l6yIoliuhkiZo6PsQhcQW0Uy+tnSyJ9nhnhv8WBcMDNQYowh0TkNiLVdyaceJGnhxwYahLnLXN
ArhN8VI65cGc8IubCtI+y7ZvwPnVtvgx0Enn5Rwro2ZvZYHyJG7JqI6e3EQ8d2MG7jQI3geiJWWd
7kPT9oKJ5O8yrh9Kd3xoQ0L2rLr/bJvXYgDhz69Tk+cgJ8taNNqsl1KQoqqJvQuMiHifHk5qDi8F
PCaxzviTbZJ4xrzNVvM/nJa8N1dlRggllcjyRm4dhgehlrwHyGnp6PG+GSRxuniDPdFZaE8d5oUN
TvM5tAv+MtJh8UAz/kNv9FeBRMCTdH6bAdwe3dZvs6uPAqe9ElDtW3n9MfkpBuNc0B0mALPj4I1L
89nGNzLq9guooLZSB3xl8bWZHPPRYQKxbDqd+h6MeTFE1abL5XNpiS/FYpvI/3JWql2uwtiqLwT2
feELQ43h1p8RtuYNukOf1p1G3rXRbX2VqsIKSOpk6IpF8CNOLa46yX7RF6WxKBqSR0x7pGHXjp5j
EDXh096EAvFeDsqP38OQdQA5sbiKzLNmIVeBUWmWgTSeFTKsdULzHQ2h5OwYmTrp6Bjprbku+deK
UR2deRiVWhpxtnm8mrujYfDPpPfecVumkUMAL1kZamZFqzF1Aw/5ULrsslxZDDMpybIztilMGLzG
1M5EYuLiI7ZubahkTVT+gJRW1T0JF4eT2VnwCupSHgzagquINSgiL3sZ9x8CxsEiCZOnTsN1T+rO
k2mEHkp47svEmqcx7fEaDnWm+q9YlZI5HOrV1vMbHSFI8tymVm1oHayT1ZYPuK12etahKIqjG83K
w2Qkz7m+ARC5QfnmJYaWEoGWntTGTY+d3nxiT6iuSt+vO8PKT35AdLWTNFdfjuUDO5jYsqOr4KuK
HddXGQXFkX0v0OZiLQkRuTgWIViIPEiZNdpNOroDCQLmX0w9dXNoCKlJeiErj2uRnxI63Vbpi1+I
Vu1y7OHCc5dO4LMt1cb21LpmR1096uQtHoIJSwOFhmtHCvnbqAtJwMFLnzOhC8pknQu8Ce4oHmXo
Yf4luy8pmctnzSqlNNmZ9Q2CHNyJMbdofLovfel8x2X8HRd6cbAE1o+m11J8ebgxQGYOV1OTZLDa
hVzLOHSxCw9YPEnQPXFH3RVN8lZMOYaAQFlnFq3IaJQ3ZRjQK1vpE2MPQsSFUj0xkOYmQhjEZgBL
68mqMjdJc9ISog7qsd5G5GpnzcmPhHtrjdy/xQTKH2rD/1Qo4TZBSTyBojPEYCXkXoXKEQQCkqbU
1oxt4Q+PXS6idUv8ImuQMfesx2WSaOSTSJXbe1qhyg0qBjGBuBQYAjYF4idKAr84Z8ln3cUEsIC1
2JawZ6/aaH1abRox+si7bdlnHwk96cZFhNOm8UAzPo7WTm0RsAkX7ZywQBSSdaY2VWXb52nzFAGn
9SPuO/YIyMdn4+khOpv4IEqAwcl4iPABI1yKTOJLX5if0hiIk/eyM9EA3x/wGpFY0twc2kZenQ7F
0qpBumZDDVoXG2v8v8g7j+XIlWzL/lCjDMLhAKYBhFZkUHMCSyporfH1vcBb1q/qvu4u63FPWHkr
mWQEAnA/fs7eayMe2w8OJ9q20oJdNhGFC26U9r7BvE1OnELNnDBxOtPokafIrQJBcluhu+NINngR
JRzDTOyrVnFzIgZaCLRHmpYXNUqPZIyukCCsop6hgT2ydRiyeJpTGpRkDREPZnUcZ6XN7RQTzJXD
ktAnvNKtRtAJCCrqPb4VrROxUcsJxERHN/T0fkPnfjYjPIkx4xOUwNSlcXKU1XjO9Drby7q4IjfO
bxXBBms94HAz6M6hq6viPMzkyhJRGW8mMlqZHckGtc5U8niIGuWsc4b7gJsTYI5r9PNRHw1gK77G
GmIm205PyMpaku4cKyT77tvI5HDq6volyixzjefjpY2M8xwQhuhojBDTJbq9YQ5i+uPVaaynihXI
yzPFeR2xK60CNUAE0vSlB7R9rWMIfFFH9ThUquqSLKfvRhN92JhRznFg476NCn2bSDljh6KTHagv
Ae3lVUXA2KlwivdlcHE/UrSQM4TtSkvKi+2jvpLmaK/73ED9lE7Xpneax0oaR798A2YoX4qUGQBz
ZPi99WB5SRAPSDdtCoxaqb0Q/PB68gNI4Y7Ts/kXX37P85ML85rMoGzEo6HUBQKZjHFqHaxFjpU+
mfrx1R8qemD1/MxhVp5IoDWYZWWNYT01+Jm3oHxx5g7RXYTpmqzFjrW/4DjOWbA5aohHivFhUsaO
uhfwop1MZz9lWZlN3GZ1HVBcJ4HionbkJJ4CNGCc9JyEtn7NY/yZlPjP2tCiKbLkR8C4sx1AnQ8l
HYc+Wjwec/EaaQ4tv7E6jyEP7wgvA4m5haS2R/iDtlDgKF47CRQZp8+gzgDpYfwDpALHznZohk9a
FHd+oo03KmUN1bkf76q2+SatsXbNqvK3ocmYSwcnw6rhH4bgKe7Tcd0YPu8qWG5iwOkc1qxwmxn+
tTfUHyDc5BkZc7OVdvIlgXe7YTm9NAFP0AHeQMIpsypgRHcvVjItwVOWPOijPbhs9KOX5IpyKOb4
UcvHiLpMO6lZTBNI+Fs76pSDkdQhZ03RbIl6Z8INs93zEfq46hRWJ5HDdFYS9TlPTKaKDTy+hmyM
rG1/Bj30DNPU1vmIN6ejfX72hfMkNoKW48tMYblvOvIY2yy+6oSqQ/NnQC1rdzToiSvlFD4jQ6QF
6ZsffCN1P3KtbFSVVegLsQa+s0ksJs8Nurt68M801+jHGEq1VbqJOTCHrSvrmH+FLlkfrEyuWiu7
ApdoXY0A7A2+MYwBvm96+qBmN5WxUzjO6mFI0z1VxlPY1yQa59DOIkLSoQR9yHG+d1raReZlyqv7
ObTnvZ1ATPfr+lbZi7tRUY6ZMpfn1mRIZUXTk9n1ZNWFhU+tymMJQtFCKq8Qmt1948iG3ZSj9QLz
QERLjIgJ/SXxmsN2hvnmARm1KSSL01xZ+GyVl5Aoynu/iLYFp5CEkswkAdnOWtDk/CLPUPoSvD/i
slkzXNOqlTtQAxSRMwJBoHzExGPgpofrBE5xin2ImV220zJ/9vIm89hCf7Is/+xqq36qxfgzDbo8
k5joe1FyJK5cvDoFsxslLciv7MVdHFZP01Tc5tG23JrCDhCw2CUi1Nf2HEMGqtrHCnzqympN+Qif
/MHOxr9OK5k5l16QTM1GpkH8EtbphQS1EDnrncKnsGrGKTyDjuftEUvATRsdDLD1iM/Nu1QLL7We
cKGg/LxRxEJq7++bzpzvUoN2EwMmuQ40pXCJYtdPPkU89IXhYpfRs0AHfTUaMT/rmb1q1DBDV+To
D2oZ/aSdbb4Xdv6DeiM6ZDnzK5oFULTUS0DK0asrp+kUyXZv106/NTCeHznXeRiGsntVZ1xFRM8q
1Gym4EtdCnH6zgjKHyHLc51NlKelXe17xkyOQAhDQA8FaTi8Nlp1LmYk0K3PuBUUqu6yd5fruGCA
U8YgJAJ8D3aVu6nJLIl4VnObyzy4pTOdT7x00Qaz0HVEloBgcLypImWAFOlJftfC86fjWxc7tWiR
Tkg7pFIcUbYPmrMyy+BgAAJwE1DkRl0pNMudeIs8lmOiHn9Fc9muY4XEgeVw0quSkN9kNIjyznpy
UPvO61UcmMGoHhzdv2l9PR1bEE2uoZ37jna1blrE/KbxBV1at1ErFBlZPRPyReTc2miU7hjrdI/x
0O+Kt47Lt+Wj5dzc9NGhGfIXYQ3org3b6+eu8gxn2qA+6y9RNihbrdJK97cwnu0s2GZkaLhTgKTW
MtCQs3yQ0lnxW7OgvggoeSfwUPQ28c5vce8+zKYBkI8b/JaVaGhNUgbSIjvTIWrWUTjMnsD1siK7
N9q2t8bI0pNo/fKEqaE8Wc4c4OGjRspzOzv+9SUYOSUosrGKpc9WrasqxdZRpPlff48EsyGGLn3x
S6SSAwNAV7f1+Whp7Xw0YixIcEPJfaMYQF9niSPnXWsrETsc+oq+oEBq7qm2TQJnDpIa9EXFT5HQ
hvUsOPUN6PQsMFhKxr7W3JKT1mGgXZDCPeUAQw+UKhph9VEoabkm64pg4r7o1nVNG42HwDxMMRCW
2UF0N3Rdf0Bh2x9+f4yRtI031aMFMXysmO1aW+L0Cia40WGse+khmETfYgqHJztubjDQd+jz31oj
VIhCn9D4Nquiq87m2Odv0NW+qeMpqLNjFYZvBC08stE6VCgaYge0im7DjuaWSbZvxKcd6dN2KvPH
ONPe8VxuAR9PKy1SPw2/ErDr+CDqox6yLWtF9D76yiWfkvusJx9CGDAQ05pPWB3leqyRV3Ri3RnT
D3drS9Vt5i4wBJk9c3zZdRWv0Co+A8kb0VpS66ruPuHzx7E5TKtKyQ9+4dCHw+4iInLEYKeRAih+
pkIhIDzUL7Fj5DvAK+ckqu9zs9srGkZEKnK3y9JPUi2Zw4f+Gl1SQ1MuxGyDx6Ut5jXik5qPI7zR
J5CbwSloX2X3Oi/arG8IAx5L47EEzQIrpMWTHZn3Q2x/YCi+zwuCvzCKjisnX7JAqoo9A9n51G+p
ej4d4SD/cxjFkLxBUOjiErVmGtSV9uB3w1pqvraaFPUqpvyjNCO80hltI5LxgtiGno0LoKjry0gA
5Jbc2WhtqUtAtHFtCpS7PXK7xERHXWNGlCoSoZ7Qk52hN/dpHxywzBKbG9iXWN536bBEaNCzMkxm
KFXMQ25ruGDad7wWrER68V1HqJRWAW58Pt9leqQv+o8u3gzBuCuxUa4VhEsCDdeK7knhGfWzTnpy
byUbgi4ngEDytiiLXBT/yRap7dEmptTKiKxoVTLnKzE8Izjdao7+PFHsQaW79slc7RLgRzlzBdRp
VxK8Hpuqi8jZTc71VN6rHQO9wkDEaPDCcivlVte7hwDIz6oSc7HqM3FSUy4FSXHGGkH0q0JtbCOo
iAUyFKF92jORiIFyj296s1CNKuE/EbNlrhu7bzAUyztkS9EhrJSWiGG4kzmN+bJ4SkiobWKlPdMX
17aj9ieewb+o/Y6E5s9AUGolHYGYZiU8mVmfhRoPKynCveHrladm1DmUh7skHf6Qp4E8MI0pwOxL
kKToXroVtQN6du7RFQA73otgcVaih9Sk3Oi7daWT0htE9Of5MCjqCRuQTKuKfNhHDR8Fq1HhZMwy
xmNCZxpDSf8wUQJRYbAQ+rlRuOAsn33ccoliQIhHCVd39Ptnc7wRNfAAds6z9fSpVvJzOpg325zl
ssvBTWpiVmMw8bVJ9TXW4pqWPBi6QK3e9YsiVH9WUmcfqUi/WTY2RWO/DmaieiKDx2Doauch9nlA
on2wNflSETBiOiH+g+7YqeyDTuNvwlZ5ViYaNTLFSF2peznRQa6zu1hGb4ogRyK2mieGli46++c0
D4kBaxOa1E6iMR0wJzw09Qdk+JUyImB3OJwyTUEfaXwqMfgms+pLuorDM6gI+F6MdldNWCdHYNSX
Mm02PoZhpbt0STCuOHfDKVSsjJHx/BD3QLaIo15HA/MghdOmoqHnBJ6GaKfFllITupRqS7JuRrHf
lirGpoaZn/KtI+NvRv+wXGNKLuj3YKzcQfHXuKg5gFvxpVejte9g4QP+m+Oh2IRj8DTPXXREsu0m
krOrNXJQplleuKX2BksoolIgqjls20fTPnXGcKxViW1DufQ91XVkEqobM+RW5KWu4odmYr5tWyxp
gXZHuCZsQo3KvtAAvTGyDavpgx7IAH2zWjCMpbbWRbqLJiU7A5PaOrr1wn6/H2jNOkyZF7LhptCe
MLW+FUECcKtIXL8sdnFqsST6za6YOXyjcxUCFSF8yk/SffkAxvsiYvZUBvnOjqsfxw+/dIiSpq9k
rhMwAwp8r5ydx0rVrk5twgFpHk2zvxsU5bmrUayj0PCghM+vU63SUqOu51FJv9jhUcjTyNJPOtJk
I2/3cBzMnVor+O3QXVr2OUAYxi16xvXMGGbCoUMM7dl3yn0XKee0iJ+CMP3wRXNEQfzcOfahSM7c
MmAoZ0z7DpMAGFHYQcOoYjRLHo6ZdgfImfuu1Ve6wK4kNXz8Aa69qMAuYY+Y9BW8/AMeVpQhms69
HuV8ajK5Gcm6m7nKiMoihbqsbnAYEd+OFPceYtu2i/wzR6V3p+Q43s/tVZ3IV5mQbPS2fZ5hv4d6
8g4s4yNT6tcWYkMpjVdwFDirjFPd12f8i/RIu/SqKsjfzBJsUG3TsUQitBpxUTmt+tSjYcpL54x1
7dIQpvmbfhLHO7/uTzWBx8Q1HRk57HJD2clEu3P05j1r33G57dqwfjJJI4p0+d1X5vPkhMJLCpZm
FvubZSHAHQx6+r49vRBt3yFRG4E8p4LXMWrBlzLlP4mmPJuVhYBBf9ImJQYLXxquvx5yjN/FQ2Vy
1rbFGe37u522xyRlmmJCooUoQMf+qnVvPgIceHiMWkKFxk9+0EXEREkXHC+65GJM6R6tOr3TnGk+
8enXSo532fxZBDHYj0p7rvQpd2HLMNRTT23Oty4dtL6OHoc2uUtgxHiG4EVNiZ5t4IHL2CncXmRP
AQ14d6p9x1PQj47DIoPkDp0G4oy5i9PWOS+PcRBrJ8sfjnE6wetkF8/iL6OAmNotqt2KhyGITTKo
Fc+kSldD8RKgsocUs2kbmkTsK2cjJE940PFyqP780oIEwa9GhA4nrFWpvsV9c4w15OvQU/LCJCVH
jW5StbwZGYhfcJ/OcXCziHyjiaLI8IO+eLzG4vTTR+cMLBfzYH0piJS3JWttVWNzIlar3wtH20Ho
JsF5wItQOmSWDsVdSLydE7S3aTafEQF/9aCBIym4iMp4D1J4NTbVviUxSA/yG+vZ4FlmiCAusN4C
a9jiyDFcmpa5N2nKvQzHh7QV35rTvedDjoYkpH0Np9scku5c1YYn1PnGsFlteKzDEBeM3hJ00GU/
To8Tv4bPRslGKrx2UkiFjMZIoOTW31PL+NPw1mjYlmAHh1Uzmf4d24mrlP3O9rvtjFicsUK/wsvE
NLyXPYZ6aq8EhAKbHIaE2bUt4LGywOM/+fegg/dIYXIvUNDJzLBsthkFK+WRcBHa0O/Bx5J23N7p
4vxxdtbQoqGaUDAG2nbqZq/vm3TjzDlafwSv1rfNLqTpiTyUBYs1p2execJRnZ+VpRx1kq8iKRkC
piY8jztyht3YZG4aOZeCAJ8VksNoQ8vQA/++d1gudGRaNVvuBraZg7UfCdSAJpCG22lu+3cDkMFS
K2nNyNCFWO+67prV8jx0pv1j8NMW/SLJQhVj+bhAKIK+aG0ahIj3SaK6pQy2co4TJALOa3K1rdRe
YU/9ahUYo4iJuWl36UJVZOz6Os0IXeTI829qL2OUXNBufAWOFq91HRdpzoMyYfRUHBZwClY6lsaf
zCcxxU7V3VwDGxB6hVKM+ZSbleraHm3DC76GVtCgNIu9MRLWjLkoaX5mBTSMxUpkNo434P0YWo0W
t4FpHiRPFUdwIzLsbirmr2wC1tLifPZGpXgce6btuk0FMcQTFR/3md3Fx16339u0BIYBtD20vv1Q
e9Cd4IduIpPShbSX/RR1SApVcMFkh7WQRnqFKG07CVCSQTlzp8arIVPNg4rzW22IKS1YTtyuwQBn
TvlwL3R99ixRaGtGJ4mnTMq0Lv2UURgKEzGo6zIqPbt35L6ohnQt+owDexUdzZRUQjS6177nAnTc
ffRFVkWEG63prwrMrlXvEBOEdJTTUErz0GYmNL36BdDUMb7GqvPaaclhbtQZIX5sbo3yJwacTVuv
3vscQmiMbYZQfUo7htjJs61bt5AuKDvZfNeN03GIxLrNnT8CkkkXjEfiiwuEgNbVrDAD6RHapyJ4
mmp9GZGBPz1NCs1QekeniYUhbca7cC6vZQuIPFVfuqD3ygJt8aAzFf+ptfi5SwwTDCq9U7FYZpwf
tumNEbEyVEY5r+JYU6CHxX+YqX8AHeHGVNRjxqC97ImDR5W0Z2p97hyF8QUyQ+I/dj6D/FrYa7Wt
tWNasor4Jd1blHW0/BWwiIQ7sEXY08ofwRpYQvFGCzdkAUQSvN/ceOasEx3k09iORntPEgtObbpL
RhSfOim/Q0HX0NbWfXGjc1f9FCae53k694NGNKal8t5N7u3MOlOqosCyHEI0YVpk+Zem6rAz8I/Q
9pp6lV0qpN8S6I9KHDUHfwqWNMMc3o7N3ANCbeP1IUCdrHkY+oGpnwmoQXTag+bknqXtZwl3njni
ax5TBMYDcIk5CvEsVweUlM9pdeq1jBzOBJaUykQSbSck1oj1HWrIqhDLsZE8wNDB4l7H/YPZqe8G
A0CXHohTHvMlRSVBa22208Fu/8iU013hjHeoF8ttSgOQBiKMfH4dx8KWczQcIxvhGUdoGJl5+Kzi
e3bndESzpZ+rynwyalZlmxOSG+uZS3DNayCZTQx00piOmqdWk3tOMiVHaXEbBpLSOcWWqzT1Px0d
pIiTWPely4Wx98XSko7q0zDPW03QrcWA88fo9EeZGFcSUpLFTXRvjXR2JeibICvoapLaopOEV/TZ
rkd2QoRm3m5NkX8YEe710v7U0PMZDsavTu0UHlU0iw3G/h3pdhDXFOMhmBzVXZgmajA4LpAmFYeN
HLaDZUBhYrZbs8qFZGJvA/R1WiwgHtTOmSp1Q1/i3cBSIqv52KbypFnmssxTPI1q+z0iUZ6t/Ktu
y73UQq/NivDSl+Ydp6uz4vSbsmuddRdUXk5wXFBrnjawhjF43+uDslN824LYYSENffXN5BoKykfj
OY/k6xxp87YPgmZb2RzhxMcsF/FcGKOgLTlptw9OYDzl9HdhYM7vlp7udSDfVCBR85aYlLmQ61sk
UkSl2E2ebLmgyLDU+i1QDBDxMvEx6/K9VhDsJ5jMj3aTyBOy4mV4Z8jXqlxpucL+rTLz9mfF9LKg
ekujQzRYwZq38Zr2lbiQendppq5710fB0H7ojIM0+LeADsOjGajvMdJ4kFd6fRhGcvrUQjgnG2XI
npsU8ma7CWveWNvp0b1dyC8yjLCji02VPeVQgsPAyCnbWjdKfWsZl69AkBxGo32Z7RLUSaXuRCCg
6SUl3uAFzYm+ws1HnblvWZvHyopgYolFKNFnD8CCnU3YlARJ1cmuju9yQi68kKjltW9LT0WOOunF
RUb1sACGWLCQyprjsFUmX1unWeAqM7q0wPRxigaF5+PTb+pp69cch8vCeJhVoLhYViu3am1r06ny
Jp30VsfhEZj3Dl0FKdGx+ED+1HhhDIadJQJrepfQB1Wse6OhWS6WWwiacuk3WP/xByljDBJLy9c4
h269JCStQkUACaphahcRVuQk7xhJM/bDiD1JPOoNC48eqIlrt/1rMt/ysEawZqpebj4ASrlXI76B
qaXv+oqzplI+R6UqdwOAKumPlFTjB83yjMgB9SqDc9bQnugpDVKKdEuV0cag3ag1cUHALtEKMD2E
29YAYv2AGfj8UMsCmEhMYcjil2ns6b21n9sceV781Gr5p1nJvUPI7ypTiTRMZs8h8ihK8muVhTeL
Su4Y+je/t7KdXgY7PauvRiqfxx6lRTRq1pLv6NpNsVPIRUVnYvdeFdBaVIeD2fMU14Mg2V1hAZ+b
afGlMdWHytbadePhoHyClE5YooHUQWo6ots3fyz9DZFe7046SFAKgWuVHMFUtTpEKmRDujGdu4NU
vrcyhvpBj2RnRF7btPRsZj1jx02MfZPAcm2Y0qxrYextlV5qlhn3MWZZDPH4T4ga4f5IjKcWBOMq
0YoE7kN8QdWmH7RMfUWCLglL1ZzJ7VockHUEnDyX2WsGlJug7JbOMczYVGd9NQwfdAQr46FXJIhe
2AM8OfHgsUQZh6lVCLoNS8YbsaMDf5lmgNmx8TA4Db4dxK2K/h6P9Rm0zkzYbfXUDUb4I63gD6ei
5JUBtgAQf4+nnmze8HMqy3dwJjmCFFyEKikDO6nRgciRqY0RCg1yMj0JXQirrPJthjivcaDekOKn
LJfkuA0DDxfaldc4LAI3hBPxpBYlXbLwW6UOuKdlDl0igjaQTnd15rzOdQd7m+VSKlZzQEDDAY5J
1eS1qJiYI5M6E+rt4feL5BjnpMd0fIU2Vh2JVKlEhvpxEVcwDEzKNVYjCO/AB7yGBxfkFzWgZjSH
Sen4QnLs4fc//+sLwNivGsvG+r/+L3X5tt/vZQi8axpdxXmQmwhgB/P4+ycUscku1Dm0ZCReuylZ
l2vmh5+0fWcgym2TUUxb0yGo2vkAQWk+5EP9wmcTb37/K5oB2QBNodQcgRTE+r0z4ZAxmDFt7Ioa
uSNz+dz1016Je39HK5ZOSSTuIqDyLtwUZq5R/xXqx6EdedalczBSQBBWd5+azW1s+wBjqMbDmEy7
XnSv6HIhwXxTIfq7VveTTURcygrZBg7OmiNOIf8oxRNuU4ODLIUt/jv/hTEMgreqcLYhvWPSihHG
cSIxLdPZj9RFLCD9QXVCzmtRHW8CI2ZRCAyBcvWsZr31BOx0HaN9eI8UwZ9wmO/zzu5eVLwj7DUI
DhANpPUuF5pcNxlM0brPaaJZ5UUhKOahoWFzmha1MOHp4XvMlkyXeZju7FyXmynG56GYWKycegrf
fcNPXAsZnpQQDLB2r0t+2F7QlKVpau0da9wpKhLhKki/YfpBf0yqZ91SAC01dNcrgYEr8enwFZrx
Kqpw2ut5/1WY+IDrgGFiWtUpUfLj2upUcsgTQLJ+oMrLIGi7dtGgv/spKrwgDro7k6fgkgyEzqgK
WA/4GNV2XA7NibTTe7qR/Tmb2CV//5lihF9WbiCxmkp7ZcqpWKM90/76y1aWr31Y4I8hAv3UR/A5
ZamXl3Tu4Ab8oX+EEDMFnQoUamuFeB2aOaRCRvPZJ6m6CckGdgwIEiwP7UaEBIDqevOQlqfEYWyA
I16Ai+2vsT6GL5JMvE2SJIKYdYk30Y/xZVv+1czsAC/P4MULXjOqYcW1wDlWLV1yPWCLGcdooAlg
fluNcSV+nYTikd6LdepRmhxlBEdGDJw51bb7E9IiD5siBJaorlOqBqRTSxsVc6HP1NOKy/74+6f/
+qIX3RN+j3Jjlqa1QpZ+Uk3zEKr1Oh6MY2XTPy65piejVq51nLaeih4Dw6BlMPEM63U+IT0U9nfm
B7XXzuT+SMYys1iGOTpRwmrGKhFZoF45bHicYzEEDxFlt4FjA99Fra55ZMbRo2e2hdNYXoe4eJjC
/ivRWei1jnbwHNJ4GAV6SNvzfWYSAScYFmdK6xbFyqCd5Ax0nTk+8Kq8R1SuknKXpixUC6qw6rtH
Nk6YqGBToiBYYhKqg633E5+qVF9MZReQiYGMzUbIeaAUq73UBuzesEUeDCeA1wBTIXcz2z8XJGit
wJbfCEcDjzNxWCq+2KW8JBq7nVE52sPQjOIwmVZLhkm9UVG/7dUuJb1HeWGwsTUd/S5MZE3pCrgv
4ECO2HqNwbNbi875rDI6OzOjEW4ocJkquJd5sXLgXVsVnCTN+F01nC+lnO1Nlx/I3jnbim4dtAnD
E6GU37VfX5uo28oAP1xPhWx32ioOlWwzj5G5x5CJOozwgMEJH+PcGs9ymKcngupWSWx4uhwegmgk
xKmjIZzSTsvTKd+h/lK3WTS+R/7sH2m3VDsnQZI1DeYhC4POaxeJRz+xkjfMLnVZHrUocgcTxnXW
rZNqWte+tYlC860I1bchRTgXo/EryJve+Hms4mzhC8QbAaWjs0kIZ9OZa5eUsj2NzMATjDkOBqyD
larMyaa3qru5YmFWOnxcqG5yF5B1T7ZYwjA0w7ZlEJkRmgUvYi4/LWJQMEVvgUf8Feb2T1T7v3HI
P4v/n0jxJtm+/2dSvFtkRf2n+VdQ/PIP/gmKF/8whWrqlkF0Brz3vyDxwviHrtuOBAtnoEuXKrk/
/4TEY1j8hyFx7jrAPm3dJF/4f1HiFU3/h9DBzascvhxdJezw/wUTr4t/z3K1CXAlBE8IU7XNJfTv
7ylWPRxnvNO4D0A4LG1whfiV+KVNa8QfxZrRDI28nKShjns30ZHgocU7aqr/xn5MexVZwdjaTLNl
8mGG4SZVU6SiqfM427jVZjOA2FA2njZ9dkuDQSlxJIRzZqzSJLlyoNiF83DsLZocfgPsJQj5kk7P
kSEg0mL9dp18ugdRfGQY+EF/KHarzkTHiAPEtRJemF4kH8i/WH0E312OyCslrfHF+YDgH6BcOz/4
jnluRYJrluLy9/8ddWu//Ms+2oA/0teAX4hAWv66VY6FEx4zVMUrljcARDqbXltFEXX2uNFjuGSW
Aoxx5qhN52qtlwvs0GoYs3Csj+3so81rIDbVdfQxJ0YVJe44QZORe+ikl+UbZlTJNFWni60Ra/b7
XkbZ2B6Bh+dm1BClL29IJ+vbbaa32ebnjrYJgM0EFoPM62v5Ib8/PUv7b51zck7+uSt9rXKVnoo2
mXjhsShZoJu7MUg/pEXFBWsg5YyAbzAjFChjzBV1mGEmkrLhPn7Qmf1yZPxQhdFHI4kUaZrW9pAG
t7AaEIX1yrTREmuP2+VqtuNajMGHlFxiqdeEgVV0suIo3WHaabxcKW+GrU6eU6o9Z036Iz54GaS7
tteZoBw6gdZyeVHFML7igUVCWDuPaDiZTZYY4PqOMYzPh6IE/XpUMEIk8czxG2HXmUgd7p9yQHye
DQeMEKErN11rDBvRoJ8zjLVY7uWmST9+f0U1BNehVh/j5aqKtjvZRKQwLPeWX0nq0kanLCThhhbU
CLRRS+Q39i5aGq3j4mn5mLg4pOjFZbaFZHvIYv9RCYKZ0FtqHiJsVgQKcbVUVL3cGZeqNF8yJDyR
z4XNbPMSKtGHv9yLy9869Jj0oNW8Ejwo4ezLv2QTDUj0mhrYX78XrHPKcxDwafGQ2R6HDEZXTfLY
i0tSIjFpe6Gsla4EMJn0H7KFvzN0w5n8noMIax7lfrkdEceaMfwCOXOPORVcAabYuYpytQNvvfzg
38stauMnHc6gpk5OyYUlHIvna3ldic+93kz5VRXX31erFDzKs8SHje3n91v8onVFTaHV+sxt+7H9
D9lD/55hsaxOJgl0hKbpliRo2fpb6Jsly8qfA+YCeNToUGRyT8ggn5NiP/7+/n9ZtP+5ef1raMa/
Z53/87dJg5VVaprq2H/L2UNHwBqkpRRaE0/uwHMTHNMEKEhbDhu1oAMHUHm5af7vv/bfgwT/+69d
/v7zz400DYI9tP8B94WjH45ZBr3Wnmv+AfEXURJP+3+4mtoSe/NXusuSdvLP30S0iC7RlaAG+tsb
HDhEVlGbI4Y1WIl6/zGBTLv871Rg4itCpIbwij4wPHCNhbhkQe8aInnMA2f/f3/Pf4tf/eulSByD
Jim2tjTV5aX+y5seyobITVGaPCbOvkfPKeLq4PQs28vr0UI+7rjKMcIFPyks1gSyZiBelleX+RGt
Nkya3OROMz6TH1r9pwvFZv3fLtS/vrq/XagxiRUUldx3GcFjq1y5JjTPGL1w/xMCtu/Y4IJlF4tL
9Ob6WPyn32/8716AJWjcaiTCkCHzt8vjzFZpqOFkruxG7pu6AYaUQKAcm4mdcnlMYc7TtovaL6T6
oMedU+PYXw3ybTcE90wVTQzTnBs/GKcRjCy3sPMGepQlKn4wpf4ITfURa7aBVbj0Wf/B1Rvs2AnB
5tC93poZzUOXzCe1QQbJTpkv28SyyyPNcYeOk0k4X5Sso/+fs0yjIotJPeh2uSyOSSQvqLTg8Fj4
WdV+DYmFDzoYYIOzpaDfB2GwPGLLVgN8hWns8FaUfO9E2hwve4kkDSxYDOIq4Pd7oADo8EQfw3IN
lj90yZ9W1O/R8lbjZbNzTHnR8MfZqfanFJffraMuv1NN3rK022LT8lfWslklY/+IvfqaCvlYjd+6
Ty8R/CVSQgfbX1ZskqGFvS7XcaZcYh4PIlaxDmjPk8nK+rv1zFYyEyzFfya/lwwHqyo/w0JefME9
8ftrlpv4t6JiVhu7QUEHu/IDb6k5rOXGDZdLD/flUTqbTrANQ3PZtf+TvfNajiPJsu0XRZu7h35N
LZEJJBTxEgZBhtY6vn5WgHPvFGvm1rV+H7PusiKLIBIh3I+fs/faLC2/yxuzYw9VL31lokLi5/3e
S77X9tDlLmW0nFmfFgjHUAl/fxV7iFXevv/cP7+pSs6L7N9WDV5SFmIEca5FLuifr6rjldM0mAA5
vivBtktRUen+PbYcujgx4olIL5eFz0cqhLOH4vth9/Y9cZGv5bxzzZcinKafXq1t7ZEHZr4IhCdc
jSy8jbo17bqQ4pIWL0/1/O5f/Fq81vTECQYCNN52BJmQvGvBNRjH8KOBL7KIGq50I9I7GAlLbb7s
85fOhWcPUFFoxS4Pww2GQaR2VCAEdXHVjJ2FkoqOGTjuNPlA5eMvVBoevY4Xqil5tkxzeAMfuaYp
t5r/SDJf7flvpldULoy6AH9n7we2n++KsSrZK0PcRRhkeAjp4t6nWfKKMQgbd08dxMTzgcjMI0tg
iPqOn3CkIVsEwWs/gGlDbTs/zYx9qVb9Eh2muakk6XlV9fj9rJvFTwTGdKRjrCvCefiuSQaXqVtp
PSSK92TEd8c8zn0chfko5lsyVxmVztOZpIwlNuQ+3H1/e5fNi84WPyneJVTZJ8OfdzlQ1NvvlxEa
zce8WvQ5ZZvV3Pd8kgXgmLt45NZq+GZ0MHnfr3yBxIw+n/OGiHz5/YsiYmlJu+Exq4LD9+84Iw9+
U21pI4Bl16pFbKuPedWR5AMu5oqS3N6vIVPIV2AJTa84AG9M2D4Qrz9qY49IDC0miqh9RsAI2HGG
la6iZLLmB59ibJEWfE8sEKxLbnDJ+o7QJg1nyLw8uhBNUJ+9NiYr4vdrmiu8ETbVV0Figd/4iO/K
6IMoGfrm89oWG/M/cO0SdeVxU/kVanCS15pLU2G41Voajt9nlPmYAKXGXTrY030hf1q6xp1huy5q
6/H7zQ51mGf59BOyyylVQD9IK/toWm6Vm8Bfr/RbZaPLQVmL2uSANSilJOYXqBztMn/vMQDSW+I6
DB641Pj8XdB2aCNAXsklztMGxYm9YcYXLL5XhO93/n+P8dJgcft/n+NP4QcS5z8C376/4vdBXrO/
j+XC5dxtCkm62/85zM8ndsMFDiakaVokrhlEOP/nad75l2ky3heUVIYijdDmP9VYtIl8M/6lm5Zh
CGHZGHCU+e+e5dWfBSxLMCR3TvJzwhzQB/PvK3WSAZAIZ8BKUauHmnQxzhVpcuyGHD5YrttMpxAi
dCloa1aTTxwXHCx6dN5SEfhaTbW17CwmYXn31obWmR+I7K8pmLZhBo4hZfKIs4E3n44q7uOq2/gx
2sI0L04EE/zUXfkuFXbYzrdvVjQdgkkX6MhVsu2t8YdWlGJb4DX3Y5w018Wk6GJzBH2L9JMfRuSZ
+FAqCay4QqIelu5kwpsKiVAw7xpdBz4QlqgBR/+FUJhTZKfESPgbXZH3qSRHY8a4dUM8QoenZ6G6
AtI1E+kQHLrs7NnfuRDSeGsRW8BUCp5cxWRgcu/zVvs5ICyxoXKmorwEDn3ROIf7TBHT8sMvpjEN
cH0Pd1HpnGSk4cTTwj2KrOCAMeJZC/pxFRD1tNKt4IXs9n7fyE96QSQild3eZwkcUB/pyZPK5JMG
+nnrUA0x1DN3k1S3HKtpgpp60TbVmynodldSvXdwQvSJiYfy1n6DWwxRu8Sqj0khtoPXMWH8UdTp
PC9Cxj+QdS/HZ58xX0HVum7H6RQk6ZcORAwOLIzBrimPTcycniYlLmG4JDjwBXGT42bSy6MsIXyK
bB+I9k2z17hRCTBzy60k0mJJd+ZS+/B1wkubT7fEBbhTpUxtfKCa45uPSgCPrSyZtBOfdCziaKdQ
ma8zlW38Ad1Wj5MjIy94VzvjUY/Hm27zYMUD7N+qonjHGo/IbphOEhM70z39OPROtSpxk6+zSr+S
rpsXj1mM/nL+qyLmJrEbQcw64bWNlpUiViGKi2TpGqBQMx6erANq7gIOcMAaCYvnJcyXeTyBNCBD
KxoEb4avmDFhDBRuRUNVam8DJeWm1O/LuihwmlvavnfQUGY+c+qBNhfO8iakJZa3GyvLf7bQN6Sx
ZxfaFYE/h+UQqxfAgO4nfUfMyb2mSkb+U4TuyEWjE0ZoMeJTNIGungwSiros+xlAPUuZvgIKHcmB
NfAXD+3FzrWr2zOhDefQiZSwHTjley0VxapxnqxSe6tsPAOJQ0xWM/aPZ0q0nsLYObsJSVRonlRT
CQLW7Pdc+Jcg0J/zNvmphVkLQINujAMnxgnjr8EA8do4xi/CfE5l4j9DDH+1RkJBSIEoKa1pe/UF
o1E/Tt/wQDFxjhclWdvaYNhzatNauWG/KbPuZrh8AbJtVhrsf20f4x+lFbcozAFNYcDQDwBQSdU9
za7paI2Del3bNfEMKJinbADh4bHvkjZvZ/WxiquLbTMTrtAX1qpeVXbGJBMo/4p9WChfo+QaaPL4
Jd0KrX12x1weKkn3kRQRXkn4YQnO4kYX67A2bzz2B5EGe1urnoRbHMjg2pVFxC0MZ+hI0t2iSpH1
xlBtkTtHJwaI5M7AbeUEmFO3BWE5wHWemjYABj/ET8RY34JYvzrS+WwTTdDbwh4/+Q/zf+zqNNm5
mHGcrjuOvf8SyBrgu38B2NSvGHWs7ZDOiVJaj20EzRUox3UlqydfTy8pFgs6/jPHgyxtArNQYyar
LkvzrZD6J+O8bRUV5qp3IiBdTblNEWMM0BnI9Ch+uEadbzyUVE1TLZD60LyznW6ZODi5x1mkgWKR
E8fKYdzPkODZSrRj1ddiPUbOyzTq1drpuzfbc0CtjKifsNVfbLphrtCMbTnSALaD4Tx1Ew0gU2yo
coHWjsPRpE5L+vQU9ekPbHs2kv/+oW1pWEJveNW8maY/bJAbn/SuvhloJmejLoAJ7C6ecE7oB08Z
WVmFNY8VvfaKUIXuKRxNvCe71KpOyJTXdkKypun+wEdzD0hZLtQpbIE9QG1SC/AG+rKY5Sqpu6OT
PBxqb7w1o6DZ2sOfyJqj45KIONm7oG93tWncwNKgSSVOsBzGd+yZ5q4xp0/0/ohZ+kvlVJTk8go+
8NX2kOJ2LG3myFudekO1trxflWceiha1GxMu+oEWkzOINFNBf6LWxLtnlhfC32y6d7q+IR+43gR4
QIGydXdGBj8YQ9mW9EWY6nVwzcvHityFsj9aHbJ1C2Vu6r2PY7ehw8A21geoXOOSP0slG+bej2Yc
TkUmeGsCwLWjvROthb5K6tcMMv2Y+cyZsCAa+ieSpGzVDdW2s3H/ROSTRX0XbcxAXrsZJZIn7Rt6
PbWp8vweSSf7a3eDWXgOMXEuGsbaeY4eY9B9d6vZ7XIIcEJOBUECLBOr2qRPJO3unQFwcLOydo+Z
lZN29oV/TK3Qab+hNvopS0wpZu885jpT8e8LWuX6tWKIZ6s+RtTF82aj0V2IejM66MB4zoFKqWxh
dLri1oZv0zQdRbSqAtxYAY6PRaSVHBC0W5IU0PHjkKwz39lFyLMNNb671bStlDpTZjz3XnSerIrT
pNP5S9xDN9UkKyX9izS729R55yHt0fRkJFvO+w3hUsu+dqJlDjIK+M1SoVnrNfOU+ylh6w0eVaVh
0vcleofpZ11jeO+IbOWxjSxXW6hS3KYW1UYvucIyw40xo1gNAS3W1qtDW6DFCWFLSBFfgEBcic5E
EYTNMR6HkAbIrwQmM5b8TOBinx7aXNQAG14s5ukrH4/HQs+mFZ4TPOfj84SocNdbsGXSClE4a7zM
DkZf7CwG2mDs0T1GBCkMznOd9c+FRpCV1oovPHyxFUNPaPEAWCHKgfmZa1FyMSk2F57JetCIZ4iO
jA5y2q+xD+8sSvf0UBIWXqasKO2AGGVY5RBE9k72JHs8xqSxyEXOgZgV4jJwKIIESuJkV1gG+cPA
Godppm/Apqz5MmcABdrB5IbbxzFqxNxOvBdRDD41omcNX54P5cU21bPjIK20p0VW6BjfLI2+SpW/
Gj7kVpm4R2m4aCttOnf+aH0UZN4t4zwGK1KjvMg/kqRc9VYWrz2LizgqICaOzbHfEa+ZxTDKwqgo
ILCi53pstPglFfrV5n2v3PHih73xQEAkTJzhWXSUECps+EGpA9TkYXwWw5En8RO/Ge4NMFS65b3M
+wbxy8fJH26BMTzPd6isGgpZqCiaMdjwleVrRuhhiCuHKQVznwhiuEOx0KL2QXOSPgS9qa2ssX0t
e1TPcUP4zmBwjkdYTLvhpgiNxBdnXTCP7QYv3iEIAwbulAQ78IbOtyRvh0OR4sCgHvQdxsYEIYCH
ssIXFdVfietuQfgsyVuDNSWFedcFPABar37OiWkewWp586EKZBcdlVDMCOCo1LHGAI+Mf9MZAXKE
MaWBPepwBkTwZDX6j65tfayi7aUBtRSK6IfnsoMp3VtYe0P51RNOBsg7kMeTZt9XKNObMcZJnDLw
qLJdKcJDNHTHxPMfAsw0ZJhUw9ICB1LXOiE6BnqOQHuwhe0t3dEk9snneXGJMbIbTOXaofACc6G3
6J5duwaABlUvqZV+4tiBVc1k7FiUHxWOq6EL213QIFQKI2RXfrUNK/uFEw+x9oWN+8MhxHmeq7OR
YICCraXJrZjw+xSk0Cl5Ylq50GqxDEHCtXLkldIhisXRQcLYnIU6PG9TYm2g0BCnBsTT5JOVoLW0
jKU/lu6nb9OADZtrofR8NddX9TCYh4l5HnFwuMpraa5piNoZXYcoqnepwdvXd+6PQmMXaWIXriLU
uQGnUn/LTQzBBgul1IKLBC+m4aCquOmNNXCqyNKvUh0yU+06QTQPsbg2PjWrXvWtdp3afB/To0UQ
SngpFXLfhhw5JP4mGT2E7ZMduk8lKSrLGmBMm6lpmRQUfkHc4WMsF0RD02EZwheTWA3XfubtQpGs
9FcMKC+EoG1n6rpj1ah1P2VPUcCepJfVwQLglFldutGG/CJ6JKOeBt7BAowxjwzt8rWnA5g213zm
LQRd+sG4rV+2JqIrx37WEzvdRAaLSDJRkHAKe5q/UYUkTUvrpyD2RqTuj4FZPDVe/PG9BnfGeFWj
emqNeGNOBEC3ISAinW9dqQ59VMZOwdiLI4r3HAXT1Rrt0/QjH9IL1vtN1PbXJHXPNa+vV3oUoTlz
tiTPH4gMeZ1shR9Hm/ZE87YOVV5CCZESOOfamNmK4KActomUjiRHn2wFNxxxejIki4BJLr8/nmjU
QQxi+Wqp8OL7uG1NrAScJYCdbd3Jxd+X/6q0YF+arJqVV7SLqakoRkL29vHqG+5nXRZPSGpujsxH
0lt/WYY5rQeJuTzKI0op1HGdoW6w8Ht8PR/N6H+VLoYoqVAwEQE8omlM+1zsmF8Xi7Bklp8TOxJn
yOFgHTpax9lqRvEXidoOg7XwVPsqVfQgdLahmCrNZ5GKBiQ0RFT4bc4eEE3Olgz6nsGoD0W2F2dB
XbPsuuktM/GUaravnQu8t3ZDnZs3xRPwsWMDjXQVkUTMwDT9qq2Ax91HsmwPVrLSXPtNPxpN/ZC4
q+rdKdIPExErsYWPUWxswLTnBN6A/ijo+QVmvWwV/g4Nj09sIswCfXoVZnvD9Qi2f/aqmoiSieDB
3Co/NNMkmpm1Ef+uSZQUcbVG6O9861EE3CB8uG8Gbp9FmtLc7jbOHAKbJiBXe73y9lExQ41noXxB
1kmYTmSgUbSbNRdATlwKhFzPvQnqtCDqZdmIYAN4p12MSJ7W2PufEg5qZKonu6wcMFjE1jZpEmhm
Wd1t7AwzgjO8c9jo16rpzr7prhv1WfXWpiNs6bV1/bs+zK/K6aNLbbN9AJhaus1i9PnTfUS/kZBt
HfgkFAcTj+BZdQSlhcVrwMSeFT74KomoyQsTbFlgMs4xxbppe/O+NSwI3xEu+HRgCD0WLtLF5Msl
u33Sa2dRjZZ9IEGaYttoIweNq7eMfCBlkxZedG/+qE55rsROD9wrtfG0NfreAruCWe8rdZE6MJV6
EnGBCIBwgsF4J+IqPjCkwMKh2Kf97NARKnoNY/RoWqKe46g5Tj2jsHyoCm6Lu/E7bEq21gf7QN/w
zZGMtwB8jAjqeZIcACm+OZpfvzmoy6Q9rrQ8I7bCg96uyeajmvz9AAnMHcQNUSxWT3dg9ocee4sW
6OBb+S/p3toiukJdf9ZJY1shgLjYnUdOHdGTJpAs08M16E36Fffsfd9Vz4Hja/vSLy7k2HBeHtiq
UpLiY48Gk7B43HuqHa7MRSlqIq+klAo9MGOkM2keYkXwWlvkGtnGQzaGuDljRl9m2kqNLbcrMY6B
IwhZwSubVb9aNqxCBCf4JIdpKteBjWp9zDgn5RBwckfvVob/Xhvuoy2LJ+bCTwwNEDLPrqV5P8vT
B6NvQXcH+WtSC8xHeIZijmMNmCFklaBGeZfcvnz3C+mRx64eRCwrLPRmdKomDdOOvBdlAXHAaql3
PCffOdN1hG2wIOHPXOHn1ueRCqYCjYIx9O1PDd0eKhgWdac2v3q5E9rQb6kuRObe0q455U1+zQAc
oI2YdhMi+wViX4Jhm8soad0PUz/ib7laDpGYSbEltdlYj+ilbZmzBjsznxy1Y2eq+jEIsd2aajrA
mKFDU7ftoXXZLpqs3mYgkSYQn6v5ZIsTCNnIu6dyc+9hQ3OYLsRsulP7bI1msyvhwaXSJVmuxLff
0TkL9Ao+iqE961AbmCTTDsHtv4oj9Tz17PhMTzaD6UH5RSi9QucJxsF5sHAHUoebD9NEmGNemmfd
7187DsoFQkaysZkaEjWFzmWLauxTjfo1cYtHLUtH2DnVc9Kpg+Xo4W5KXpRs/F0mBSGM9nq+lcKs
s0UJLtoG9ber3OYAOtdeRl5BlzcBINVtdAS5sEUBHmWMIsh7gsbZJ9j+nbxf01Szl2mA1nvUadHE
+bBzEiazNV3m9WTlF9vKfoHEvhZ2uYc0H5F+Yk0sPUhO22nu30zi2RfoeDCrD0GMV7R2pyXi0A/R
wjwogGyFjeyv0Fn0vduFWyNrPyr4QwnBb0sz1Wx6vLZ8wZ7izImbdpiQWuzIZS51IoQkRM0eNwCP
AInnMS1g5AUnO0yvXe4ekzSEcU+u7rJT18EsvENAhA9UgQljBa2iSFaHwNLarRtk97lv/QSFzxTO
qkrM/3c1QVD7mv7cAvPnrmqso6QvtgqpAAL0bCiJplPLOdfHMljtRZoCNyq8nYkcl3ccuxGWzcWY
adjF4ui5M8+RwliPt8CVrbbxsLR5cTduWkvdCc8nF9YS25JO67IlL3bjyRx6kfwoMn2Ayo9pgU4M
BHtWqXUo32ytuam6/tFDsFrYBsKmPom7bYsBjkHfxKMZgm9wLN3YTnZ5nv8Pb4TfKfN+Z5X6dkwE
sXhjexVuybbFtCt37nTYXKWXqDUBNDstUi+6wk7a8SDEI29uioHPw180n1X2lht8tYH9KMdjFuFj
S1O72AqPU26VblBFZdwr7wdv25PlwRKNaXuDhI2wX8VzF6VxYCEl0t3mAdabfmJGPD3AkZFbbkNn
6etezGuWcZVlDd8Yf/wC7Ocmy/Odn4t7w87yhWMM+O3xsbnOnfR4UYqSmDgynicS2aHhcwRcnivE
kbBWWH6i3CZpZyAxpkyHfdTe14Va1h7TCVOeci9Snymj5nC4D1Ibn5UHspt7qWaObjC5PxAa0tIP
3/QIuCgpUOgz8mfeHm0/+oc8pVNhVzVeu+peI73Ts+r8BVTzyaxZ5rEg0UDjYa4TG9JJKeeh5d4t
mERHszHBKNtbHIjkCHdc30UVvl9bL3Y65vdt7WpXO8eBw/RyBfQPezHylGU7Dh8iOnUVvTanpuc+
lekrEe7kY8QZUvv0GVJ9vY3ND00kKVNP5a4xaZEbjtEKY7FgE1pMdfgceOlPQG7GTqj6DlcUwKsi
OXsj/RfXReIXNmGM4p/42mzm7dXce7+cozhqcXYE0UO1XtCvsdszaakmRxgL+VxHDUw5RAKdWiRi
BIoxcnjIlPGhkawcEExXWMmT70ljBfntoSFr/MiZil2DORd4bnZTA0M8uMD42CM52IiqOFgFIknX
iEg+t4KQ6brchj/zurx1iWB6UWcwaubQVoshmP1lE/vJeY0Ey2l6BdV1gFlQZG6wCtq3kZZj2NV7
I5SfX0BPn8yivzalvLJ0hAuMDQ8Cn1fXkgxcgfcjuSx5E6VzRqZRLPNm2KEOXQEATM9IJ371Xbkc
7W4tC9nCnWE2EVvJOotep0HXl3GAPSCROJmmfIK6kjsHNWo5WMbmVY0l6jJayCV5LjtZTJgOveAs
VPiSUxMf+oo/CDr44Cdi0VFEokbnQKv56d6M2q+mfZiAGeotyxFKdw9bc/qcZd64x2fKjFkjswRD
CI2vt5SFHSU8KYE93ca2rd4icmJYNXJz2zf8N80eTj4KGSmxeH3TInp7r5sCr31HYZAK5u8F2Iy+
HQhdhlgkrIaZkhauFZvbiknTnHY4AEIu6+VUhndmEn1psH7n/hd+pXFcN024KrSWgCkfG7bBkWXu
gNDEGcnemJAN4L2yjBlAHdZHzY7KXWhZGGrNq17zv5YjZtOfpZldxiEnJyOwzrksdtFAXnw/tHdD
h0rStvTPqKdQiT1asjEvV2nz9o1pSmU0Fi+0bPch3cItjflfMXsPHWatPzUNAVohqpN11PRqn8jm
hxPRcpxMJzgCuL40GYW/md2AcvfrZinUMFULgNRyz8SG2l7DkEsbajeOX6UkfJLY1jWa1p1lAYKF
gcdBulgySx1o+0PcK8Ybl40V3+/yjWnXS9AY75iPsZhFNDtaFb1kHVsyWkyvZxMnLapfocZ+TpXn
bbtUpcQS1hfh7wzhCXoR+a9gOos8cICIOhqPWLFO6BJuvIjmT+rxUDrshrUNOZRIH+vZ6cuF25jG
Kx7ecasqnZ686tZlrV1EUbOjBtNXNnhEz+rx1m0zXJxGZu8tC9EPFlaKQk4phyCbyuQCP4h3y8BW
azCR2BoFPZmmovyrPMKVx7Z5xbtPA02sgnQi6ZKnxx8ysTdEQzvzO6CeATB0BuLgGjFDCJoPlBU4
OwZ6AzXubQgLqQzWlkC3Kzq8lszTfnS1eUjStnxCt0Pg1ZyW3GyDXhvukBjyCZrxWVQOxY82EolG
3Es73kbT+RkiQtz25c43KHSZU0DAmLFjkr5ymKINj+ZXvoI0LM3nrqPCIKeZl8nBpTJKeyWLmbLl
v49NZeEwsRUBayR3EAEer0qH1mRhiH2XtY9D7X5qlRatizG89XJh2XiYIbbtcLwe0rlvmmMPmuGB
nJ3C5JcAr7Iu7O61ipjdFmXyFmXBY2pwcilowka0o05Up2Y378P+eMeakc56kTNZkAR5aN5rZ/l0
bMRKSPmREFiFaw7qr17IbULOH+IGcECJXq/Hap/FUOgwub92swjUDFjJisM4+WJHWJXYUDZitGd5
J9FE6+kGwqnUkvZBTwnQRVmwzq2K+bjLCNPGLw23sVjKqnlK9QbzZL6rev7SlNLS5YRFJynEIwzQ
1MH/Kopi5/vjrfT69zjluauLdounkY4jzw2K2KNrAtEwFCcP9DxfVeguU+xVvCETOuVpPnbLM5F4
twHf3sKqC7Q8fviEdIPmpW8ugocsL1tOBIgSfAcMc8V9hrJAWBJBbEO/Q8p3aXoK+FF/bMOSkKW3
zBI3Ldc+9ZaymDoIYRBLWEHESAY1M1X8DYNbf9aY15whTJfcY2tZkwzT0WlYrwPiBXVktjgU6fRJ
v8YyzhEHlVE4BJdKhwfm1ATiZW47yzRepZYlZC2PJwpvoPpVfcdzNtrNa2zH3lpvHYdnsqQdWojn
SWSrnFJtocEg7vpfU97d3KnuNxOMTy0+gulcJBKGT2c2Bx1ATUawOyke3rYlTGzBcc8oYdmCnhMk
VmzDwf+ypoqBkh8zRERYr7OqFSl0887JN2HVPfDUHDNz1Hce0NyFj76UDhV+UK/lgwAeIh5o26bV
tavMaql7KYItOD5HX8uObqjobWblJgHyqTtT+4hfOStdRvqjMx0q3zrh3aTemvAPl7zJTy4qgMmm
ww1DpfrJWNAlSlaLu/agqUpcYmHdG7K3T7HSirU/GgJivpUTo9oDFlRhsXUj9ywKMXDAwLzeFiJ9
qqeB+bcV3Co/yJ5s0rdZV7jiAVuthDmEFpR/jF73jn9KO6kmjh+j3MvXpasVG5W48WNI9N/oSjoK
cfdld3l1+/5HXkw/aqeZTt+/arS62jUuc7DMYIrmCOOJBRbrQ9LHZ6lX1r2MuXCQ89j3zXZXlhVt
AlOHdKaXzjFJJrVSnqMOuUKgUZOlTps9ymgIl8HJc5G/uBmniMbUPCxmpTwRNHFKRyILorH50fdZ
czDIK8Z/EpgEErPP5goSBxdDLlEIlDe/RtEhguzKPGnt40rfkv1ariNTlivfJeIQuN64RbaE3IJ5
3jmsvF2FHv76/VvN/G8oQ3GfkVTXIjH//ftF0WzKmUc52UEOxFELYDiTmqN7DlCfeIbK8ytqnnFJ
mAwKftQQAJPFFwMqeRa9eQvJuWS2wfbvZJ679VNAx5bV188sQA5q9MDa1EQRW4l8iUpsa57pDpdW
+u8IaHSMzKJ97jD85DzP81uuZHkUTXDolJ0+JrZg4m5Nb9JHuO2TmX1Uk+6vSgDPW90JbqBQvDf4
hsAGWg8IQQNlzXEoe2iS5xt7Kj3mg3fJyDXtKnJL2jysjknAySmh/c/4CptynRL428BR2+t+KCDb
wTUCGLVVo1PwIOZqI42AzV/A+2CYvvUMUW3qpunWjqyB/TBR7VxTbQHi4EwsOrUvQjhSth+uA+Wb
v8bUOta45unIZOmFWspeBAXkviwuTrich5VmAA8drWKfRjp9FnTjzwQOAwRJZLqyLWB4gurt5iRn
NZjVW51qJ5LVvgY3Mq4jWSRX2/EeU8jxQ1ToL4HTP42CYo2s83ADxKFc15euGj1a1lOIkuMlIo3h
MfG6+1br00ufvJIxhFCe2IBzxmzzgKpqiZILoxB2Wb2aj6XeqHFXuk85tA1fRoqre3CcOSInideN
G9K3bybnQqfE3iprADWtM7HxC3s8WU6NpFPX6T7IqNnZJoblHGDjWk0k3AO1J3EVQz85AHqyyRMm
jI6Wb8Z6VEs65Zz17LgnORsDqxUzUyvnuS/Lu3FjuM8Hm4IHH2UnhuNQ7STJB1TU0RdHswYhGDW2
X9x8lu/EyNwtzeFVZzHDH0uiq7nSA9gegfymN6sVZLQjagJ5yprYonsdMAvRaOcqTd35XuVe4Ren
a0AqxsoVvnslbNnbTypAiDTAg4ptk/hdu+4e0cpSyuEFV521NRG8kivTbHHzoK5RhEH5IRqsNETL
p78PbVT/asNi7i6UixrCBtWWH4BLS5wlcbnppnUUihkRTkciGPaG/k7EpcVpbQrurZblNYR7s3c8
/4koPu+A5m64mq1s93h8odVhf+UmuVdaIv4ZyQbEheYO2Lgk1iPSbpZ1CPgZi3yGPPjQhxImXX7h
A/Mnmo0H08HBNDbxNoZjc+iavAIZBn0z4N1BbauvavrPlzZH3BwJjUMLqmMnMcJTV06vyBasi9cK
d+HbvtoYCm+wl4zGQXo5jUxZvvz+IAadtaDL4WH54zIm9+xE88VHK2e5Kxhi2aYNwreqZni4GMhz
A8Iex5uW9sld05Z0XABhdr125FVDGxMzhZ+vQZDpPap/c2H1jHdRNBT3EU2sEJnnBbTk3kcetvBq
qDMdAVcr33aTnSE5GZsSyAucmcLIORi3bFGzWcBbxz4a/5qy7zA6P7Ip0h4tb5kS5k7chsho3ioa
KWn3UcBXXujTPHOLf+BCcdfx7DF2pvKRsnq4gmWtV98fsZHIzv9X9jvOzidlyX+S/f74mf7M/mre
/f7zv0W/Ju5dPLJ0VB3HRPAq/6/o11D/orUohG3SVTWRtuCL+E/Nr3T/JZhk8yW2wrdmWfiH6t+a
X/y7UrkC2qIrEf+6hvx3/LvyT58Q+6wguV5hotJtaaBMng10f7FROa4+6ijigYhBXWOLqBDWTHD7
eL7Dsw8JL4iAVg4FRChvJCPHJLPkL5fqfzDNyT89er8/ggUsU8cxJ02SCP78CB6d0d8fwanDXVdq
1oq4etjFQEEedMkwXUeqMpEgeyAcp91MYXE32CmJql6TbxVQpjVepr0rumYTSnv3z58OcfVfvCv/
/cP9zchVUv8PXcSx383IXphqPzm4dhVvcojKqyLqoD3TEb+f3P7yz9/4b167+TvzFEHSVlIZmLhm
sfhf7wy8h4EhbISGs0uxfNZeeLHCLt5aYSxwofZXI/axNOACJja4PIfO16iZ4UuWepwz68lb/vPn
UbNL579cPL8/j44X2HXpxSkaEH9+Ho9TXJB2uCiQX5dHLFYPo88IlrSqYGlocGn6GaEx+f4xLqfq
DHmhOsR2uWKz+2WGRfkCUX9RC8HMd6DZTaJvQIMarKZiVhkgjV9Utq3vU1uLV3oeDeuez3Q1EuP0
zz+I5NX9bz+II0xd5/JiWLfmW/6XR17aBQIW4scw64hHxC2cquOw21e0PTdqhEiDe7Gn72u1+8iZ
HcxQ9FLEHf+fj/GnK+r39XQsoUtocKwB5t/ePObHfucErjvnzx0b1AhXhQgoSht7R2Q4knVzaQ9R
wsgI5VKdbrwK3Ffmy3j1738QVhloOJal6wZ398/rkVhVn1oMoBZNYd2gIcbnyYvIiSogtWtu7J07
iLRtMv4HYWe2HKfSbtsnIgKSBJJbVd+qtyzfELYs03dJz9PvUXif3+ustWP9NxVCIKoRlWR+35xj
vjH3vjXckmk3JCGps1bpP//7axH/HI5wdFoe49rNuOv9fTjqAKWSIkbyBWu0u7lGl1QqB1nOONb3
hadD+oX9WxFre1s0BuDOOaHAoK3P1Mb/3MzdcNOykzepwxzPAISyOuVkOJrsH3MFfyr5L98K55/f
Cum6+IvxxDKUCv9vg1dXuRCuWhbZbYKoLGSYO0mbgLSZspGsh/Fc1/3Xym6rk3REdeofyJ4ZX+ba
ODgU7R/DMey3XTzmD1XsIqISLTFuOXWOXvZPTiSa+ylCMT2UmrSjdtolSeQhvbTiNfnc6qEOWe4n
Y7VLmXlsKl9VpMaglag0IQmlX3unsW3PCFinM902fJ5Dbm2qtqcKPg+fnaG9c5Nb59FgvpPILttF
QpGgJ/pj7YgHIunife24J1UPn/MYFEc+zOQ+SwmQK0MYxkZHDEY0klX775eB/Menat1uBh4Xo5IE
Qv3jMsiQ1Sr3li0Iqsm3UvssKwwZVJqwmsAxwj5QMZekLcFH3hvnKR/ONxQxBcmQBFARvRa+OJog
t7aKJCgqJqZBxdBCHBf04+M0XWtwn7s4mb1DVN1wmCbSu9L41dovgdWzdOh8pLaT8aX19XvXGw4D
RXIyRf6WG9G4rcJwG/Qgs4STN4eZdVL809GqfHVGPW9Dg5gqFWUh+sn6XCXNl3//eKzbTef/G4ot
Gw2NK/H1uspTi+HyLyOYEbViYBFPf2WAw9q3zbUhsBkNDmkqfq/sl0nPHz5atbVbxnyIJGtuLFu2
J1l7j2V1U6Wnrn3491dl/+NWaXF7AFiOk0SQpOP+7QZRic7TLEJpDkgdoWTwQeDN3aariuBMUBYR
x3mcbufqPY0z87vu22ITj/aWhMfwQn7bu/ImVBkWF7STXg01KTAWJA3V/LiKvaHfmIagLkch9uzJ
hLQkk9S0ZjypavLuxdC/hw6lrQz469UP8HA0BQXVnEiXjQHhwe/1/FgP+jVHQxzG7tp39OnfP4F/
3ln4BACyWJ6nJJZI/zbk/+X/YjaFrruR9HQErj+T2C+PQZ0TOx4rvUviwN3nFLzuY5f4yOGWg9KC
+N3nqZr/y6Tl/7hAGJP48nCX5l7tib/NWmI+n3hwABH00ckcZXryg+lr7PjdeeoVTmoUQYe4GEHi
1dWtrZbu3cj+NTuT8+LY2jx40I/+/bMRUv5jnseNDkiMwGUmeFXLl/4vn07gZL2payK8Jt8tHpUk
3qhqpgMVZ9BzMG5WkzuPa515ajVVWbirPV3tYrCD64m1725sB7XNqWk7ICoupZe6QB9PFLI9nUmQ
vp33xBxw22dGed8as/coJRnI8VCt3a4CdZ11sMiqfU4yw7aKbiTxW9a93z16sUNaKeTsp9hRFOaR
7zYd3NPZKKNXVlr7qfaLc2ETrVNkMLsQZmxxvv+0A/QWCjcDxLGSGAyV9Ock7Jurchiob+IdNxoA
pw7yaULF9OuWyBt9nxqpPtwmpqgNBezIsv3S1VHxQrT8xumK4Jga2DXnyT3yr3FYbULsy81SX3yV
+yBPnINBe+X3+yUWCp8YzQ9R7yMCqmk6gMrN+tLFAWw3F+19FbpHdleDTaWLdR3w3B1qYtipmPn5
QylDEruVxJBmRfc1tbB11QIgdewmOQ32fV1ln12U10hqcsYSy/xS0uuJiApuMUJ8jbqVw2r7isY6
WpVuisihmr5U+H+RLJTpoU5JqPEb1sFo6XN9oe0D401IvdYVsLq0hEEFlOUOJ3/xQncLiJv1YgUy
efC8EtqeS3hT2FnumRhsasVxU9/ZPt29sZ8oDCHwIVmtISsH05Pu1Q8QhRJ8/druYfuQIh89AH4m
vTTPxoNbQv/itQfuwGdnZekaAUrZFx+lGpuddosNhVaMiUldbgEWx4+ZP8F/TVDsJhE60jyQe2VX
5RfTz/MV+gHaSL59CN0if2DIS++s0STUlB76ep6FtQVnGm1jE3kijZTPNqHn4bcoHCcR9k95XHUo
FDoqyBF+lBLvXhwZ/XUspb4m3L5kjCyYB28Gudkp/2fpJwYiZb88BBRpN3GbPWhLhp91ESC/ke4K
j3hxbyDJHSAmkKbmfelQzNtZHHxJiUM/0y2j04i8qLW86D0z8te4LJKX3Ggp6pgH3x4kyh63Ow5m
UCB7aWkvk157SnP1jpzr9rf4jSmb4sU7GwjsUHpg3E97+QGPrzx5htRnNTWbuaricy2wgJOCM65b
fbCTVtJxSsc7cxAKrY+vV/7I91OhtgkCvGGY4J2VP5uS0p/xAi1ngBqtPbjSMM2Q48qjJ+ZHg2XD
KdLj0TE1Nd3WsV5C03VOJvrqc61Jauwhbcaw67YDiRt3oNK7IyRSm8zu4aUNx/Ia6oH1k4QXyiiB
F2KgXuf6c7ydRosUkjoyeP+ETaghPFc2RnvfsTE03F6ZnRIZPaeaVMwW9bN2B6QBdbQmDsFfi1Al
VzlCH9VqIkYN7IZZZe56RJFwrPyfouVbmtnTfOeZVnrLpueJIrX1+9A/ia4btj4i9lsJ8xu6UWPP
/M670oyxNh4QYxbkvAA5TpAPCITYjLZnryh9S0TWarj49BcLKttwrDvxFBFpGLtvSWtMZ66Q+Nm7
XTWW3mu8XHeuo6uXIbDbUxITTTy2r2ZUzR902t/d0A9f0xmzSVA+DAzOTWuMT8yzWoBG+bgLi9C+
3KzxF591iBkhVTdVmG2nQhkXzVTpQkpEdKzT7IFmrNp1nWpWbTbPW41uYcWsSlyXB9Mu4XglaOKs
CJFU31SobJgVc6XPOKt8W9J/qborEgjIhjFjZCzN6Dn1yqutE+bInkT/QHc675NjKjuaa/ZnRWjZ
kewNn2SuOX+PcQNh3VM/hEHOhNlQ6k48+isT8aqi0/WJ77l5SJMGnLJ4jL0uOqNWauHgjf7TlIJl
KjubRWnR/7BwegEWULrufyVqDyGA8B7MPjQFuSm1Fs9L//IhS1r/mdxOF+GNOlep/kF71n4kx6Ga
+WqMZKYgJETJNzXVBQeseZ7FZ953waG0ifTOKT4+9bX+QUE3ARvMTa8Lze9xbskvTWDQRoBIQpZX
TcAgN+/z7JB9VRXOfErGDqammh6qFvOSJzXpyxohuCs7MpWFM2zsAc1b0GQlyVFTs6d++xPh+Xwa
BaFJcJz87YTSHkmAmT3hxtxwn83wwkjjUgK9vEwBysQ+HZF9oXOv+RoUXHKUUg38B1pumL8Dm517
YO18HQ+Ya7+hCCufzYaCUh8r3JtiVATqugrdcdSdHMPdFn6itk1lPSAQmDekvVdoOrERFV3zAcDx
G4nBoBmGU+O9lDlF61I9V9Uts+k2jgy9tVVh+YxT0lkXtbHH+YkmJv7u1vEMDNUYcT2oR2Un0wbB
6k2Ae9+Z0tmPhNJvCViFTAPbaNsWdYocIkteEFyS5pZS6EbT4XClY7Fw8+0Ypc02F0R6dGFXn8KB
COeiLxAi5BFj42iNqwor2rYBev2kErmvsq127eJnhiUtT4aV4CJ4am5YZ1Oot4TcOwxG1gdD1mdY
yxgVWJ0CuJjfaJIFCLJjtQ0oxNNkAGnbZQEeIvMlD/BjJd5z58b+ufVLiu5jTNe8qXY2Zn38f4SI
KgfgWUlLc6hmceCmFq75IuALHCI8kQWGfSZXBYOyk//CVUnPyCrPnurLvdPiouSKG+8MqxIv2t0E
hiPPXZi/EArnMoWkj1xKZqrcY8aNWQXzXUPU8H3qWy0qnACcfwc5v+yT+s2L/G8a7/CdBkB0dUwS
mvIAGbSBpR/XYsVtHObfxokAvRIgEkDeQA489MUxbPkHSbuPN6aNYSEfq21bEsuRV59c4s6uiado
L71Eb0VEZHtGOHAd2dNXrVnhjFGBHJzw2gyW3BMI70M4tPmjzAdvR2RQAI9kXJdREqLoL+lsICjd
obezsDzkCWJ8TzyE3pqeU/gSEuDYThnRSeke+Ul1X/a9IBsLw3nujiGhJqb9ntSBj9Sx3tMCiPbL
+GQMTE+aAMf3WCAfS5EDPi0PXl8gQVTQ8piyov9ycnGXSidaYSUeNxaco4tXki1gGUj5My4MAXl1
NXcM29r+6fYYdZLMH59LYxifiRwEcqzDhwS7E8B6xaQKsr+nCSZFU4ykBGv8ZbjlLgaht9O3xS1t
akUHPL8Q6mwfzRHDfCAqLDpZg3kiaR5VesMYCL22Pe7NwuvmJ3/sAkaaCgptNSYXx+7IfCuzeYuf
Qx9VQDCn1RYnAzXcvZvWmEbHuH7PSKlMzKEhRcF2thI03qsmpGlVVhZB4HAEV6IV6nE6Uk+2D4EX
+mccbKzW1LcwrPrnLppIGxRltOtn593w+S+0Qf/UzaH9lUzRx9gV08aZka2zAjae6wz5zJRP4jC5
5auBqvWYoLmjNezeVRaiklZ6zk6W7iUx5vGQgX67WGMvd24nf1qGTVDS7YHc9X5Xmd5XzLmBHZon
hMsn6WfiOM5McO4spiebBtEvOFRaer1WCHGrGnVTA7DSiHERN0m7jquoB/P1/x7yNphupKqKotPR
inRy/5eHjDihpESfVpuQXsfWDLZwcptL0VrNhTihyebfAlXzNbM6dbLaJj1NQf1tajLxcPtBTb6/
LqqUkDEbYY9RBNXBNyIMxjPG0U7ZLjebajqpEfN54cmOGLqWoGSdyjP24SYy7Ud3qsDvp6najLXj
P1Ia+CK5g5L9lBb0DIectxsVKCQj6iGB5+YbM0Mzzr2PWzWErm81EShMatDEdslXqJHiXKN3OgSx
tcsV4StljVWljH/6SRB9CdYTPekcAU89dWdC0ilxaRWDSXfvmHM11862QPqbWYv/6Y7qR/zEh6/u
LGWqHRdR9SBbdLFdlF6XrdFEXe71Q8i/zLX2uJlpXbqgjTHYNP2aMaTfq3BvKvt7UiHzj+ww2RlB
XW9G0jbtrsmxqWXOczMLRhsV1+QMqOmUe0xOzJCPx7HCZzcgHrQdi1/KccZj3EzTo9nlcLUdee3a
an7MjA6KhaxGaj4+kESE7Cvm6zhI29BeF6q/bzPMvkZDkmnTqeEQud6uiCfnXo9kYGvbdB+MwaAK
V+TH1vOL+4AruHOd7oILoifHbBInbK3HNCtRk4VtsZ+VImmttkh0w92pe21dSCfRwCshV5pbkhu8
ldfSWfZ92P/Uo5KTX6TBzmmdLzkJhYOXtBtEU0Q5BLhXGTmTtZ9SUO2bsNsZQ/y9Aht+1aRzm0Vb
PzDJOzp6du6ZKJePZN7S+oCrrAj8YUG1TlwnOAyjifExUwnecRO73jQ7a3eWLCm0468lwoP9SMWd
DjwRGUwfw7OFheJOk715RK6GDMtj5tYCbz8zSCjMjmiDNDenrS10/VzMDuqFzil/GEzuIc14WwLR
7BMhOOhLR/tDcFmgTgrCt6n8LPshXueeF56DzigfmKphPPITqFLSI2lXFtnWMhHSTqkLi0RYBikn
BDHlv8xe9Q+1TT6TKFuEpHEEJizN3McM/WdPmuT9qFqxVzV1g1qW5EXmHDYr1JvzyCygb9E487aH
Z8I577yeM9ejs8F95F6XBU9E/fBokIQ3uvY3Mr7aAxE+ML561n6SGEUPFeVjhkzyVFnJV2WY5T4v
iSCfO80iXxMG4rbFfFFBzlfEbfKNX1cElGPDXtdxnj+BwA8I3v40y86FyMiD36JUw2e0bGBwRVxj
eVfLityXBhrQnajc6bhseq3w1+g2kt2y2VnkU6dzAEXqdh7XdIh5LpuexAQ2yYVT9wrtEJV892X5
A0yTmt7O7w3RBtcbrOB+OXoizYylUxOefr+MrrTWDNLdbtlcfnIIvSMmgpP9Pu72Fzdp+HHOxEDx
QLtnBqTo4AJ5GAohMNbCt/GBWK8mqu8rXCr31Jy8b5OTJmvqQ4TS+MoGen3Orcx4savJeGnjekvA
1/C4/IqU4e/A5+bLskUdJVpZVVYcl03PyBzmSlLvls1ANRHy7YlKzO1ssbJcRg8g2c7tvB1hSxe+
TL+WnabKjYd4SvfLvuVXPjYwIeeXZWPM3SM17/rh99FVc1PrEUm+bHoRtW3hmfqwbOa9rzdDFlrw
5Hmi2uem30TEfSx7qyTgFlUN5Ive9jbBmF3dfHpb3izOkPQpc5BTWy3jEaEe1D5q/bz8ZVCYDwBt
ivtly2X9w8wlmE/LeYL2Vt63i3G/7E1pOxHV0hqbZe9Q2uwQGEiWvaIZzRM2iu73a2ARVNzbdff7
zTl53zxHU/R73+/jp2E94BR8Wk4WG+LNJI7puuyLTIO34rnW8ff7yXxCVPpc/v4feNq0toat9e/X
0RVZc+D/BxD99i/JJHFGVknW3PK3uP30gxis3//NvA7MF4+llxA1QcalvSlTIS5/HgyEs5cADAGz
Vjxi/9m5/H7ZxFVZ4YsKvka3ZfCf3y87l02sYmKlAoc1Su16E5w7DvxzqsAozjXqPSA8/H45y5+d
pBJYR2Jwdn9+pW4r7T+bzRQCl2FpvuqXs/85wXI+LSjkVbqefp/hL8dkdqIv/QS7iHf85zWlQ0d2
GfUJAopgHN39eaY/x7h+Wx/MmfqkSbDN4I5XwGb52SgGSHVB1+ZntTxkCTy7ZReRcOyPITQk9BJX
f45ZfloelkOWg/9sLj9pjFJu5FDIvJ1k+dXfn85dnolAYHnQnbNZjvnLS/hz6r+8xASLEhG7GUlJ
y+v+v576z2tfTimn6LuIY2LY/ry9P+deDvnz1D0Q3tPsPyy/+XPUX17BX94FqZisrnIWCn859V/2
W2rsbgZ/ubKa8ieTteESmC4i1Io5JnFJBSFEbf6ajxKGX2nSG77tLZktraMg1btlszUG1NpZKTfL
wenMCqW+Tcp9DX8IW1dwKMqIlK7b39oDZss6hwq27BWt1V/L1sTKw/Mkw5Q8GnG7X/ZNZRY89/3r
8nfLw4g7rE/REC9bA+aSaOhxpt2eR8z9u+zb5LqcqfUrYmSbRJ5+n8rmvoUlyfzfN9A4E+46SpBI
YXhNNqBOTSbsdjkvt2DCEjrX+v0GamvqD0bAmLbs7YmSPwEdoITS15cR4edLUKJIaGZjeoxGu9hj
1lZ7chTMB3vUzYrJV/ljZG1uULf8hPPwCcmieR0Gi7m80HjQ7ExfzLoP1hQ13Dc4q4/LobLRR1I8
5neX2sMaJb915UvZHq058/FL584z4ZD6DvBG+Rl3x7Jz8p+ugdsMEGf6hFVP7Vz6CoccwfCDLyNs
mV09fbcmd72c3+qD71UIQssLe7mBzRme4Wuqs2tHVKc7nb/Fhv+ynJ5i5L6Y/fKbP1CRJe4cHG0/
h0c3bYudNoL8uWRCeLecNvhA0mu+zlX7aGMB3Kc5GaKNSWoebHiUmSw7L001h89EgKo96bgR3LgO
ZxSwhYcyldR9EBQ+97EVH1JqQXfLwXQUomei2Z8Ka6oveR8MT9q8eESl3iG/LL4WhmFSoqB/jAQj
/1ob3eMkmUppy7QfvdJ/XH7tYn1HNDnc0vI4agjp39WaPFy09sbrzSy0/F7YnXesptClyVA4zIUH
O3iRzbfZr+TBm5qApFW0c6kliw+yRU+emw1vY4BSWPkk63Q6kI/EzhNnYVbFh6wp0Ya+eBuVW2/J
sgqPGey4x/AW4r2cQ8RwaqzCfzMrp9hyk0mPWey0j7EpJ5plnCOju9GEJlk5fqU2aeOoat2NebBN
g+aXZ2UifIaxNDO/yiy6N05J58rwyn3pFQ9OUoEC+88DN5b2JHrsR9DW+dFgOfO/P1I5LA8lM2gx
59mxIrydNdBwBtYcI7at6tuj2wxnonPG83wzk3Wtvi7HLA8stofz8tNymADuSOKjaX/J52TeLX+1
7Ph9qj/by58khSy3EcCPGxz6P8/355RtU2ArzAl3MgnyMrzp2SwQu1bFvE1Zmrz1yowvQVFCZPSS
6M0htGVfZKQdtXUVvuGhGNeoctW+Ed4ptSZvNigYkLxuztVjEFHTs9vhUt+2xiFJD2ZRAHvEKoEB
K4nCkyF8sFpdcE+j/xca9DTe+aV3hZvqnMJapHeQv4zn5YEUezw3ffWEZpoqf+bHWy0BPGCSIKVY
RwN5CWrod3krYVt6VBsnisV38KmdVQTv6ZBg1iPbq/FPGjoDt+LhbAwSmc4cU13JXBKVNcppoCOo
ZjJmwtmE2vKGMIjFEKwtvlQrgXBK5sZe9MFbltbD2ocK/AUVxTlXrftjcBNYCMU1wor1gzLHvqeX
eewyjHFVX6M8G1mjgg6f3ky3306IQZHmc1fPygH7ZIfranypOiAiY29sKjPxtlZwkn0Yb91JtuRo
BOJO9ITeFF1sw+jMqaA0NDTM58RFaWM3pFukpC6v0+hL0WYlIvWZCACX+nQ/8sUDKPgV4BfWq9wO
D4xgqKdYn98KWXfjABuTNYpz8AoVrkRHRagzj+lISJTyzHaF+dG8Ax2Ug7Oj323IGsVzau6L1CyB
eWyb3sovBh7mu7iLwr2eqg81dV9DGehHm0XThoHvs2UiucmdKH+AQzCtcEwZO/BLmHO6VRwajFcm
eaFN/04G8QTQCl13WmekdFTtp45YjFddfxhREXtovPMRq/Jc0xt2iooAU9sk8le3eoMOb0vv0UeV
1v4con4bwSv9ilr3LuotmKbd8GyP1edU9g+NkOETdurNnAOCCeb41XeMT8z+7RZfxRWgh9xjUinI
+RT1+tWMR2NlAYtYUft7tZ18CxSBFrHKX7sgB+RBmllDPTviE1VTe0TV6x9wWVG8iL/aDsxDefHB
sG2iFi17MZhbZ2A4qsv0PkkZm5LpWfJvT6nJGrJ8oUJgrvQIDYhqFRoSm6HC3CWyfrYcsJmQyo6m
g4YGXk26KnJFRhg5ylRqrgORbhRgkqOIrGwr4+6Cbl5tKsHKIqRIaAaQJix1pcbtrOQMrYB651o0
ychQvuCyuMwiQKqCuTvxn+3GcRBuDz7Ubb8iIbkw8Po4LjRzHCrbyvV+SYtmJZGVqkJnOvOV20vj
Wybl49Sw1LYwE6TJBKqwb86V174LvZ9S7hKTzbzF433asshxbwRvgkTQlCttk0yEUhpW/T5XGJfa
nsR5aVE9/88D/cNXwgizTRIaW8S7HhK75GvT5d/nNkt2U+VQ6hMZkVzwDkAm+Ts68e4GEdW0TnCP
BTEjDnwRimlN8Cxt/xYoz5SaSi98qlrvKegLqNMZRltsj4ikYloyxL7A1FhXxGodwayAYUNQtcIs
mwPa/WLdj4YkfdsxmE5HmwlXMhlWitPFq8q4scY9Ya0iD++yHiV9GIvo19pMxh18Km9lmyFZ3xCZ
8qsNtnafhWojUqZ8sb720Kjoz+CbIfZ6VOpHkUp7NyLh21TKPetCbet4eAFM9RgMolgdktgFSWnK
FybQoG1oXOGXUdvUxMIj4l3jS/NaIq2ZCa7eN2jQ7rqOZUBXzxnFGUiClto7vUftd2qxzLmPNXdb
KBl1tQmk2KSDvjqDF+wKGKQr1yn9QzNVX2tTfvr5197ROzN3r5kkwM2wa7Q8UfDOddmcWPYdnRwr
jM38iO/GNgaPc0PjI+6j/oTIaRfhiTk3engfvOIktOj2lUecbVH1t8TDX1mfXUYKGHcR9kYgt8lO
GO6Htrkoe0V1j5jFuC+afVfibos5zDP8iyPL65jXaiMDQ9zVgste2BhjZbfTo0cqQIUZc9ZK4Ysd
jC0G989inF75Jg4Hw8PlY4VYXtuBOn0a893FvCHXTjA7O74c9TYMkgLf6fALBIfXZfZVCH6E/dRk
M7kV5bzvZu9rTx6ObY44wKYGi3L6HeXxRx6K9zhLCKK2i0/AT8nFgxm4wdjzKdQ+ruPvoWE8xXMB
7tbFWlqmm8Zqx5ccZHzc5rhS6Ik7JLoeGNBfGg0AIksAChVOBmkgn+1zZ4ufrg3vTKiyedWaaZmb
uD9u/qo7o65OaeFxaRaDYOSk5xj8sO1TM5jikkxTSmezgfEXgV5u7Sh5Meh0BGkeXzGYX61SkLpq
3PqEnTNxU/gFz9UmkLCL45MoCZrFbcX8c3DuAPIWKzcXV8LXaUw6TcAdQwQXm/SAmYDxsa7mS5U7
1GTm5EaZaO7nAS4004irl4ps5Qj3UrWkE7dZMG5UN2Jba7Daw2Nt4Wqor1rSZCx9+UsF1a4mmHoT
K0ecVCQZk9vyfvK5vaKgvdTE0+LVymDclrZzcvLnmgnp28ZOWJiadbl2IbE+pv74jWDRaOXI2AaB
cQPzeSS60RZ9hnezxrbprGpJyXAW3tvgD3R82/Zapln7DC6gvBPudN9L0T4YM+nz2FouDfBwOlZm
tiqbzD+XNz/HQJPkSoNSRmVGTnOHTclP3zUWOWAvFnnefRnv6twyclqajJiwspuBXEkrsbeMxhCg
iPtt+GFNMLGH59n91oVtxhLRNDfCbMu17JPpwdHAbupYySPQ2JJ2fbcLaly9PqusNiwFlLFYYg8C
FGtG8SlusLGkLONkEBVr6eX4oriBHBu/p8sPpcVVenwohugzmUe4BMSP3snCvO9i1KYay57hpOGr
HYlfYkheHEEauyMHjLOyuvdSVd7PLTG6Yzzq59JU/ZbOxEaXPb5UlPSbusaTaPORH/AZT/An25p5
XbKTplHvjLz4MN9spkDXElE9avbWQg3hZ1ixivYA1UetRB1PF60kHuKh2uSEMkPjAA+06C3QmWYX
LddZOG09AddxtLuAxnkT7FSW//J6dU9tt3ojB6kGAuTnJH0VKJQw8iBkqhKWVwyicpxpWzOW+B2i
zdnLzxX14/WI32vVIgs4ASl/r1LgtRm55+lHY47zB2DfExEGW6MvrHfVpscptc6Dqq2Xwa+HS9qj
e7VPsvaxq2oDrlUaEj0LabWxQ+7yTubv7Vk8GX2cPqHeIbcsJHU7dMbiHqPJRHt+iE41upuiW3st
vXQb1mrXAsbFbD9L7+fcE3QaJlWIROw2pWiSj6zr1XUo5wdpyU2i8CAyHgDJ7EdaJG1w1h5Nh6bH
lGp1dviWSuaVFXIPDoNdpGacanFgm7vOGTt4e/o0lKNPYfJD65yguH6QfMo91YPAzHcQYKc1ISPm
YS7iZO2QeUF/OSt30zDQaplMAhmN8yCN5hp6F9k01VPpAhjQVc5dljA5ygiI+ksX8A5E04kOxiEN
YajkWEx3jZWSWu/HPs+TtltriS2W4b6aANokY/6Cg9hjFh/fD6hfN1kbA+1KUr3xeg+mVdkOW4rx
yYmuPsI1o7NXHaqXrR7AGvWCarZdIzpymmfNzOUbDUp3rZxerhtFpEwfRYdWl49+N0xXnC0MSmj4
yAROVqDS3ft+bO+V1TXPU51C7eqri20ZX8Al2Md5HEfaWogX41logp3b+xvfi9AlHzuwD9E6LOJz
YA3DYRT+uPGksgn6SvYx1LN1kgraQAQFb4yW7nte8ZVBTvdRj2a8D/vuVpjXiujgJN4YbnAcMF8H
vevsG9v5mGsxYls2mydkhJgm+nwlB/pIjXvAvms8t1gVN47vXBA5WRtI+HQzsOKeW3P+CJl20xml
+ZJ7EbG9cdM95xXXbnjzfUs4NrcH1yXOLd1Wlp8QqVM3xwyEpeEa4mw11bUvpdhX9i5AvAWVYbBR
sEcPLViEO7C09yiPBCVlxMCdlPXD8uA2AGDbwUaAwB7oN7eFtd0J95jb6TrvLHD6E8EcU2XdqH1l
tek6i8/Lth+ThKbQ3WRk1mok0tFz9qw7Wtrw2zgdd/1o6FN7e5huMII4JYhU507wWLv3EB3iNRGC
BsJfq3uF60yGK3OnjYNmMant8FWaEsNkVpqv2iuf2iQHIDRbX3ruhLVOYAXDtd41uRCvy2aIJJB5
CHBS15DhOzOhVa7rVxYdRBXahvtQJNnKNFiZBRmdlyLtyxfDyPJt7/gYOscv5DyHP2OYYjn49TIJ
TmXTfEVQD+nfb/a9WZ5GEqq3lrYe2tKJ7sFKJg6t9Jjy6HWYCACwvKHcGYn9pTfaj2Ye4l1L0yim
xnkkIKcdAj6+ESnOkCGdmCiTtugBPFQzLC5d7zKObremKmasbdHbm6KciLAeYTBFDS0fHBI70+DG
33ix2M2IWgDu+2gFusm7js19gNHudvsst1wgP5IssvejHI2dUbCOYiwL0eoG1gG6wRaGWwAIghkS
BRVyJRQ47b4TB9ev8nOhbx7TEPNuk5F5b7PYfvBjHMC1VRgrkq9TbDEardJoHMYU12ycAW7o7K7a
6QxecDiX/0UpfbMW/lXdL21T0OUwCQCyXFN68m9+nISLd6h9mzWSLbqzKbKdncpkn7h4xQezJgrG
/NkbHVQyI9s1LcC2YRjeYi86RfLQoxw+/Q9757UcOZMm2VfZF8BviAjI20TqTGpRLN7AWApaBDTw
9HvA2ump/nd62uZ+zNpo3WwWmUwCgQj/3I+rdDQSDtM9qY5UkQbW1nRfzTK+CTMQiLarbjrtRgh0
sXV0k3jBNtLJvS3qW7i9d2HpY0+Lxfbz381W+S4KyzunrfnulMl9lyb0A4ziZyEXcRh7GZ9Sd4Vf
mu2r3fvmFpnJv/rRkm1bfwnPTWfCvlDtZaCDcJNGEDF6+GqjxlK1pNGjLqzhnBMoWMEv072mTWvD
OaG/FPMncs48QlHFsmnnqGiD8fZvjOl/y5qsb7cvPVpSHbzSgnPLP5v2Ezb9lgHUNJiAggdDJT8K
ojb0lrNDGfq0CPLeMg+WhdHBMrwi8Doa5Nu1h6yh8+qS+P5tUzXJQdhSkeZl/u0APQ66mhOX5dYJ
M/UV3V207kFPdGcXS7SdM3rsozH+N5kySfjz79eO43JYla5JcMYSzt+M/2WkVdlhpQk+/bFZ2b0W
NibN3PKjG0kxAKbrNt993hHenF9mtVQXnF7iVlpveh0EFVMX7v2lry/Sp4eYkfLN54ek2Gl3SW4E
g+oraDO6FGV413kNd+hqxW1C7YMKT53DMmAr5Lzk3ogCQWmOUaRE73ePA4mhduFZXQMcGzBxs+UD
2p3M6lCOtbOpStt8wOi2H2v7Y6Q/740D8EQJQtjG6R1RELhKRNHg6/jzeB81CUF49e4vMjz5PceK
JBHmPo9kH9SsixRl+cuGxWE4fRrn8vVRYKWgn0toMtuQ+wbD7eJjzhCbnBqnm1Y37V3xaxFBNFpv
RNax/qo+OYAt+oJS5f7+C48dzeI8EavbXk/PzWylp2Gw6ADN0YrdvJvuo5rtKq1h71U1WB8Vdg3h
1RJMatrKt5qycc9aNiadUBvpWfXXFjTM1FjJI9pTsx/p9wqwDcJj0cm2aouEKAEZB7yBpx7patOb
bCZ7ijnfHYBn2cw5tf3BWMILlqK4aIcdTdeNZTDPOPZ9s9ulvrPsqD2R2F+7b7VdpOeyrQ49Yuo1
t8QlUwARRknnysr+8Sb26v2S2/ssYgmKuXExrbwPBduA9QLPIYloVtZzWUm5TXEzQCFpvA1xFIUk
vtyXlv+NX7DeWrOOMWsM9k57DeUKVhESbFSvnA9+okc251qW8163NX1m2vw+JOwBrDYzgTCMeLBw
GHMuyN9Y/6dHis8Og1k8z649vrUNzKGUoo5Ix+G64AcSJEdu8ELrnaRg++KjQzcdKgU1CS6Iu6do
8ON6gwW0vc97hkBN1hw+X3FB5OPq0R3UcC2talb4YNpDek0M+8k3MizH8OSCeNDFwYmnH59HLp13
5bYzsPUMLxPfjc4Dbv+YE5fyezOwbTip1iK+VubUk2QlSFIZeZC02IgjfWX2xkHJROlu4i9NPszv
Q8r1Ek7zqZkc69yDbHuTmn7g3r8acdPft0kobmJp7JifPePEi5/cacJvaeFzHQ0Cg3DY9pwv64f8
kFPWDGHHVS88yr+bl3QZ+QEjW0O1LkVZ09ZfZwa0l3L2k9uJBEdSqkfPUCWJKxvYYJ4bUCHBp01o
E5/oAJkbH5B0ht9r1f9WhHHmA6dDDvRf14Q9J9R9/5+7JvlZdh/5n+CAf/zj3/AAIakMI/0tXIJT
nue4JMp+138TCv+LB5cnyYkrKaVD2ur/wQMM7y9C46QmORe7FI0REPwHPcDw/yISZjq+ItlvkVYT
7v8IH/CZJPvPKCIZNxesLFkuh+9F3kz9LfI2uWFpdQDGLlGHpOyXOHVTVM7STYzH0u4Ckc/DF9fD
htppBhYhrfdk1osTZ650YUu+pB+U1wT1nHKqig0YgWP9c4mADZXaKS+eikG/9meV21eM7nuX/erF
4EYKkFfvQ9JftTuyve3iJzaxU1CgPJBK6ahwHB+XoXbuqLz/NsZvOmloQKnrvYnYeu5dIFntMMAt
B98N4LY8k/aGNBaf6qqPdwkkj2Dw02ZDRww0spL7aTnqIU0OSkYnFGYORIvzyY86t1FDASqxxK3H
jKoapuWmNcQTfN8gMfP80egdPJnx3GxtS4MbL6nGgC23H/Gkb9gTN0dj9u7NsG12iwZZR3bvtU+W
X9DhvEPn25fJAj49wbk7kyugnJt3hh4BOI7m8KXOsw+Dd/I0QGIjFoRdJ973FnqsY80d2of48GZD
78pDl32vS4z9pgwf7Nm6i0Kzgg9ZJhjXZjJVA7vxgRxEi6/AY/yDfi8DTDEZgWbn2BJk305LxUrr
QxeOY4afVSYYQ3nM73pM6+iI+sbKhxejQdGckOVD0/6i27DYdQCCXNuddunw9Y/75v73hfZn47L7
X12A3G+OdExBsBqGxT9v3yoR0srF4OBihKmG5bXoYz0sNOMsrMwVY3FQdBU2QRwHEH6mC3jsVw66
Ft55/2WJ5/Eom+Q2W4epJrudXWuRvRBgDB7dIfouuvEZdCKO3IgsUkURW4w1mayf+YBI9yup0bzr
lC6uVvjsX8mGdUCcWPFZ3I07CKbbJR3E8yxwCsoiPuQd5x2sPL4wzKc5744zXQ1c7uYD5qcXHnzy
QIEBZ6C0Bka7FJLEN3E6EgQ7kDwK+xGZVl8tcJniFKm6YjvBGRxruvYPSOHjpqIk4ghucc2/oxtT
Mc4DoqzHrWu821yoNEVz/aV+Gvh9ztRE9tnDgiXcB1x9zLv0xjDlcgIJogInVF968BYXsjH02lA7
sGuYbqTIOzDWLfzhzjF3ZyPAEGEeSXTQe003plpHfkYvsYKz/3Mc6rEWGju91RpKMgshOIXGj58y
ZzipTHAQyfeprLIjHJTyjkQ8lS6NRcufHLYlmT4MpCK7GLH92iTm42JOEtxGfxAsI6Q5SwRogmv7
2aaYSE3jECyWMJ+jnIRlKehXQVuYT9kIR7aqfi0tCSDC8SMP7xw3vtPuXUSle4Wt+9Rb9j5uJzS3
2L/JW33JU5pXqCfGVA6Ibw/s2rzSRGNedSV+VnLJ9u2ISbdvWyBus/nIRvMpbbKBv5AgcVy6k72p
yJZszDEnmT3JEbjqnJya3H4PFZvppie+7CxPZsPVk9WlPC8kBT0foDX40uo0GbxIs5bWccixrER9
Q3mzGX7LQBdOPegsOfYk54yEBghhPDTxZGzJD2HZq7ats16xbNMCDjHFVdCdtTXmWb52vqt2A5ag
XZ5ePf41NHquPWfqrqkPI7riDBQshHSGaE6xTjrZ1nRoXI70E56K4nZk6HsQa6VD307Vg4nhZNvB
rneixtsNQhKvrfwZSwf5rWhy4p2VElBJJx2Mrp8eySuE+1J4V8MYFKAEjeNcyl1ehi8zm/LrGDGL
tjkUEu0XNCJQH4mE00ENRYWkXqANnAZm8pI5YGY512yixBo2BvC/p2JwCCCUIWJXPnHWyc2Jjb4l
z8ItitdkTPbaZobDwLw+jTKOdu1sGmfhee+ugoYNUoKS3XbUO4cqMKaxVHevE9SucYeDzJRFwX1R
cR60r1EUMcaLuPG9OfFpYwYLuJ7EbdEth7nxvSv5vDMGZxsMn+yugjs1QD1Md8uShvu+od/D6ZEq
mtCzHtfK133OLGUz4io5RFG2mbASPvUEI1A1QYsmk0SHdpqNNYWIx05xTGuNkLJ+8ONlzwbeuenn
cdU6vTvtIhSXSr2ULpQ/OxQLQV1I2QVJzQRgxcXUWzpgOQm1zYOdeXvllrCYpfiuMyauKWGI45DV
ay0lC0xuYC4kmOVu7B6QQJaG1SnBMRAMfRIMYRYdPYtldLBtPDhrYrVuUyaeRXf0RHa1SnghXTz9
6uV8ay3TCN3HYsvcCVLAnQCy3Y13GDh2frE+0SinPA04Tna5Z4ptT1x2n4r6nDNOCQzk2l1C7B3q
KMcZstsftT/cZKhDO3JOy95DMbqV9iM+BA+L9hebVs2bkBnf3uqjb22Cehu3dMKXQ8/+QH3MFMLc
sv3ty+xK7mrvqogbucVYOgzRDtJBxkHjuU6/aA2fM1zt2fhU1lJhsgjtAkodyOYTyw1Ji8TdO2jN
gdsW7/is2lNi6ofOH9UFwsy25+HcLO0Xhtr3hZsu2wWM824Ah6njeH7JpcfKY803JjLwpoNXcOq9
5tkH9XMGz89scOWJJJZiVtOkN6Gr3kNL3TF2pQLCG99M+aoz++CIxaR4sZA0A5anibEJ422/xCEG
qU2nNEyDQ2TCLieuDMoTxEAVyzzb7UHFzP3gVtwM6MYU2iBMWxzbsdFe4gGsrdkMh6GT1AjadCCw
i33KJPShInLNfZyJHSs24Rvza1cQkWJ4o7chjvSLzngWJJXR7jWRFJwLHuMpCmBHqG6oQE64bSoF
wmwRP3qpgZqbOB76FjN9nTFtp6ai2IzNDO9DkSaV7VtddVe6A05zT+XlUBE748IcAuw6DBeyG2N0
H0fmq5d+DZhhFPJAMYR3fb4n60mXpk1RAA6JvYFlZrTMCh4mmq9RUXSr88LaRQkGuqjscZq5A9dn
aW/6qpG4TZavbGBiKNe8GLkKlIP8wgNxOWfFCJ2JJAqOX4jfgDskSxwFg71z7hz1HEsbN6NbnD9z
Q6XVvDkeGMo0w3u2MN4GwXcIY6fbliO1qMBbOIzPI5mOaZuw0J3c2niZs2zZliTkEZ8qIiJVflMj
XG6A+lrALcRuIMcDPvW2bMejKrHMOxR7Sl1dW496OzfE8SFXzAKBY4JmCr93miKwLak2ULHY52VM
HAIzb50j1komITAFyVp2yaW3crpM+2LiYRGF5wgnCnvZ3riE/dQfKI2UgQ2Zc0N9bHiYyDTi11hF
cQxD9PpqyK1CUADUywuWY2uDk59tpoqRZ+tpfFS0KsmRHW6jbkdWg42aQ+acLrsXe12SnAHwDbHH
x0qk81HKex/Je2d3rWTJsp5qm7y9Hg4lu03ifex7KBKhoPdOF/NNTTUTo6GN2ZMAVj9LP3vIe8Hh
1nky8SzabWHigKREoMMQOVuAz2LDOZYef3PHHPtD3SS7qQkFwZ3uov1oPlsgv+xSgiMaqLXgAXR1
0g41E8Am8PSbaei9OxsjiBbi3iyNH8hsN5S5aYrcnPOi+p5zIUHVEeIXrCvfOmVDdKpjdnpLJJ/K
0CZYCdXP4CFypCcPBTcPf5SlPWJ/xcMVivK69neQ98RrgjH3Q2Ev2A2x+0OMqDvUpYtsuda2CTUJ
Mb8bK8okMtQijydoWk7bKIJKDliSjMsSgDAetrbDwC4syme6fadz5A3TWc4+3i1DsQ4sPlNcQqeW
fRoZ8p4aDUJ2WNqrXxIKmIr6MV7mc8FQi1EX2hEudD5DqJ5ehploXxkkg78p1UAjCjWQ/VBEWwym
5VWVBh2J6YsrZw49iDAbDVGHU9mtJfSBR4jv1kxh6pJ8ZA562YFHkScMl6MraX59nghbc+h8EXJO
g3pnaHfTENZlbCDWR+p8rgzR02jJGuKKDl80m+40olsgBYGtmRlhWsPFYtX+WbVTynuiDpLdQURd
bVJhjDMH3oVK037XpRginPhHMebl3jAFSxkdfaiq2C6xVwhWUYZdZSNfCVWSQjK3QxMmu6wuPoxE
7Wzm0RLM6mYGwrwbbfc9iyIae2lMckbj+zjFJ8ykv+bQbvF2LD/NVF0QXq0ILRosCKVmggiitWzH
jP/Dc31WYMjX//0pSq6n9H86xXsMM1lbBVBBi4zW3w5RDKSbvLH1cInS9ImUu6vtbTIt0NLr/No0
/Xs2AKCeNUtZGz1h41CRZQJJRyfHUBgMLeEK4TE9mwsA5DjegilBcKuwl4I55XHy+Xr/Vzty+MP8
a9noa/ING8WfctH69b+VIkv9BXKIHaS/AgM930QP+q0UWeIv10Xr+RMvKf9yTaCTvu0IC1KQybf5
D7yk+ZcPBhL5SHkuLCP1P8JLuv90XcG4E44vlFKWw8ncVmur/Z9AJFE0oeEaiqXBcG5tHJq0dPNf
KkdxLGOrVtn/hnwk/zYA+f0TXdBxnjQJ6/+9wR7oHwM+VjWke9L/SQvu5XOI4wDgwdmf0PY2Mrns
txmatGnMNDsUGnuIUdCHWEWPSnL4mWuH0h5wLUrA+8fnMfsz23cR/TKY1W7++Bv+FxLG3+ZPvGLX
tHxFzIMNpW+6KzbpDywSe1atM/bvG5Pxpiqs28i3bidewX//Y/z/D6rGhBp3PcYMF3UQMhQS5Z8/
qM38JOb5O+O8YJPWi2TcOYc+NF46i8SJaZgj+7nRDgaZbrvqysCq3o0uirZPyQAKz4EdPHMtlf8w
HJhMdgzvF5IsR8UJIgZRiAOuQzD9ZnVnzDwGCZkUR57kVtnQET42V/ppKPya9myUiKoz/juV/YMN
RjyYh8Ld1AozLyO2gBwks11EcdeoUqSEqsKR/VXGHScWtexl5UDHLhc6FipGNKUEXT7Sr7Ks8WwI
zulNpDm+xavxaSRbUEBxoJ0n/T7OjdhBLbiUcU2/skOgulhjw5lh0BED7TDlQRGopvqSNAo1Z6n2
Ix7vowNag/oTqTaZeUqX2TujsJ6WppiCBokW1wv19Xh8wu+GU2x1mD0UHb+Lj7bvwEi8s9fCX5KL
fqWwkYfjfS86I+iHkJG6jwYYRZoDrAkRJfKW6iyJErexT82yhZREl01KhFuPG5ieD3i4X/uufO9m
ipK0Zi9ieuxG49SBC1B8A5d3X9JJcbI8G/gHvdcjNtu0oILG098LGYO/SMZ0OxkgNYq2wkiSSVI3
lAuWFMzhGKq3U+vKXeV1LR0lC8+dooWbbNe3Fh6xSnOQ6HtbQXzJ7hMZ8jyY1WsU2h++yH+YmHIC
q7jvDF2e/cywj4xO15mfdRPjwz2RNLxBx3n0JFnswjS+xsA74CaqQxrLhCKzWRwygzynaZTHkK5I
24CR2NJ8dRfFbC1Vl0XAi4C7qNAHcTBL4y2iKWcQXvia27lzcTgMB/b6ZbaBhFsQzbiygzBfVvd4
RYbka1JE3ZGDiOKV889BK7ybThIx9lH2fUZn2OenmUGvve/NdPz8mU4EmMxcenxfBWPLLIPvbU7I
BFRPQpHWIHLo49D6x7zyTvyFE1vdVUeom7dVUdP35rHG0Mzz3Nn6i6K+XRm0vKaGnOAh3dkYpXfW
gk9f2xXBgeU1p5DciA6MqfRGqn5dn6A7FIkHmQxx4HNZi3l7Mff8ijK1qariqUlLKt+puEp1SY+Y
myqSGxV5/cp8leuqxju4b8roWihuv9BIfnmTfSsIf0Cf4us8YBksDRRxo9hyPKG+3gPwVUS/7I7O
2iFTW87zNLY1HH6blf9j5O2IByz7FRWUyIKr5+dz0o3dbTvjmEGWQw41O+hWAg+obKg45hCD0X6w
j7Ojaa2bsO8yqmUozS1uo2N+vltdbT3ZWcU+Yn3ZoZd8VGW3j3veQ1l29d72xmpraOtILANVudis
L7Ky2dWJwn39fK/hE9z2mTI3NRwDcCm/1t/XFyeQmpT2Jbxl+PmuWeo+KOSu7brgf/7okVw5uhFp
OSbNuNxjsekaZsTwuYOZWXfSwmlSivest+nRXL8rYhtRZDbb28/Pp8xYO+Pn56v9/YkaKRRpaQ6M
dFOGOGu9/pcu3VtjdG7RNkCqNvyZJ3OGvxC+WqK/1evfvVrszwdkW0/yyHW9+XzfmunK2z7g6Ftf
aGy+5q64s5zhpZ7Mkxd71MCuf4xKv0R1yARafYvs3tuqpQT4DsOYMiPjtCBvHVn6vk9T5a238lUq
HDOR5uKtbawjjolcOTLRwJGBSa/ghGiFSDe1ZXyw/HAtOzwHy/XSzi2GKn7KNSEcXrWOu4tHm97O
Wy955RAxgIQmxbrvbT4yAx3RMCh/MiwVwGugKclqeAeoGWW1L+4pGOOyjfmhsndv4oQzTRyBHTDh
qlT0WzqcI2HTQvHsDjhl803F3TKVzjP21PX5mfOO2N70xcnkw1gC76n57vkWA4F1dJCxA9d57IsY
5TcRYzAUzYM7GdeoTu4Wxi/sma9D46utkV8rV9jHrB1BqizEDMJCfR0Lb+CAiOCdYB93DMG8a74O
OIGpgLLphR3ywBEtv86U/6prCbq0NGGuimO35GxG8oipbYJ0Umt7H9X2mUWAqqHVdvL5Fse1/JFj
0rOakUxMMRwiMvZB2UC2LNWVyJTmXMKlG4MqZnDEwH+UVL8o2uSmw6fiHo1MmsMXK6yAXLbet3j2
dQA64hr1M4/TmLoZrQwcnrreL7lx+lxIPpl40hveKgNntB8/fn6Xzx8Xp+Zj4nSP1roCdJnN8YxL
YW6vSULfQ+kkgNFG/v52hsXWsMmN2hE6tsPYw5qSQ5/1BA1eiDsQvAcZs0yZf6A38CBqYLQLLpmh
0ky5LX3CDfmTmcfKiCjusIIhN9PRamX9d08kPGW6+PHzsz39StbqTZ4XbPcq96I95Jac8pUt3RvV
pGENkv9fyxW2FKgRl2CZrCKT/m57fhgbxiTQ6+zjmI/4TIbLRJ8xSgcDiawb39PG/Dq0TBcliC7u
1+FYRNg4ASPW+6I0ARSlM6xJYDUweeZdSQvXPdiM7xnA8j38PHNn4pHKyEsa43Ka3LY6myltY1Up
1H6K7nVz25TTHvFTH0wpACGuPiJ2I/MuGlGF8FRcu0jyaCgl5vrM3zvc/UEKC2yDxyPmTE6zZejO
rxLqLmuQRy0lZYQ01Xl39WoK79/HsPpimsxrKEA/yCLajYovEKbFqdKh1saeNW5bGiqqdgFKk3Gi
xONOKcxPizKcJUdPYYOFZ99N1xYkNqaT0ojk6zOgHR4d1TXXsUAldvORRSQBL0Wr6Uat7/rnwuWu
91kl8u+Tb92vC7FcuydISDBVAGwRJC94hT7CCkd8nNnqRGkRqYj1a6QQRvC5xAuxzmdH/9jTXVE1
TrIbqKhioefXlzHMhQHdwvfojKvrVp51HJ3w7weTkKRRzZZGzr7rt0XOY2d9YqRm+SYWerrdHsyF
nr5aiuckr303418jKETMhAKH/edjGRJnAFEdW2BP5ypmsKORyccoMcKAzmtx0H07kn0FUzeHxYe7
Aj+sFnKXEhB/IjajpLP7uPm6tAONz0MsgjnJE/aUOJ5yqIJUrHXWtZDtFxbxazdo+9S1w4kgOUQy
u7nB9k5pmhHhGGqqG3/pvoq+OjjR4zh0URA18S8Mxvm2maYXHQM4oj3vVOXYYEa1MWf7uWBUupE8
EuDh1lsNohl2EfoqDLBJ/+g8mWHAnO84NMKUXA50j7vnplA88zE7ah0dHZNVWvUOH0Rz6Vv7SenS
DKDPNLB+4mec5zOPAvawfsOOsjdwEDHmm2iiByXjxvvUURR4IlfpZ+It0Z5JKgPLysCKmbUb02Rk
3CQ3nTfCFIrC27ipvxp0fR+ky5PB9TmyhWMOCEqBC+u5mn2r3BbYwgPFwnUiJEd0k6bmap4fQ9i1
MY7osUiBEtB5o/MqPysbW0xVZXufJqfnTpqgKjEdjcWlGLh04wQPnJyopVQmxyE3Iu8dNjhGl/yJ
qdUbv+mwjcwOnzDLSDiSP3PHixkuLzJse8JL7oAMVxdHWTbjLcCjcYen3HsUXuDk9DqWyRDvTRlT
KZSiTo48FmwGcmVTnZ12XW+iRASN6WKkdXP3ZlmYjOoal6RFqzW64t6Z/Pe+E+PJdxDymU9QfBKg
uKcH/EbUMa6zS5iYnA5iVNRxZlldmgQlW9aCwFRennyfjQ84w/IskMH5jfW0HWIWpRzO2l44TEcL
rtHWVMlXP7G+eH3yi1mXe2ctt5yaxDYE1ruJGNhs3L5wd/iY3ECoxIDI2v3CrPVYOlCDc9x2bat+
jojm9yIen4zUPdbxbGxEY3eXmSqJrW7BsRRAV8F3ZO4xKkd9Ntw3f93WSwXEqPWE98SCd8kggq8J
YHXOl5QJ3yxvWZ6Za/e3bFKc7eCEYg86i+GYfwnh8GA17eqd1pwgfLu2SMTNR6sopmsStc5+tipu
wCK/STM1P6f6exqGNiFi/2Goev+GKqUm7oJ4hJbIhmvvu5AvQWaCO4HMxeIYbrmODrRmd0dXZK/R
MhpEafKtU2TsG7SF7hkC/k0i3zjaDFkJyHQEgIwYSTR8deaMgEyhy3vG70Feulh5w3kzeBBqBpF+
NUKjuIiQuZZHtfVOkmCw6hGEXTedptTome7wQVWef3amiakrblhXAwlJmTZe8srZhkvrAncn12b5
pD6NoT9rafVnbyTOOhkuU4w+C6ZFZqdW5YB+YD0nix/R8jxNF7ApnAMi2sewCwxne5yryzD5tOj1
HS1kZs1kkYTqeUwKat7RwUtlvxU6grMHR30k3DvMxu044urUIw3m3ITCQ1hZMn2sxLQtrQGJNNxz
l3vHFGW49itwSe4i7vIJ85luf7VN653b9pdBubbINGipfLppF+wt/TIVnBb8tYOY545fvnyqIf+r
IHrIR/9aQTx8FN+Sjz8VxPXrfyuIhlB/ub7rej7+b/IrlsI8/FtCNITzF94u+mHozZA+ZjQEw/+o
qlF/eZxjkQptV3j+2kfzDy1R/WU6ti/5HE5WtOX/kdfs7wLW+qps/uMwQsPxZtmrre1PAYsCWk81
Q07Wueg2bpq9FZDoQk6tTdgNZ1hXfk/+vNPWaxhn59gzcDURmMvMgFHt96mWV5mS+pvxBacUGduT
aDec+l6MOVn7Z6cPPS9XbsYA3j+Bo7h+L2KaIMFU8wil9XCzNG8T9143IlnF2n9MZVkdcgxXZbUg
dWkIIT58+rO7fvjP/xkPIyVjIe2pEQ1hv7/k99flbE5rXQfeksYHNVfPrqLjsYI9Q/woY79Dhtgn
G0i7ni7a8+c///zgSCDGflbnO+2NWHenbE+2tYWhWy3cS7DTmET0jKzWD36r5nM8NV/15H9L531S
f2EoXgeT6d6XdowTLQLq2FtDCIo5+c4aQpWAB9ThrSQBjXK0co4TQG1kgMPqnLFBPXdJgXMqN2g2
C5GifMx6zKeTXWn04jwspjkdP//r54csJxhZprjg/Hm5YExJAtdcgUa9P9129Y1d5T+G0avYefRi
ZebGabfOldUTjsjqbDTLG7EBTswxUD+zhfBgEs5mIEEfAJnTgfM7jALOWCkM0/TWocTkhsnhK8G8
9CG3myMEjoW8Unl0eX7TXdEcnPVF4H5vGTcbH7FqxWlAjEwIXooiqQigR9slNsMDBeRImegX8zox
76wYFITdPnr4yZRfKnaiBc9ejNmdQ5rdc/I3rUR98pzZu+OcYh/Q0+6Urx8IzjiHbGC9VwVP1QGj
Rz4wOzbNTEKopXLVr5sj4zP7mJjEMXvnSxbbMHFScUpCeo5Tmhe3WcRzPYroHZJMURm01S9+PpEa
njHMJHQ1+Zbl7lAHf7W9tm5qyUMTQLCsindd0/YKOuJA8fMVF+TwChVzE7rtg8pGB9h4zpbaIheI
HzDc1noltGvrpKcWhoUHvyJu7J0TY0sQJk0mPfVyWlvPFMG3V6glFX4dP/2mZPw9TqhL7AwQ2xYL
ytn16Wbr5YvvTt9GQZ8myWmcLjQYtrH5bQ77u3RYaXbxdwdbBG5rigsmUxUIcDbmMtsstg84HeJX
4Zc3tYiCxMeZ4YZDgupqfHROSk+dBt++OLzNyvM2ZkESskDQbIT96NANR9NhBI56pLgzIro3SP6y
zTAYRxwyL0zjKvb/rvuSDEl+IJPDrLLubjnBF7uGyAiF7w6kuRqbGW4eFDDap6ZGUrDYxITarARx
C7US7bE+Cb5nWmVXz6V3MM+4Z0jUocPyPQX3QdCl8iRqSBqp9g5xGRrHzKkb+pzlL0wt+6onk+p5
ci2Wo+ky4YgypNDnUIvTvVF2d2XXl3zPsbrxFMQMLtzpuIQ/Ird3qYrPgQxbOzXJ8qaYHGwPEAg2
iZofPUCboHBdxsWTiVGG9GY8RQfmDd3Vyc1v2nzwmhLR2CrMYxEvR4Sy5ky9zJjG5T4S8rKA00zz
Hmi9l8ZbLl3Ea6oaWjyRYZike4XbDgqNd/JsNvmkbSiq6aW3HcyQd6sHC1/Fd4ZRrI2X1LP7bMK5
YvL3GbRLEFe0HZetb+/bFq+g6Y/WhsjfK9iYYg8JI2bGP9ukSosI1b8AY9M09CwQvpKEPTnpu7e4
8fx70zNvaTwod6wj2QDdfM5vejE/I1XpVwftYjRX62EZXmaDtMBcGVD33e8mUsEZACippCFGH+uQ
pb3EpDSleWnYQ3mTppIoU/swsReIjvyJ2Ant+kmy+6zdKZAD0pmZNbC1auPqxO5072hstRhBd3ro
1b2Y45kt0QnWahGozuFgRwBjvwA1TBOGwWXWOI9S2Ye5Hc51iKONCkEOw7Nt4jaFIpTUEPFJl3oc
xxN0tj5qztKFJNKmKTG6JQ4WIaBKpOmxwH1GrOzO1jUxjsm475zoIR7b7LhI/0hH5LSxCMbcLvN4
XQajfqgcMAYrostpDOi4dfFznC5Y/tTOCXn/a7ZrmzKFPoCrk0wzCLytM/DnCJM4vs88/r6ilHaQ
jfInj7nhoCiT95N7Q/iHah6ag+opZXWJk7iJCM+V5UwETkvvKJUx7CiuXkEDK0DHdjmf9NExq70h
yCKu5B5D6b6oQrFlEhPtZdPSn7pQr12GSmFhSM/VgGlLARIdXObMzsxB1kwi56C0zfB8meODT2A+
zMJo7/CObzhwNfRdPJDOsIMxNe4iNh4n9M8UpnT/zEALxnMBGtpmb86jB0+b7frHuaLIAt5AutBv
DrIQpKLhHeGNeZRNAy4xf426GW7cUrq0K8tp24fl4f+yd17LcSNbFv2V+QHcgMtEYh6rCmXprcQX
BElJ8N7j62eh1DEtsXWluPM80RFskmp1VcEk8pyz99pE80ZXkjI0grgRwBoxyIGKY3XXYdY99LZA
ZGPQ0SClHtSVfbBEJbws5qKyTGQPSd60nmFUFXo0AnYNREhVRchu0CT2pSPj+4YMqK0+FhhvbURN
ReLi0cynNZXKIzL0aaM79pMDfmat5zqh9VrwaGSwJAJDXiLHnVfR0NwZok89JmmLar0+pnqxjhHP
YoxEjpU7rwYrAuXPAz12RCt290SBpF3TZ70vR8Uso7ZvQ4B0K5iH34SsTAZMGb3qUhYXBArbh8Ah
jTUbHtJe+CsynwuY/sjQc3HZq0x/ZNhEF2nIw7WZTcBtsNv3OQQlG5SawWqdxq6nl0151OLpKZnQ
u8RsHbZF43V6i9RQT6NbNOzdDhb0pTKbehfoyNjMjD7TCG2tYz+gFTIgYZseH3ract8XYX7sXB69
I7CoqpiMUzRUyFSNqKJji3hjmqASt2adUUyqfSk6LGTWuGurNyHDcstc/ZW+hnMEyn9qtYU90zdi
p+ZuZ9ca6pRlO9UvX0bDadJVJuYQNob26BY+LevOGDA/FRDsFB1P8BWzOE7npAitTjcBZgOMRFF5
DCpZHEHvuAdlbWx2JbspH7/2lIGknlaHvlXGejDyCKY4Y9dWu6WTPq/PLy6nvkt5OI6XgTU8asrJ
NmXmEAyokXlyPH+JiDaltmsuekfCLVt+SssYkjCCo5VdLD1Qu7nLALGvIqfFhdc3UX5sly/GlK7t
Et9sl0DZcTqmgVR+yTJ8UvvIMFZ2qvKjStQ1NuYlAjU+OXlxFXYtvn7aiOcviXA/B131FphgAGhM
P8xTX617wnK5gr7byUjIbtdlPa9DHKWMHatj1ZswmlrGDvVcX0VDCBPEHJ+I3J23eRW9nYEcY0oc
b5WSazRb927bg3ZK6LNnC4hEKrnKYvVlIab1PEQ3Mc6/NeC4/fkno5zX3TC0GyeNvw1cLcxr9acq
BlLA5B8ZePncxEC/kGJEMLG776MKI2LCYooXQ9BM9aPqjbg9/qgYQWQvsoJleHFuSmcDs6YIv8EK
/czKQVKjTYvOh24mUjTihUiF3XTc8Ge9BFjGbN1ZvIlzk5odTr6Sadsyeowvz4rxbGDtZ1fldUnG
o6UoaGkQA4w3ZPJQpjHnoTGEhvZIsm98MqZtMzqZR/t8QjWnE18zX1dw3gVwY9SYbNINS/uGu60B
Jxg/6n3LVnQuW4/99G5wd+RWjTdmHFyir8Af77KjaarxxvnW5q0NpE48VOUCbYFog9p/GTGcjW9z
cJUbdr3qs4wOvY5ci8bF2kmOycTET/XoK6cySUgpMJHi9kQsICfCN+/TtN5BlE1p0XAQ4hKTuJze
zn8hWTgrJnBCfaFge/NgsMYzjEMS+mK62atV2iBfpLOvM+OJuojpVA1oBO38iAKQC8FLeD54SGLv
C5NoJiJq8AaDqipRkhoF2K1FBA9jcUewdbutHCbxEf4KnJpM5+MIPV5hq4NrD3LDE2sBnjK4Ckul
bZMjvniKH2bA596zLdOH2gKOUTs1S/Nir6wZnp374VbLDD7INJpMTbnR2vEK8siMCtRg4RrFPk5Q
jtlmc5GaDFjc5VAJky3YkkK66FuwWAvAtxMzWFamC1qkqOMXcfJMd3gnGLwt9wpGn0NmkjvTR/Qe
h/flQJ1lrctHZ9+4nwgS+D43bGsIVZlrr7ugh2W0DBnHTId5kI+7dLl6B2mPHhT3unklepQtt7X8
cpmajhl9eHt4ay25M+YJX8zEHICGb7Px6crPBspNmThbnP1MznE2dVyLjE2/yFDVm0o0jNuIeVqm
rLE91JRz3Da1lrzWpKx/n7nWmfa1qvUnu2KNLDM214v1sYWvPXWsIg7DxsrIxCbohwarmXptFxuK
FYAnppEJ5QoNEB/5/B/7s7yd5DWzcqI2CG/cpN6Z6ODT2AqmMD0Zl3gqbdhzeC2yct82Fnsz7e08
oUQ8Szy40x4ml4jwfBmX0AD8Fvc2doT2oZrDbxQEE6aGZzONnQMKGtwoMjo2/ZOtN4Sc2oX3/x2t
c/bykiP4m45WF+VfX//Le+9eif+OfnZTLn/1LyOl8S+cugSt6tI0hVCCP/ne2xL/kgZUGpeeFpWx
oMX1v60t+mH8VhCKbOpqSeD9WyanGf+yHd2SWM8EmipslvI/8lEubbcfFJiOxf+EIGYDlclZvGfy
/n7sbUFj6FynoGCwCTZqDGoZh/6VZeV3TJHsi54WMvFYALhwzPca0JaLuDXKz6Idj73e3nfZYtkI
QrTkbnl0CpbhPoxzr75piiw9MA8cMMQ77qFzwwJRL6wW9Fc4pFu6TLM6FImMIcQkwFoatGHM0g5V
nn6jFLePCbf4qjYnwxu7cZ8CON9SAoo709wha1M3UHNXaQpBTzE3WDIe1E4ig439ajjZpQHhsU52
QLcSWhHOtSLI6G7MfNRbpjViBMoNj/u6hp8zw7pzDFkcQi0HwoKqrGCiGi7LtVZaOXMAxqRtmHm5
gcBggja4IyvFM9JCnM5+bzPD0kduLqy84EjSzYykmxKMDbrJTvzgM2pIs6/wGHKa3M5dP8rrvCIP
4/xE6MPuWdORu/G2GI5mVnEgcBaHaMKo0UqzZpWxcOxSo7glp+qptPtwV5YsrVMaDYtSMPe0hsak
TezsxWi3j87QPZsSsZLD3zlhu8NNjzcPSS1EDke7HCoiiBbUU0r5uZrnh/P/jZRa2aUTD/IZzN8s
xKmNzG7DEUMthlzrGCvmFfTTn9quLJ/HmBBDLvlTnDXRrrzjPDbXtcGqZyXf+sG6AjXfPsqBzX4s
SbM7HycwPm+6Zg/oMoIVAFyqfYNNSWbf1eTcfLLr2zlx7a2LpsCz04tzpGZZuTdyLK1Tb8JQYOIL
NbUPLstsfsBGBO+5G7d9eA+lQd3Wrle7ocJoJ14SxdME8DXyiDhhGGSWJOmpiQpO2ArFILBOF8Db
KZdogNiD4ManO0AHRfcy2c9bwtvYKDvVCyCTHC3f8BVo3XyjTeUefCNlpUJ5QVkZrZwy27r+WBxc
9WTWtXnzw7ryC52m8VFaqnPmLIGmdPm3Yeof2Bqz5KrrLBwly9uNnDrctbp6ivpY3TYY4Q5aoo49
YzwiqQhWs1DnrYOY6u73b4Pq8+NSYTsGnmuHN4Nu5h85q2rs0sJwkrVf4oUBZq0SMIv22N4NfvwU
BmDsMRVTLhJlsSphfA2jUa9GZiigI7U1Ucqf+sRZtH76Ow/+N6g+e3Zb1Tqx8djUTnQXxv4xRXnZ
FOZRptE1ZgIPXBqoJ3qxFHZHd/kC2glzzphdUyMxWQ7tr4FEJiFDuo2Z7XtJ4TwpFPGgL9Jj1yJj
QCqUrc+95nopgZhvUm9qDSWRn3xlbmyth7r2V6livvm9VZ7+b9e7QZS1U012GovpVTf6eybfEqZX
AlVrqTai5bu/fxxQhxzH6/Nv8xZY3+r87fk/7ede51YtX8rzH5x/Zy3sfnZe8RCRqLF4d3Qn2haZ
ivfWUtKRZ1kfz9/9/aNpIUrzoYUpxuj0yXVxq1P0rF2A3PjMxnfEKIiP0HruJoIlkIiR4AGAJCGj
1hZerye7Qu+erLaNaPZ38wahKrlqavJAjKBdHNRDUo2czaAuaYkMOGzD6mgTeoGfsS+Pf/+Yjld2
ooPycXKQEFleHqfly/k7FyTigEL3kAZCP0aAY48Rs2rEE0rhkLCaIxSW9nj+7u8v0EE9s6QVOCTx
17yvGHCrrjmev5D/cgs0LMUh48AByrGawyxbZ4X85Iss2rpl3uGwz1wkA6HreEPfv7IdJokTcS49
2qWYTCaAlNMyWLCbEH1pPUMUkYSA9DaYlngAv6LbhywhYrktqQToEflsQn3rCNr5/GtRJ4THuBF8
XQOviTm1uCQJGQtnR9+4BVH0AcyK0gyHQ+WXbCxzE7WScJtPmHBQuMXJNxJVLs6fqFwOA0Jk5izn
n7dBrsGXj8ha93NW4CZVJ9r/cmcGlsFePeNsLoW0mnEVregZdt+IbSlhkde7UURq19SU31YPWJlt
+VVrfi4D/+Jc9zsq4OI+f3uu1N26ClAuYbeRzVQd29Cp0AjwnSFw3YlbOww6Sn3O2kT68UEzX2IG
ElxHy/V+/kIj/a/vUsHYNbPhrJ4L8L//IGCmTNAd44MhdXwv0JiQ8dwPZzoPtgGiOp6BOgZQf+go
dDQQoRMiKEPE2y/nySVhE/DM8rMtxh2EOgdhBc+pwBZHdifp3pf+znLM5uTA8RmWXJ7Gjx7Pf0MD
3YotJkwyCFsmLbBlTgC5brK+0muxIS7zBHPd8mqc0XTCKp5raJiU2BPe3/ApG+5l6j5SSWknsqGS
znydk+hlVg4umlg+qIJbRuAYGjDDbQ3u7Y2eN4yMp3TfVbq1mXIHlQRWTVJqaVlPryIAF2NHUGOR
aoa2XwHJpZJgzx4if63afTaOLebfxhM9eXXDwG7AiCKksHGGJDTIaBu2/C6YlL+xl5zBdpOpBD6Z
Gq9QCd37iK6gs6hDoDcbFKlcsDYtQppjnlmhUrHy+dEnDcB15vccCmvSRMk6SAa4Y7a5cTL0l4jN
6auQzxJnvodZ6zD0GqTe+75mQWXG1N1NMbAmK2BlR31jr0Sife5GN9mxhZotwt3E2FNLBTS4mFp4
eHmIQY6XByWbqRT3x608KXzcHv1ScQwNWsNGY185LdHnztTQHhPR6rwfabq43GlBOq31ntANePnt
Ns9qInwMalqQnAhP+HOgRZWqLywV71onJahVh2mTRvaVHtUX7Pym0Lg0GZUsvGVzQ+6RfVO/mA0Q
uxkT2L6u9SX7RSs/DxTJY9zHHLTq1kBYteM5804PEyFjZZLiPtnjySXmUaTRbpy1R61BXjjXxZfz
2+WjGaemAoSdh59VFLu8E4mE0ywOaRgQC08DYJohpVdoN1e9Sw+nrnI0q0EbH1CGGzS2thXCdx6i
eNQcI2UBs2FI0412Nxnyd8Z04qSxB9MiGoQ42j/jn3Mugyx5qYhe8Kowmjd9IfINdHz5Ka/QS+6t
KA+vsJ3zqAsVgxgk5PRyMj4OvBBmjOMRYUlygaDw3iSsasOUzNr4AWKTJrfcIzeLVjSG1xZEH5pk
FtJf0aJn+QnK/A6TTXGyfTaaLcpQMMI59AAJjq8ySD2Ma/N0PlbnX+mpGL2mb7/Z4StIF66joHX2
UXyRNmN8KhP2r/BPg4x0LYKnu82gVd2xTsNbEQ771AX4J8hfYu9mkNSKNsfrefYbXJ+YIZ6NPGQ4
8UxGdbsPumcGh86xYZeBLC5OVI/PFlzukLCNa06BG1m3ftetLYY7x3H5pbLpIJTQV/wZXEUiaq47
TNDnfV8EBXpV6aZ5qDROmazVMyD/4TKsX4xgjwpK7IWbzvskqN6Ffc87gwIZHru5NTjs9Q3miupa
BdVjKZgbR7GsNiU0BhiE90YJUqweia6k7xcGE0VR9xiSvsY2tQLaX1if7dCP99NECdD08hJQ42HE
2imQzu8n6scV6cc8vQu8yTMYTacBZe4HAuY55qftvgqyfg0Xz3pw4hN4DukFqUy8csg34NPaDZzi
cD3axCvHdLYxa+aHASUdibL5TQT0NKxG7BLkUazTUi46d5I6w2gbigrAHrfQWhW4VbQvUCO2yZAM
V8Tvetys9ZF2y9cUOEVTtccqqL93HN7H/w6+Fr/YEJs/b0SV7mBuwdwOrpC1XTkLnOjHmjWxRnsu
qy8MaZtLYXwTozYysbwMG13A+ruJStV5Sz44YenSK5zim16UIMLD10GNm6HKMFcu/RkR6Z/iyBKb
xCr2VcgeoaoDumFFPjCqSy/+v0/yvU+C+e7f90mwrpdt8aPyR/Lff2+OWKh7QCBKpdvGYkNTtEC+
N0eATEk0P/gBLQjfnGfaEn/pfizjX5CfEPXojmPYyrb4S395CE3zP+mFfPDDmdKxTGCMCJBsR4G4
+uBFbZSSYF5RDPhpnF8zskNAPIS0KKCVZX8wvi4l29++V9rwvBbARGNp/ihLnLsyP3jv5qIcAscn
oVTP8vu+YJaiDbr4w33yqxfBLLAcR3LyoEz+fJt0ouwmhhzaKpyy0ms0FV5Q+fSbH07nL+7GX76K
afJJXOIKLOfDq4Q8LPBKd9oqJfF3VxA7id6wV9Ef3IofDZbnQ+b88Dqc9h9veh2VfzikPbgB9gRe
WMwEy2FaWAcWGxKe0F8o9V40nXH+5BjBLYF8uAfsRxXO31Li7i/I+j2FUUw7Ky8DTzc6RDVC03e0
qS6YcT/FmXz8/ZFZ3tHHk8y4G0ya41A3Gx8uqK4J6Xex70UOm77pdbAnLehZLdYSHqdXzVC/hVnw
8vvX/Hg2HB20GnI1U9pE+3Gj/HyUSJIvdZFTl2f1VNzmldttsY7lh9+/ivHzCuyYOGyx+9qmkHQj
+deHk9GOfsToBSaTq8XjZQFChY1rXO198DzYmIx38iNHpETVkgPT4gCZ6P6B2xk28VBMO5Iymz9c
Hx8P9vkdCZYT26CnScvk5w+utL4alc7FPgQ63YlQ3+lJBBJB1B78zqNb4fmynHH/+wPxcc1YXhX5
oUC+CKhcWB9OcQaeJYADp4GADj+FNTpXPYTuITNK9N+/0oc+7fmIu9xj3GS8jqU+PPPYfDphaica
AXikmuqNpr1gzUMgZU/aLhqs7g+Lxy9eD9Ej/R7dIBzmH2dYDHOGDCkK1x2VySygXJfBRMJrDeG6
ihzzDx/vY5Nr+XwU/ryiZfGKiCx/Pn/Lm3BUQ8g7SFLoVswqGLmSIjp0n+BQVohMTLJeovFr0qGf
L6IUDjTxr3+4is735I/37PI2XMVDYHkUQOL88DYGwYzKjCCjBtZi6CxSirMsCoy3rB6NlYwMVAyd
VWLr7V36VDXxiYD8/nAwpPjFdbU4snWTgBzJ7GA5Oz88H2Tdj1GlMcNOK7TQUNY5QcMMNLvW/XVs
671zPYJLo+nrkHy+NUU8zB4txIANuhuiiwS5CgUDl49FZmKvoMShKmTtWXUYWOe7wlRvyPSOMI8r
RHu6el/2xZTasbVMLp1LEGzOpixt9Pg12YC2S9on867kZKlOXwUEhGfaxFRSH1+yJn/qxvHeKudN
m9ifSw2rSv7NJ3eU9KBpGjxIzpcp7rXE6DGzM6gtzVshLqZ8X7tvsqkYVy0pfcGpIaUHgRfxBwkO
SnIFCTBCXo6KkHhC09/R4fDNxwLDFSjdXS8qL3SKU9M3e0KW7iXx55CF9iw4QDWom433onQ8Mz3g
71gnSXbMLeM2r+t71WKjk/plomEZNTNYcaFHztc2LpSNdh0kTRgyQ6gwZ6pw7ztPXc6wUxQXA5zy
ckBbMzn4Igw0CoHAlahpwuvcrFwXUfzA4d9HZQHColsB/1jhpNpk0tgG5PUisroK9H1PiSD8h1a+
R1q4hdpMiLgjDwW9O5RNhLaMwW2hxp3OzaYSRP4zjcSgri9G2fK6UfuMXvmAwmltS/BE/WcLd2ke
RZ5yaBwATMQ9Riwz5k5p7+Ix2GO+WSNcXkvdP/qSnkqdnAiVWsUa1FWG7KYindh2s9vBar2JHE0m
sCyXjGxrgTsfx1u5PGW1t55wUGjOVfbeWftze5PoU59MoJHoIazoJ63bY9Ix42Q7EDNk44An3u9k
JfFuaG8gt9OCih9UgFkgjQ6IN3Y8lz0t6Z+V5u+qZtoIU24VQNnqKOJTJ3UaE0uM7C2uI78z7zrw
YfMsnwcSn2R98ot7+LEoP+oUCtCTVWcrJ3EvBwceWxN5ehjchAEKOBKGvQojJM4vrOjUC/ir1qk/
40Yvt0C4t1ByVhlJIeVgX89gIlSf3Ololzih8/SwtD9CPcGXtOTePJh+d8zr8SWtYLr7Qvday95F
PnMTu9qk7mIPkQAC8o1OrnkNG8wYn2PIU4SfrLpU2/p+9Rz3uJ4JNQo+IWRmQSNRCuyb5vpEBsAy
UXfo+xDpJGgxJJYOTwuhL7Z6ISE+Fyb1DjrgvveEavqbiZ2MB2I331kLgTPJAe9gxEYVHIE+Nq6I
OoQAidfHbDbpnHzpFbIGIPvDdNstIUE+H2Y3K3s3OeE+7bneZ3tNrvVRLVWR1qtbTSuum7S6ZkRI
v9NQt7NZE1tZ3FoDCgs/xsFluP77HCzj+uzEk/6obPciL69MLX9ENLgKciSAozatxOh67Fnxh4ut
zt6A+mCb9/WrXY6E+0anRI2HSMPXHbxJ5Xil1R+Qcu7pZwbCvgaYr4/Qil3PwgxZ+92K+5cUomZ8
qKbO86dHf2CrYV+Qm2szW4rIQXEtzw32c/UwDjt9OBHvTdyR7FGILvDunSz2+nRLA83mLovVe+HQ
KG1P9FZQCYbGFyv1saUobgH2E4p7p1kblbvGGLRqqnVT7rG9F9hUgqshP1X1E74/I9+iuJsN+kPY
vmf+LscxDHcMd3YlRkw5v8nBIIMzu0/Mlugzjg9ECHBv6LOnldlUt4gkL6s2OUCfvTDNpmQmB5dg
wEaI5nnbWCyCLOifWM3pico72wRs5LwjqmOqSC+U5mP87LYXZjsB0xjhYZQw1k+O+ymvg41v3DYw
oijG+l0ybPX+Sz/tGLSNELsR+Ifqxo4fK/dO+iPmMDLL6Zf51ifLvSATTUu/lCzsPTZjV+FR5cyR
PwaHaTReJsxQhTPh+4JLFn3Wg0/COdgYwWwn33T8G8iCUmQGD1u73rKUrqqevl4J/YD3F94NIPOs
Kyu1gSKipNjpNKMlT/qvLY8NiHJ5bl7aAf11xMSNxi3rYwd3mk1Qpp/DRl6oyvRcAFArrekfLNJM
SPAaXPR3dCoskgFpYnU4i/1HrbM/h8UN4IpVm7uXjkoPkR3uVPU5jaDDjZHXyvIyxPg4l92ut+XK
XoQ23bB2+nllCHSJgPEYmrZdaK/Dur52dOsO0MvKMm/C9oqMcCzvcp8BowzNxwpxeKjVmyRpr9vR
OQS181z1yVVsuieSMe4t1FTbkmke47PgHlXliunRIRuMO6goyIVSoKzXnX8vi+HGaOadJeJjmU5I
rLGKAsDAZ9yJwMNdQapFt23Sfj+hMmMwRRZpR+LOVaB9NWr/Qo/dLbzvja7ZYAiKK2j6u9LRV6Z4
ywkJHjTgelrsMdl2w8/CfTP78cIQJW4C7h0kgCkIx7ZptkbUI6omP85nyRha/YA08FZO07Hrhy0s
HB5mxgtovNNEU6535kvHmE6JXx3nRDwWgpm0G+3cbPKYlLTgDRq50lums8mcv4kUUc0Y4f8KSZWX
8fRehjQaD61/tGkU97L0cE6HRDtla6OcdjGPPDwVCUOhAZSxvscdyPQ76y+QZNyF9pOq7rWZZHcy
4nwamXoXXUROcEdAHtmHLEW+C6h8ikyivYZdF+oHrNUy7xFUnQD1AqUJN6Fbvc4sQYPzjB/6OdXz
UzfV25iRXoCCdhCfCpGuuxT1VyoNIu+W9KE5uWSU7axNXX/NB4ygOhsLwQObXYG1Za75nkVhinG/
pThnfsqCDjGsCynwNqkVWQmKiJmNCsCgOnuKmaY16N39dArJEOodXwfHmcip+4uR/m87bL8opth+
ura06B3QYvlQRRoAPeNZ1jB1Jq7yLsuwYTIyaefytuTa6XIh92Y0/2nby6b2w96b6kYuFRX/GM6H
YsppdMCssY7qXUzBFbegudXkML0SJySPZR6wEPy+plq0LT+/IIWbKU1LJwmIUufDLrvKC1C1MzXV
AL4vn5frsLfu5754Qnj+CSBfCc+yqbatT4P59y/9AVBFuYOhDKfz0sDUhXHudvywwbeNMC94GpOE
msU3BpOWXRNG1rZ3SJ+ZUoxIJTL//8NLUqQatM1c6Z7jX354yTCV7PiVFuDn0UOenkZySUbrAHh0
XJK2i4hxTOj+4XMa/6hkwL7TpkXFBMcGTtyHSwn+Md3veYAwGY40refLylqmSFrzjg8arW8fffWr
mOEF00m/1Ma9RvIYUymS/bL+RUTNTe+28nsv9t9e3794U4Zh4WrmvC+Khg9vyrfJNYYsBwZC8aQm
MA4HLztILG+1/EOn7x+3En0BqNx0ZWCR0Z1ZLoQfjrpEySjyNuJEO+TdzpK5eoF9ZHH5naxW3JG5
85Yv26L/8GR/eNkPdawWOZahJpTvOtCJu5gp3t0cROMzjquCJ4KbM4OInfEPfaFffFhlUKc7lKO2
jSfz5w/bZwWq5kIDK1LVSeG1lCs10Y/4uxGo60AxMjXyRKWdG9fryUjt9g/X+D/rd0p2gw4YCTQO
K9fHwlm5TVOFFpZg5FrGQWvqrzLRL6BRX/aCeqisADfMqCuHJMIT7Hf1H073L64sBQqPnq6UGEWd
D8fdjmeEw6EJFyBJq3WOleg6gfa7zbHAH39/ipfV6afVi4/K0eaGFjqdk4895KmCZO6nIS8VMQ+b
Up6pVqzFF3MEf1tEfbL7v7yeo7iHMd464sPJrWyCWvWQDk2NRArr+bTBzHnE0F+t8exf/v7F/rE+
Lh/ORBeJHVi3WEN+vpIy2gZRHvHh4tbajBVJOUbO8kw6r3uC2Z7/4XZBkfmro0lnzRFLKwp95c8v
GHDZOlKcsa2BtJWxBe7NpeRu5x5s803UlQ4DLvD2cBkQx+AUkEb2ze+11LpGWOwMt6xyQoFZiuKh
TyDG1YXJgxlDBGSZ/dwIg4d23/s5j/Ax7c0Ky2TBReSfMMQEhjcEpURfQccmyW7rlvnXrpYye8q7
CtMv4HUCnCNCvBvNnVD39G6aM8kfKVkI77Ufq1IEb6pSmXlCzj0HnkhUwIzLd0RCb4LdEUlnedDd
w/VAm4Whpsq83iK6iIzgxiJ/Dws+pfVUwPdpSCMDnh/PLqmomAcO5aCnbwj3ELcRMtWmNcm3Y24e
wjkSxhejShgdp0OQkk7RRLzfGIaTQ5HmG9392AST9W4OZcdua4jZRLIV7utAf+4xDTerJMv6aqtw
bUb3U5igr4uj0kDDPAFFvlADmTU7aIBZiVHPyuT81ccH3V2WTj40FP6zZY1XuR3X0R57aLFE01Qx
aRc6c5v1OFkwBXRzqF6NLK20Gxuob7zFkWH6XqZlUtukYqbe00MJE9sf48K/YldVsyATwANfPVoN
XrZ2+Aizx2qWuWs3CG+UxIZ51UzJFNBqygtts/RETR7ihZVvXNX77XY0tC5nz9rQB8Gn2IHFEEHv
ezx5IPMgXnUWCWcPVCRzyDm0K0Qk62jyI/KZjJBo45WOOap+sVWHiktQ7B1porHthZwwXSrfkeO1
LAU+H+FL++soIdlmwGZxgI7NO7JIHcmuyURkNfe9O2z7GuCL5ljlVZzM7TOmQT42yRtrxkT1psss
G4gQ+DckSr1GgWDoCnG5ZMBsDeBRpnB0H2WpSmqyFkAK+eX9qYf8LTbtNHbfegJPXmc3L2hIZVWB
Ar+UVb2bdarD9aQV9q1Wj+0XHwHMPXRO6zIKMM9Qq0bekPmQENOeYbbeU7YOuZ8hMol0bANJw8Tf
wKwDgRzl6xZg47jlf9pT+PcUL+tGwdCgsA64Zf0huAEEDtK2kZoTbUyYwukpzPRxFQ5F/EYe+ad8
0V8kY94sx9FHaETQJEFwLyQLKsICxm4bFOTR+TxiPEvvUsIXg268hLWiokOG3ACDlxCY4IExPSF1
ApmlEwSY6OO7SGGN4PZmK1NmuGVnE7ermeHNW7MHNG7RxtiXxaTGzyLP2elAZ4JQLY11vMylsKHQ
Iq1ygPHEQJ+G3IG93NIxsmjL0mZKfESzSMO0i2rGjLuKjaoMN01nhHsVtcMndzacoxGkGqmarl/T
AxhIjdfIWuYe6ys6g6VqEnQWAFYofXUwhZPehktyGdT8cBL7SoLWqV0fzhiRwVzSJXBMN+c+srJs
dtagCDCZJU70No8hMehBWd2SDgOtr25749Gy0hRsuNncSSoURVJObB3DMIW/pzQmXSSvj89hsWSz
xaHEApX54Q17g3iX5bV/yxCi2dh2Wt+Qoa7TzJjntx7301GfbHWtd32jL+EBIbLdRr1oSPBeDd8C
fzXlEWrP0rVegranxdeQyANEa0h0CCaWjmpYBmnhzU2QbTCJ5CggpunFbAN6GY7JPsxs6/xUuJZ1
DcYpv3YBwSDIsyzUWEiyN8jI83UHJvAOoZ+6LAuThp1OpUwnMS3qrznaZQIPy4m1ITJQ1JUdIDSv
r+P2Qc691VM9JeMdKJfas/tpuo9s27+PYW+vJ4X3zERi4eFRqsmOY9v/1NXgBeQEKceAok96gmt+
SkYJREA1k3uqSnmXTCE92TSnjbBKx4T1zVOouc0TVMS53s997vdceZr4FAiCI1cuGcvGKlIMfDZd
N/LJ8Ovm3PWFFhCapwkhcAAFU3USZQguXYwpKNvQTlyde7yyjYOVB6oluLUls0Z1dnVjGlWcv5pB
PoWbUaeNeF/S/aSXGxZDeohBtoorME2+fgB2KuprJFWlD55AON1aTZbILvHCTcyXNFW0n7TEkfTL
CTLR3BdT9KCXELq5A8lK2H5pBOQZJnjSKaFMNK0YyMoTWZ7v4mxy6O84wxws4FDbSfsni2YLlIlp
ttBQrrLZHVkoIxBtWx5a5XtrTmMC7J4BqVeLKa+vyZYLQD+J0rkclURAxiRxzPH+sF+gdUQi4HXd
+TQ8Y4fwgUPS2gFW/zxxP4+1jFEcV+1M1kRvj81X12zTqyLQ0vjYcl3U66DBlkr4bkhhhyP8ehzN
otj1KMPGdVsHYucnVfAQDp27cUN9PjRCuNGmD4bpGyxxB71bQn6CWwgmGqTBjNqqlX64neaWlLwJ
SS2KZaNy7iZnrHFlRSneT8aeZpCADwu1o6lqRGcCQ5NXJ0t6wWBUZrAbAe9tUhDNW0X+IJsI4ZSF
tSJqb6q/xXwImvghpEP8YjyvUTSiER2Q+sYiyy7Hyikq7pMOrmGSzmS0ThZ2gKYs7I2LlHpaSRG9
pOaUrUwfOKOKUEsOvcvVquvtTCBCwtaumOduRlKEXFUmEa1wg40NKHdiAWWT/g9zZ7bjSJKd6Vcp
6Grmwhu+L4AkQCSde+yRmZVx44jczPd9f6d5inmx+YxRUkcwA0GVrkZQt9RdmXSn09zsnP/8C3h0
oG1KO+q/DA2mdAEE3bs0xBuYAB6xyNoIJ3OFiqmODO8xjJJ5WkwZartV0OXtSuIFJFaFju9aaB4H
uOsrJOL5dzUp4jtDZM21hcXGNTYaxleAmrt4yAtk9hzlbFakfirtn6aLsLlVa/RupWrv6z57Hvld
lgniv8WsQt40JlMcFAMjVeay+FKw1RfrHAdsTnzEfPBf3XurCdR7tdZMJkNGhJGa7Soa/pN6bOH9
P6fEe9x4PS4x69KeZn2dAkZ7zdTuNeweFkk0sobxVODAnVoPkKz8VYuRyGUnm1aGzT7P/vfd6Kdy
h60IloBNhgC8T7Ddgqf6rSeFEVL4BORaETrQNB5xZHReyNMZMn8hNVcpVzEJm9WC58/G5ojA/ZYx
bd60SAIhqtbefUVWQL4xcei56m3iB5DfNp+LrHU2xlzxojCyBhvXvLI8hoMZYBqGpjldVrmn4OVW
6NADZl7aejWZticZGL3yPLmh0zyluRYltwRGMaEjlqZUDyZ5iHAJQD/xtku8A37Ref5n6HWa/dku
idm+59WUWQmDKdTPtZCM9LqiXrrqYqPx9sS+kOsUREaAm3Qp+gytjzHMxr3lGp21DVwOyGxd1eBn
EtpqVX0xh5i+7gxGeeG+7ZIW8H6YKgZNnZN79g8Xn4TgvhW9AIVXpmpq4wWlfe/eNqNwchKRoAgw
KmpLGGmbqLBqQopBjUcokhGxLoh0cirOte7ARbu3hepUNft7V2EvM3vkiVr254+7p3dbw/9qZhz1
vHvSlUqHaK4AInv5DqNAbrjwwLmm5sZqivhC9/Q7HUR2a8AcmkbLpv82rtZAsKO6Bs2yoZs3XvfA
lr2L6jT2m0qMSwe0HnlAHeMDkQHBh/3DnBjHMUqY66c29PCPv/57TTjQjobbOBMi8K63vVzASLfS
BnaYtP8Cv6qJhtuiUy5gSLLd/a39fnUR2VC+AnbwW24z3YT6YaS6VS6irCcTcLTj/0mX/+oyZxhl
YwIUMhNWFo7jWRhL1ivi3v1eL4mJ0eNPHz+49/AbaG5kQHs03tAw3n4nLLpxuYGHt3SgwSUU13Gp
+XrPnEvBBZUtJPn28QXf/aUIhMT8SyU62DpbqI7TK3kzgnOXGLQMS9cQDVJBw0ufU8Cd9oIV/TtX
81idGoRCifpK5uDrnyyHpOoULok1AjSKM40oESeYl0Zh/fj4a73z/qFAtFBrYSmpkwnw9kJW4OW8
dJLeh8HEAaesMd/CYU6+NxNMOT901eHh71+RFsKzYFI6jnqOl+DVPqHNMliNdb9s8/HPrnI4ZlPm
eUHu+B9f7L3niKkaiR0S1/yNWKhBOYHb6AW0aJC4A1gbVyMT3bsGKfbNx5d6BwfyXPAfZgKAavY5
7UmNh6l0sApb8Jy/YnoJ94S0ZoQ6aGw6F6I+ErGPr/jeb0foKVA1RS8CxrPfbkZkI4Q+BDifKT7t
r3kcvB6fmcjCdsy+sFDe2UQ8RhCwJsmrcE95GK9XZFG3ZR8mUARLXcVgRiNgYIxz6/5vfSV0GAQ9
wAmEqYcjnnq+7hvMv4qmxjyoaLESy21BsowgDAeFwgJrqgsg8NkDNBinQM/VbJWsB9f+jfYYcvRb
gcpP5tX5ZgIGIqZDX41xdt8Q2br6+KudPcC/LmapoKC6LtM33r5pje3ldTsIKJUOjhFYMRQxNqVR
FbQX0M+zNf9yIRY1YylH5cWWN/Jqu8cYM6iLhjVvTa6BpGrEL8zGJzQdcJb/+DvJe351snApnp8F
rR0qsmc49tnJMguzj6ewJQhW8EbASokYpttd1/6JXqzG46ai5BlxwjCHdoouPNDffz2TdcL7y0Fu
8VzPLu4kCrsMPkRccNo0FVEUUwmUUQbelkAGd/vxV/395+NqFiinDSNawwPy7VMFVcxSu4W1mc8l
3nb96Czs0GsvrMjz+kQ+UXjkKpxVksdNTBzfXsagyMU6FSSMaR4adnJP4DR1N4E3PHgdZhJa339y
8LDpDPKvzaEA07EVctyK+LFt1Zef929ZgF4/9+3P6l/l34GDNtWRCNt//9c3/2nzs7h+zn4253/o
zd9p/v30j9FNrJ7b5zf/wWeq1MLf+VlP9z+bLn35/L/+5H/3H/7x8/Qpj1P589/+5XtB4yQ/TURF
/prRz3H66meXd/LX35Nf4N/+Zdekz80fn//v/6nFz/xn88f/8v0/Pn363799wosoQLHNf0ArBolX
ocaj4zdZNC+qAOJd/kGRwGSH8amhu5rOW/qfdqAuOUQG+UEmdehfioG/ZAGaIxUDOjYHHouatWb8
HZnA2yUrLRyAADiPLJM2jruRJ9arjQCPLR3TYT3Acbpf69HEFhdcOILeHnq/X+LsrbDhpnrGwCUQ
N1+5RbjGzBhOqo9QgMiM4fDqx7h92VheRxm/3W7+82pMPFQejaefj6JbpU9Eq6qQXiZ7mec3hZkd
sbheJeFK8AIoRXfpdXzvijKgCT07RmBscm8fIdYldaXOeD26fX8gqVZND4WLtwthelUADwkRcmT0
ByrODfrNfZRN1+1kbidhbOXDnnqYrRDySC6+UEW9e2PQbjVm8vB/z5OKtNjE02HGWLAIlfvSSLfh
IPxE6w5C/ta1+0mgeP746Wty7/nnbv/y+FHT/9c15Xp7tZ5MXUwwgNHCJmHvz2jL6/TZEdYix+o8
nzdlGy3HnEy5DrsYyEqw5/5WI/P7DciT79UNoIq2rbriS5dpLKOT98B+2wtf0njnSyLoQetDKrxB
UfD2GrEz9QVKR35xrK5nNX/KXXOrcK0khik17ezMBFnoDg1RS15b3IIBgQhcOMLPuAgv39QBabfk
PF66p7y9i9q0OiS3dYCJ4FMr6dTjtJoJ+J2adJvk3rGswp0iIB5GKJw9FkC36qbPVeZ+Cpv2QmFr
vHV1+OtmJMOGQlpHy3R2JnnBhPN8n+H1PRzQIy9TUqU9IAkyaRaK3ft1NSxKRyxoMT7lUKsL7L/U
bvD1ydx7gPktxurQLa9dPZI0Tey7Aj+vOnBRfkXeWTVOj5iJHhIPPS5+Fqay7BEiW3Hk9920uvAD
v7cr8iq7KEJk5y3NmF8voorIUtsMCe1tGeKwey/bJsbaWPgmRu0Z0Q5lyCwnYSYSdBD0rCvMGbaT
B2fPulA9yc3j/H0iohd+jU5jSS/79k6ywOEFZoK0Ii1cHTEdHqaNV2e3jKt8I86gxyFhvLC+T1XR
7xeV8icqbI6hs5VlCFcL6hbj9kR9jMnislze5SHaV+TcMhdeZ7PhJ+GfQOZLNbb2+DWhiyRBhGGO
3NHiIvS9STkyrjp2UbaKOrGWLz86eViU82p0xJ2dDH7g3RTzdU3y4WTYD8Y0gSmPGPUKPBjTrVdW
N6WYVzYGjAPLWq+sBWPilTUTHaA+Epx24YUy3LdV8csidsGXqBbhtqjn7zWSAujpLeGQdpAgYcbt
z9vPabZ1jSd97A9p1u76+dbGyDeVDnPWtGxbfAAmxc9xmY1GLAaKfj1p2bFNnrtGEMYc72MDHnQR
fR0Ru+Py7JdWuxzGm4qFzah7WSLQNwPi30hwcQjqDuLBd1BE506/TmuDPdveEnZ9P9XJtq/hAieK
7yQdIlaxrDvCPpx0K6vnET61aMQmR2Yhfy/5wFVyxJqY4PjWArgXCGmrRYiQvlHjvdMMPi6q27qV
PoXrwlW2oTdcG6FybTOLXICIg9pfq+64tb+Kx5rBEkFfa9tRdyrmeV6oEEiOZGIycIOQWg79yja6
Q9LHWI5mR8/p/YC3oYj4GsZE1oAg5wWck4FjN4jN4PE+T3gk5UcOcfwZmW7zutnpVwDJg1HPm1hv
doOh4GQ7bqpITmzj/YxFsxLkuHu0oH+3aNW28slLpmVhpKtJ4MVjRvuxFn5qAfkb/bpqzb3CR7Ep
LTy9XvUJIlv9yhXotkh7c6Fstx6pSED0QyYep7p45gDzx0bmGjqo9+sR4SRfzHQ/Z1p070B5dRpx
H1yLwsSpj3Ak8rCzOdw3JQL6OLyr8/RWJJixNtJGWviKCP1OtDeuq+xs9it7TLaVc4tGYcHxvClI
20jLnjVtbAOFsYn+yTKIWbLdz8xqF1RuC2/ysJBdIUYjf9G3NpZxRT75omePlPtlYf8K+XXlISR/
8Sq9oZRcGblvVk+Qph7TsN6W4KURSUFyiYQJUnFhbg2bm6u7tZayH8/jFrMA5uMWthOx+qhGvIps
xIR74GBN0UCGDeGxCtlnylFerujnjZibG49Pc8LAV3HdJEBhmboPiVB85sS38mKORfZj2vs0Rmv6
Bh93rX3DYZAEEdRpE9fGfEf0O8v4aFvtblTmXdhfaXW3azHrVgqmpHG0LL1xk+veMc7tbTm2SyI5
NnJPViJ1kwTWoQZtSyGk842q2NpKwp3ZhfcyWa3Osy1ephv4LKvuV9YQWKQkd2Hs63HrBxqFWKas
Y5dsJTJGsJ3gv7EINk/4Scam2xlesHZdHotlf2rS0B9bBpu94hxIskXZMeBWqPhxVvANyMHmlsqO
CYcDzUJrdk1lL1VOQyIzV+OMLJb5ut7joY52BX5zlTHhxiKBv0V+2lJDL6LyW8z8iDApFtE0YcaH
NMDEOH/ASpf0Kn5C7Cj8wJQXSgnNCBH8C78wmZ5M2J5WGQnY1FqiZ4TKcUkbmPGv0maXsadNXvQY
MA8ELmKIoZJ0DLu6UCG3K9wc/+oajmM+L+SLRTaGAxzdUEo2St/uBnPw4cZsVUGUcKyQW0tBK6Rd
leMuSHvyNQZxKBXxw9/X4hfdENaUJB82XGoMN3Ixt3j3WWxGQ5bd1qq+RihQcSdpyCmriwcypzHK
ojAwWf/6o6thMq/Fe4tgGMGvK2uIRJCPUUdfG2oGM5PuZ+nCDA4BmwLGmNth4CLJtNH5ZGRMy9r6
+nFp8N4RgZEdNiOqbYBRnx2Nc13ZqdsiWzBcOPJuuxRYOnaWfuEIPkktz49gCRVKqqkNB/CsjI0D
AsMrmI2rKrP2GbEGId+wthFWpMWt3NswncRKxIJik2173L9gw/tFkKwqVkXRrlxKz4DXb4Zd742B
j00S9v3BF6NPnoT22GoW/NQazMC33faLM6bHQIXoRAn58fPS3itgPBegAqodLZkha+nX9biB8XkW
uN5KRFh8DLhphz5D4aU2eo/UEVdoileDxSRWN/Yj/1dJBL5BXzW7+zYbqCNwyslJnXM11JOYaV24
u/cKPQlZnopoWJZnZatupUNqpLa3mgZ2C6XdNWgszHz+Nrbzps2y1ex1PkL7JWSFJYk7z7hVLivH
3Oam4n98L++urFe3cvagxh4CV0OW8MqCAeZUglivonyOG+fx4+vo8oPOlhaYnwmib2N+Rqnz9hfp
0ypS9NZAQjmkX0sV4Yyj+EVtInfG2chNeNY0aFC7HFgzHXtTNjOr1/vDVN+YnrKWxwaMnJ2i9uva
846iuCmqfk24+m4Iuwvt/HtdDrUYCjPH5lXQT2DYq/VjQ2vBahzBZ0c0gDIhYaqRBiH0yz7xyy0m
E3tDi8hKln+fZoi0WSvMv+WmmFFvfPzs5KP57dEZGnx+y4QBrp09OohLBjYiKg422tOIZyLGYwfZ
xURUvGl+CVl4p39nimRomgX0zP9zfrXSdAp4tx76w13W4SIf69hBkiapTxucefdKe0Fub6jvtO9c
EqETQxepWzhbhKldj1ARuGRpUpFwKHa8qm5NlhMKFBLF4tS8GoirdZgmyD8iQY0IR/lOz4h/tPbY
52zlksFnbpntzQpLbkMqZlkes761cJOybcwLvBArG4+wu3aX4MQ+qoE/RyiGCiL1st6vht4fqgID
3+XIX8/GHjcYclyFuMLV4tjb5HR9ExXHXKY8jEnox1VzQ0AXBHjvSCrplRta+5bRUSSsPb5Q+yaj
Wq3juywe4Mkx+iiIGAySXe10h67L2C1DUgP2alodoesXJMcnUJBYXu1IPR+HPv6/WNeae7ewFmiG
IVyHvsQv5IEu3wlZgXf8d3nTHeQOV6a0Crm4UowGxexSw7PbxJe9pweYZnMPR3bj0snJN6/zOIab
+kahplLKcGnL8OfU3Mqal3MPZ2NZM6tzehSmgp0LfXEb70WILyXvqgGMY3bjvfINZPGmokwi8dK3
onlDwOfaLmkaomanaRhNUz9r1bAMVOwyex9a3zagiA9V5d5NxMbSxIbRw14ZAr919L2ptwc7wGYz
PsjjZqrxTdWfGEXcw7bwhRTyHhovWaUqj7vwjvgPHoPePRqx2BE/NTYp2sx+3aL51TqxQYiOCTht
CYiY2tATNo+TE2+B00itPnUnmwCbcllDh/2zkmBX1q8FPUpFu+QUwm9a1HooG9I63A9Gi1sP7WBb
3aiZuPemcSnSdVnSLfABBJ3hrQWxGlsk78HqgAhG42pongwr3Vo0npkjEGvRSiQh3lfmPuy/xUO5
ztzHuudkjaylidNES9xdRN2jowBOnWaf2aionvjfmEILDfOmy0m2g2xUt9MGqRTxEeThObuGmsps
D1o14cvZ+56qfa+xY0KDTjTAuPKE8ymgO5ZEGSefruVtIjdZmglFUMwy4vcTXr/wZgrQOl5a9nht
ZTeN/Wh0xTGuafEaArEt4sIyzIEU3w0ofK1ho5UGXoWwm6dwb0wyoW3GET5BehktRQEsA+RSWMld
Dgwj0V6r3dNYXuV96Ndkcio1PwMf1VUzNo8KVGFzSr5S95sj2kQiGQEL5bq1R6IT2IP7oV/Ld04W
IJnX7CYnwUF73pgQjit7ABZpdzYnSBvw+rjmQqeni1xJpiZ0EUdUOwOfFc5BbRLSh3jMCj8XKZEW
7RExpv44PE7h9ay2tx/v4WfjE7r8k32MwSwKfw2PhvXt+UfsTtzxfOi0hPIgu5bMHDFB7w4zjYBc
arLeiBLx4DjcscnciLi72vDuP76Pt6Opl9sA87cB3Q1sc859UAu1UmvVGL1Vk7K66XUCiF0BK3TK
2gtlDhYt5weXRCqlTQ/aChvNw9l3hpKp5LkiMNBHaanMeM6HU1sjVAzvM+I0gco7vXqWiFpjJneK
FfoVh0xoTNeh8mOg8eys9gafyfupwE4TdS0Djb3qPY4dG0w4rCuyhpRx+GYT4jN53S60MWjX3OEw
ztUy5nJZ9wlq7NPUY4Ks2MoxTqI9/J2dhb9XMREl7uItKDsxSBR+WfJyMaHWJhpCIo1dfdgMNhYI
oMWz7faLwZ02zjRvBuhZeAwn2yDoDjBe94WDoj8BkgCKaPBgpUe5b3g9MwImoY6Rdw/SXpAjFrYD
4zP1iaDN1ZA8KKGyxewnX0Uh9JCMpNcuFF9idw5xVpgx3p+uh5YNGl4MToDHMUmuUeE96DPgC2lC
KLCOZm1fJUP62FgwtKI7JSluIdjnC5fq22q17zhDLcuY90VJSPIgAoIlL4noenA/IvqWHdxYPqnI
sPNBQWyElLxQ9rOAjw5wRGcaEe/Y9sWTjrDYpem243lrs6FParo1zfabQvbvNCL2J4ViG04PreLt
XRtMig1EAaJrhHJvtc1zRilXDtlW6YOHwqYSNyqsHSrlmCXiSwu/N/IAEpJtHEL8GqrgR1AxnMUm
dPg8IHQeohgH7fy2tQKS1TjhJZxAgtvtAPZlcB8SuGsIKqwIH+MMIl7JL1r3qOhENnMbYNZ3GoIC
eaLhLLmH776eJoTZoEUpqQDyLWwMxTdycztqdMCstAnQyyAo040YvYuvncXBUob7Mh7WSS3u5Qni
lM4nbSDbse2WWpofQxLC2kRbmqWyOl3Ki7ciq3dRbu5TIEenBVup0q08S7wwwygPqqWLkrWBYNzR
oMsiYFLuJAZiO97nYKApR1w+NOnRGX5gjLNLILrD3Qh8Zb7HZvabwsuL98e3TiifiXJD2zCY9iPh
Dce8gKXj/pJa/hzzAi8wt03J2jIDsBNnWE3RJ0x0l1h1rQ0X0wha5Np6hDT0EKtHrRU3Ud0hI0/v
TtiRl+3DZiVhpZjjSTZ8FoLtUm2/oSM4wL39hHnpqs+jP+Ef+2bYFIuMMIcIFxJbLzfllN61rfO5
gqikjNEWOuq9aYmvQxv70RB8nXT8dp3WebTd7NZs01VuI7dwryW+JLEB0jJoLd0fowNmIOEjjnN9
FEtFuvEFwsdXE/KjJRNAfLdkey3AR0vORdvZFATae90TshWI4Iwqiptaab9FZXxHaPveyEjWpJSW
f4qJ4V529eCex6bRUfHb9ZX4LsuUqKqfXa2Gxax8dk0CGjRtH2a3hhsDC2BLiHJFmTBnkfi4yPNn
ae4QY9CJepDq1Qz3snmL5+FCA/fOHouZHw2VR2MAo/tsDtgCYGdTozor1xsojK2lLI8kJtqY+VHC
SR+fH2fiQHmAYInFrI19DR4MLfbbc0yN7BDqe07wdMz7SyyELDhDfiB80Cms8OXgvcUNAsfbC+eJ
9vvZZTKPgCFJZ8+Y5Fx8O51Mh0xC3Ut3WswTnqIAPaAPW4niJLO6ASXFJDV5MtRnPCCPdJXHKMy2
EbGBEikSrN3T0/hbNISr6DukleJXe04yeMNEWD38x+Mfv4r6j6uH9eP5n/z/kI4g+Z4fGBLWUVv/
fH7NPpB/4YV8YBr/oMEHrdJR/EvlOx3mC/fAsP/Bf5JTDoiRWMdbNHr/pB6olCVE+GC0B0PodRKp
/g9Uz0Bf/AHUoFDY/g71QNIbXnXT7NuebWpET4JFoFL03LMFHIedocKXp46XGQvM7XVciVQmFCQS
VI7h3OGsm/nWlMBX63+kOJz6UyuQ8sGIWg/SCXUEFU1dIqCmqAZZJA/HJGums+1haZfUpPnUgBJg
iqpnmGUYWXFr5ZcYdmd4yulr4PMl7QUMFfxGP6utaox1h8ouMd4NkukmSsZFhauNtMo1G2lkK8MN
wiYf8I8FrG4K7Tquyg1Zl8TJe7Uh+w1C27xPpjUQtFUhxkgnh7CT6sfJ5BVbPJqBIjaWfOQlG/yz
Yvjl5nmUkIhkt3+ivryG57zWHT3dVkiKnFTtGrmTuY69+OlkcGwmh9jES50EPUJCYSavzaF55uFG
NJn2Nla9/ALaY7zFH063wx4KVUYFX1VJBnm7p4WGYmMgjZX5yfd/zMvt0AfTPle0707c7lytGnfG
2GGtNC/synHuUtB+LbP5N8wuFwi+mLw0D9OERg4f5OsBLQMRmtijBq7pYWWNSmnAYcKnK9aX5RiJ
7ahKg1SRMfNhRNkV1zQ06l7o+bG3FO/Q2peMLM92z5cvyZsHR8WB4cOc+e2XbImoj7GQIroqm6vD
EPRPJYIAgnCUX7MqpxQpAQC1Nx8i9JfYLbb31jgzPh97/V5Fn1SfYhIGkjiHpPr2ave4fcGyXtNn
zk6Vl5tD6s5qYPatqboEpV7hbU5d56JnMLgwIVDgq2ItT4/qtCCSCKlVgmbSbsIdKaU3XR9dYiae
MUhONwCrDU4UrEQO0XOMrSrUMNDNQZ7W9jEs6FmM0l3iVpT7eI/hTVRRD8cNxuvwbdKXHxfon2x1
9DsXHsZbePjlXnCYwJoXFoDcrt4+DNy0SqKVQguY0bYOepbkkBKwMSnt/EjeA9B5sZOarWXlESEc
lOVKjeNifXrlRyJasKS6NKV+542VqK1rYBPClqOpZ6unpHeWMSzmoiVqdtM7rp+H2jWC3+dMZWgp
SsM6uFFw6BKTfHGlbVdg2dAsZ7Gtc81aX3hEp+v9ExOVz4jAapgJQOjw0KGRvX1GblESZDwAtQoH
Kr+jtj7CObRv5jhc1zdN064Lkxssw6hetkEtlnxieUgro1zzOuN8Lk2ra4NcPoz9iKjBTXOByC+U
OmdcyAJnPVWpyVQ9f6rITBsxHkPgouwMyg6SIet9M1OtIysjnStnB9X1amFbKkO4EWYCqSIjM92d
M6PhjVtrpQRYvGnoQw+jA5vBHMimNYNyFRiJsmkn9Ys6YfDJmKwYDfOgNSWTcHJITkuvmmNtS38Q
rWY952u59oHEsXszLZ6NaCSFK9rmWaweThbqg5pIDGasl0GBf5XnKO1ar5QIph1SL7mJTmFNF/lr
Lirs5SPb21jutWNM33Ottg5dXvlJU5Ybp4iVFcFCuzYFKNCw6dtNU/TFcMpoU5GLiuVOfg9si3e1
1VVLMRLSkOD7ZQc80tNrS6xnsO1dkMUQR/ukV+Bb4KBXt1hkI4VycT0L9PVgru2eLLGqrTiGGmy9
49w8JGFWbT29fHJQlK7p+YiqxgkO/eLnCwuJiuOsGmDWBeGGYgAHCO90NLzaeKKZnJRMRQp1OomG
mjTkQO9XQWoXoGsN1mVu5oeDs7cmdYO9GJlMCY5JdLx3vVFe4DO9s0dzN3hDMLdyPM86n/M5ldvT
ZUJcs8cBJ4rBvecn+EUOIxkwc1IwFUcc5fC+FY1MlAxh2jY5ZnePZKSZRb4ru3ZeDClmcBcek6wm
zl43OMby3ZdGPwwi375uXlAgjkuB95rEcXdx4C0LWqXlKZrKDrwnLZjukXllxLe2a/Sgxe7jG5Db
y/n12Z9lvD1mFsTZv71+y9TnpWCIZV0VCP1gGfO8TkT8oJElRzMWay9phKcV+vHF39v8MBkiGFEa
EONTf7b54TAcTeihWCQafgBzTcalZQe/zAnQvMy1YaGI4Koz3WqVOJmzLivns90t1Lj/VsR6fKFa
wVPp94cBSRehD0ULv8dvrDcsLlHQKX+VK5FhRxtEENEGVt63NkzHtR56+NcbPW5dY04EUPZtJjHj
9FbiigbDnwQgCC7FTk2Ta0UbFfBuDplTQSyG5liQwrgkkLK9boS1SxJl3pbyAgbB3gsGMQCVGptm
h0L6gBdtxLZbesekgBKBVXOATo5DEVdOzy8VA3pg7mWEAYfTEvQMUoFMinDJ2dk4Q/I5YtPL4yC7
9Vo123eZN63CCm4qZa/vhkiM+hBPAfKU7SXNAVMdqqljZAliO6bHzKv1r32ebKBXzYfTRgxX5Rfq
e+YpsQs1hEBbwBUQFtEV+KrhBNAXhtgnjrVpexFdNcK7qgk9YfrA5CNWDm5WhnenO04ai4KoElsl
4Cweg6r8KvAVJY33i04pdRf0Da50nr3uK2NDulq3QvyLE6k8WeaAIJcKmvNCFfPnsYGhEoqtgZP4
LkkZx9SssyNUBzJNOcwVfV97OD+LbJ3VvXYdkXQ8xtPSsKtm2WuP1J4EK5gz4Q5WtJ9IOwUcyhMw
eIMgH1npR7WnXo8pHTtpLWH7CfwS61YyrA3k0YvTh55yu1wZf9UGyoOm5gXyWbwai7b9hN9EX5BW
ohtjuB5D9M1VbWzinX4vcABdDk58JNtcuyYB93MR0dTYo3nNoBxmRDZjZmqHawWwF//FYlhpXjcu
0ew7OLnF0kI171ZxRcpqqcdPcI4P+Ex0e4vjGxYL072my9H0J3iRtoGo/DpuPs153F0Vw49TPV7A
5fZn5WepM7QbgjT30z5Q94kbH8tI8/ZlpzgLg5QgH1/Cz6pTI0jOKTsqXft7PONT1WEyxHY0uFAG
couzRiGFFKlUjW7igDqrGHtgCS8U3iOLqUKPqWeh1TbsFZm9QdYdjQEtAGFr6IUCS7u0J0s66Nme
aGJ7b2i69BL/baLudXoXhDPIcc7Ixc7D/KZzJ3Ur2pZI74LU1Jf3Tp6pRWk7K73rnk9pcxd2x9+7
J4eN2YF+TeOO4EX+81dHKJNot4tbGurTr1XrLee7N1NmxSuE7rh44HY3Y3wt27e70yOZiWe1lda4
hE3Jx3/+RDglmAJAMqC1PysKq7kdIWHD98QwkD7LK1qfuLlxeWrGAQV2RtPgwTnO3rLP3HkrAms3
KOG0n5mnBa1FKr1Dl5dPFnyz1d9+TORtYKNL+6VylFpna8fMLDF0s8lOIjeIPJ2jzekHEglm9iHQ
OmVzSSVV8wbq5f5UC6lhsiO8/JJJ4FvMUC5jUBlgR6QKUnF8PuI3wrgNppxbKabRXeHT523EUHib
ukfadgqXPf1MFx7A78eWFAQC8NgW3k90Wm/XidMa0D/CFqPGasJXwbPSK0r88muMKega8fu9ajk/
TkmI8Hq+63pigAETzmpUwXWcOsuhGMzbC/f0+4rxeBAgSyqdjWV4Zz9KZY1xOSIgW+jD02hAeorM
DhswTikG2as68oxdgZf5RsQ23jmwAcrhR9BNBeRZQplENcAIlWNhua1+fGvvgBJShkPNga7RACk5
A3jGSvXqITOxrhlJgYlHwkRVRupaBjjgWKvBqUh+nzrdV0fvChAK9w35qpsk/LTqXK2MqG8IA4q/
OaSwQtKaupU2msfUNgTntUrkYk4fNCNXXsdkM23yFEtvLBsdMS7iuMXmPMYLPE9gIk9EIy0IhiqY
f+eXut3fK3C+p8f/EImIbPpcLxKy1GgXMfkpyvILiU0/nIwAREAK66Bi84tqjhzPBgOwZWMNxjJL
rM91RXxnEyCIT01n/T947lRVIJESJgSofLtMk67vzN4YeO7wCvpQRpHJ3aToMZOao0DZ1KRSzzRh
swg5l8p5B6kFymDE2auFMwldYYvwG/uUpaylxDhj0a6Fm2HGzCIlaK4IXPWQQHSYaufGCEDmnGo5
OiqzQJH8mabdt1YZCDiTmaBdgBcxKYB/BQ4DOSNOu33ZE18DLr/X0yCHgOjaCWz5TcVha8Rqe/hY
Ya9qWQdMNh/NvN44WIz4SSsIdqUXzOa4302q9fjxA5ab8NtNGlE3jgLg94yh0Re8fb6F59RBHCXg
ULIb9eTiPLURp2s6SWSuVDtCU0vluvn4ytr5pQ0AUxYYM3jHhaV9PrvA04SuK7RxV9bhnwussocg
U1duhn+mzB49tdtqQmPjyLTuOEsJHqu0uzKGDk2IGV5DYZ8AOcye36jVs4t97GIoZ+fCjZ60lK+f
ESCUDi8QLbNny6nG2RrUyrxrAgOP+LZSaacNp9nU5BPiRjVam3kam6u20VTkTZRsp9uaBt4R8hwO
QXNT6tWmGZwJEdR4E4A+3NRW8lA6U7upXBVaCsMsXNhhgF0oj0gxPe8TYalJyxPVZp/nqDuHiZpJ
yV23TjB51nWifhvSAYhfrDHso0rpYfHVIfkGvVhPn5NOQT4dW5txIBCLnDesPMalPrvasjTzeK2p
pB1wPjCgVuPHQq/qxexhg9U31oOp1Qezs92VoxbkjFOjJwnu6U1m+HVAcFkw4zZNBHMZzDeWqyQH
z/oRjPzebRj+rGrOEs8oV1k8fep6UyPez3nsKdJSamKcxXY1+aSbBrN8TQHrC+vwlxgYNU7NvcUk
M4yHr4A7V5MijKWT43BnpXFzlYkG1UC/w/fP2tVGQex782XC1P44do59tN0JIn0NhjITRchnMT3u
hvarYMcwtX1NRbki+dld91YyPkxD+axO0XREOz889D1JzCKIMRYrzPsGjHRrYekoauj90qxuSvGc
dWsqY0x/NlNFiAG+vH4iSnETm+H4vcyNVc27tYTwaN52lMfLtHbuhUPy6QlfTOxlNBvFtZYSwD4I
2qzQXjWVVx9wQPlOWASxDILIMkdiNWWS15DLK2+nJi6+aG3ZQkvrjNu8+nQK2DvVNYVV8DGOgEFA
r2gkoXu3QQeJ23Tb/VSc6fPprdfjHLsrkN1l+P+oO48lx5UsTb/K2OxRBi221AyKYMiMyA0sUlwA
DuHQcPjT9wfmHeuqnmob6+VswpIiKUDA/Zz//CJTl/t/DOyIwMvGfLOlhd8fg8+9lJwn2vYf08D8
JRsnfCg5y1aiLf/qxfiW+Q3m6cs4B/wgP/RNfHa9EXdWk5TsIs1G2C50OqVxNmYjJy+ZD1TmE1EW
1bDTUJBP/uBmsDAK82CHZy9I5dZz6uJj+ZhTIIkuRi+xMv2BIm256WZ43Ao4Xfcyruvifq1Lb9z3
CZVtNKFOSqaRUYHzck9wTrzW3cpO23iJE6KWqIRzLhsH3KD6C9dxV7jjt6Im/lHWOR6DGpmHa6uH
Uf+s47Q9Gwn+T4lVr+hEzZfFh+A4Rsnu3kmqosahMrIPTqeqp/sKdj/gvg21xbVin2iScQ8RR53u
0EjdO1dvHiP4Ruy5uWr79b1vzkne3PoY/6xrWMfHOVYnG1seI+3PbajHTWo5bzp4YpU2Dwo8ditt
TqLFdD+eS7yAbEtDLLDUyVJ618DiOMvlT2MNxKnkprEvlhKl7YZwJ63GoU3FNg8hgXWeM1JUw7pM
dh0aCRwl7atgmSYv0UzPKgEzXLxoKdSCbR7peNtYlSJZ0aJCmTtnOCr7hxk1GbEPlveeMKlLarXW
05D9TsfolBAF4CqnewqrrDwXTf7TLaHOgN1cy7b69IM8YI4cP0URAEdm4qVHeKPyT1bmWGQrEgFd
oendWtp5vFej2dy06wKEjHgDDIDvzxBO+JkVjsuahaphNjmLosR5s7HpguxEky1tfz4m3ujvktxo
r7Lh/Kbv7+xmXg9e8SvRS62WUHlJX4Kf2dVJR+Xeqzf10nbjhkhajtG52zrKidMIXfQvXbkr4lac
MyHhqq6QDSBj0BNuo371UUn21l43X0VckfXtqsP9MtfBfATKTXa8zE8Unj0hi+PKwbV1E7jJcDaL
6ic2gv1Wm538822wBwtPaQQ8rXtHYp2Vo/ACCsZvcBkczta6rSYLihOZmZaRdwdpexeZjOmhw96h
QLu8Z/v5JGOgR+VNFEFeR9GOlPR97Pq3OEyPWWaK59GV713isrjI5i9M08gaXlAj5eKB6ckAlUdz
Jlin2ocUpfeHIiKR9yIy0/XExbBBAvYe4JN2dFqMDwNjasCLjIrDJtM1zov5jkgKzMlcbVN5PEx9
m13hcyWqri5Jml4my0q2NgZ1DzjQrYWlY0hgPeHqj37Quo/SwIvLkXrXMie8BlBm2FDLk6+ONAtY
TnZpcA5n92RH2XgzvMehgHwgTaXX0uw0xIyivKqYMnK5JSqzu6VuRjK8I9eTV2UvJG2Y+aw2rh4m
fOViriU/3Pt1y/nEnJeRwMtElNTaHcuBJqSYdglixnXlaUw/1ay3VmJwCmFjuPZ/Q6XOzy3pxCTr
ZPIYYufRt16J0r7Ru3hq9dFt3GLfYvG4z/CPXWcD3UGTQx7DVWNnZE6yH8kXAIshOQXnz+6Mgep3
cJu1rOrsZcoi1hZRundFT2g2jMK9Xp4dDe5WztgLZ+G79kjHFV4BU4uKSwtSbGrhA1Ul+IMRxqRc
QupFY111kz6I2QpvdVFC4EmxT90mqSk4BNN8caqPUS8ptTNLazIxptFNeZNdXJ3u69wyeSAAhkZB
psNxFpaH5okQk643Ngjg8eesLWOFkflO1PIwNtI73JvbxsqhNgtYUIYOmQRNJbZktT47sXmDuMy+
4cU3NyKLYiw6rKnESLxSTXwnQej2+l6sNpm8mGM2PYQQ/SAi9pe2HbtNRVI2P7F+MnWWb1ySxt9U
n78k8WAdCWCaVhPXFgqC7sUxMBXL6DLgB6A7eRu1Ql5bD686coFXE3zHMBusiefTOaKr2t34Lfun
MdMfIU9aqb62djRQSJoC7/d97ccJbZEqaesFOS3A6icTurofXBSlfGyZ4doxWvlf9yuoizHVnUHJ
+BX4VOJ0fwWYN6vJ1D8KD/2cF/fhC838iQStnwSm1a+GqOxzannlbZh293KgbSyLCw4hOjFTbH+G
d/JiwWcNofguY52MyjXXCWR5NmBlcFUvCMh94HL/HFNAM4XtEfotSN3wxhq/y4/StL7F2FSe7tDz
OIYPXrHorwtpcNWW4W5ZLWsP3hHMaSlJFsPqhbW+Ew3tYuXtUpOPwCprjQa/coMdS+3PO2CsiGgp
gxi2cKE4SmKrQGbWWv7yWzN4gtNC+uHc/iAsLd+mMUocoYDTS7+rdrHOzowUoQoLvPruJwGGd4Ri
15aHZnPB4DlG0Nf7eN+K4UbYb7+xCENeNWo2rrbTXj393C5Jw/djbS8RyVVhwXQlwnfbBGO06acJ
ciu1zL2YmHNFdGznjOulFmGvYLAX6uP9CWQBHn1ih7jMsIZslIe78jKrTmrxrgY3+PN7psOYnihD
r206KtSXTrKUqHsgfhSFmojdex0GJMP4yNV4VWPtC3ux9vuNsRz++55GCOO06kd91NAtS6jL6Pcs
jJk12eK+O5/awBGHEDTk/tN2ojtCB/M3Lif+Roe98eB1atOEVrHt/B4qIj3PpkzdL1UM+9ybu2ve
5a9R1TX7GMI4gwbHWdMAlA+Ea10JE9thpiGP7OWQy73ZWmn3bxx9OZRxro7CZdASMVHtoBet3TQ0
3gNsLLHY/FXg97XplYIn6FhYYg76fZZpc0pmdmO4LWnGpn1H7UeKf4LVvA/XUu0xGUlUayK6vqF1
we1D9zu6qOdOj+Yu89XX/b/ktneYczQE2X0YHbFEEzoCuchLCY42xvLhXnXRMaK4rINgRwX8I8TQ
c42vorXP7Ly6jbmmlaThvL+iFfYluUnJkc/fX2JIqBhryxyVKbzSOhUdTpZOu4ckkO3vP0soTLxi
j3qi7DGrWR0tPDIxYOiqp0VNr4z3yM7Sq5s6pykdh0vmiJuKAPBb65HGJb+IGnvfYIzP4QK63OcJ
anJJcgCN2ZARU6zvpyIMfbImDEWRLVqYUEa6Dqv80iG+Iby8uqZO0DNqaPZjTXLVErtGxRBvMMf5
7irYo4FIGNExGBOqnwnqssmZUfhf21U0rGaPNKhwTsgkEy/AL97RzRRWm/cyzxiS6ZCnMadScL4T
cNLBIvwGHbD5FtPAxbJoHwhYJIjJKgfSywpKRWEfmhj9dV6Ta9bKpjhW3fg81qO8jm734TexubRI
z2Wj0pe+FvW1jHCSNYdNxZZwvbfeOlaEFWWMsVvLQBnjkk5fjcExCdVE+lx8vu9BNBXmpirK/dQ0
/qom0eBIyLOHvJspbW3p9mSk7WGuxo+6D0MYkjamybHZ7bMpZwREsPKfC3fsVbZ3476hALWZzMTN
rpuXuffoe5tGjdg25/2OAUm/K+1XqUCJpGjwaQ/ILwt6il1P/eQigae84AbG5KVH5lD3UyUn8Ise
uscPw7cP93WCESrI5kwUF6OuCSPc6lSPliT0zb6NWGfda89aDnhvxoj1lQ/aAe3hh/K88TWpo0tC
CllaiOqmUy/fLLfwqQ8uWEOxvxv21iIDYXevE62QvEelMv/k+fkDzrrWacyiHawaE6KIFeIWPCMS
omrf3j96mA7GMYX8jkctNhS9wEnKcybjvZz4CrbAdbkp810+mDfK8+JhCgxEX3N0iWHAX/PcuZIO
Xz9QA4w4fD+0eCfLouF5WXJE6jK+2lNZrUfz52x+jzpcje8L6n1rr6lJ173u/jACwpHEBB0B7XVP
9yHrKIenmvMrmcNgf18YEg/vLc82yFlYeu0OrPiSFdHx3pALv/uYMPaX5DZu70+/70lJS/2Flrvd
OnGeEG/HqctE9vkOe4Ks/L0gdbp8nIz5J81VRTHI2h7STXHp7Gs6Zr8DlzSKIV83dnG+HzfK1v04
GN7u/lZcXR0te5fvrBHptAyzGqWFeMCDjwwrPzpNMk4PZZj+zFn50ExjOB77mAvYnUOM1dLpypEP
mjrDZ2d6z4Bz1vV+FJzM/j2YFDTIP/xVbsbwPEqaC5MrgTGm/Sn75gNoMcMsX53LugsumbYwMY6Y
wgS6qjdR6T/AunYwBccPvEoZOlfJc0Lbuo7skkkndSaxTc6tzVmqvaw8goc568ylRVzWw0vXFFQN
+lD5nQfxwUUVtZz080JXzGzAw/zNbbs3QiapR/AiKlY2/ukeqrFDTEHc2lWxptlATR41oJ7SMnaQ
QUdGn3Z3CvLR2wrLwPNezDcR1eji1ZAd6pwoMsud5hOW8JDFRsFkdPLg0PviVSBV1W6anarR+tLt
nD8WvUl6TDh/OWNv0UUl/rVqm3UvPE1CGGvTNGZiUzZt9xrXXwTLZ3z50DpDS2GoYJUO3hPw9bPA
PlmUUrsC/3QZDM0BhjsmExNKNbcy9n5MU0E7EXzms7lqW6fdQtk39o2d1ocSTnro473Rx3Akck9/
2BldMyFGIe5B/BKmQ2lrJ2J6oH/7bOpgeEpUsYeL/S1bmEypDjIW15a8Vtxns1JhjLCUOpSSfenu
aF2bPzWENJzpLLoQKNKiKPpT6vmKkXnjflGAEdWAQdzDMA1XQ5VEMgI0vFKSmRFGK0nXJ09ZFJQ7
XQX+xTTJBIzcMjkF4BSIfsDhW+eBSIAlKoFw1DG5cI7nV6iWFlpiqEnwF19LN61fBfnVTtGoZ3eu
nZtpNRuZJOJsb2ICx2QwmiBg2fyWQ9Vo23nVdnn63HXBjzFgIJLWGeh985rmHZmCMkSsgEy94yqu
hbOl0re3aRofpzbMLkVa0IaJV99EaSHSDEN1VADBRGqCFWYdOa3zX8LKHo0GYwNtQ4Ea7G95cNbw
Fi4S4VDptzDGkio+ev3sL37boLb4OzoWYifCEdaDUf7kupKrAGIX0//tFBkp100G9JlFPrPzPFw0
pnQpOOQEmP4TT/7Dd/iUJJhIere52JNE9hs/ZfBRK7qauvxJ2oaPf6uj1lK5bNOE/xFfKdNTVRvJ
CVmrt69N/a6zcbkc4jcEEqXdpsTTBW81TSRJmyN9f5Qmq4LLHnUkC6lbH4YwOQitV+S0uDftYxZS
to752lfpk291aoVCi9qflZqNaSXMcuu6ACBFnbq7tMTTiECRm2iZJHv0OnucJmBN+JHaiuxot6Oz
FaKl25V+tSTaMDNMx4rqE+wTIAQ5I9Eg0DzaY9M56ck8ht2CbjZmwEy1lGeYSR9EES9u6024w58c
NYZsPkibMYEistdI9HqH4U7EL1Ug2Fg3btIeg7Rah0xUGd/EL63R5cT4rrokdLaqdn8J03idEyN4
EFEVPqTLn/vNyQ6nNWE4BuEpnI+6tU+OLs1neDFbMxydx/stMQBW5gQCZF18aR2k7uHFCzmoZjva
G4cGlJZm/EDeTmcfVHLjlx3WZkbNotnDsMCXx+v9fgXDvCQXskfIR6LlSmTsd3ivDnn3Woo45gCf
Qof0sEqx5fYN/93Lf9jJp9N2Ty27ZLK0imkvh31fMAR20bxNU5SuCgdZVm4ibSLs5KFsUNyMbX0k
8/md2uyXYX5XeCmjOgUz8MjoHFrktlFPMZn5ZFCaWuzczkZnGedvUzYQWVAU4Tbu1SlEyLqtAJnW
Vg5i7onnYGpdCJSMOwfiEugGn0czoXgKUB9Xbn0tHBSDeVXlj+a0NrMYJ/UBx1KfXFsV9/azZaHY
68wOSweEfTtGxeYKDWl6HjgLc2/sN2bi3KKur7dlDrdk7psj8Qz9aVBXJ8+Mk9lWr1mg+pXwi2In
5l/TiGuOA/W4wTRm17fmr1Ek32rX+eaw0ODYb7BhYhOGYfwaaQ7L9IBiOp+OlTNXa3OxKWr8GfBt
NB8K2940wZDvYBG3RxfJG6ujGZ50KN4is6wvJKhSIzv4bTGkoL4jZtF0t/Rq8KhoGAoB80l/TZYD
4wZ9+yqoWeixaQtX6HDV2XUzNOr7yZx8MlUIrQ6KhsJXv6g4uem4S3dggfuyeRhif77A/37HS5Pg
eRkGqLjmVZNU1rZzGdkY4UfGd1z3MqT0qAMGY0jmVTa/9o1hQfexX6bI+hkFhb+bCHVdRaH8jVW6
3EDq32VzaB9LJzq1jXgXXU1Sbiffcfj+FQvkBsTl6Q08QwIcIibOaWVce6Sj+5asDTI7gf35RCel
+p5SSvJUz3mcfIIAihg//Co9JMyKLzK1fobpDyil+XnWJx8l4I1xanCorXQghhKMIDGHhwd/Fu3J
19NJO7p9JEHvc3CH4OiheQT3xi54Ch9dCWqmvXo8eMSDhtYSOCqNH1E8xJemHb8Zr24bJusptyak
ecxLCdbtcBDnp2J8J4lv6C7YEZn7cG7wpq8YI0VfaoYWLuVvz5uMAwnRIR5lgpawvbaAtJtp6B3o
Vt4aNRfzjQZP8Lns1lgQkT/WfzdjOIZt2rwWJS1kI0ySAEwJTldzLuCvdSTqWu5KNWNDhKLAT43j
HHlXWccBwbl98+S7Csw1xb9IR9WwHZeUMVFZzg1xq38y++kxXW5lSePcXCqUU48616bXndrPyR4e
AjQZuJHEHb062zvW3ERvk7KQiyDemLjC78Jon0ZW/UbQZrKZ+py5HprAdTfzWDw0E3vuyEivif/q
0HdjIEOCcIoUN4iOPbENx9zrKjLKbfe9NfNoG/vK2M0kSz3VhB1xWaMoR5sXIHo8TGXqQMxu0tex
6zpEbsFl8H/XLk1fLUb/ZukiuIX21F6mJNzf78LSqt7hYUqwd+Tj5cCaTxxFi+mfl51cfYK/fzNK
Zd0UB3LVakIjrDLbGKnb41gEt9lBhUsB4VrnqE78lxpnuKIwDqJz8XeCpbiSSdGxapbDSzn6xdrH
aOaQT60kVRgrbYQUyKr55z5IUjh2G4OO8eJKostAgRYdf76vySCLrWbrD/ESXDpzsprvvra/HIhi
F9FyVKo26zB/Q1wKRUQenbrLroPZmwdZu2/s0ySrWtOm6H191kM3DXwTfi6wTzwqiI4tinhTlp19
UNL5loe2PpEP5vY2kdL8KQyVHuEcbqD3tTuvC4aVlTXdJQgmfx/J8cP0JyZVeYn0jbnX8m8B/XdL
wE5NLrGRnqOh6QgO0/3Wp0w++Y3MViTrGJu+BjkobHWaIG8mxRRRN+boiRvOo3zyOU38Y9QOrP++
CFYyT7qLs7z1OKKD7gCfkrhHoFw3RzspjaN7dkdozsjZa8ZchY8XXnaOxjB8KR8zDZiYOaaL41l+
MXvZbB1FuHVWPFcGySXa3yPMGo3yzUDXUonsySkHexP5zbGf2mfrMbX9U5pVoAVMxunhqqe5Db+N
rco3cZJ+NMNUbRpBgkiR+8Um5wuj4c0j6kx8yFYizV+DyDBWY/x9FnECNBWu7YmsYYy8IqJT0kIG
Kz3kj2HuwR1IQP5tLOfcMkTaCqCMRNi5Njhqrl0fV6lJ59OpLysyJhSr0Vym6TJWJG2RGrrylyq9
tJ/9sv6MgNvBoBjdRJ3YKtt59IWRsf035zASwX4eYAXmNgQhk3jjAvTQT91PNy2sXW9A9qwM5Ox4
hAaox0IKcTRR5HYqODjKQHitPyPIez4Mom01LCRSiKpVl867KKzZoMc0W1UlyN/oOt8HJ00emHq8
ROZ4E44zHOLBOQdlGa/Qr8V7cxy+hEqJLNfsY77oHulfAX/tYJv4cCQbL/wB0PbmmjXIUS4pkCBd
MZy0NybD9RdTFbc0cNW66XaTJ4L3rOE8GJ8BI2OoA/HrpJAbj7KhrXL774Hy1cp0+l9u3p990f80
C6J/B8aGgTG0WJ7Y31QYfTf7+BlZGZZihrnDdHILKR8XHw/XyRaph4jJrsqnai2LGlarlTMnbNd1
xzZhYL/B4IxZfp+LnYfPIVJ89IL8I8qoDUOTQpeK/hZOU7827OyoUVG4hkuavBW224GueNU447En
PJ0sQFhl39x2+uoAUvCAmZ+laOnxbGtXRNhWBPRtqTyQ6PPZoxDbhHn4JrOMGJz+uZDpk6zyj7L2
egTr3u/cKX4F1MW+/+QYlVg5OjLeZECIuk4ZrwU+cAoZ1wq9cx5hM0II3aoMQ7wRxYPDxyFM6hmk
8sOtis/Oz8FY3Pwxg/OsUWmfsDTPOSnlpu/TcS1L44dp4Q2U+cFZTPn3GTYWpBXGMBy3qMo+sQv/
lnrFc0QRB5FjHvCUj6ZVhQxr31WyBwxoyJ+2A8wVQQU7xu6rNpygAdfzL/TomSbuvchvMo5eymD8
1Qj/V0MA4drtWceTEp6kiJEIQnKkpGH5S/QT/hHTM/RgrAS8ReWjUZKsq8CBRj5h6wCRYXqm77Fu
aW2SPB7yaOKayV71lA0qKKfn+1NSYf+Eyzmi1uGuWA75tYmy0/3V73dBmh+3lgpJRLu/RWbG59Ix
3Mv90UiWbLSW9f3PO3gV5iNyiNzdn9tDirlM2dW3P68e5c6xKcCg//PlCbOlkjby6XC/z6LTeu7C
jchS/6hI3lolDhd2YQEeDMPNBkZSqvvVOIj/PUcdwpGFSFGwsxD/HLjuyrjdy7D+lWyw+gdbCfPf
ka5XVoIIMCz0wbSik1tVxxnmCil4dmD+gAS5bwSkG+jqnzpLnqppMdysaf4WR6g4BltrDfGt6cnS
c0BwC8uGD58BZuV6hj+LN2Ir/8qN5luZelgI9Xm5HnXxGKTQb2wnPNRYVa6YeX/H9s7YskAGE9J1
O/DzU3gNwSHnUGdXfMxvgfKIp7QjMrioWi3buliqx1m7f46FTeDbOO/Q4mmOxXt3bUx2b6WDX255
8w0Z0TrFaj068buIJVxHfPvg1ZDIMZ3jIKcSG+EOeClnEngCs2GHUeJAQuDKHSVYVHLwDfVdi3bY
Zy8OLqvYJYXrvpAwTtrA2MHAbjDmYpjcnZpQtauhfsj0+K0JcptpkH8jWDLczCM60cqsV4Ud7FIJ
a9NPfdYYQQporc2/Ch8fBoHHo1gZHeyING0Qb+EuunA5zwURIZu++CHTIlolOZ1Sn+LVo2N3b4TI
8LtwPDLyKPeDV+EvsRARTZjXDkXiyq7s32YJG6CF/rZuh/KlyQuilQSufhp5FfSNBIcGM1+5Tnah
xj9MbnSbMlkeZCv3OT8EA4f+M+24Rmt/uGiZ3Dp3cldtCesGr5mHCiORqgrXOq7Zjkmo2wZODyRa
zh4oRfGAffP85Dn50WsYxSaUNXk/fMU0BHWHFgJckAmDNdw8TSRsISRV/WRvczdDA2ZqVCMGGgtZ
Fsu2Rps1yh+Q4cTGU4HY1gFEqzk09oT+sdc6JCPHifF9HJMfwsAuLO0F/JGAdpw0ulUtsZ9xIzoe
3GKf2YS2hjGE8IjIC20dL35IiFfNRfSEQQ9eHBW/NmKth0SWaju1Tb6NSDZMzPCl6B3izQKKP9Qx
a2ZmhNSyN2MDzy4s7HqlGOx5g7mvTA2XsVCvGLrodRM7IxU/qUpmJRr6x3atkEWM3pMy5Edco7Po
z5S95koWfrDOw/7NxHN+A4Q3NuVP0xj1NsmsfVtB8+ujCesSY9O1ntzUuHeOMYADMsgJR6XwaRJ5
ugNg3SBaga2oXw0gQ1Fjg58OUb/CmYdyAkQ/HeZ6W1kpbmuZDYengCDo2VtMV/dRNT84pjZXtGSf
moPc5Owq+ZBO+Mtw5rJnoNtG9CiUbVK0AHkVyt3aqQqgXBRcUSJ51JNqnsZUfcZjWxEY1F+mqLQI
h+jhrUwkYrqR3pZZHwI8Mb7TC3sjDUDZyIU7Is051SZh2GOde+uqCfof9RCs8g8dO3ggD9FfWAF2
zdysKpunuwYPtga2HYvZUKuSX26waWvvCEoN+c8LOhqYZXqexe8G0n5+C+MYpUG/sbHqEcZQ0Ia6
AHcFnIhiSY91PLZI8vZW8NYZnxgI4GCWCJHfsrn4CiOWFtRF9irmfJkDInZiuRLuWlDXH1zHaTel
WaILyYqPpmFGjHgQGkH1BN+b1rlkz7U99Ta2wwFZzV+2o4F8SrqGdgKdgFZhhZuyLT/zJnu3HOM3
Si3bS4hCNJvfPSSC/MlNRPxslmCDsjSfsCf4skQA7yNop00c9JQ+E5nWo40XL3p8es+AHNGCS8Ls
y3PlAmbnKV7pbeCtrJJQwTQxfqjuNHuMar2ynz79aWUWuKRThYaG8cCcFxs6Lb4HRfcbaRpyaBGx
JBbtKcE35Ool0VWZbvVwvzXynkcEutSx1IxxZnfrQdtitbiXkuTJGBcmCNZEv8UwXsOhx8txgNAT
a3/elm75KuUSzWhKwvgoFWevPNpyio52EWabdjAp2cgkDVomMaCdyWFY1scis08iy17S0L72hXmU
2rNWTWY7DLe8Z98Zv1Ckumy26qnXw6brsluQQF6zoyratfl7CfWWlsyykHwBR3XoaWm02I2suDgI
GscVVxgoUpYCK5e4EydMQFoJoVjZ3XNVIPUSbANz0b9lDlz7Mp5u6MX0dvFQK2kNATQWKzRe16PX
X5Wp/oxDmLJN/TVRqFSqZkhnWVzTRvxpQPuxluGzMe9K+ZdgckgOX782/eQbrtnAeA344fTSMkJQ
IgIQQPy2y535lSJ5O2Qm0qq67Tb+aFsHg2THhcNeY41kMLIuC3Vy0XOTjrsJuzR+CRM/fumdZdvQ
akaj1ccvyYwh2SJk3gTLTWh3+U2Y4d4EvVwRblPt1XIKVWYxnpwhLBg32v55tqJvlpN0L/c/mHr8
amIjOdvabF/EoLCKyjim9wftoOte2iLZMAL2b/dnpJ0xbokxZoS4vEZitOPNDePN/ZZe7vJjBpRo
wYzD/b4i65wTz08wRObV7vf13kRXMeaXP/9LRf7e92Dd3m/e/9jWW2KaxfPfT0C7lQ7hMmD1yw32
OfKUmP5XD1DyGkGPgJXRhvu41cGrkTQf9tyWP5cnyKlrXq2OgPIEAsH/+wlYvP/TK0Rl9DUub2Eb
IZ66/+YtYPC4pq7/3RN67f/5DPcP+W9e4V+f8J8fcqjmCbcv0axZXurH1FffpAobmqt0OBfwkqCO
2u172I3hEa0DaaLLo/w2UBZ8F9MfXbfvY73QWkMR7+6PhhHZwFzI6bEixH0jQlKxOLmOqdtW6WoY
ru6YzdnKJ+oYFLL7S1rVzqZ7NoLe/i1TXkrDBMeK6UggJxM6oKaV0DmgC6DoIZnL4Zc1iTdP+M1X
jqkiMlO///Ar+EoJWv+3wVtcQyHmvNTQc/DXM8wboZNiB3WsvyqPU9MfEZ05JgGuQzGOb31qJadx
AIYojGB8s2CdniuEaav7oxGM6QtbIvLW5cmgsvW1cdzPqM3GtzbW46PXmk/3W2YgnJvKshN5nswP
WrM/FtJVV8wJ1DUPGPzAnUAZ6PoFXgnLnfc/5C2fy3L4tGgO3llS0yr9JEI2OpY+POwGj7JPXy1D
jUm2NzBm98Zs/9f9fr4sIauD0Ee5PM3+Rpxd+mlSFx77psVwoIjqP//ZmnV7U5IidCgDQRzOBgpl
9My3nraDaU3XuleEDcQx8EK0EOcq+y0f55MN06Sr1cbQPcTjrhp5u+yjLHTxopu4Je8UttbShsQ2
lVWSFdtiZHGcvak8id+djY9lqNLxFReyne1hCFEXsniAILMlUxUSNJzeCL+3Ss7zswpgygpvY/tN
zZGD8gQDruJqlN8Sm5z0IZ6KLbk7aytgcoVhmoMZZP2pk/iPhOF/ZOi0/29Co/6/9nOyFtH6f2/o
dPpdZV//bOd0f/7ffk7WPxBy2JHpWGzo+OSg2Pnbz8n5R0QngZxmEX76HqFQ/8fPyf2H7zIXi0LU
smhUSbf43//r7ygpg8dQPocmXua+DSnbdP8nhk7/KmUKLbzIEAB7Jr5RUPfs8L/IT/skc3FEp+bz
hPeqaoXAE1s5spAi2szqYrrej1ENEhYHaMc/HaN/o6LC0epfxEz/95v/F1+EJGd0mvipwA4yKCA9
QUEKHiJVUtrGifMz74FZcy+WZ0zmPYYhunqKMontRYYDaFfPznbw4uk8l6G9LYVtPBDtsQg75hDa
b9itm3QmYRq9xmZyMryYmJXS1ymXrzsGHrRhULPLMM+Yt5ZB9pS2ef41Ft7wRGhy9T1Ufv8lXVvZ
7+Vsd/Na2KM8ai83u10Lbworv6ge1DFVlj5WZI5Pe5HNtf8RExmVnrXlIpVhwFBTXqZTS7Z4wSSd
KWED2l+HXT2+BUQrY6HpLEz2afACk6H9BN+xzGX5vQut6YJ6jjwgbNrFU+sN1mOHaODMQIvZ1eyk
toWtpuk8YxngHcciMg6JyNyj3TTGDjw32NYIjqs1jOdkrVJruKSxkDjIatbspnKZKRH7wHgc+t8a
Z6Zua/wHc2e23TaSbdsvQg0EeryyJ0VSVGNJ9guG7XQCgb4PAF9/JlhVJy2ljjSq7st9SA5SohNC
F4jYe625REyT1I4s67aWMyPBL/dhVs6yvPwWfw6xI/7BZDYJ+OpH2NZbVnLPUVg9WZa9ppSHoEke
tFBuIOWiXNfWE+BaaTiIJhNFtyvdj0DSx9Y54v6iVIUpoWf5GhTo0fKD1tsPXT0tQsfb5UReYt1b
B3SubbKQKY7oqI0dEkmoVrnMR13xxS6rGxGmx4Qum0M22WqiSZHm4FIHDZ29t3JYaWvUbUsAtyYp
sjIMHnPDXQ2YNCQdfK56YMu0z+I4BSWJksDJV5ny13HIAjtL+0emqzcjmSJThSnUlF/8uKd7hREs
SBCQIaL7Q8TDTT2aS8t6aTRiGlgfNE21shlmDSXWg6wobTvrRnNYdE+oeGD8xKykIxkTei7Efv7H
Wmshpws2Y+QhoYcrMRbLueIRMk0cBxczS7SW2b3rE98ijG3mliui17egtw4Y2h6Ia9mY5bw4LZZ6
0u90WmJWFX1plbEL2ug255Lnsj+PxUgfo1l4jvpW1NkeCfCitUseKvlqSKmYFvrBrcyXqWg3FdIo
b57jRMMfkvxOenvlrgZ0W5Mb7zTxJnDsA8yR56H+g2n8kjoVVAi1hRxOzAwnRutWWu2c0xiym00b
NG32NKvuxARBoikemp7OQdffI1fd6J19zoFJ0Eq5oA+ABkodbrTPceFvYiMb97VI0+9J2anbMJoa
TOn5tGlq/APplC2NsEWxyTzboatscPhHY9XoOiUKPB9e+SBCFmhUlCg6Fe2xynN41TooW+M+9lC7
OI15V4diI5rpORZ+iBOO+C2NQ+brwoF47heLxNSWRl1fUlIxwK0v4HtIjCkeKgOTuspXv4iSW+WV
wEyN7tzOsVMYCDh8e+ZBcyV1bpKc+g4dDsJ/qxiXhtCAeTRrT09YSho7S/7JWdj2+WMt46Pf1N8y
oiHKeLikkzrJFqXSHEyvO8OTUaltPsYn/Jo0WMZ1hyo5mcr95NIba2pg66yEIpe+RmctBi5c5Hrr
QJu+Z7a+LsJ2Mw7EjpDylACuA9GzMtuBEHt3yQMAgDjJTzBwjT4+5LU4pSLchV555krX+/Cng7oZ
HeUdS6yMS0otB0ttC8VCCRkJDkHMhGP8A0AbyK2CgrYZqvom60L4uyx+llEu22JZGi6FN1X75YOJ
APAJB8KysqMJ2LVJBRra8zZq6Om0RkHDErgrN1RJ3UAa60nYW9xyXOZhZ2xr1uyssCfxjQhgfztS
qloIWhonMEAaVZjcOJlm9LMKBclNXaowXZEFwEQ3yw0iOjrvjEfBpynnjeXJDFqfUpqLeDrnmVAw
3z2kavR5ZhQ+JfpS2s+jV3hf41ljQFvPWqVmhHBgKKNHXbPOdBJYm7bjTk0CE+HAGg3V59ciJdR+
JNJ3Ow3VjzgAt1WkYJ2RxGHk6o+YnE5AC7b0aZ/1NtxPsXvjOvZ9QH6QL2gs2N4uMr3HLNR++eEs
Z7JfUhnv0bl9aVA1Sb99oKx9GbLpz9Tq6N42FBVEem9N9akCe7XIJDJQTejRlsSP8XEopvswN3eh
T1E47LKdMYk9TW6Gf+O5gHcutDilx2afOqKWmCsCsjNp2iBpugQTiT5Se6gdl+uv3wa4vhjXX/ys
u4gez4UzSKbH07rq0P+ZXrCDRsWq32G/wvEgZL6ig3BI1PQjyai4U7A+OFP6mEQVkinvq2YWHW2t
5E6SXeST11A2KqL+zQOpMPfA1W47v6ZwVtBgrxhMSueL283DrA66rOxs+EHMqmta7sseZ5Tbo5Xl
6ZpF8qefdie31XhIkivuBn664y+jMeQvtay9KN3ON46hLYMa06n0p6Wtes6LhEGc2De4W75mYjrl
Y4U5YdiNnDSiCpDdzlnygfHdrfOdDm5n2RSIcVOn3CbG9BwWLl5tu90Whrn3B3E/oWhYKZV9A3F2
Ozn2s+1T2Ju41hDoFCsoIH+amr2tBxY8UXGXZcYZYPZ8bZ5ryd3ZRJB65MpS7bSymFfgL8HFXxd+
teqcIltWSRf+tDRpbCEfW2cNFRKrIro5XancbSpZvaHnpFCeu+4iNjNv2004IjVdqVUuunHXde4f
ponglYvA2VWWZtCDU+MxMFgEidxQKx06KXUje9yUIIdXUoXnVpX1wu9jA3oSxeWx0cfnvHDzZ8GD
lvbvQirmF1tKjfkpKXp18AN4/pYSybmsDG8b0Sq8bwJZfBkCp9nlAclovZOLY+IUYuFCz8J9E7QP
A0aobxEaO22FAp44XerZBT65kDV3oPfeZtLAH3VeoJ801HsstzUISdU04obuy8A8DXbQHeqxjNct
/Z9tQ1D5kuCQudCkcWT6Nl41IyxFZkZIb8s4cLa5jZWnzdFaj4KepxMPWYwOfADO4lFvW/DPjX3p
WZiqtRZF2+gkF9HU/kpPzPDSE1K9QF1BNRkK0zYsBEXjiBQ+0XECHHOkKJ8wFXsJVUOUG2JEUsF6
r55T18RBN9xqp3VDtoEZ66BBwj7ZaPqAOioLzXUYF+lP6dst4WW59k0YnbFvQoG6XzrEUpjjUK5R
YHL4m7FcpcyRl/gWwXCOdT/SBom8r+iG4oMKBJd7jRM5N7RopwRVciTE6OvclG5f7pmYWtKA0mLb
rOymokeeVqRxDW6x7NumPGsTOuiFPtUDLUXlQ2YI0QXTW5L9QejBQNkWFM+DVtGlzEpvOrVoAbZM
tOqU6phZo42StW0uYsMjT7q2p9beDZzsTdlz5+KCCV1BnU500VAGJ9eXSPPo99pdnjzm3ijAH2FI
0lranGY46JvOG7viZUoTy+Q0oKW0Dsqp9AE0Dftq02Lv5TDudKvxxaWzC9pfqREO1nKinT2u9VZq
UCVgE0RHjKPK4rg0+OTDAbIUM+kp6u7BLQVJvtL9SVrf0LzQfZOJakrmPaNw1J5cxJZ+sbQNr8Gw
MbVKS1d0a9T0iKG/sJ/QJdnxQ2RlWbkJy9wwd7IbrJE2LpJFb203XekhF8hFf3RLvSo2k+9P9aJl
oYibEoeE2/zpwIVRBzPLwhbctrSwQl+Cjg77GiGuNt3FArCue+ynvtReyKxsv1p9KlH/uDbTIeZD
vSvIvWAalrpn/G3UsMOk19Ds5JDkgKmrTB1klYrh1JtwPU8TUbHZsm3q2GWOn2YwTrIee3gZ1L6L
1NSw1C3XET1aS2e9sig8zbBu/SJAfT92MSz6+ZBPa/oNCIKNwWRqbakpRf+SsuCy9mbWlvnStEdX
3LV9B/W7qeeEAt02UurOSYL02Y59GQC0j12o6kqhiAt1wYzXKGoUh7Ltze7RNa2E7DVRmTidwynW
UORWGuucyavdYeUp9uNAb7WVO+VErfhCcsScqSiU59+5/ljTSCGQKNhJLYzF4wQcXF9j+c/4nzbI
+k7xVEwcwMQaYdtMlW5ebGSf4rGx0GrvRIceasAskuzqtO6R8UDQrRboPTwqUlTx3VOsJq+jxxxV
al+5qgrxxngCqUbtQqLRdUv3/mBKIKMfpFWq8DjjiLJ72YqkoKk46j5gha63Cf1o8YzgSKZYgISp
ypnrTBOG6kU7Cd/RvojRQ5+KNKhCW2Ut7MThju6RpUVZfFfBHpA82tkneUs0qmNvEhtZEcSDCfeO
02tjti6A3YY7Ybc1z0qAEcM2C6x2mFggTnkotP3HlYHXkGnqAh6OUpsWv0/IBjWJNwAPKVks9jU9
wroRoBkflekvxuiT4KTPNvKm8oGCGRnXxOjruS9ewdwXmBOQ2OXHu/IakfTvXTFt2zbItebB+JrX
Yk1e1THSQz6I3WPZTDdjh95iaM7gcz5h77y/Q/+7Kf8N8ggoUeuGTcKzSakSP1IkTz2cbVataJY+
3qt3NgXVQzCzoDZFDWj+/W/QsrSkM0q7WS68vCV4UNFTHqNkUdvNJ9yvzzb0hjCVOunYDjYbGvJR
UrSwGlSkwsBCtIy0gp76x/v1Gu11PVuv9mv+/W/75ccqsjPB2eqcbBkMYGtyhHC0p/UWaIL44+Ot
/a385QmC4sFTmcKAZP02shcrhVZmFs9N23xCPLsA4r2w0DyPYloFCRjB6CZlpvbxRt+wmv+5j79v
9Q3mLa1NvANqBnLoCiaJnyiT5wE6F0JEqPKfE1rVrMZ6hbbXV35Bp4AJj7kcVYqPmm6m/UNLzPL0
8Z/1zn3iwbTnQHgWRVLrzRVVgo2rzZK7sRAMKpBbgaTaeETcT6LG3z3mv23nzQUl8sqmJcjQkjMp
PtkWFxIiwS96GBHQKbMN6UYpRwYJI7O+Twg/713MSGzB5TInxzb7ZlgzbRRTTjOLMNy2v6nGjAyG
Eu6sC1vmPx9BZ+Cra1HeNU1nLjr/fiFbPbEpVsulFWD4SzFTps0fefjnx+fsnWMJateA+gT73RDu
/Pvf7hbN9yvhZFgd7BHys2p/5WH3IjVJQCrWto4HhpPdjk32yWbfOYzQzjydejJzRjFHJ/y+2Tia
uIC0+RTiSqvNYJHhmcBu8MmN8hq4d71P5iAFmzEb0h90u9eb8fB7Na5iLGhiZEFp2Zx0T+0+PoLX
U/4XqurfG7F8G0qeDtrwzUbiWBDWTNo7tZCM+nWN0ZZUHVV0lCS9UD6FcUgRELlsFgN3ctBGpK0o
vkcUv+dUPDd7/vgPeuc2ZKf/9++5Eqp+O6VxGhoq5snBeDuYQNx1eYoSfArmFLnYOkr3k9v+vUto
PsSsHZlNOdab67QE+9NPnQXsM0e3Fsd7N5lIZuxxwl8mJWlq3hjpy8f7+O6J5Xk8J8IaJrOM1yc2
b8d5aso2+8o/wx6kupN9giB7Q/L613l1GEhIlmFgfxsXMGS11yudbYD0yWW8ySODyTEeJFbZU/Wj
MsU+w5bolOEnV9S7N8dfG7bfTALiGHgChBtWWTkjfFAixmNdRg/y42P47nXi2HQkXNQH3ISvjyGW
EwNQHP9rdLzgF4R5LH39G3TEnLojHvL/t629eWT1qRfk5BhECDvqo6hJ6imSdaVcQYVe++QB8e4B
pH0Cgo2b3rhm4/52B/hxXmRyfig7abnpXe9JWRgo8YR8vEvvXYSmzuyJ1p9reOb8Z/y2GST7Yirn
NRvBxdsuqXGhmF8+3sR795Zpuz7ifh0jsfHm3mqyEjorZr6ZBEPQQbFwLDRo496q57JjcbQxTnTt
48cbnU/86wHN4KBB4CNn2bRB2r7er9BKqzKfp+7zxpSOdrO+hTlx44vbuZ3xX2zMNF3HpO9Bn/TN
VVhGnWFVCUO0jHE8VjmwLOJKkZ0mhG2CFyYqQKw/3uTfLw/277dNvrkUzdrTvEnnGY4Uh4lvNNP2
duPw9PFW/n7qXm/lzVGc4kH1bcq0N8iN5EHzzRubVfroRl9rX94iQborNOsJO5r8ZDz++339asPW
m+Gj7NCMJRH+Uoiyt6Nj5Zu2R2rANB/pCVFpH+/mJwfzLSy09nTqrPOTvE5JM05/hoj4PeZfH29F
/P1ee71TxutrcpROliQJYyJwlJNDH6Vsm2WWZvdhVixDmfzKIudPG2MK2rRuJ8Owwhzo3CN83ijh
Xz7+a969QUxa/jCfdYvO/+s/RkvQkiUN12w1eYBlkpWqGuql49JufgojXn28tfeP8F9be3O5jlFr
+e38HLIJk+tV+qW1yoOhfzaPefcIWygSbNeywEe/GWrouen1ON8VpoXP08dsOH5yEt89bCA9SSwS
nu6bb7dArJBmGxUQWbJY16YGPwM+Oi7IIrN2ZuVFl0YOzifn6v3d+muj8+9/G6QNrxshhHOuKEdg
YmbdGXTbcVSNWH58mj7buzcXRa7M2NIEp4kZ0taIsq1nApK3do7dbMLP+Kjv3uMO0nITDrtv6282
1vmIfVGc4CF3d4K7TdbfEv9nNBSfnLJ3jx5LXKCYhFYD7n599BLkgrKYSx9QvhADRrbajDgBPhmQ
3zt0rKDnRSNCdFbRr7filHrQj8n8IG1wNAm1MwhuaFM6tB1ddX3z8Yl6E2YxT+wY/S3uX46c//eF
FfF8lj3X0xZd5NGpxlatIbemCwtUMveOYtSPnVl/MSf9aMBFbPSQ5mJHhdD1Hz7+U947jSb4cebO
1MkIhnu94y4T9NCfGDyp4q3mpio6BlILijVRxv/FlnzbmJHnjs9183pLPPAUYlq2lKeIa/WcxqxW
ORj5/fjFB4Hx8dbeG7Is8ilsehv+35d3vihiqwPwtkA+AwgXx4Ezcwvt/2IzzO8AGtuGbnpvCw5T
51U6+nWWd2RBrdFK1FtPJYTMxmm1/XiP3jtTv29q/v1vwwhXUikpLHHNxBG2iMOICmnwzlqafXLH
zaP528kXC1Ubp7/jwXt/cy8A18kMQzIrR6h5h5zoAbHNk+mVj9CrbpscdqhElPBf7BxSNMEsFiL2
21JgNkVTBVpx9jRa7aF3x4NeqDu/au7IFO4/uRLfuzYIX563ZM2ZnW920BuBCaT00hamOZnaIZNT
LFdwMa1mWzq163+yb++NLczPYfbx1GGTb24xI/UB0rQ81iIzhucAqqf5hiZomYVfuCc/eQZckfSv
zh70HusKrWdeANn7zdyrSYcQVQLjZZb56I1owkj0K6023OWJ+FqX1iORFV/DUb+RRrat+xo3Rnf2
vXATjPE9HYSBBNjYWHREqtNGghfhEbxm3F3P93+k8Tx/79tf1dsczlcKz/9LBvr/YVinsLiP/m9x
51H+eCPunL//T3GnYf+DtY5t8XijejEHb/5b3On/gxFZN6guUMFByGnxm3+FdZokfJLBINAOzY9g
e86x+pe4U/j/sMklIpiSeRQCUN3+T7SdPI7Yym8jgsvfxghKOAOscaSmhKi/Hno8K0loYTN5h/3b
QJTGqjECQca136ZGMSyc5FdChM0B+m97kKZ/MkrXv1VADiu7R9ZMtzP07eyBHnP20GOUg7FGRs3g
lZjv/eQ5JkN8pIh2HobiYXTC4c6W1TkzFd3vGl1XGqZoxATeaEDqYzKmt2I2XuO5VUdk7j90ogJA
MidHq+mh4unlL4MvPToJMjOEUU+D3cP/N7Pp8BL0ibf0jPQc6QkovMxa0WDVaedV4tHuESrVTve1
qAP9kdQoZ5kFARhWbE4FidLQ4/AZioxnthaLI0+U/Ggk3XffccWhwbFCg8so8D1NKcm/Yjc/BYEK
+CgcTNYkpQ9VyFbSW3cQf+8mP2j3mYZRqKwdGyo4klTND/o7va3UnW6LDBz4oG/1aXB39AcFMjjD
XXBv0pIWYIBt05m+sVS+dTH/neMerqLTCxImHB5AdhA2+6522n0CH2FlEmtE0Hf4hCASTzzmryWg
Sxa6QAvoz3rodGrHuWSWordfezuajfYZMwT6v7jWf9CCXiPVwmGfVS9YCJa6G2COL930Jm/8ZD+0
+fdEBcSW6jkcEHz5bWOs5SCCn8XAyBc6AnLvqIkDUfDVbWrNHCWruktq/dg6mrfJ3WCXW4O9Ao5a
ElcXa2s1Y6YCM4alnpX3wJzzQ+sBNsrSkOoXKqxVJdxhJxLze57SIPUs7Rcq3/5RlUhdyRO/b4GD
xIXs1rjOY3QlQXWnYJZvELdryMDqX4Usx0OU2nIDDsBb4EMEbdRH5toa4TzHtuYsCBbHWe1gWAr3
VRF+85Q9HfWxQA3VGtkuxjC1H2XyrKd1udYjMVJVckxiQvT4jKzsnN+2tjE+Qznu8im6Bdv30AFu
fciajNqs2578zgKfYxly1Vohscq1hn4Ba8UxcUPniMRP7uJ+drLX1iFWZrd2M8BlHQbFTRGUDs1v
dC8pRAWr8/xVaZXerhnDR7y5iog/fadohS+EE4idMLJugxBH7Lp+zJ81w1nXXuZ+C+8hMCKO6gog
gvyHJ0TfFPg8V3TFq6+NkYVEYaXdJY5ccQmy8peWFxWJYi4FVjvSNyr0H4rhu6vh7mbpUZwa7dzP
xS4oKsaqpg5rEjTeSgswtbAC8iZAm0Ji6iqgX3ievvUeke6qK/qz64z9GYQMXngyObrQ+sMxG3k/
labCzBK45wFr0R4DX7XT3ay6JCkOyV7xpJHtvWEJ/VIkv4ws0m76wn/EZV5vZVE1hyTU73q3jg9x
E2KHyOsMR4rA99aQ9Bhk7s4z2wZCEy/o75ubfJYPdNmEplsO7W3nPUFXHJGt2cNFs3hXJwB1q4QU
Gng/azCl8c31Jeh4pxN8vmyGLl7WfSBvwNZmuP5sxL2R0dxeMbwyqvsDvf8SjSWobblx0tY/likq
rY2BuPJGRILiIT+zg/RSmP5wdGCiPOSBny90YDOH60ew3jm6d1yNSCnEbtCs/KLZ5BgVCOpgt1uP
PLv1ZRSBGvDNTNt5VWmRKIcwf9TzLwhOkBUNs5pI2NTOzSZ77K4fA6s3TxZy3Y41/wa12R8YxmCm
96gTNq5fiwnFs7oxSyM9eW2Tnq7vxPzx+q7B2xZ77bGYpMtg644IDFA8yPamKHpWV2l+9Jk5V5To
4XiTPSe/F6P5B3PPeokUNkaTbAY3qE+Dm2acQHNboItDCEASl/nRRLC3Gsa0WAyofo5Vi8Wpt7oS
DXhvfgmrAo5V/FTYg/+YIKeBG6g7Pxqr39Rm98UNzXonZzx3KaS/N93qbKFpAVXS2fdhUiG3BNB/
1F2El8joYcuwBj3XXd+fw1Bl+2kKn66fQMJ0O89Fm369OLTWG3eWXbG4YUzEdd0OG68v6od0IvsU
uVq2F7P1zlfRdFObTNEQfuG85v/bwBm5dPOLOfrPqrXSQzrk3gmz37JNCvuu1wsJkNTsN/rgWXfX
F9ULyADtMO6ln0MFzfVgm0WudoGpz1nt/GrXiSG8u/7Mhje4wkI8rjHatYuph+urdHd8qId4Mfgq
vL9+0mGVcyCQkVoGaqZS63hITQYqV3I7HXpFZ7cW9Z1rl85myPhfGshPNu1sBPSCBI2MkuZL5Xlr
HAblvc+FugLgMq4HDxXgWFp/Yoz61x2Q5EO3V+BbvBR9lAUiR2086uZLvpuuPaDKy9FIAxTPJrkg
BD65Zw1/5B5J1v2YoSj/5watCYpT0yPAzvK+n+ergiqgbq7wVuQgRRP3ApGdcDajTh59ydm10th8
lvkEBh+h1Hd41aIGuON6/uX6UqRFcImKi95rwe31J0Z5GvuJpJSw9o4wYIG0lRhFISIwCSHF+Vg5
TtRc1BRDuqHse5aiNXZTZP3sstY9s+7uTPpx4ofZe9GKJgQMj1ZoT+DjOR+WRO0+f+woSqGx8+Xx
+jE1KHjD+wnx7gNzYZAd4xSMUtajUZ8/FlzJBxfuEIv3QtSADYkztLR7i4fl0k6d4RAU9qPs2uE2
7bUEBLG/C6fUubt+qsduYVdO/hiLDGedvbn+FHWfdqPJ8V5X8X0bhvYPKATAvN1Cu2sQah1kI8MN
dqTka9rLdRcP1g+q9dXSaM3wltrWBJUIyf71n1ZHLLLjj77Xp1Xc+6QHYFOvy/AYoovftC1Ymbzk
EREl2vCo94G/KFxdfU0N+2VirvXLAYg6VJI7RYZkZ0oEs27fqL1KIYgov3lsvcDfF7iQ11E1YbtO
D6E+9d8KhUIsrFtn14GzPUoGhUWIIBmY4PgivLLdC9SkmNL94aURjMCeF1qnqBLtl5LsyxKdvdUW
E5K1ITsWlnKbxfXt9SUrkvxYI887ROEEeGYy5NopaouqCfDvf35GoMdcdRjybRLo6rZIstghEzb8
lVt00lUBJImQ3vBlUt5da3fjXWb1w/2UO0e7sbXnuh/SfUZa8Coa9PAlRiu5NNzBgFWnp09u9KeX
8bzWfe0ScA0+GE3hrnxfQ8/ctMODOTD3mMbkYnKy51jg9JfblYx2iPuXmURtXSDiPcsZ5QFa/XJ9
qWXZX6o+xTYzgBG//szMbGsba9FEBcz6CQePIJ+g675wV4MtSMxnxwjkMSS6aXn92Il0XOdm429B
T5nPxHL91J3+3X+Eb0ryfHhx4zL46oTi0c117adVBjdV56d/6ixZI2m1+M3dmPTRThBovQKzDKt/
hKATgSKlK2rUmyqPgl/uYJLPAmYBvIJ7orly0wdJ+4QR09u2ria2oH3tp6IbDsLqsh9J2eRL2djO
GUuxOjlt6iyvv/D7ZM2IXz+X4cluXfMQjRW7qsLqS4yE/hhbAA6vH4smqc+BKl6un3xl1pcyAW86
fxWgtLpPAEgTb5Os60lvV2BJpxarzvzqEBiJubwjQsOQyU1nBM3RTcS/Xv75nd8+E7RycJCRX7+n
YWiPRxtpqci/FO1Y4n3Ry3CtjbJdgfy1b62gdm6v79Is+SOroMDXEGtuy/lFgBSASIiUmPOVM0b3
4zffwEyCbPBJH7vwYIdVvhZuOH4jdX2nBthFPUkUB7uB8Z72/vgNSPzOlCD1owqGte2awJVIPdqU
blV9H3ZOV6fftTavSYw2/R0lkeIpgQ1//TUrQQhexpQdRSnEXT7zsur539UjJdBgyqOLa7XTSfj2
pdKAxaApfLHT0cDjRXI4t/34knwx8P4+lGZ49Myh2A1lKndJKb2HocSmS81W/CSH42SJrHhuQNNv
tCBcT6oON9zHrA4cMW5HWbSrpou4DQWUf0tR+S88S23oxYGsmz/GKpeX6zu9L+79IMBRNf/8+lLX
ura3E/ntrx9F2CKcWkWHWiBZdntycBwA1+RYFcWqKlHqSiGcdaHieHv9rc4DemlUkXtgsXwxgr44
+UZZ7klYIODCxEW4bMwG7l8kxHoC03yfR0NzW+GxGotKX+haG+3anMfWotN1Zh5aDyDO7YDn6ZW9
dHgaNMAGDhkq5GBR+8RKmkqAmr5+1oRWbiT60iWyWWLRzZwRZyxZBYnkNMqsuWWH8sv1heTxfJ1o
YwMKvg5wxgV7jbxRRY1oiE994sYn8hNIFffTm+uP/vr59Z3GQlPh/zgTNbIwkKudTQtb4QKQg7kf
HeubtCL31pmv3N4NyXmqiuYrnM18o/M8ufH7cLq5vmt9WJNxUFkLf5Dm6s0vrl+5vtiiQvEZu8Oa
bE2UBTKpm10ZTU917qmTlWfD6frOmd9dP6Zd3OyMWvzzG9fv1xUa+hR730PYmLNeXopdPn80Cju7
YS2VL5iso74aRnXIADHcNl41POiyQEYPvUE3wnIHGid91gu9gF1eOye7j7PnfrYZSqamGmH0d9IK
z9dvgS1MkXPNExsb9GPjPScVneEIYscjmcVcr3jA7tyxTjYyVwFEBVKBwRXqgEbzaD0mXf4ywMeE
vdIEx9oW7bNChD//uLUn52Yw7QqIJh8BHjarQQZQwC03fyGqbMMAiUuMKesWBZ/12LTfmrjPnqQ+
JYQteNvrJzAlxi1ik8frp95zCFsZc9yHofAX+AiNDcsg1lgpYGJEscHGua4Tml6tjTCYntsRv6GS
gXeOu3oBygdzosNka+FiKL2tGeNjOx8vNuufi5Pf911nrkrDSn/UpA6UqfNDjmaxslmPngyee+fR
wTgW5kztK+A85LiYq6kl8cIMKtdc54UH6k9xIc8vVpA2t6bZjLskECgX5o9ROcHM6AuTmI/At3Yu
0LKDjsl1sqf4QgSOfa8hllqQTtPsy6R27nMixc6TZRyun0qJ46AP0bADRE9OygCAWMI2cXt72nIn
Jqe/fh516YStHwZemCxoaY1yUYYxE9Wx/9Vp0YPyvPI7LSO8mlo1PcJDWwYG1uQ60kHcm2P4kk3G
cz0WwPYVF2El9F1G9fo5odi7h8Rd4e1Pw5dGkdZK8yM4dF2BgyOSxCX5o3sqmlptIGJTrbMK98St
xJNyfrm+u/5srF2gn2V2wO79q8IjceAcCWKhkhhLHoY0On7xMXOmu+t+XffQZk2xc4sGRAp7/9fP
r+8yL+XMZ1F6VLoYdoOErY4zEuAAzyua9Gb0YOQ4aZJsWCpAWfdjW8pz5kBE6W3Q4fNLSWTUWkH8
WIdVZWwhDvsLfwwzIC2l66zLCuBP1+jR+fqSGnW2CCKlbTIu99P1BWmAvaqjoVumIq5PIP26ZVhZ
wxpZu+4CjlyPImRgpYB/64rCv+2KTts2Kaa16foN12/SpUFY79pizXKyT0mEzy8p/fbUFnl38iYy
bBfXtwZZ7bk5hIfrN0thMJZX7RbSxMyzL72bytFAxM4v1496FitMOkH+XU2RuXnzlev3mg4gPpxE
d2UJFd1Ka5AHgzXQ9dOQuZm1uL7thhL+njXy5ONrlBAwkhtGuaSo5SxbN2oPttdPz5FT3ridoe4N
bMX3+KIovMjpOQgYxSaV2TjI+WjEQJs6MbYrK/FfWrPLHl2yGzey16zV9SM0//7kyfBFJm72mMwv
LcDrqevie6ILdgBWtFtNn8JlBtdzr+cifNS0Id6RJgf/qMf2OA6Ov+qZY6D9qik39OMPxr/p2Cpc
CGxxgHe2L2siZo0giJ/61Kh2dR2N3OAwgpCEajh+E32tGi3c57LWNgaNPkKwBLBJ+LN1dhibQD/n
HtDnfPBfXDT6A22zEqz5OsudrxyvCmJ7kzIrMog4cOxhaWaGs+i8pIdoHrGAR7PNmtXZ2JLarlZh
B4eMMhefw+KSuTixxUAGUNyoYJ8YiqW1sxgnRsV21MxVq8dQN/2yvvNyljBJqtSBfLMFxmznFO/a
5H+YO48kx5knz16lL4C/QQTUckhQ60ySWVkbWEloEZAB3GbOMhebx/ymbabbrBe9m01ZZVVqkoCH
+8/fa8UJuClwR93ZWKn5LISdLNjLdremFZYLiR5xxXLHMlGaf5wnjS8MS2nZi+mbLsK/6JLCpV3n
39kRohXdLhM44ls5lPSxYuQIZWUx06JPYA51vyop6vCIwOAcY1QZbW6lB8Ui3YqHb9OFnORBrD6I
QQGN4fBhNGl49Dvrszbt4pthVzO4O3+GHfazZGTM3vwfmbTFN5hj8sDpH0pcy/kap0u77wR8Vb0T
xsY1CndZF4Vif1cL0uyjs6h/GzNrNk1EcKVK4b9656zs3TOF6N9WzNyFejmsSE2ofTtafFD/4Rji
4dpTssvpgdo9YoC4+p1g8TnHPqzqodWHNQ3U/MoDXFyjLtLXs4QWa3DzcJ0xYKNZXr40d+lL7KUA
qI/Mz1Zd0wRurQ1nnKr5vqMVCR9w35TDRFd2alYtYFiVdOeqzEFjR9QuBZ9USnmsK/Fu1+a8KRLO
l0nuZiuzQ5ssy/oda9OTuG5yZR1NW/vS5fIkwCCGRbqlk5ttuiw8ldlMF1Y5x7lu6QL2BkAnqX4Y
UWrfbJGmS7fObwkvybzwP9ieGrl9D5ggpbimmv9zTMannlU6zbFw2medx2FDVyE9g+xvLVUOstCk
FWVWoEVduQwLC0hPhX3AF7BWmVLzpHeuo18zswn/WKOZ4BLVg7CzXjygflp6Mye7quVG6erRumj5
1D7668ECEabnXGHhywrdOlTzoJa1ZOO2kp9kyX8XVl3vqzzdhkmmWGwG78cCdFCE5rhGk8FGn7w3
I0+nhPWp85hbNzzLxWYG4YMTtXtmKU4BM4Xm7WhJ4LTESwAg0WgngRp3vnXRqj9Std7WxVhIF3HB
ErXLFhpjBVU27QLvzGfRdfp1iAitz6yNBQ7uoTNnFQjGVh0bm8JKmbEse3+GhiHy7DLo+8RhEa0z
5jFAEXtIqT8WGualNUMudmsHq6CCKcstxNwVx8g2MHMnPEReRCNvQjvLpWDI0ktXRmB6CpjNfs0m
6ijGn+FIkslP5wNjhoiJECvuSapvW3/ujnOMLJxwGSNZTqUgAAHkluPGwDm5UrGTLayC9ch2hPRp
vWC4HnUPTd8T3ZctJEAqRYJmvZPEVyOFLFzah6Rq4Rf4xY51bb6s0ZO4yCEI8CBJF4nTEPMb82V2
Y9anrUuqMOnbbOvTlgARK/dGOCBFSeXPdqAoBHM436txftANz86ZEPNdSxoMJ6UAI/9a7jRGddZT
8yoKWH5k/465utE83VhtvxJhm4BqQP9oMX7eCgRnVId79pDlybOlfrUL24ZEf6wmxmIQinZsaQn6
DZ22c9PqlKr2UwPHwUuh8NdYT/zEc68FsMXSqLVN79MwcxxtT6H51qmdXqfboofK1zQz1RQqNUM5
f3NdHy66TknlCr3ZAd/GoVClCxOBGPugyzCTxgYfcqsbFLMjyo84NrLljM1xX1AU83JvPdjJ1pr5
GAYMMRzi3hne7LTjZli4iFwKvd5ULWYFZYp31WbqAjxpWsaZ7+0qvwikA6oZ+aBJ4ze6CfeRx5ED
f7S947KEBDL5a60K4Q3XE5DhSFs6Jj0J6sUfsdIoUi05vRemZJXGyGCyKHczohuxreFmhaMBCKQ9
1Gn+4aNRO2gO9lQ2b3ZO4g6nlCHomgNNeOnlp57gVHdmab0rcZeisvd2aehBN0TGRyXS7ZxtW6sY
XpSLLPDy0SAUFz3GKNY27A0YwWiwBO+UtQ56w4cY4c3rXjPDT8qiRRjK3xPOen6Y5AbkQjuMncvg
dGq2utPfqrloIDQW806bItLrEei9Qcco5BkHfqsXFhXVxutjH058ma+5pYQnSArrtGy+5/PrjtG3
/l7UtQGcgkXdcd1npXMZ3fliwot+q3NK0yQJl7KAbNLr/YytC34y6KObo5p81/sOOuY7waOfBvdd
THpcmVNJvdnZnzMNjaJxmFtGdbh53XOiXF/lWV1sRwjo7FYbyApnQNQ8M/RFyiWWGIu/CEfzz0jK
lvO1h86liZpFG0afftg2geqHbdmoZJekxs8wZJjoVeNjmES0TKa/g9PVa8vPXfjsFiv/wjmaUBoS
OyoOLFDtYr3zyVvXYtsyDD8xPYRXrtR0ncjJBao0yrtgstG02pOhihdN8qIQcC8rOzomGnrJFBVY
5wow6BLAR5vHau2QBiHrDqDPLL81SkQfXW/9bPLwzY//tDPA4qxW723t7CVRsWup2RIda43iNXPN
56SZ2dJUf8YMFP6opeZ9GkjMtWMVMWAcmw1rJsnT0jiqanM1Iu7lzbDPDC73zkpyW+eJUF5yFqSu
kwv7ZmrB81ajO9wHyN1Iffdxaxxk7KMBnysjsDTAvHGcPZsabVUyPX2G54c21tOnTe+M8Vuqn8Ki
sTcopCg+sr4+44GFTKnWEW0yRrS9ca6zyOIKC7Zp5caWvvz6x/G1KmzAk95Wr/cxWNM527W10wc9
OfRcLTVh38q26ddxx4wYM9WRBqt35lQkjwVOrnBU8NpzzQbfoCZu57TpIm9Q+6+/hS5/SxjEr5Sw
isXYqnJbufG+sCpzlxdgyvPk3YOmt5cunq2pYM5j9unN62oW91hcZ9PbW+hZa3OnsZ/pDCSFsR+X
6R3Li9Dv00NevTNINLeITHEuDNaT0Tt0bK/O1yYcUgJ2hnupvO5v47EMg3KVCZ9ZHxwpk4BJK0VB
lERHWQ1oVyLkjuCnfgG88Wrvm+jl1cy8cmPpKD9QwPdLskY5xYPZH77+sFutP6QW6oZK1e3Wj+Fd
pJpzmY6mZc6rMcp50P083EPj8fdVy8NrtaoIktCdTl4j6kWYZReqBHr/gA4vX13yr791NE55ks14
PmvSIUB1LqjWwQnK+Sx77t5N/QKGumF3qSxWCAv/kk3JHMzZa/Rueg86ctMxyi/Jq5VQ0bpi8GLF
WyA/ZtmbN/6lDRLDTjdbVv2no+dUcCzjDyGGYT35zr7pJ6iwgz7RlWEdAMZ+tWxiB9ZEFJqLqsGu
4ClKGMq1fj3ZKQpwy/0TtRrgpTE9AzVQ5vynoufJrLV1kTUaYgXNCZjV1G66AcYMaqcsUZBogENs
8/5oF1G6tSGpQroNmVA3XP1NGsVwGt6LPDvgnroxk89347faxUSoJJ6QmjBZFzMYS7SCXiz3fFXf
+sYH/GdE59S2rrOWEcs1450HfTvQFNwcPfyZZna/8TQXxgfk9lWJNBbovoPQz/mVJkVxkh7DaxiY
atlp3S9rRBAURvKURe579erbhDWFqaHoOkYzqjruF4cuB6OPxfbKdi2Vv+bj2G2ecTiOoC2rOigJ
sq4VEsw4FN8KnZ2+xNVuFhZQArDpR2t06CesYxXX01J6gF1ZTj9J1B5WobvnOdOeU/Jid8cGQAMn
31mNlUPuyt6GhitL6NOzftFSDOUaa8UwmktqUpyLQdsmtkqDOtJs4Gl1c80UFOu6/KwmPV+lg3W3
7aY4W7mDsM9VO6aiQaxNJXcUdxuVNaM3Vz1Ym7eB1bjZMg8rfwMFCW+q7A6jDf4xNUW6Lkb3jzLH
8GKA2NDHIRjsSi1FJufLqPULgX8JFrEJ9iwCDGImjynTiyuDzSsZHqhmFcXJYoxjVpMqOpduwZiB
PX1SwbO1JcnYrluTG1QVumqtOztoCh++1r/rOZCUiJ36pYpMHb1h725tNT1H5IpvXER+c4A78vy1
Ds5IfQz7gpiPnf7EDIKNTxhvfv/GNwCWx4eI3A6Cc1VVnzj6WvSprYLL+HSIqSZO5M/WThFXb7k7
tzAyNHvVTfkBAm0V2tNjNkO1ypEfuKzhQ+vl2GAzeK7omgO4dYwrwfRfxlTai5HLdWCkuXWGU74d
6XxvI+hxqLGRv+Te2oWSHmgJjBkd0su7a5pPNXDEmgvxqw0FoOiuxQtCkCGrq31kg+d6jcg2OA2P
Ro++dCzaj8zQjFXpcAX1pq7cdE60NyvgCaLUPiqeeCwo6+u21w9YL6MggXCzTadXJ8jq3bWea/S9
YjJTmUNtiIWoWDKhJQluUd+qbj5PUZmfuTZrjM9IWqQxIu60lE2AOQMGwwj9fdCxm+G0vNvu9MPv
m/7Xi7mt4j+6qbSLU3mPZDijo2D/TCCwxxFYrSxhpEfXw37aE8rMSQk+VFV+tknSUakrDFp5dgQb
3XybXIYxtDHZYjP05uTij11YXvphdLY8ICw5mpzhFk7TwSvSsYPW5fAi8wDqMqLkTIfUJ+nitCuA
edU3iqhDkafxnU3C77IrgSEDwEZU4J5NbZz2IQyLteZU1n1KicxG5dQ+8fGeOnAPIu9vuhdObyYN
TQzO6mGrDLOAZ/yZ23q85a0Nt1xE+i+o2qtpMKy7I63AhFxoRiaxuHLiUgjQ/53HiY4JS6K/gYxs
9KQ2jq1LuREDpkYJyWZbFimJlzyydjBYLwga9aMDOYUdm+6PSvFU+vBmEcTVm2SgjQ2hSOwmuM8E
pMJ+obT6WyJYZoQvYFQSYE2PvJMHAWwSdzcrRk2n9rVy/RUg4CcB5JVj5dahTYal1JSkNda9QGJN
H/gAzBuAgCOXHj0b7Q3nuQptdsPRP9eMal++/ujiu8zLhV3W56bUC5wPCfP6kxtvLWgru3AqDSDg
RYSJZ6j3pMUKtpB71mr++Su9zYQiNkNlAkVIGmgWRoY9en2o6dY0yNzNUf+dDuDbZgskooj9tbQ3
5uCoteWO012bhmbzEhAYbBYEeW1M29igogyn8MItdgbF1UNcE0OAMUojY/Pvf0B/aIIK+8SyFam/
7J0NF+5qZWtRtDMS6VHvlcPt1cD7dMpBXWsDfXTbwOyfXy6CENChhLv9HslRW2IvoC6rGF/Pk6ue
yG5Wqu7ldwLgPmar0ge5Lp91n1bX8SWZ5lBjM67bCQ5HjUFR5JUJA9g+CzjW50djdgeaNVixBZ3N
I8cL2pnmvEOKxdxqcMwHiC7AM3ib4GsT6TNvWH8olaiZYOk5o9NxifOrHWKzbuE6g7p5mjWxdY5d
0XcZycIl24y2n6670frtT/rWbWz35qeTOMY85DlNr13YGN518qyCew02ljQtxy1HTX4BUmVvHuO0
N640zjJjArTpQyGXg/L8dVym/iV+YZgFWeJlX0RA5sbCuX79URXDnTAoSQfbvwptemtjyAnghd4c
Ig07v3COrc0YLslOQEa3gw4ZMWGQ63HWXLYxaVQd/ZROy7Ds8CP7EAhoPDfrkMzDAUWeEHTMKTrG
F4lvaWbyYffaeCuHnJgeB6oN3pwNPSF58WT2ThCTHzclt7Gly09MgVFCQgM0MHA67VMv+x6WenMW
NSmw1+MZW9a4SnV9Q9s13wxABR6FwVSsreMfWjow7Cm7SzyV5iExdJMooP29YkEWLqqV0/OoaWp1
h8jXsJK7P9MUxGJs+PNmqnEMjwxlyoh2PXiVv1bmn4ewQb+JTCmoa68Bmt4wX69nNBPyMEzQ1WHJ
cOtum3hJdzxlKpv+LEGMbQwt1N71GS9sWHnHypi095kmwYr0qrVKYAVQjEWAvMpQO0au+j6Eptcs
hz/xnC6LWn3LnMw65NScy1G13xOiCQEyCdLPHHOF4Nff0M70DUQcNRreeXaepietbalYZa5qI1uk
45RuorZrFzUaXKjW/VIToY2nQd5cIGIfnbR+tUMRCF2Op2gqj7Vr1W/NKdVfL1Yk3StZk+QbWQ5a
5d+NXOdr5l1Ir1fPl8qiFIln3lNoOL91w7G2gxB/Ehv5PPShY22a2UPLBTdYL1AtxmRlDpxHot5f
JSaxim4CCIuctCE3w/1B1+1sheoK8iQ4t2Upsv6k91xNhZQ/mWsz8Wy1X/XsqDPHtIWhbmHE+YWG
/icz8H5rQub3zQwPqOmtHRaVsQBWzVmruaiUrc5TlQ4HL3xJz4ZLZNMOG6107vZrEJyyn01H/5F7
hbl2rFqey0SXZ0PL5bo6DLSuFnoTdS9sovMNNzIDgDkyzpnF/Me1B6xFIZGb2CynC9cCBta2vfM1
g7rEhUPuFN2ZoVN31ooGeXpOKZGYDRV8PywBHwlOlVs6llT5Mf4ZatPfvuynk1tMgd+nOvqAZghE
zv3EUNpnYrnuMkHLdU4cDU21ykxw/nbkrJHhKG6frZr7Zduz7IGRh+ztz6RmaqZqsQDaah5xYM5n
xyiadU+uf/GK2HPSCPUfSVbzEJqNToRs/j5whfvnrWbkm9Hrd6nXAj2WlqxeU+DRjA9zBgv3AwXt
dDadWZyhhIuz+8p8gl9GvJHF6Op44QP8JVldQA7jOEWHe2x4jdpjjQbKvXWaQzkHVm1B35CegNO1
q6Fz20vCMs5Ot8QH1M7s7LaqPpZcbMy80jcWiLEFY9B1wZCWvB/ImVD2n1Hc/tWLesBfjZooa7p+
R/yO63Jj9CsSOeNKYBrTGJzXImtWHAEiblv1IZ25mGTtA9tytyX92T09duCoF+Q3OyT92kx8Z7Jl
5EtvrNv3dZczBpTlTTNza99WGKqKJCOygmgypSo59BJZitswbqUoFW1hbLwom+H/QEFLuuR7pmXy
3eKK6LLDVZT2wBaSq07UVuWKY7n3qLF8LmY7rf+OTFPA/Anuemsf+UPQJc5ft5HNs+80D7iNv8i6
qFimEGJWuSi9VVWYtw4j2oYyrWcUpM6tof2Y7L74jrKJHjBxMRSuxo1L34/YooSMymw6S6nqwPXT
/lSl6dpqdLGJQw4ANiqLc0V6IOhMTXxoodp2lKmgXFgwCnv34HgTw8sa6pCGDbVKVjy0Yq958W9t
ohNmNc1uRG28mJuhPsTcJ14BkLFdBign0zti8TLwUcJsSBK3ENWK8qCBrLsr21fr2NP4qWqTZq9P
S28mgh0UvVHv58F7y2R+BcRH35c5apo00S4NX7ooMCAkUMUNsbVxFyOot2qcyhX76N9DDhlJ6Kuz
o6ZthEQcwWFKddBb3XtfYp6pjF1oM1Gyre+GvOl9Pb3bXWrcYt0IzAStD0GYaRkhPlzXmbcoQ+dq
0t2xYPCdO7zd7wYVdcDScbrhJJjsE34XDN8d69AXlIOKn9NFBH6ty2S8RRFRJvCBRLVB2dEYDmRU
bKQ+XrnaCKaMi2GykRiN5Sq1kuKgtab2TnHCs5b42xIxzLabG8wHMo82Lt3clRrKYuFRkE86yIQ5
pXuYp/lbVFUdLNaTE1fDOymVbNvX4/epbAmdOEzERJIdXaddG0N/zjDaXBk5HGs9/1SJextfvzwL
6Pq986yM1QLPC1h9ce++q417XJUrXcu/AZrcv0rwi63p5LrJ5o2tfZ98TdztPj6qXPcJ3ORrtxET
GL6xwTCBIKlpYwn2s1rXREvfLW/yN7wGxtCkfhu5sPKcey9EUxxaUlUQF6dPmZpWEBucj2gATw9i
eTrgElC5g779enfattiBXk+2wuOoCUAOQrudaOvZzIxA2N+YDxLe0J02oEgNnMaxzkXiPtzxUI+0
QjwQmlsqw+rkhBP5aM6sQOaiw0RFfu9axnhFiLyi0erm7tRFfRANBV4101/m2svRiYn8WFTdrhEp
dGAAMeSvu2Wka5yxBpNWXbm1C8/aJVF7snP7OJsYCM3KvWcmZ7iKrOgk1i4Z1rUmpmEJsn2+AyIs
z3Odkg3kLaKQzLYt+t/hygdne//6A9437aVsPE8EuUEWMjD0IrSrRLVNzeYW60piyD0OPj0T2S6r
2pdx138v/Wk8meVoHiZMpVyETpkdT9Bwqe9dCqH3TvtNzL19M6qGYQFGoN00SF7hz7mZ/LOv6vxO
xyEPuPP8zSvvBSP+0dKzv5u+A1VaKhRor287yYSzVZymlm1WBZNb2Vvz9T2FwzPijLaedbFvmOGV
Lm64kuJu1JMcz7Dq3ufklzmCOF66sluPdt3eWs/Uz4nWnkR8MUlYMEXq5DpWhKxlUtw5yyHFSPgl
ytDI7170ir9DVFgaMiMd6dNs5a6RRE50Mnpsp2UY27tCn5F7xsqh6rGtbcfe+WnKh9+RI5ObrSc7
m72uq6YVW5BGUTCgyiN8PJ8JNxb3wcVNkyNndcb+zP3tk3uHe4rBibIM7l+dcZ4eTXepG35I8riX
sSv7eyapAsg7c97x5v5eKjycrs/ClvAxLb72R+ycwzOPZgCgi8cRPbaTGvMbdM+gqCxta0+0f9jA
gqJZzttirNrzlMAtdSx1N0haLOOq/huXVYLVUx1aWTQXert7gTvpkUwZV222T0y3LbZ13vNPORY9
W/UXB9nZgzVkVAeZJ9gW4T+bViz6zqZ/403hTtmTfTcwZpO7Yd3BKwr77ghv2kKERyOgxzqC+4S7
sSHVkcAjJITXR4TR/JaP5c9KaxiVzgQYucVod1u1zqXlvksgdA1UVUO6k2nARs8tEZv71x8E+1f4
OI1bZLd9kJKp2biCmiipvFMo6+iRc/NkQMXDElVKLUjEzw+TueCSeUxHiT9vvv5ptlrqKsXYyujm
b8IcvWPrJID6MdiIjiE4ifDiIZwYY+vI1dRmc33x9W9ZadNbqZI/sRO/Q6OlOYqncF3DAOGE/wLE
lt6Z4L9+jRO6wG2kvwvvk0WY6PH1DTolTkWWdd6+fkL0MLe87BexRCM3F5nODz70q6Y30Pd1I+rZ
mdUJSsnooWqW8rxZqQ1mGbHQIzQ1uhGFgZegERoVtZbdcxRq2jHa6r2Hl7McD2Xs6XdBTUYvniNg
MykDM1fkbjkCysOk16foFQsseOV0taL7kVT+LbUkE3GsXX4tzCN5duciTfNiquPUZ9O9Kum9VBYC
WaiX75JKMyh57m6S0Fq5Q5O8pcOL8o1XyNJUw7My6h7swz3yzLDObtR1jxjaKi9BvTh9vWuPHncx
SCUO5Fa6h0NwDB242+2//jezI7GUqGR2Xx8bvX7S0APc//WJpR/KFe05f/31vzTUq7U1ceD/+thh
rOpNL4t49fWZU+QdW+b6JQsCfIv5JOddkdcMZV9fNzE6b9+q3ANhw5seO4hHzYkbjqa8s+Q2cXI9
89c/35Th1hfHkP/8rDg1wmsemrt/vqWCU6fC+/31FpuX450BjZanulo2KZGOugWny1foeAmH9FXf
vt6KaezEcelcv75AEabvQrn55estS1q/wz7W//l9sRqBwa3v8uPXB4pGf0XkU3v/9StgeZeARF2O
u68PDY2Cnjh9xu3Xr2BI8nRVWE6x+fpfskPRmoWCYv31vxA/NYTeolp9fWYZzslWr5M++PrMZlfT
zRCVuSRD8iRe0l1G34q2jSzCgCvjyLZAbbziChmi3nZ4whTD4YcUYUf+s6RzoDWYg4ucIXgjiUvN
/cMbOCflnrej+22uO+LfT4DMGIqTed5/vak4YS/I03gHnPDpPtYVMwIeEbY+o+Koa+3wMLiLLnoZ
0iR+vWlJn/rUTst9rabVRObwrRq1H52rDnGbpvt/LmWGT3LBraKter3WO8oaFkzuZdoywKqHe1UX
+aXWyDGGlu7S8i/FY8zTfl3OPLuaqNTe2AsNZou+R1GJaC1EVN1U7mx9r4lXRtccxoqTMVjrOIjn
jLBBR7gwLtpqozekacfc1Pcera1V2WnpJpOO8SDo2zJYijcznXY6tf6H9borxKiCV0Q+6gWljknX
asqftkOrLYoabfP1Ju8vltxyX/2p9FbSCrukOa9nj86pPxMN/+fJMPLiMQiLbeLXc7pqEu4ten7s
NJoY0kDlaAzTHw0ZFcDHkmNNo5ioCcs9CHf4oytumGSelzDji70Z6+bDoHmwzCkb9nM+0qju2Nvu
s/FPqZeM616RV9vAEVXWZXGIxomFABegxNwJefBLmnS0ZH5onmSH1s/azej2mBpbfVcgal+Okvcf
5HevaEgRujN6YyH8w6TRvewEe3Y0pEkzQkCm+2I/ZGdCNxdql4waox6ewItkmMJzf3gxinhOonGu
vXtpW2hLBsGldmwIfbt0teAjuFln7MzZ3RZeTyhT0k7kpvb0C90+T7P9y/OUuZkihfQvn/azCJNT
0vL1CxN0f1cLeZxKv9v5Oc/4TtbhI3E4p76cunZjnwg4nbLJij6TuFxhMc2BXPLBWUJcP66melfP
OEAmQWivp1iqIxmhVOUFReWocF2HhKZBb+jtuG2VS+rTUOMiskmblQ6unnpK/3ol8BjVcR7tFS6F
QuOan2lW8jSEwwQ05BYXD+lff+BpPw8OmQbN71nwtnoO0eZ+ctisq+zxm9dExDKa8Djp873ma01k
NW41JS1f6sELyj+35nRpFX1Ro1sILS3fXCKyu5QUBeExYntJ3B3SzJsXZS/Ekkp3wBg4bAFg6A+H
3MrN8JNNXbpw3p3hPU8aoKmOHJmdjlvDn5KrVqkpmB3EigWRqti3/7Jpkj1BE1Q7lkBCBiUie3oO
PPc4Mw6ZhZpYann+BK3TrKeMDRHr9RppphE1e+XMm4yy9MTCaLSwFIkQjw7lLo674skkul+YzcfM
M7pjgXaLbSG+FXa3rXvE31NfVCcUJOOmmRMLBIr6zcqtm+jeUjO8H2GjGCK+vjKn3JNsJuf69YUB
CQRFyipJTB5100ZR8UR/HaYzeauQ9GTp2ukiLkcXkHfIQ8G82zs3jVE/q8JLWQ5LjilPs3QY5FO2
YjqT1/3pQIZDDvsRs9566graDHb6alzPC92dx+cICr7MRv0VnkkD8/VPnTDndddzX28JKu5nHKB4
8CbMlJ2iXivJdiSvCzjBN2fle56zjhjsPzXsHESesnlb5mjELb/5xNJ9SFvat95YvBVzMT4spX7N
reGcmmSGhpZO2hnkVBC28d4JvQFrrjbeJ54hTAwQKqdPiHjMyLvwMrxuDQWZjFMqARIkndY/X7BE
7iocLwh0WrRu7OE+j6m4kqHaTHbb/oNJ+W8hQf4r3sd/gIIE7//j/m9/q+bfTu/r+3/Gh/z/SAZx
4Gn812SQS/G//mf5H7Rvr/f/hwxi+/+CR+hBMPJ0H2LN/9W+2ea/GAozBNYBy/rE0IHY/B8yiOlA
DQFM6huODQREf3HU/p0M4vyLsyB7niZ4VtdlA+u/QwYRuvmfwCCu7TrC5Vsz+WY8Yb/+//9hEjXt
7KM2cZAGsoqw1uK8ZRfYW0UxsIa+Ic1JeLsMSO+QYpLK5NCUPDxm8peCE/ei16R+wXjzu9Gk9aMn
9Thm2FSwVL/NyFHWnhszrTRpsiQ58eaBlHZXJrcxb/pb2p508cmYRf9ZCUmk25E7kRrJLuomqoC0
uYX6bC30BOO7ydB7SdNwV/EVA12q1zpR/1H7ck1WEpu29Fd2zfVlNtLDgMj7aGTmn6iK6cGXdHxt
5MiE1pAQl17yA1AWGSITP5kYzpWArpA3Pih9K9RPfcudVX8ptOp4ACc8Uo4kaAfKKB73ZpbfabXg
peloyxXKK4PGn7VlPVuXEEn6RWojeSFz20bpL4W6EmdOdgLnkz0mCA+BKvOr1ac/WzP+jeuXQ3z4
S0wqCeyO/kHtJPXC8hDJlfW10312HDoiHB61/8SEhClCOZbswtk3luq43DpzggI0abYlQTP0PWqJ
xo4ZZGeJgJnOB4yONXeAC+IKDFNRSYXJ6HehWs4sZTUHbvY5xWZx7Go78L0u3rXdb85DxiZ06h7m
r/jb1wLVZaOFzNe8PfuTJCxT2QdAwumRfwvtUl+mzXFKygPr0/syNYb17JFZaTw8Q6Vb03mvaNb6
pQy8EP9Z5Pn5clLHxCLUEc2Su5JLeF3zneXsZ/LQRj0Z/tT8bppFQc2cNpuO4yjolOg4cWtacAAP
MtH5BOzUsGRLiBRyuXS6yAjcfs/GMQvj0j8xVR4KwbjG1sZAG2sysoi3lHOLdOQLXkWQpm0zY+/H
6IGiYbwmOop7Vqt+4xfDmqAt/b6LAj967S9hlOIKTPR6VvFb49AJR3KssfZff+q8hi+8hrYdS7lH
dGEHn+b6DdHJxdMJzTdp5u9Hi/N9ywzMV9Lfhrp5MJUhWMRt75CO2w2PQb5sLOZgiXcjhWBd3QKz
TDb4PwlzREfLMn4lmqI7HlKuDR3Hysb63+ydx3LrypZtf+VF9XEDLmEa1SFAT8qbLXUQ2wneJ+zX
1wB07tW+J+pVxeu/jkIASYgCCWTmWnOOiRW7V0njjky6aFkwNgf8tAcXPzNfLHqww3ZCerxV1PJK
qYLK82tsGib5d8M+NFTFK+jKHaZynvemHv0s48TeGKzUpgpBcorO3Ffo5iL4fTHR2Z36zjwaNBwo
cSsJ5fvgmpmlubcU+iM0zY2sfBuUqvKNUuhkkhOrJATft07DKDfKQEP8jY5g1q0IUEQIBrkZ7+qW
0ckdkQ9O9uIpMp6lfVGQ5KO/BAFBbCOgH8dHG4QcI8WoltIeD8lmZJCX6uSrznFEDYaQ6ATBQWDI
qIM97ZaKr6Dd7Eb+GtZa90gdyDzPebmj1MQct0uVSyFRtwWwzG7K9iKjcsf7fEZNeivjemtANPBk
Q2e2t1G3GbBlWEsTf5VZhpc+dQ0VBNmTr91l4+/RDm4y7lrXTGjnmCbxZU77ZTpLLdMZ1KewVG2e
+JJHlrmrh76getY8xJAaAIs0H0oVfuj1eEZr2+6tlhjfyBB3rjHMu6Sb9wNqffiF7guaZBUBw00a
GNO+L0ZiXivpeAMR1nB34NsUFWv/iXD3Trb7kbY6CX7BFvyUcXLnjMiPwcW02ukZLQ0KxMCHZkAC
AqVvne7D9Fnps/yYOUnlZaZeHiNb3EbIZThdhfGQpoiAwuat6BpfVO+90Yd803DhBJN09oVUx41G
1f2Y5DFp9umYbJOhOyqdWgHe0bZ1DE2pMOkGauWw7xx5U9HH30XWTNzI4OTXnlr8NU9x6ucKOhhF
IICIYZTU5E26WuYntOpvTLpzd0V+0Eot3NeN866oBCxWM3+tEZP1KPL4MQjL/mq/dI7d0WvXH0Wk
WLtcj82Tmli6DzQoJVXcE1NLwBHJaRtKSFRLETafWsAQ6Gzt37VCocZxUvusBPF3K7r9Y2Zw94lx
+z9Fl9+VMW36//yPFZL4RXezwTQKXTiartk2RH4Idv8+4C7hxWgLQuEPLbj3slZ6X6TmfBoph95a
BU4i+qri4oSEWlStLc9j+1FP48DHRScoTbIDzb/VZMGMbt1s9BKtM8KuMn4a6m2VN4nPejWHINBH
p//57RsLFP2Pt2/qlqmalrpGz5q6Yf+NARmKKJ/N2o78auQaivGnWIWZIb2IB2IQ3XunlL8nEZFl
kH1j/gCuwFi+HinWtjr74abzWzXc2llNuGid9HgKgiuhRQu5idYgYOiBFQ5DVcVKsaeGaURvMiIQ
ulM8GfZbJxl8Fk5mGsn/hc24ch7/9o8tjDaVyBmI5a7+N0IaM7XOAIUW+xgdD4TU/zAqhFdtQZJk
GYV+kCWO14KSKTFRHYyMXMVM12l/kRWhGdNDp+ean9nxtkYO7wuwjMzzx2tYy8pvDUWCB62ZCs0R
DuRAHkqy7JyRcPoywmkradxkARowvZTKBr4cpFkjvaBNZiUwhK/cDjKFvKNkVD9wrNrbbjRRA0cc
FuTMHoRHsBO69pROk0nvaeQisrf/8wevQxP9+0fvOLaFGd2FYrdgi/8+VTTzFFstCyLqhI5XBflN
HxViMdKiqE0Lp9iYjJCHz+3G/Gk12G/STEx7JajxCGNoKg8RK3MqyMp4Nzb1dFdQ+9w2g1o1lzJQ
nuapPtNYj++47K0nILFcA3E/nkPamao2xa+tQ6+iid6592p7K01ShOP69F7mzF/V/oQcOeZTAlBj
jFp5Gx2bKn5NAgJO50ZVtY1QI2QD4D+OVdg81wg5bjIdPSOxCsHCNzHujJJOmtLOE2vKcNoUha1e
am6hly41qQ2HykPZ5dpZhjbYV9no58yd7mkv0eJY902e4Ur7TuWWdhpH9YnPMsNdkla7qiZDt1+8
cnlLrFJWLKrPQEE1k1TduZ6rizWkzQHgQXiRud1DtJsmr6jn9hRDdkD2ngaz7xghygJSpi7C6O8a
FX5RSNzGxWo8RCzGTYjsxqe6yAUKmOW2zmxaHLN+yARJuH1IcaaJAt/SFGXLvX32i7qedpq02zNQ
ZetA4/ZEazy9zxXrGdByfLBGbBkMuv4kShIaly23WRp67pwe14+pd2/jtpV7E6W4V6M4f0CGOfsl
DjxiVABoAHdLDjY4CGTvDnSZPqGMmts/dIlFr5liwB7cCzaWLH/SApsvYzhDhYvn2lei4aHWGeAy
DQSDFVrelFhyH3BOKmGLQyBgLIxMIb0gNnQ/m5Ua01FP4dTsiicSLJUNfBT33iVdJYF8eGuS33Gb
E3PsO1EpcJCKM6M39gNFecrhCR5LcpqOWhYKb6QLoU3BU18oj1yy+Vmb0nzpCqu7CEH9Ma5KZq0p
WcgJWsyLJtJmM+jDS04pGDvr0rXvD33jnotQaD7qofE2dcrvFdG4v1pkN49jAOZOtHZ81YaZt127
F1QBEOBGLb3vh+IcKWQyI+8VW9tpMYN1ynvHlOCBZi2S8igQ/hiQhWZNUUmXGF9PuVRnOzEfaz3b
zwO5QXpX8V0MsbU5zYKtIubTMpqndI7eK4VWMJP1iMgBp9xMDl9mOdYcKpadZ2lF+YKCtTmgSZ2Y
8cvixY1TnRkkdus8CkhQFOrJ6qKA4lSSSwrWwRvWXuX6uc8lETfCx320ipY867B3zZOv9tV0VrQJ
UXKpvimVVEkhPjdpZT/YRhE9BbrxatCEu7pTrW+DMkaDB38k9WkUqAerMC4jCI0rc4Dxuv7m4B7e
Y/57i8BXxjvqNxtzhGD2l2CmaHdTTCG/Vdv5inLvPkIsJmRh3sBWcXZNX9g7o5ffMtlaPzVNPpZV
Ce3EIL531Nrbz2c6Mj1Odeh6Y/pOZrP63UoLtAMNHqoknmBiFsN7EafJe6QqPnr3vRvbzX0+5u39
IKR7Vd2JxN4M48eCjKk6tQRFxo961NxLEc6bknQjnj3cyNxtHrU8xdNHQd637Kw6kN/KCc4c9ZK7
FWqxTkpfIwvXT2DSonDGctZN7pgeSoxwu7SYKW2GSXqTJMCTzDEzj0C+lEtQ6+UuoLr/IAfQkZlu
u6/oOn7ZalO926BuZnqdTjTJh9KJ4zu7kh+GNenftDyng9cy7Rjm0PiWphUZdXb41BGMCoBobDfr
04DahVsNUc5R5Ny0cRLQniA68JqRPBnP03CnGe5wx9CLDKMfqW2hyCa4lgdS3ZTHtla/1Qh4sTUW
PKpzP9kkNDo2EvXCjVVN0w052rXO19fJNxkw1v26s18ebiaywmNnUrcMpOZZKDLwYaGqIJ1n9ZxY
8bSfZ/0OrYhJpozBRce1e1p/TF3MoqDWx/L0+eu6d92mcKhvGQZ/0qVQvanMBBIdUg31ngm+suj7
ucdQJlW9ahz7oxnXiq8Ypr4N3R4DUthxxjYo4WIkhpn0Ip1ULx1EMoPZApBo4DZMkHLaPD83eiCu
U6mnuybLKozEDXXzubRABfXFSTWKzo91dUbEMie3udRaeuPndaMbCR0XHVFLeQ3rpRWuVzF5Z87N
vNpOh23XjPbVUjOHnqTzMZgxax4+hT1gm3wP+md+K8zvZGn2sPnkO0ru8OoOTki8rVMcEGE9JIQv
ncEwET1Rz/LoODkQS9N60QpE/wgUzxZNuVrSHx3bwoY3F/xs46DYm5hf9oOWwEFELB531cUVyU7P
puAE/Mbcd+jEwItot0Gj1+9uwMDdoYp/RJBLnyQmg7wbLNZDEx4prwwJJramidJ97dXlUD4GaMEf
J139zSrSPq9byN1oPZcTyeh1UlziAiD9wZV8KTqkA8sPGIz1DosohJVlc31ANNGtVXfOPgHQcFh/
uC33ST11lWu3zSjrPDtEzDy17qODCP0+rjFNtazFN4jNw32hQ0qqHHlwhp7BJi5/yAg0wWxv8pRe
AEG7DIVoqrqu6J/5UkZbamHNDdGLGHqTHIVrmmDBs9PkUbOd6FTKfsT2hpB2YNl5qN0+386Z+kCs
MDqTXk7n9UffJfGuCXnLWX0NXWvpUYcOvatAei0BqBua8f15qOFKGnVBG70JqztqyMPRLYrWC6ew
3KPuoxFn9e96arZUmzu4DBQtLDW4TzNpXWtGlp1Tx4lXR5Y4i/44Uut8cRRs8vRJ3m1BKidpn4je
gzNBjdmFylKbdrjE8LRdBams11lQLwKq231PYbBR36qFchOq467rzfm1a0PPsDWNxXwmfATJV2hK
DC09Oo1koAsWz0CO5Fjp5Idpv1lq9t9AWh3mwWwuUKRqf5qrM3ankXEStqYxu46Hl4ASDZPPew1z
owGd/h6EZQSWqaIiISjKpxd6RPCKaoy5vTGH33Wou1zTlUd69HAd0rS7aR2zu7FHjTUmacptRG5p
aCs6Vi9omnNT2djBVf2+Yhg4YqfdoEJifjhG2QudLf1kJ01O9iJL/4gQoaPiVomP+2k4Djq+rLbr
3JMm6mNQVjdmqwd3YHcC1pRKfSlciEadxtojCH+G7njsnVb+KLN8qV5W9rM+ckZLHOg7hlTNA9zY
7CxqYzdqM2BPE4MDMzEE7Ooi6+vNaPg+dfBhR99Q47tBtuauGQbG/GDn0rvaWrPqUkDrgxs1S2zU
2wodD9NkamOZ0R0wLusQ2IV2iIqmuhM48WA6psW76qJMc83RS+FC31pK+WKCPv1mysFmzd6IOzSE
MXLc/hiLBtpeFBiHtlLbc5w20KMTbTqZeCpPQLOso2rl4TnPkQIVlmGdB8jHB0fphm1mF703oXf3
mQYX34XNogif5rNpNLBx1cbeMtYW3xP1Dssr4I666U9CjPlDb1kQQ8aAkOqcSSKOTFaTheD6ctzI
OqlT0nJTccaDkU6PS106DwAg61MzbTPYeCzWlC08BPlA5jJTURySuWbQdgfu9sYMlIzrKnvENrQ4
dfiIGOezPS1251534ZGW0WFMSv0m7bX9BAfjsaWd5Qt3qPelwcev8eX6kLMy3Q/lx1z1zbeyQA0Z
GO+QReS7woWwGazGfIVbEXsUoUQRzZe+1Y1n8hAPidS3HbHMb5rGiAh+AFEAWWleqmAkFzORySIz
3G2Z5KTW2nD/CJzzFGVuTiy1X4gcjm4z0FNbR28U2paC6YWovgUqBVG1rJ7zsPqhBmrxLUlGwyt0
QuuNZgovBbIKAuB6zJs5d1qlaKddhQ7Ao973jXmM82RBz6ThsK+SIXtta+1OdA4Wnni6W3+E8zCD
YBsfmnl2LusP+HdE6jFg0QSm+Wqi2y9sRKGicW9DSYEmlNXecQpGtPk0BfiegH0/5SLW7+G+lQf8
ABWpu9T4I3zkyOxIHk1rR5zwj8zgiXDVR059QFlF93ShSAFH8mU2H7rJmo8rkrSj2eoDwbRprcoZ
H/Yg7poooQtAoevgtmpzscIQ6lxDlbuY+O8X6N5YN5CpB7kfQoSkoB37XWjhjkgBHV5yYZ/jJtB9
IqeLy1BpxFAViX6o0E5ui66DL5s49a1mxPiaEOq/NUTMePaERmowKrmnro6b2giqHwquq9kFwxJZ
D0YxKc/tCEjmrUHY/FoOfQi2zEUQhnvRrJP4lGdBiqSonY8oXUcSUzdUMNxHMxzVrY0pxgt1pHCt
1rvPM+aKrJ3jp4gika4RyiJiRgzFVcdL1VOatbijE8eXl3uyUB26wDFLrdnI/BzJ4H6IdBY+M/P1
hO6zDytmowGL9uJMG3dp76T3ZQ5AU3UBhwzjuG3j6nUsoBEHk5NsFdLasShp8k4WVbO3uT2em0TA
DOaQOE6zc0RkBTxdLb5D/Al0oKOKiuwoiSpESZiLMDuOGoJlHL2qNc8HVR+pHswUeGtr/lZAdmWW
V2QvYWJDppr6vbD4fiwoNlKJ5GT5hYLhiarPk5F12s9efVCK3jj1lRr5cARdcLn8SCRiBmNKPVXJ
u/PQ2TlcFb3gjCBiy1ojpNIz5OeggbehaiYByeBM212Ns+QCfYzVXdXe94KYLiNJ7uraAbcYJ6iS
29vEyNAYh8SvUzJMbkKtTW6o5w4nXL7c8jOIBBqZ4ttBTyYvmYWJkILCdLAoEIkMbW/1QLsie8w3
U0oTIukjZ1tzDRzDZCjPto6gSE+2BvbCx1ab3MfOgCGoRl3AiWSp4hbOKUt1+5QopYquz0zMZb2x
ABwKTMY43UXd00i2zHlvAK3cKnCu/azOjZdododtQKFvn83QliPjoUQqCFpnYfD28EoFqdn7og+P
sKaAV5Z9cB5zOkYpo9a2oZ1+E5phvk2UAb2gBZm5N6m5Ev1qHK25AStSts8rpy8vE6AZlf06xuis
WwVYpmOYEA3qZLzDRdtWhLYvP9bf5pHUwSoDEfP1AIqNaFf3Fs2d5XliUrW7MhzbyxiIs53xPWow
ERyGwG3uo95Jbgj72VXD1Nx3Bu1E06TR1otFTWnrw4OCcPxY5QamML5qL1Wm37f2WP9sFm4l8sDp
0R4YL+TAMjtIaa2kSXmDmGPczmNaPJYBbORGhMq3cZjftCwefutYeOZZFK9M/BGAAq6uZ/tnUeN+
mPDL3RUm6E5axxbLVDd6nvLiJ03P5teo1gvoDeOM6UZbat/jhfkommOWU8gALXKZ30YktT5ZX8l5
ZpR9aWAy11UlHqghULkFWjiGIn4tDIxbUgvwRseGitxeHz23hXhk1NH3ttLpDCey3KdYNqfBiJkZ
CtpAlZQ/hRZsRzVu3zIQ01t4MIuq2nHRJuj5c5pgNGwMLilMc9mzOdJRTSeY44Go8ucxCkk3TmO/
MKW5j7OqeIlbyimhIJewRqf0wlLV2qiSoOxQQHyZK630ykoq29kkaWiihxmBwAKgMEt/tJmnRisE
Q3HNB9rBRL6z7FD2lnQbryjJ9g2Mn0SuM0FWGhoyU73hDB1IiL8fCTz3K9EejLLzUhp2NHBNZZOE
w67oBVqcGsd8rhjvsvxopXPtZmqD7mjCtjY7EP84m9Vp2tDSzb1MmD8ivPPdsZbtqwG5eBNOw090
MajiliSjqgHyED72aX4cLShF3di5lFPDtzwaiVfQUVuZ2iN0nwtt4lsrNEENm9bPIn0MoTpyMKxu
BuuDMQU0MsT4fgIIxUzPWhqt1J9sWn+Oe8QE94wg7U3Re9sDgcFqhpnwVKsvWqjfdr3zrWhfctVi
WZAqACoVPN/LM0govTSMvLTje/wVeQx7pdtMoys8Y0DQLEW14aZHahGm+00BCwO6b+Tnsfxtur9L
IzORBFsqoRy4a2ssIiih/DF3aA8g0BUTiIT0ZKbbPCZLkNWO5Ydudts2RCLNA+kbfWpuwbPh/Kj0
O4fzkyHzbMnG2Fih9lvoREEHzg6QhekFnZX7oYwvAlv/hoaXTr3gW4LGDShdjF9WPsI5Z539SpeZ
fqijvhD0fINtjDSTDrFOZmGeYeQi+RPFVhcbu2HMPwKRHRIKOr4AOtBwK5zthIDdqdpIvb6a0vhR
5fdW+mIC6wcKYo17EDucl4GW+0CgSTqPD1JNaVLL7F3OIAzUdNxaNayiEDIK9tdri0McxWLvYNMo
GwwtSKEr0cSLNTrw3bh4F1zByfiOsq/zard+1jRqHlUCkxveHrU85JYIfCZr6wBhJPNSvBiYSyYt
31qFDS+nkJcMvJdfxGYPCCP24rh1fBenTwUNxB6MaZuE8CjACuWG/Qsl72+RDyDC0VzIhgVSGys2
fLVdC9o2K6h7j5oEL6HAT+Nrex1jq/B1rl96rnx0UfhqGlhdkbJ9UKI+606K1zTENIRnJZCq6cGt
Tj1uTNcSW1qao/4t0CH6QfAjbpgAAoNIqd0G71o7P0KJK/ajmt4IAKsb+udM7QBYhGJ811IG2LIF
aKLOJrZx9xuIkLNrxDtVTMTdB3Q2czv3DXO2PEOFUFDY91qLVKPoslfZZ4RTEdoxViM4LtgttK/M
c2Al1DQxVFgYc1RxKxoA70oBtLqsKQOI2Nok+gR6usKPT7JHq5HUUaQA+PToNMezRlFb5My9mTIF
HWS7RhtfKB7EO9SZYx+GW2m6cMVuopZ6UFnP2PRMxF12rcNLQHTeMvvxulqCtlLCQ1R1xwQnxkbL
oViJ9GZU4BKgvhhghnqByW3Q1S1iXzrMX3VYQE5TrG2kUI6AIPpkD/OvemheHNbHMqQZL8F9k5xG
IdlbJNKlLsND2MZkxCgqBjiLBBCWbM+Gq7ybHStY+udglpvg1HJFkZOZQsyLGP6A17ZkIHBvRL0P
DNc003A/NQB2nY4MY6aInsVK2pNYqjaLCcSxKhrKLbKWgW6B0hxiVf40G5BxetuZu9FuXpUJ5r9t
2w3NG5d1QDB3B0XtmA4Wu9Y277PhSHmOMw21HnWOUYLwdLZzGt2QAfwad8YHJiQ76mLfHt3rXHDj
tZ0FTIiWQ82N1ptaRDGx7eLsAjCSiowPzUbNAI+yLmduEg38JUntVDG6epNN+E4qrutM4pXtNOMj
hefWxtqPGJ0qb3Se/FfDbLpbhTzyrRVN32Z7fuy1mFCT5Ycp++SS4h+D3B8zKadRSHhI7SdxEh3C
jhZTy7VEBS2BCTw/johcNmFVVV5Vc/oEKta6LzdA9dOLaqQ6BrYYTa5Oc6Nk0eVElTdJDlJCEfGo
Qe8bm8vKnJIcdA8WoIUqXiV8SGim47Ou7qC2lYcqltsK99W2VIAS6VK+k44QARY1CBtPubDy7CR6
RsaeIpLXhOO9Zo3HZOqQ+egDdwoR3hOr+ZKTXIjaffweNpTmnWU4GnvrAdZa6Zs6q6uuf8Rn8VHX
mbU1YcOUBcIcpY63qDlFis03pNE2iOKSIs/EjNbOntqAOqLATE/Xi6dJHkDNSqTa9aVlGjbHaCxL
CMobgGYANmmXbAuBd5tWrJ/QW/e0ZYmRI90KEkpXmfOh48jd5T2E10HttvixTraa4H9MGOAiUfyy
Dmr61rQqORhz5YIax1Wb5g9ob7kbM3t0agFudUyOga1m+zrUzV30MPQx1/dADIHV9SFfL0HFKwJp
SrYCYmR1n1GAPsyu4H4YxbQe5CEF138aI7lNrGY6IGMFhzlCrC9jLvN83DJpQ1uBUpyojJAK3Twz
mLE+lwp2hlDVf2WZEH4HMdIPp3FHc2ugy6TGOxZP7clpsYR0Xh8GCUozfdzHLt6AilHOzXWvoIq+
7WT+pnQzcndFV3g2ACnhCD4QO8A5TAmUO+sguHZj5dYENtBpE0MVBVVyqMSSasGYOoxoxu3Ig1eu
gXqgq6aL6EJbkT7L0hMTybW0mTio6EgAqqTbflZ+Y17tNqGKsqTrsZTEg0OsenYfDIxAfUt5RU0C
PFPTOTBi9+oYwxNkrvSgYoXdyDR7nS3VOcikx6v3oahUy+hySco6eDVrsL7J/dCD3NCgqXuRzRQE
knih9wRf6uUBJuFvWzgI+tsyZWpTfuRU5re10JLdbM6/jB5djJG5P2wR/A6dHMisUb9MffCKNRa2
ep1+aNBD0jLwhgK5VtX/rq3Uqymdej0EiY0icNPI6a5HSZ2XFrF6U3hrBCXL3lKN/dxUftjcIDx3
Dp9EPVBIq/TcK+nZbWzJl47IhJvJsevDUGpvSqqBc6QUXEWIc9H4DzcMDfUUb1l0wPlmreLpUSd2
YzE+5NhLHyM5hldA11gIUqm8WYzKm5Dm5y2CoObO7AGwxDalULxTIaBUE/miQ8UMeFT5FA7mBTBT
8DaDm8DSPBJlYyraN7gaAQ44WYXvQw7MTePq3K2boeEiwrDi13FKk1NKo88321m/hpoT8bUtH/RY
yx5rHJiXQUeDvb4nQ8cHOOCNuB0mJTsblXqfBQ76EAdyCbMXA+CnglOR7K5LkcS3GRWEm7jJr3Hu
2Aj553nrjmF8xJCevjn9Tqrld5XqMx6QxtnLhoQ1d2iT9w4BiWt2GVS98sNZ+m0dhsyBWh9EY7aE
2n/ummNV0ISiF7fuav/5rHVr3U9f/vOFX7uoDO7phFp/HGt5lkrR6Lo+S++D/OgOqCmjQdunauJe
JxbEfDk1Gq96CKgaCZpQQFNZedrcZ27KEkhRz66LFQUTAP1H0VPCSgcqyDENrXdMzOqNqinYXYDN
34+oQtMyc/7Y1UZ4N4Ef+II0Yv/rf+oEtMTQtj/f2rp/2WXbg31F+E2izvImh+UZf5wbngFU1Pl8
0brfonW57vo69L9eGEEU3RWOCrf4GCwnOImsHfeS+GY9H/ZyukOWIsyxaQCv//KAJlO1JbNfjpvW
vXN1I+xWuPr/2vx8b3gTPh9d38N6bFVFFbic089nUOvd18vm5+uXR9fNr39meca4tFo/XxAmeCOW
za9DBrQEgsBwr3Hm1F7T5aSKWYrEguFsCY2TC/dB3quhGx5zDQ3KRIt76Ahj4vpwG5K48uopb6Lm
HvFJvmPymPjrZrrsoxJT7QZdhJ/7MtE295QLmV2LKPBafQZUJOZq3LUpi8/1dZWLEb62So3+Smuy
cOQlnwdUY7GbGgr76+b6QEfq5M5UM2a3y59b/ybXRLhvc3Xhs7Fv/cHCKKMmQ27X175YT6t9KiHS
rYda/24QpKg1cKT/8TdK6O2kvU35H/vSGlTnRKPPW1+2HnRK4VuxgqFv9a+/68xRsK9HpEswHSSf
cFPGh6DHTL6+bv3DiWLkB0zu1ubrdYNSNocMO8sf+/BF9IcgMLEdLadofbIBNukwJ626+TpPQlfN
A7e96fO16wMQr2iY2f2CQ/vna+uEzo9Nv+WPvyEbXOXDsiz+471oQX2sDLi6X38jma3+WOga0vDl
f10f0OYegLLLguzzc03RWxyZUNNB+Nf5MJouOOp5m/yxj+oWNjup0vlez5EcEW20YfDxdWhVz+A4
i+b315G4wKZTMbg/v3aZtOFPzC1/fL1PhObOqZuN969dxliBEonk29fhqwHDf2kFr1/HKmi0gNVQ
X752NVM2wp8twXbwlVzPI2Uh/Qyq/PHr8G1gg6jIzYevw8+RjVQ5UD8/svWFgGNI3HJb4sz++RUN
67a9QBS8/TpWkfbjJbHKG4O7iMekmFU6inwu5adMy5QnbdBOirsMcNWkPKllkm5Ss5+RBPFgmfa9
B3msPa6PBky1thDVwfAuj1aIwPdN5vb++qhpWxrxUmBc10dn6aY3kaK/rg/2tZM8aCwBOk26PQ1S
yjV53z6uT9Xr7i7GuA7JkvdAf6YjDWRUz+uDGV5ory+N8bA+GuG9QR2Sh5/vAfz7SBc6Vrz10SZg
hUzNgs7w8g4xWRe3bqHerVuuVTePVIo3n+8hZdWldkr6oC9/VeTTa0P8zs16nKEaLDAIgX5aXwnL
p/crNxH79dE+CzkFvQtjaD2FqDyO4JZ6b92kXjYtxPL08z0YrE/vhtz6PJKjw4d21L/eAu33w+zk
yuf7Ay3yIfWClIjlDSXSKLzI0azjetRanyL8Tm20XzeD0GwQiNPWXTfVKitOTI5oOvz1uUGhD5Tv
61YSkZfaxtDCl+Ouu2zgYIgOmOnNxoYUhQV5WtrviKFuLb2kyZuzfB1dVgN9gctPNPplGPLoaOiN
dZkyHdk/F8mJDj0c07QNz6ptWU8mECU/EXm3H8vOelp/UySg2nVzfd76inVTjiWJhZLGqBZZT7Wq
Dk9gFdaN9WC2m11K23Ju12fjQ+nRF4ruPK+HnoPWl8Q17dcXjHQcqUbqaPOWg2mVNZ3gklHiXDbn
WCMaTwsf1iMp5II9UpRdN0Qv/xcFsqb+XchpaKZtmroq8CVhTDL/FjDtSgyuU0ZHeDKQ+kwOfNox
uWjh975r+NoH1rmxJenhzEP2QMECAc0mQWourXL6pUctzKTE/unIRl7CttTvcjWPN6EGJdexEa5X
Jphgx0VmM4z1q93qv5JSZrdw0W3fmTqEHX1FfSA9BbhC30XnBFtFh9yhyRKGYT69OGnjfJdJaWwG
bFK3+OgUYmQzYu2tLN+qQ2rfxkFOH2+czNM4fLhRoviqUhIfoDeUnooq3Q0xyZQzvb9d2UzpUdV4
Y709Xxw7Rp6Q9GI7at3tZMvpEhjkvloDo3cSiZ05A/+ZgXp5vRqemKiSmZyL5gYApno/FwFtC1Zs
RRfo+xqSxIacAOeSFSEkkH5ojpRunGOX2yMpZ426XFLuVikBxBeRuafJjMpet4YtAQJQjXIUW5HW
DACz8bPS7G03JaXtO0s4Cv8GRabM1vVDjcaUSE1FeXVRbLVJ0e2yAlyok4R4eCOzQtsQ6ApO9VNR
58kvfFi/V/Xv/3f2aSauu/+7s+/6/df38Hv783vzb/a+5UV/2fvUf5iLIlrVSfax0YwPv1v5n/9h
Gv/QARiSF69buq7ai+vvL2+fomn/wG9mg9Hg+nNtKEz/Mvcp5IgLV1PV5aKkXwjX4//F3adxpD/E
+o6OMwilts6bw3NAOf1vFzqrEbeRIaJ1Ou80AkJ4xZeGOKRMd34zOUCt2xXwPAL39wLoPyoUZskI
KIAAuK03jgRFj/Vd0+FJ0Jv0hzX++ONc/jdeiCXg/G/vz7QQ3DgO58ldhKw8/of50AgSaDkpoP7B
xjJe5NQfAQgwCkB0XLJkLZpCm/8i7Lx2HEe2bftFBCJIBs2rvDeZSlcvRJdpeu/59XdQdc/p3nsf
9EYBgkgps1IUyYhYa84xISZdLFP/OTV0gsPxA9v3ez60h5zAV6cA2BFSGVn881+m/vPImZYypc0/
Fy+AM99C//aXqdIRVJwBBvuRMW0B8uBeAjcbGCnK0FDsnKFsKFlPkCElNBkfNLuOKXDllFT4mqgO
dqwlWNe506pue5TxIrExO4gHa+z3kCC3zil/lZl8S0qmplKad7/R71oWxMAPhLU0KWzD7PehlKPS
FWbyI5Nn5bbFymHyQJgeOjgDPF4uCOAbSpsav/VdSh8VUwnU0OirAv6cZN0tMClI482TFitmI6KG
V/iUDwe4ty6u+LZHTyo0+xQN+PaCOieeVDPOmZc1q36Y3o3QuU3Ux5b/fIDd2Sfyl91iPjUVPhLc
cHRtTJux6F8PsAsh2EfynCBXVJT6DE0ABpp2Y921p4gvtSlH7Tq2CDtr01nHuvNd4gTA7QddiWX4
ToKWOQ6jBNTfyIXRjsnS7H1v1/dn3QU7XaA5NjqHj6sgoaW+fi6y+1DRFTcci0Yoi/EtPjiq6VSG
DtKF1xfX7bwcA0SBKxeJp6/N9RlQYfgdNq1uVpd2yvZujibASPy1L5z4WDnjuTU6bLIePkQ5edPe
yVCFTiirRts3liJRMUlK40dAY3VDDZnMQ+qgo6bGSwbav++6R9hllIToqG/KfLyM3Z58FrSVOgXJ
gOgThCHesER5cVH1KNDisyqLMk5EXeDVRxidLLFL9XSDMEfizomWxgx3t3y63Kl88aMgv2e6ddN6
xOJxAJ4a8vP3rKf3oPkO9i+WbIWItK1jWp+wbaCr2+PB0DuExl3vn0wzu2ZTMtz++RT4NyfU71PA
NsRsQsPhLP/dSpTALCkdh75n3PkJThotWhZY8ozyURFGuKo0u17DMclTTe7zUb4BLjpOfnl3krqg
m1Xh5arSNazKhoAYpS+xINcr1atvuq0j8G7zPUZgn95I9l9OXt35z5NXoulXSufOxbxxvnv87e6Q
MeRrkQEsDrrNyfd1a4+yxdoCLswo+mgLluoGBjxCFqTAbxohg4Ai4B4nogFzylvrLh2wF8I9mRUS
y9Clhx/p3Oa6rF6VFA4p/aDtVtNDtHRYQnOAr03fjlQPvK2EUS8rKBe7f/4+5HzJ/eslSQK07QjB
ek63TGO+W//tU1ENHDI94mwyWYuFKieLLKbLHNFNMVvYT1Z3AuD5leWg0A6W1hoLieAOzHlzoCs0
t6/1/zJAGPMA9a9/EqMh46rtMNFz5L/fholNJjEOydbSGvsK/IQ5AIieyO8KFwy+SOK8aMNt8qdG
dXUmVi76FodYVZinIdAIvS0ytZSCopOI+kM5ZdNCw2JFtIR3nHSzX9qR6cDNo6uXqgxxEeB5o7Q8
HMLjpQmKB8cjX/XM8jqydv/b8f6Ps8iEwczwZwnyPlw1+///frytdhgq0rgYnaWNzjYsH8DVEJcF
dKAjOlgG+E4rIkWAFa+vyHsHd+ohHB9/4GKwlzE3c/JKXgEi0nAxKn5NMaz/+Zxw/+ML4HwApGYy
H3Fn3+K/zSBiiR++JwqDcZB8R/gGb7FTd0voAHehJvfUNARCaVnfo1sYx40Q9XjQAlTWLbrsPRd/
sLZ6dU8Ksz6XReYTQKAqAsBba6EZibzb6TdHavp9ds8ATyH5NNRASgdSvMaC+qUflC+TgxsEQ0r7
UVmhOtVSpu8psO6l8HMYKyS8bJTiRAht6zt6igzOM+uLEh3Yamr7dF0PtMrNrGLp734R3nLIuqKm
b0aryG+pBhoGzV5Pb3MOOfiDEKgdfA9KRJhnPVFY10qLDpMq/ZMErZblxNEFxgMNO2ZWK4RjEEab
uAJYn2JQ1hAvvR6g/vs0+rU79+kjfDa8wEjOYAqZOw2kCAbm7NVMJc2kRPS3yEJ+bVntBf1HsEmc
JLpQYOyXDb6pbZmZ9dYBwdsYFsQtkJoS7wBCqWyrixzlol1u/vlLh+iv/9t1x7pQMf1xOD+lobD9
/eup6YvexYYWME+gYKlpjZ+cc9WqBY4RAuOrmLZr1tgH/ED2wUmKP7ROaOvn/sQPiVVNpgDUJCPZ
pNGMABGECK22g2Nr582JiuTNiXXShSqTVkA+UqUKTbnA7VpcoPiaL3Xh3p/7PR+MeOtb6HQxuX05
2a8GHvJHEEcMUFHPFExSPe3HXtv7I301NehyE+Lre3Nw/EC+AioN9qd+AylJaWQQ5O5QNCSB2Sb0
WOWESsyvCkxNBw/43LKWeXGvckz5slQ3C//YGLjWS5ok1gvRuvW6rJAlP/fBt7BeEIQuBoif9+c7
qsmf5UDKwPjPi88HBB231O26s2fEXOqwbTbmLPgjijW+gCikMJ8lUH/Zeu56vvjcTIaWcGW6gctJ
TN9sWiV4m4ZpnSek1m5U0rin0tPdk593ydpNGT6j3jPOeYuwGFA1T4VV3ypPmkwna3+NqtR4k53d
bRGw4taZaet/bU6DJ3d5Rc573TQUbbyhZTFbENfs9quUyPq3KhLjsU6R0o2eWtTTZH8xwWJRkcyx
dHOsoO1BuuS6/YxHIvvw8ywsrtYTTXx5cqYR2ZxBwTafaus2lelOwz238RM32PQRw/VCDVWEBY1o
HE2vfsDJBaE4WcnOCRKg51ljbEJ62Fdmye0ahwQReEYfYLWYb9tdAZOr83NQwz89v5HvXmqW944Y
cEk+yns3JNop9UCKGvNmmGUFXFvEMuQmvNpdiOweDuidENVsWQAz2SYMdegvNDLSulAU6wiE0p22
vr0XzTyfbwdwoFoJLAMj0+uQ6+qUNM6nnPTu9Sn5jiP5iVfJBu+HANwJpdgGoa8tjfkdIjXrdcKC
bT2hrIyEen0+4J5DLjtIY//c1JXQdoPNJFXYmXodojh/5f1DpGhHm/KF6Wv1JplJ2EZcvQamrN40
r4LXmuf352u2Gb14sVlcn1tDY/zSENSfn1uCaFpVCTAcOoF1dhxo+IV48EkDOztlpZ0bMEintuFc
GjGxoCsDf8QMhPeouX2dpVG5fb77rx9251ep+HL61XjnXXmpcw5PWEenTpccHlnUM2Jw2mihbryl
EEwie2KVUwTucrRVABVyduf1COwujfhA1KeT484ehCPfitzVwGDa9qWrinJlQ09fEYs2T0RGOmVZ
mL8M8aRvqgnEPPznAJuKbh2YY11EoNq/bdZDW0Pb4kEbj1VnxqeYfJLfDx05dXTM+Kpg7ZunYlQE
wDxf9sLJLGDdcnOyZLFrKh9SZRVpzrqWZD0+BzK7whYVGcFwsKLQCpdVr+9FbRjn35tKR+Yy1Pfn
e313LC52n22x4+p3e7aT+Lbyj6ZLDFSabUoigt7a2FYXmdcfT/l/PW8ZbD1fUyKxnq/V8zufr7Wi
/f3a//Fz82velJu0lQN9C51uvAekmazo45bMtNl8PpQxX0ZTZVTMDH/6vY94EJ8IUJu5yf/uI1Q3
xwcBkB/dCxjtiVtkPAYXbyJzdN56PuhR7a8yagh0iHANmF09LrCw93djcC+JwNfw3GrmXSVacPqJ
DH+lH4XLlLJZ6Qw6KPkCHwTO4fnQkSFP0xSrzLVkgfTcsjQdx1qfn/zOGq46qqJGFj1hgb4R05P9
zkLDvtLiH3CSeaiEWpGcU1nF95L/oVJiOseibTd2iBiS/On0mkTQlxZGomX7oDS/jWGbXpkk6bjA
4f4gVTuOTqIdjdlrC1OH1mKOKxiM+TKfnOaGRLO5pfMz/5h1dXH7a+/EQnGZVWGHoJc3PV/QYBUS
tum+Pn/kr/3KEG8kk5qH5/7nW5XsxAb2ZrMkegC5QBVWBycondc8DCGoxt7luTUiQ1+VcE43FMDs
1yR18pPwyj/zXoEaCCdjbTEw3wp8B691Qqs5oM64ZW34B8Be5wwN0ED8h2hkipzxjTDqFGNQmeLI
7cY3PG76Ns0RqDw345pbeTn64I3mN5vIPEm80fZGamDCCxsDYTExU35B+ZUiiX1C9GYeKtaY19Zx
jiZptkc978froOclGgnm7hAHL89dwhFqjeVkWLkCMI0b9WqP3qJ7NIIiaBMb5dp2g/5h9l55bIeg
JRuXV+nfq7sXpKvni6DNu4eeF7OBUV2fu56/bcinW5pW7hI3F+xPWVnByfT64DTNz1pZH7m5TGfU
UgiFk+laze5cHV7ARqTKX5dlUb8ilzTv45Qy3WTr+Q5HT8XSoyaw6/gdr2oeGmjrfz7f8dw1BMNP
Cy3I6bnLJ0Bgh+AGjcn8/qKpf3kpf209qLvVjgZhdX720pGodIlbBywmW8+HuIe8m1RMFG2t+v/7
NEJJljbq0t1f+ww9W0YqwX+AiWwNg8gjl4F1D1Uq9ND4EB+tNY9TXfTzueW2U/lQGPCQTrw+9wwB
cMXET1BAONQ6upIPjQtRvpqYiRZVLJ39c8peEEWwDxtsmxw0+RrND1n0h2DlivG3J/Kj6omzCvie
SKHAcdI12aJuhvCC86o42z6yiCy8PPc4ueUfC4JqVanb92qoDl2kGAzmLdVg5w3r9+dG62lb8mC1
s+N5xbk1tYNCeszdAwgt9oxx2Pou0rlYKVzn5cEclPmVyHERltVwmGQfHmIf6bFQ6qzViTrL2kDz
w+SLTkOnzvr88HwGDU2caOksvByiUzZxxdW+lB/If7DfhZ+2W/7qohFVj8wC/xTPohNInsDSyTLe
W3x2WuP/u60i8uVwAhdLJ8ywYcgAjCAEgg+Nu9wGIUK7iZDCfFQFoCvHzXRIisw+xtk+GBeK+CDC
Cw5pD0jANCAfhfOMxLIn71XAGb8VGjYUCcUbWLi98Mwe9fjMq7cYZF8SiQxNF2zJxiIDS3O4vJER
DtMg132hDeeqLMYz7ZU3l2RPHFWSULBGG14a4qeHEC6sbfRkV0FuqlrH/uZn8oXI4HGf+Ua0bpy4
XBAdco/4Ky79SBsSb5+uLxq3PVWdmx91qzQ/NFmt9fhAQkX22x/WxE2wN91mI0mIXCf8+ZvnJDXo
FRba6OqHEsXNmLfOks9oLX8b4oesn5Y4TnA9RBqaj7L4o9J9+OeKFWhN7veqjckR91N8C7gwo7OZ
TtMmGJp0l1uu9vj9ldWYgU85Tu1F34TBlUz2qxfM/x2laXwJCPaIqSnuWKedHal7zdl7BoplhKP7
RvdhCQ1/p+dY8JQTHCdw9NZabxlX1f+kDzt+o4gBXrjLwxu35f5Aqvo2mooG5bLp7Mk3UXeAl90i
sKqtqzccbkMqdILUl2fXX5UWxRsbVjoSXzC5uNVnVx0VMTDp6MSYXqpH4urJi1lChpu3+saQD+RW
/bBq68a6EygmH14NFC100xICW52xyqV4ts868HDCja5t2p0zt8gexG0C5nBDpsGtb96gCxhrU8so
pDJjx7Huf0xhoaE2d8k7sD791g6+T9gBVqHp6UdqBqynswBNpqk4vxD9mCuUsqAgRMmcMzYOvjlV
J80ECJu6KCalL69+b92LMDLegvEx5NQvvZFpWRZpwRaIAQeEoJvikupZuRao3I6ll0cXmxsd4hZp
bZVHiAd2oYU9OOkj8AdEmg0pYiLtXp6/lhkETDPff40OoBFC7BCVc/Fa0DoWQNcXXfS41N3Qv9Dl
/Ii0MLi4Cfkq/WQvbdkbu+ef7OZpjnWgSUnPmhBoxVV4aApW9dyZo8Uw8WEKrwjPLHN0TCrtpquJ
LyjyTZZH3V54WvQQtf+hctmDFsCo2Y1oE0di6rd1WxQffl5TizJhoBC1FNHk5vO5UcRNNaevoNDG
nx0G7+ekZ9QYQaxmfAFCzmQJJ4zAazP8JC66PlnFrGYK5IvMwmxdNUR6PjeJu2s3PiTHFTiU1aj3
0e05S0tHBvG4gyJTsW7KaKqrN0um2VZK66MydPeqz5ZMkpMokEB7WT43ny940PX3vlv/QBmqmq2W
OwxIcaetgprcjTSRpJ9rrcaZZbSrHnTHV19ZuyI3rJ9pWn9BjhiOIice1mJZcWKIdhZY+6IPZirR
Fk6ZtiYuK/6QdTMtEfIMzJTyN71UE/d6bI34aWAuKp2bnMrqqy2ai6iD4rUX+d6fguIgqpxCdwiG
WnaJ/eLWH6K1oocyc/e1PDSlqx0rcK2RX0Z72NzzmcVDbgbkUY04GlstYaLY8UtMVG5L+oAtOmHN
vMPgU3dZiIIMYj+j9cO+QtrFQXeroN37ykdFP5ttyS0JrxJ9w3LSGXwNzYWco8QPJ8hsFK7HLiOz
z6oD/xd5c01n1R9B0u6SyhCnoqo+cnolx95WVH4gzFIlg/GL+WDVeKSSFFOyEjlMvB57piyd6uTZ
SX16PosZaJfos3UItPVXTlTczTZpdEBSFmvXovJcdv7DKoxZJY7NJcoHY93Adz5BvSSCtbd++cT6
bfokxgFnZIhjdSD/C9kSKCVEInZ0F0miz6S1GcZpF0KPuBVSthDeaxcbuOwX4BDLPcZytfYql1vT
fJCaJgHuxwKNtS6ElribvENBFtG89E1WZBUFmybtudED+U4xpryT7fg9RPi6KExvXD9hFCkVwtzj
RtZo9rdRH9N9M/bNSabkyz7nabHenJOJcmGBgJ5Z0pLTMkqUdiCXSrFspDUj3J7SSm2u3KSp0Y9b
yaKeCRskSEfXOCVHpqraW0mzZ2H2MqHCGudbZch9FjETqHs3fTgVvAWkaTRWGvxXrFggt1fBa5pB
ucRyOrD851D+telO+UlPIA34caxtp1A75/nU/xz+54lfuL/3zC/hz2MwTGS4ho083Oq2mRhJgQiK
xn9UumncRlFLplFpv/XopKxAvVpQQGeLns13QLIlxD3DYxnqqvzRBaDDPNWIQ+qZkAir3Np1aIg1
6iZzlsefBHm+sJIWJ6Mh7bYodWycJdiSEOH1wtWR+9b4Ke/mLGcgkYqqZ1Gv7JD4vbLD6SEEF3ic
DAfH6+ZyXuMflW/KfajpXMMVAMT4R10lIRjQfDwyuyFSJtLLd6sM8EworQcZwUNuFcNZc1NnGVJP
XkE+m6kGZCaoJL8Ndp/fmiL9w8B+0zsRs0WZA5dXxrQ07RK0f+YnV6Tb9koHqcftCNIVa5fmGASW
RzSu064akUJEJNV3ZYWZiXJ3NM4Tng46eXRNKSDgFCIZmCw2Re4u/G+BkMgPz3nqJ4dYEMMxNiTQ
+2nZHnSoYZy31Vsu2zlVyG67X0RHFSfZi3oHKoBKc23F26qqnYOjIKURa0pslnSOhmthEjIA50St
+WdVRfU6mtVtTrnASWLNyXF/spoCNY/Q5K6UfMNeGUJQI5B87POZszCDPEsUTh5BtVyg7mdQJF8I
O8tjog8Xt/fkKW/7XySaZp/00c7Ulq9FB9UrdxlojCoX9zpGBRfmw8s4K5br+iMbmu6Az6e80ZZY
1tDhX4gHWIN1K7/MopVbfrbfoJ6X5zThptMjDA+S0v0kgLXaaNMw7ONmbC8oQVfmyBJgUeUZoWIs
98vUJI9LTgCvnPol/Tm1VfIihvQWgKo+ywbxYMCCVqr8J6T8AT4N+YtEjOV7W08wqJpg7rlANMjn
Eb1Rbu/7cabImfZbEabXtidReWIldVQjibGoXOvb86GrYaTErv3NC/RPCi7fvdKqjiD1R4h7kjGr
z4nhI//42IYZLMhZDMQBND4QMNaY7tJxz2QeZ3Ud7/tRhaR14PId7eETtuy46xAQr+FHkrcE1GRn
0w/ka8s+NM5TWLEB2S0OVDkzm1dR3syynCtaOMEOg/oCxAHmXSbogWyiPfF9YYyJZRhAdXGIEh/8
mzFU/pHuycDir80flmflsCzi9IOmPl+MS3YdnWuFuvauA9Scq5gWyb76PmgSAigrekZN+mdFACye
s2pS6khLNAQi/NmAXSGoMWNSZ2bdaYxT1lY4ddMe467P3/TptlczJJ9dJR1RYRpQn+WzuVGlGkMR
GBPyErF2SPBISyMuoVqN+cnWkcHlIVHHGrG0+vxQ68EHKj6Kj34suSDjdt0QW7DrDUzPjtcQshOm
TCl7oMla2dY/+ihYdQM2l1DT5A5AAReO6z+K+YEj/A1nh3YKwaTtfk8PXbOqN4TLsNjuoPmIGJya
hzh361ggRWrznTiv4Fz2TKtY+qRfAxibhZa5t74CjeqjPLzrVV/uR2WD3R2L4/OhHDtzR+LQzjOn
8Pp8KBNSE5GG7vKcDHZiqt1NUuBmFAkqdET2V7wV8JVqVzD6ozOzW9Nfi8kTgAoM/xc1fYp14ZFI
c0yUUrpnzWxeWMsxvgjl3VLZJgudMt0q8MbukGdld3CE3R0SAXBbZwG5hLOMqwZN52tUFluqVPEy
rccc2FxvrTu3xHApGgjOffAV10ClkiqpYSi75ZIqOCletUo31FJZEKrwUDXiahJGdMgd6GToYbpN
WevQWZviElgiuqC43QQYBRf6MDtuXNp/0YxAymB3HOBbbJIxnsW7JL/GqrbOok5jzpEmP0300yCb
LHJszAXzNd1U4W7oomJRBcgzVOEcoT/Ep9FgRSpbIhKVsY2UbSNQ6PJtoRkoWQKUQYxEGdzMKNxH
GmZJ3x+R+pkNoD03fk1HBNFmSvAYts/u0KdqkeCzRRANGyGf1SWj5xuLADg+rlpvRWZg+Yc9Lqy2
PQR4nPf1yFVEGxTkcu2aR4CbaAi9WFuEzBosrzwbvdR2ldGSZySSfA1t2oFbQ4NeVO4OmTQYV1XK
g6sF8tDh95rA/25YituHPKQR4uTyxWaidBir3qB9MCxhaVRn1+HiZKUDXHl6iaCi23BuTl03Oidh
qUUaBsnZVcUrvVbroIJaEq0Zb7te8UUPHnpLAoMTbDJ7qUiVNYppVdoEC9iKWVdBkmNiVTozRj6H
r+gix1ZdbSJ/0F5quCX31LMKTLrZV1bCdch8F8goHZkujF9I76K7PtsvSkzoKCOhjKZXn2or5V6v
SBemD+J0rD2ickpFJiTW7eTkClQypBBwMIiQn3xTO0ZNo12HHpnolEc4i6TJaFSZJ9eQA+fv4O+I
WhJkM6KmMae6eGnn8AunquHx5CEBsC6RvMkomL+KILuFY8Ix0IZmkYnpczTt+Pv8pAdvtTCIxsDo
T1lk8gvx4rjmuxu0D9vBzrTIrB6NKqvoNijXdIK2ute1xy5p+6Wuh1BXvbrcDKUWPqraHI+233xk
zfDF3TVHlMS5ViL5WvgTGOMElBWNKp+KCYafz8Sz6TFExkM0vbpogGrQTQ/BBXwON9mxLmkSyAo4
VADWlfRswTc+ma99Gcmd30i51ji/zyp20G3Z9cyGsaIlrEGK5RZxbanRwJWa41/SgTC1cKT0MzYz
DiavjiZ33KgT/PIhr/ad2elvUoISw9CpbyK9GHZaBMrIT6d202aZuUF5bqxcUM4En/+oTfKAKEuK
m1kjBMpbL7pTNPZn4Xt89WySPgP0ugC/sLvp1qWejGElnCA+i+HY49V8NyLvB/IohuUqmXPvqPUl
yksOY6gBrdbsLenT4JqxstmcjucyHn/psQ8RHtISkn1yQDrS7doRRbbbdMUKfBTyjFqzLlA2wkXd
kb9pwTJeQBgvFlhZS2hDEaBCrOgqxq4elXG+04u9WTkFzhsvWLcg5O1Gpifqc6oagIMkDGoiBF0Z
V8NFOP13N8C0mHffOY+/Y/EyHxXHdxuT6bc3HLvbJ33or/I0/QEShE9lRfX1+dDY9P+VtDCqbVIt
tb/8bDC3SNLnCUoxfptqsrIy/b3C3aYxYJ9MSY8Mr6L7UCGNgLYOmVfU7gO7Kk4qVKDLtrXvequl
f5AHBKPGjOpzNtn0DDquuMQX1sOH77zMx7y/+rRGN1GFry4Ivyw/UXeCE4B9Nhlu+Oc6f9AzDFp9
gd7JH15jz12IcR6FSUDGMDvd8rG1/wBKlCxYLmofoYAnXOUVLFCE8itlW8G9FZylwmqOzyVklVNX
m6GvSJPi7Nbo3NazzmQWQMBAvAk09aNqSvuW6lN0rlsgNYEMPiG1bKVntt8ZukmuKWnzF0kA5aCs
Dowy/o4rdaK01o2rpIv992a+nizPHn7EpCXxYnCAZll8Bc4ARlkMHLXJe+mnRjuJqPkKmLlRPKNP
mMxdmOeDkYF+HSgjLpmIVaeksvxTTaK57H8amu++Bonb7riCxVYNzRtSlHTb1U303qpffCbjw59F
4Bb3EybE2Oh1X/POvYkDKynL9KK7YX3GsI8BAUjUd9m8uJZV/9H1qDEYdDY2xOAHydsQO8PPrlMp
RAoHJVuXIA/zHbLx/Ko4aTPsx/DGHdaoH33R5RerbeBbdEa/I91lSaIFapBak9uUmeMmCyWliYpM
2ZZ8rrP4cDzR33NMkItRpdXXXMYT2FRoaXc/ZQiO2QbNEdtkjI9DxEgA531lJ3p1GjTs10VXmV9e
MkIzMZiju+0w7lvXXkVEd07DWytBSJREA21ii7IeMefg73qD+IQpYLU6etFWOLnYuaon8g5FJ3qw
alnorX/HlF2+1BZBH119MyJ9h6hpwigQTF+hK66EDYp9o3vm2rJje9kp1z/2zjB+CmfNJyJuzBgH
qmXSPgPyr1lmM4W1Ym+bj708xXVoMxnki6vtnPM2LK0vCTsFgFOlfwUja4CkRpmCyeTTxZNqTNoP
uGvZ0u3c7kaRXux9vNtbr8ryR20hRwAuAi9Xj4I74Kgz2DPnHQ6wSZnOavdNEtUvngXro4zJXcWh
laytLmDWQIrkmWVF+d5QxB2IQv0c6tA6BEqhqm4M2GndrNKIp+8ANowt3aLghDPJ38RGJx+6NeaL
hLbxK6EkAFS8q1OVQE7BMm/dYmx/gLojqFCW5SkIBNSyKvyz6p3ml6dwy+mN9T21zRhKC6G3QeAw
/2mC+gAJazNlgbdIpWvfQzERfjJ09roxe2g92jDchz4mYI/wxDaq3kuLFUgyv9WOcS/nXsQUoopd
GvGxeSERuN6DgkZ9LKvm98w/iX4KzTaPqSJZgnhF/6fpdG9+WqWfWTwxEQdvNlXuqahldglr9IhF
GwfvcQ1OAZBg3SYIQhj97lYn6Olp4ZmJRX1vlXrhay7iNRbiVnemu66bv3Q3Tw4sROicDSP5sgQo
EoUV66QIurOUlvR3tEifNG6bOQ3FhT2YqUXXzUTkXL05WX7yPIfadmmkD5YU2FlgHizKYPgYe/1q
ZOlwpsxQLUsqJjvo7DCBzck5TLOwovayl9CR52aSFrXKkZxD10ioi5vTwlSReZNT+0bjWtsrHbTL
s0gR4bwc8plG0YK/hnF0VVrK9fg8WKleVdekSdRrWe1ZnzmEAVPwlpThllpmNCuN5fNpBCm1toi9
3idxj+gy+AVFI32xs5rMBKDJu7zz5RcTqkgbripEzQ19PaEhjbkcVvY9D6oPCFkIJzKH76KVcDNN
eVJuHN7c4JMrzkMcYI/boh3AvsyIx5IYQTjnkXP3WMl95czSCCLN8qsfEJCRjxrNZdctKJ2b4oQC
floBKtaW/ECKYgeV2mhaRxg05oqoleFs59SLnYQhoTBoYta5fTObyb+Og0chM5/kaRqtYhN7JuBs
qB6XoG126MpQAMzNpLEhwCNJSOj2u0c0p1ON7vgKbPE97BiFEkpSZ23AFNB04Bgpvi1rKmr05voT
0wcGHG6k+MnCAd7qCEjr+cG6AqpkZAZU1PPcOBadExwtoGDrLkh2rAGbj7QtVwhI0l3SiGhfG+k7
U5Lp+/wkj7Tx+UTNe4wmfn8+mV9yXFi3tosu1xrQLKusCW6tEZuHxgq1NW0c88MeHVLPE/kDlH+8
sOW4sV1XWzu1GA5qTTVq+ElkGPXTvukfVNzdtRMxfgc5wXA4wUlJ0vQ/nWQYVgWLqO0YJvJV53ZE
PkX7ZqRZ/uZego4cSckAuMwt6iq72DGyg8IjEOj03IO4S4/Ph3j0qRIQe3FxSzBrgxoZGfWhOlbl
n/rMCvZQHRy6cq6putfn7JHjLdegNlADlCBSWcDEp9w0T7pdBxdZBCXYm8JgqWx3D+yCN1Km3V0t
/F08O80Wsd8Yl2KmhwUZSa7+pyka+dElLlnero2BqVw6vtdevCQ0LxEKKELbIx/dK25yOiz9pu2g
DlGOAu9aEOIZFLa9EvxHd2pzfb7U2hg+XGwnlPa1a8sy5wthvrWWDvLAQmX9l2Y8ZsUf8rYEQCZS
ttNk4BkZiX/7YN49rEOTCYheBu4H0eSfsdE3t7gLw4dU3BsBje/IXU025ARRI4xEdsm6QR1cGg8b
6RrVwwoEU7ow6b5ZNuDVKjYpBCYDudlz9aYZoxPQM1p+wjpbtNx+FFr7K9X84mHqmb517CZdGOEI
6BFG55dKV7VneF9M9uPd0MBimiiAfGlTuGGtiHLOD7sLIrdyZ5WNv41pan85+rAo6SX5ySaMm29O
Z2sHoRlcbNb8NGhjhtfBamDJqHDlzBxnVBvBOZqxzs9NEVj2DvnJdQzLcw9A9o9k+H/snddy4+ia
ZV/lRN+jAt5MdE/EgJ4USUmUv0GkHLzHjx/A088Cs/pkme4T0/dzUQySolIlCgQ+s/fa4SbM0UqY
CZF+9dBYlPHRweyce/M684nCStt2YdRtpYjeI0kbjDJ5JC/SxruxnkjJxbCQ3lLEdkcV38jPmyxJ
+b+9PkmwfGtlG8WpIjY6mbDYmzfVTnE1JjZw/l8DpguTMcbv45giZ4m4bBGJK7k83VShskFfOfgx
BcLWNjo4mCzazxXLObV3udgHlakuhSibtTSpj0hyFzcZqktGv4Wx0sraegrqrFkqskC+awV35jxk
vt50OoGAvj7OaQl2c4w8enddv/81o5v3Fp2jqew2MrfaqU6kn/E+3xtVPuyvj643rsMQSxlcJmIt
VKwJZs2Doxrhwzh8p8KUJDMrwV7jwGMFDhY2NpxLE1odZarO2HqGeZDgVPjWGKa33gzICKFrL0fY
lWtymMxTISAmX+8RJjusGUxAgegmNEfU/jfU5yQYOO7j9VFmOPoqC7EE1b1yV1XG9DmWRMFWpv3d
1uw5RAsIS1Vvw9rWdhojNNbbhrU3XGHtw7EFM/3z7vykJ+2bEGX+1pgn0qIFnKe6SNOuDzOpv474
Fu41W3syWO4/F4DylprhpifbMB2as3E2zIaHpIQcuYxHo7mJ0UwBPc0byLhVeDKAfv7CNKAASJdd
On2gsBnXxIxlmI+A1Nb0gBdFRS5sswJ8ctlPIxTMlFdpd28ePihVkdpDpRMUa3UmuRHYzJ/qCq1U
6mjRWpCK/dSAgVxmIyNWvehqEovYjvbEG51htKzaVFPvC4NEniJ2ug0BWAZRloQQZfCXVmnd0nRD
QPZDQNKvf7mX2nr88zkMT6SgRxW5F8LVzteb2u5tXNKlSnPPc1MlslUycIKqXQ/x5RgUO6Hrw1OB
LtAHQdrf1MKVT26jHdO5o9Wr98Y2PwtYIZfIrpzdwLZ9rVmob6UJm4y1/CPhYgrUF1B9SFlvJQqX
u0SzHWCW7er6qILaeOdAazbyrkZsXLc7loD7QKF+s7oGOTF5sGhv42HZCI6cqPT6baGP8l5xIveu
jsCc80A6ubxvlBCpWG2Rhzw/B7y3O0xGkfqChWBL7lYWcKD0v98UjgH3oIlluSUDcTsZrlxDdWw2
NDPWS9PbhDl0yr1Xti1u3Hd+gXxdZ/osSdCQiVJA2wtsNVg4HOqPFfkdqCDmk501jMr+eu96Grze
u96MHcHrCaBRLFZbWan1S4U/8Nqkc9Kr1r+eN1m7RqYxvmEWrhgoRtApQ4DfBhetlZuCuF4rKtMG
znYtm0+vYs0PAIrZdfLM5v87MNvuSzW/EqLuZxgb8iWigFFEqK/Qn8OlRTC43zUA+Pv55novyIvf
7zFnXHM4WexeU2dfB62zH2zt93u/nqsN3AdFfCHoNz0a9O7H672+cVPGg7GJSNve/fri9flfL4vn
74qKsVkFEeaRX18oVHJK9IgetGvb4cYTAXOw2X0fRmZ2CwPgkE9N+Bj2TvmQA+8iLQ086UhSc5QH
LBYTggwUCEiVkbY7TdfHjWGH+YVSFMNKY1qfgfxibB2820W661WkT/xNvU1rjPnZa6CtRQUrcsaM
7+xmu8XAfODkatoXLARzgx4C304Xae+NQ4BckGRv0KKIdyASfc/aAOavnNgwouu6ud4MHllj13t1
R7f98wv8dquiCRkqufaJdrfaG3P6C8EV7dmzRHiyWJszY2zPXdnTFVfSOkxdVm+wlKyIoXZCf1Rm
ZlsavZF2s2dLvws6E+Jxlzf7kV3+IhQ8NLyiX+oU44NXlwtnEO+AbgUbE1x7eU98K9mKXIMxcPl9
ZpC6IIbwpMvyRUWL9zAEdXMvAxNqruc+ZJKdPlD4hWA8evAsNHDXmzDBh8W3u5ga+vF5iHRSuqWS
34xJp2wU9oPXp643Fhc+/E+8IkQqv6o0g806OLu9+OeNl7RK7icIk/eOrHRjoSNviLrR2DGEhqcm
G6MgVCH5z7seub0kb2fQFud7lOeLBjfVchSMpK/bxb6x3hS7am8BCJYX05awqIfiplK1eDPWqNPY
NrFRV/aBmbmLPpPjyzBgWpKOYA1Tht5W1syJYqQTJ6UEIlEgUv79npmds7IvbrUifCNPsiATi9V7
WTbe0vMsunctGy9Vuqst1BJm5Bza0Vk2NUSMkX9p6eCVd+i2P4si4nOtZyzwCbG5LWoT3Z+CYX6q
Hx0ln96hr9ksVBPtAAZ4Yc1T+l83Qzl+2JiQN9enYqTfBdqaR6UG5ui2jBZD/Ep8qK1vjlAfHzBS
rUZ9sRoOXFIPcAQ3o1gRe06kpFcr+9Bwv5H7YFkNbYX4SwIQFU6b28wLFP78nrFBNARgztUPodZk
X0WpHZTETX/dUcpxbx8S02LHKuaZkqewiYF54BcJaatu797Qsrv0Fvnv9xjSuzcpE4+doQjUG0ix
agG0tfBU8qRMUpuvd683zvzk9Z6K9WIPtHFxfQqIB69jbYpPdWpOuXTrixPcD07bP1xvJiu6iNxr
4XrR0nG20BaDrGgZJbg+M+7TfTwW4W0HGxs4Y69+dO5qIHLgQxhEDdQ/Yjt1n6RiVftKmSfm0eg+
tZHerbOIxfMwP8ynZMIDabX7ogpMGireKLhgEVUQC5EUncPx6on6/wAEzcKZ/d8DEHZt9uMfxx8j
Q/CvPyEQ5m/7iUAwrd8MlQ7PUymEUQPMZrLfKQjWbyo+WdPF4euiPLGwkf2TgqD/Zms6ydpIUoim
82b3b1uKLvqPf1M0Y05GRlQGJcHQKBSd/wkFwfibr1W3AfugpnA5vDG0/cXMpmGgqcvIhkKMEsqq
n60iHRZD7ezcMt12fQrq2BvvAWU/JSYBRAFZ87OcIstRBOqvkr207yNehbO6F3W7Zk9ohONmNLq1
3o8b23H3UY4GQ5tPBMUjaAeugGn+zXzyTkP7bbbJIXZBwDOls8XHH/4atz+tsP/4Q5yk8TcTqe7a
Gu8hUdEmcG2AEX8ykXZBprkJOfTsnRAiqLdwmpammt9EcXIXFMY6hKc/LZOsZceXLGTzNobTJVJq
QATVHorxoyKdLRkEyzzKNgy9b5g3dcGtNuhLF8WUliYbOkJPPzhYsTv6ThJ2jYhYVDU7G5zuW4EW
tcNswMbIKb9jIN7/+jf8G4lh/gUd9Kee5eBCtWar4h9cyRiRwnDyaOO1oWETEd9Go7OzHXEcDY+6
yNxUsyqIMDD/X/9c/W/WV36wRRSkpjtwPNRrHOIffnDALK1Cu+n5mvFUhs1G64pD0xJ0M8il0T9N
GRoK6HBlOa7diTNZoR5UKPU5gtXItXxdNnsuNQtXnCTM3LS+/Ov/vyu840/e6Pn/z0VvrJp8+Fzz
L0Gig+cggElJfi4dsbLa4aUuxk2u7mUXHZGf3AyOwaiOrRcq0gWdjOtYR6dNN2rzqc+5JFjjy6Hb
J+IlQ/7IcnUjiGKRhnhJu/rFCuM7fquJFsGP1GBbQSRI2F5DD3EqhCSjdwJt6U3k5mhV96pTCFAN
DPs6Up61PjkAzkEDgQh0zjZuzX2vO4eBeadzM9HAqqeyMu4NDTJkGbIrV+0fepw/N3l+TiyXBZKD
AjDzTUWePDs7q/Hrv37zTGd+d/767rkzHQU4izWfFv58WNHEKhNJBJ7vTfXJ6hiLU3J2kbNXUnEE
+XbozHehmndsxB91r/hIouDNG82XUPYkZUFbrx5yNXq0VLzH025SneVEJ96l+jujkq3eIbmDXMoM
YE339payvY/btZshJqmmRYYBIsFUiE1ljWyRULPxYA7xKuv6FbuTB1VjWUQR0JJT3pBE7k0Pkd3/
YDn22Gv5wcQmPjiFj/h/qyveMkw8CyPU9GCXya4gLi5TlVcXr0hYvnsyX17XK1F/lHW5UknXbZPq
NID9BaFxAeeHq1fZWIx7na1NGe2ZeLtJBczDVyWMF1bLwCKobklf9++10v60GrJbEQ8PlQ3H01oD
m0KKqp1UCfa+7HeeADSS4WWwyMAusS6TGon42SZdOrG1905mPEY4Mw5bh3m/rmLfaI9SClIk7S2t
4rp+cZr+0JLLXCbRsdfaDbFFx3Zid5zYixkb3xEHT5l8g77iUNBWMDFDQVCusUygLtRAdWc16wSW
NWq9JB9ykcfeti7zgxuP54S5lJtN+xDHt9dpu69JVkcjaU6xmcy5Jr7ZzeO8muFz7P7Q6+AHmQZF
ceyc+E6J9JtBz5kfMupl6N6yuY9K5IFsDhhB4CBwD9mgrAycsH0hV/jU9yBcVlnWklVTnqGezMMt
FKc3LEj3ObwXbJSUgPBETGP9lYvyFjvoeuqcnSWnp8QOvwuB/Ahlf2WtqXTcB70vbwML8Q8L6GCq
Lg4535Fhbpye+JPeUu/wtS5SvHmKknw6vb0D/LZ0vHRla95DZ5vPDSyNyrzLLXVDas8mHaJPW1Bp
jtraMJBROPnNVCNlcEznoa6tU9IMPgyAm2pKPxWnfsEqvJp0l+kWZ12nXaB02fXtszDtkxnAXtaK
t1bH9DbmNzhYTrq6SMtwl7xUK1Q+u5rOQzd8xbOQgMrETzokX4JPvFPzB9WUFZX7xZZ+1EybMbdP
CeNNc8rxUD1WkGe1zn0wm/i9C4pLPblrB3FaWoxPWYsShbd3bc5lZJmD9RyWLc6saFKfOiT6ZZ2/
K2iAdMI03Ky+pEa2Cplo6iaYyUjZ6mnwMHjxe4JSqzDyldcl7/P8HO1R7afBjzBwWXqJo2EpK2vU
7poa+apntUSu5mthN9ve5TycBi0J7NEGx92lQeoHk2Y/2elj/4MWDA2HrGgwHKgl6VJkkU9oOblb
JBF433Zdf+V6eakL+VQok+pjQeXA5brqknGtQjOEBCgPdqq8k/YEUd0EEksubSaPbcSsp6kvbW4+
NV+27Sg+1j7Nl4fQPWGoeXZj7y5lZhijCPTnIfakI0Us6pcyjj6jkuqmCNJH0AyYIFG2BU51kJaL
DyT+Hmrg/KUHqTxwtqpZ3mYt+LJYOzAIfyuj7MYurRP8tza1duxZLwRXoEHR1Sc84Igd9I2aVZTl
jHtN4S4dE8AcZf2iM6mzCPvBzqKr3xDfUBS0CDMbK11StsRTXSzZxeqLKHMPcLR6gPmuwl4Mx03A
jNHxCr93zI2aMEtQpyllCr8iRe7StM0Ws/bM5zTvaPxOpZ58M5Jfq5X9MLSYkCrrnUZrJ1N9p3QO
FvPCgIbNJD1T9vrAGcZ1vXJB9kWbPAGB2TCO25aMisJSAq24n2wc0VgZIzXFTUqEdVNdMvO5dZIb
0ALHoQJsAEUJRCC9bsS+oHsytXxrhf1O12LU/NO5F9DxTAI3UlZq0eA+j0XwTYDkEpXJHcnzR6Lf
VsmRCON7hBMrnc7Rz3/YcUa5qpy1sXxwyPdS0LAq+Az9EXGkdOMTMQqrafJWea/jK0q2MSIZOEqb
OIrv1Bi2ZvZaQaYC1LpqdJXZLksZNbmPrZ65XM1sPLvTe++gmby1c/REyzKR7UEVu3Ds012sb4LM
29heshNsWZRgeGDgehuIfN9xHfjXV2jN+a8u0OQ/2jZ1jmm4fylsczLEkgLrFPB2lsLtE+uLJSmV
hUFofAMEikDxMQFTiVhN7Y2F261kh93uXSoPJoKKKqSfoe/5H3WAx/ijKdvyu7t+20dZzQEHUfe/
//1j+F+/Hi0v/+fhH99l84/jZf3w11fOP++fL23/+fOXP7off3qwKnAnjXfiqxnvv9iV//wh4Vc5
v/L/9Yv/+Lr+Kw9j9fUf//ZRCnQR/GshTNE/93J0RP99C3j8kf2Q8d++4WfzZ1i/8Sdy4XeRF64b
qsmf8WfzZ9DgcRRSWUF2o8/51fp5vxm4DA2PYh7yyHzvD62f89v82us7yi/7ewfE+8Tb9uvxnzqi
vzQMmmHQ7NnMCiEAaVSOfzlwwtERDsY49OEj6ZqGV5YPCnFaEEQGsgulWzzUwurPWKFR4PNFAgl9
BFsQ3U0sF79uiqBVjrFlz8ERSrP49QWCwJVj5Gb23qDn2zqtehqT0NgmnJoRPpYnUU+brrTki9qY
9ratg3x1fZjVCtrFVKtPWt3arBOTNfKv4SVKZbpzwHYsmzY9/eFv9V80iLo7d9l/LHVZt6iWrVoa
Gyc4Ppwr/1zqlopeGwa6fD+tlceIdMxD0mfQndosWGatTQsw32RtxGl3xOpkIlgUfYSXwygl7URy
nlJrjkcnWCvpn0sDfYbrJF+1UixDotlWHmYBn7UqW30v3qUyezNT5ZHcXVaEBaECXQsnFQpMU3zj
ZEj8DM2dT2jxHRSgnhCypV5ZEPCnaefBAfGHkJMP57S7xDBelK7OSNCDlJMaNktaspzgvNRNgocZ
TZAOr8RDNeWpAqlkPygMwrwV1sHQF2GPgNA2gkWWicOgTBkeEwI9vCrHaGG2xZKc692gR4QDsyAg
XR1mZy0emhDGXBsfPb1ZTZ5LeEVmpDcV4zKG+5yxu4zwsxF3tLtxI3PXB/ziXM3YNEL/71TaYHFo
NL28cbPRxXjGQRe5VII4k/1YI8gCMNiGxKvZLyodJIKLFvDJKsI1u9SU8BOFLK9GRLsaqxso1y9m
QfpPgwh0TmilJyoR9MfB2Q6Ujzg3FvZU0hmc1YRg3gQlrWGlE6f6c1lyJEKZS4IRhDRxa3p7i5uL
7WE6qkuYt8IgZzrNuMYpc/6liCiRmGmSH28TRorcqtizoyx8BQ+hPwqxc/LgUmUUJINotvQXxJT0
qV9lAZ0wwGeGBZNFQBD6s545tZM4H5oV+8pkkzLa1xkHi8vUTrMeZQV9sAbpQSFiBatC0jwCAz6o
eoBFrCLwBcBMhUaSaa2LtqTrN3EVHEOCHsGv9mQcc4FW6iFcEdbj+JwPVoqMh50W8PMKM2Up3On3
DgRBC3Gkr8UZNoIAp8ZoRicjH1dxZS4Eq2QNQRj2Le3JyaOlQMWcSINhOEfCICoW5ZQ+UdXce2Fg
7Lyu4GIU4gh3VHUFNHPYmGUVE4dqkUWhhx4nkEMlImh8GVsi0Wv9oqkbQg2cXcqShEXTurMMwmPU
9M6R9ZGQClSvijeuAo/ssUripLPN/hVOxmIC62iOLmId2tFEkm4k0oSYDTIqGVUsLU1bAOjobmK0
lBMqNHyAIwWLcTYnjQDwMvsk4XPe6c/xmGVwC2F4J0Pvnp0uPDksa8S9s+Cj8kyL+tPJqcNqGQMv
hL7Xjwh0TO/A7PeGEUgN+YXEWbXjMJr4oBu6Cb23lQ3LfeJ6ozvicgsfgOhjNjgH1+Ng6lP0meiQ
cCZWd7asAOYvwWK/OLFYaFF2GIECLobeYvBkEVvapcjKomghdBULAf+wxfRhVXYA2rJa3ZdVFaxM
i2mEvpmTLPe6opyQ3lDNo00KIoEhAb4F/o92QR6bu1WE+qRFSMH5nzq6o7yQkn0OHbdao5uag3F1
P2CDGJoj4lcdZYCZTr6sgmyZIkT2R0K/LHyUgVgNKcXyUOsfuagOeqB+Mw1kTS/UYxOLi+xdsCd+
uM/YuG7VmI+7JFoq1oLo0KbhD61mRNXo8qOvcITEBqJdGXLilUW8KF1y7f2kotGo8xAskUWGcivC
4KDSgG+1vjhmieEdykE15jfkP79qz2LXSYETdH0xYc4mfwjkf34+lXKJKBzJfB9WqD9pp3I9LG+s
+Z5NwOMqtGB+qwZeUGssdo1MkXuz5FkH2Nbo9t6RJU5rL/bWPd1G2HGdCqvmPBpTw8yDeyH+aux2
im9qura6PvXrBo0imy7F3sDygF6ZhieC5LvjBO8kBJL7oLac7kVeD/vrQ33Uy9UURCq5qXyVkJXH
MjMYGLmFQeRyrT+Ubd4cRVy9Xx81iaPcI6RhFOtpD13fTiQ3Baw5kihcg2h6t3soI7LwitXIsmiv
OQijrvd+PYQcV+xjGoNlqpCxRv2wMOYqmiDHbFMqNc0Dh6BqBNZ+QlmCG9v6cqPwLc1788mB2rUa
2rw7GvMIwk4hVqmZR4LBUA9+EptcMKPpNJJ9VSaMQXPbrZ6DzntxbZJoWrGkvB5FnH/qMdBdeO3u
hbyxcq0jaz2MBUGxaklrSeQGlk0+KYxUKxSxIvU+LXEakLV/d1L9YCwin/IyilZlEFZ7HC07RLBi
z9Kw2ohgTO/ZcsG7Nz5QTjg31Najn7qqCoTU2PWYxiEahNW9FodfYRoorP8HvxL1Yz72+kMUkBEb
JGzwAFLj+e/M6cjSDiGro59soq12YG/ik1fUYuWNunPpvNbjqhbrbxE/dUCW4VbDI2fD+m14Z6LL
8DQXn6OTPBfldD+EbOnIoo99iN0fsm8/kL5ndxgbmPdJTP0Zjfped/Bt2hlimRJ244adEjzcDH0i
V4dpVcT2bdqJVY2N5Uc/CvAywaSth5SDeQh1yJSGra+UwbFe8JFtnDhsP/hjqvMx20IYECzwG6Hg
OXCxsg9ALxgenQDOlFaVbYxilzhy5M/PG6UBvlsiiFL2ptFa+2ySCkdmybl9UDE/sqFiShm6t0ii
5DIJ8nTTKWmztCuCLZVMn+5zjaSq8M21i+l2ygmptPRIP01zrSLj6jtKFXepeqCsoucsRIWvDzJZ
ZMNILtjU5sQeQLVlD53tpsQ2MO3G5j4rG1gmQj7nrfLaGglTUqM3K7TI8TZNmdZXGTN8CsL7SF/U
tWEfy7R8lLKoHsJqgLy4VAuFzKGqO9WDDHBEfVtu9qhQRKKRUBg6ejD1c05lmOzkIfoI4X6cSzuO
NoacQ8+dwNzaffVUybi7Qf/JSSTcM4xopkUbkKdQZANJhjFFAlK8w+CV064cYA7xd1V1GPhNyiif
GLyVrM2OLbI8SxrvjUa4bNBPR6gqMWDc8hJbgHNF9ulObrvpzfaFwEamPaAbFjp5QxfNbTY9Em1f
WJm6JoxDnMY8fXZ7JE62VZ+L2h7XgU5UHuCcSY7GucmgyqPz2uJ/oBEI01Xm2Rrzp2ZYFXAHfWVQ
OBvfDZgylhpWV0KTmBu1Xoo8JbjFp1ndZnnGuSEPL7DHwjOe1nHdGhypo127J3l0hQPvMQuAcs7u
YZthhttJtikUZ6QKv6T2AGjQpR/viuBZB+i8vBbPodGo5+tNn5lHr6nCXWa+V9rkNpQB+kOH88aH
8oCpw41JFpPBc5WXBBgGhsXiCde/YKKzE5L8udl0BaqwZ56CntKw69Rvo1YcjBk811uQdVvpvoYj
WgXyIMXlekNMOMF08UH2xOYQ1QI/V+oXxDfPia4Yt6GVu8thyomNmWKswJCr0KTXlyyynJU6gA8j
iFjeTyPOW6W7i0bNz3tE2OHMKyk4WZ/spHo3I4XJMN8bsE8kAhPzaJpIylZFT/3cqJ27cr4x6hk9
BrdmaY9cSWjDki0HtDwGSp9RSuBAa0VSr8KsP9CenzLT6R5dg2oriaOXkHfoYNklGrpBDV8irW+W
ZqwynJq/Sibalgjo8YJbfrjVmuHl+iq7IihEKNTc4BbVxYgzct3PG/Vg3qgTTJGGGMWvD0wcaw57
p32PH/2oxjI7KqCGjvlKlFFy1Ocnrs82AZQP//qq2tSYk7v41H693oZ2Cx5hfvnP1wA89z2p6eBN
eO7nl6//8q/vmTXgWlSxaJpfgl1YP7hs+8OEwqvpbOdQzTfXh6aREd+dFk0Dt4aYwOtXrq+JEmzX
P7/HNBL358sbwcdWqbthef0l1Vk224TjjZdmiAuuz+XwMk9u4fz8Qnch/je8rQ10GRh5gkOkF7MQ
sbi93mB9Tv3BKKPdHBaehG73mBdWconJbbs+6lPdeHDHTW135Fp6+dGYwHvXVikeWQMuIi+mUnSc
+zi23UsIhmO0XPPu+kjLy3Gh9IHcXh+anL93dmFidZtf2/f9eCnwO8a0TwM/mEo06458UkgbdgP3
XQ/3bj31986kRouk2IWaWvsDbruBo6GsFFAOjH4B0edvzVgu6sa4lMK8iyLOPEnIwM7QmbNXmlgP
ofre64xVwVlolnpytPZNtUJSqPItPsGXYbKhR3bRKZGIO7H3kOLYufbXaEpQ63UGwrAtOOMGwb7T
TTaJzLOQi7Q7N0B7ZKoBSCOTQ4iiYS8iiVuG/0sVWf9mSpNdj0ZvUYpM8VFlMlXXAl8okG41MiYQ
1kPy0DyGzUJx1oNmYvMuToGhjBtVjc5F/NCXoUG2R2st6gpnTDKpL6iCvkUG6kGKYO+I+ia1+o5T
LvN5hwQVh5oBsKN3ydySTXfOKSHs5C6QxJpzjpYNkBmn6+xVE2q3Vtzjz5DqpSv2atfec9XZCUs+
O7n6yUTinWkn2IMY84KuKVRy4W52U1RQ+EZDDW7UGr1wh7M2tSeIH8iCI0NDQUrg70gHuEZIfqit
vFw2AC/IWSayNdGDQ4O3IkxdlN5q8uNa+mioUdgxtY9plr25Nel0PaQTlNYwHW2lRyiLw9CDUqRV
1vNUUkQoFLpCMB+vK0zqxHifnOGTnc5LH9DvjIyIguktgDwDg2oljTCDw/AK2v9z6oGK3Y6sQ8lq
rPZe1LxpDnDABjCSnk5fsKS/cMB/2lXzqLUDYX3l2dLEl+4oazhyAdrg8jGIm9dwzm4iT2g96oJM
GZSzvS3uGSBnW4/ym82IcbKjeQHo8oE1iTfJASaCXMKCXaEp46y6ki1HtSGGtyCNP8NQKhy2zjZB
XJcKDSkyn5AOhcK6b+ovKn6y5p0b/rufQiYrluXthCpepql9QUxzIOSPUMdoPKDP1fgkRvBetdja
WVT0quQsUACJUqAt9Wp8n+lWt1ADoHNNV5wnANpeob6HXfk22bG2UWuGBFpABspkh8+JxxbRcgze
DNGv84fepNWslNpdW9OGY7c/SNqag5i3mbnoCICIcTAiGbVWmhN95wprAOgS0Az4GFbCxShbfzHt
wrQFt5xOF1wUka6vqh0f2WCypjCxImijzZUxFTjh7h32wM853gbNiDeNFnyCPXhBpX/btFCSOLPv
sjkE0wofIqZW1SgFSu8m41etgfA2ExWaAilwdFH5ptFZF063clS2b67LJylv1XcdUsS6Qi47s7G7
0r5VYeXUJllAqaqhQE31I0fpt1Y3e4Dlva/bYLAzKw/8uGUKV5o5qbr6lypXUigNoykWpk36Ual4
+cd6bfcsI9ICIx+ThCzJlv2knrP0VlWRTEX5K3Xud+1Z9dIqPaTt24iEp7tZhdwlCVSeiNJ4bBDm
wT57jOrpYrqOu4L4wsitHhCnh/piVJQMQaxoNmJsHprEzFg8dOeJeEsmAGBFOhbFSqCT9sP7bUzJ
o1FifK/Kca7cI9aCW1dDdCMz+3Pk48cu2F7UjNKW1sSyHITJIZv6xZQbW5EX57Gl+xmdKtwopX1j
lcohrvPcV5tOWxLFy2JSqLda5zmbYqi+cQm1XC+ot1gBUriT0QT380nye2lmMKywQyt8ljWTq6t3
5hyNPR5z8MLMrQXUEHuDz+QpLYH2ENgJZ+vNs3RtLws3uktj8+x0LUdV7DI41NsFAqjyrmFLS0RQ
e58WU0GRgmhIWZo5PCW1SQks6QpW/HJfoZ0gz4yQqCDUoX+w4iqSJloP8jW38vtMK8pnr29vxMBl
w5X2k4phrPeYPorcZf0I7xnWCxSwQjabaIh66nkCSUxD35VhSFiWd2sxyO6dyEFzX2SUkhmRXk31
XScTo5PJWOcz4BMczULXrAerwieKjPQeR1y8zASDzFwWz12CGR8r9dIrgd2Mk9g7tl496axd09iF
zIR80Z5elEQ5FDkqYdeqB0I6Mc93sBoZPby1PINPEy4RHT8Bx0prEtWJ1lGyrKvajIsn+SKSveGE
tXnddr3jt5Jr5JR6W68kRcxrOY3meRotbEyXg/KUOH24l5qdLBVFnlULNn6E9zINU3jgwfQk20s6
wPwi36pYaxUUV9WdfBvi2lgj70RYcTRteoZx1tCHZb8Y1VFbdaQmLGwq/CkyyQeL9Z3Ik2UiwaJo
WHexKjDaovJnRK20+6Dqma5V6n1i24+tIFuDQ5k01owPjMqMxPRsXzchjA+qfRwsJzqpVUuWFwt2
UzqbRtDTNG1CfWZ4kc+UkKu7IOx90jpa4/o8ee1j6eFM0VyYvGrQ+SBLWWSJreLVwzYqWMGzsN6N
dcLWMm3eFAymxpTLhRtZO0UgJR49oDNaPHAWZmYXui4SCRDMPjz+DmLVbWuPF0wu4QqPAjTGmIMp
0dSDI5e2aI11nRSIJ+vc2yq285Dna9TE/V1X6odBqBcV/9A2S3ZOkvQLhXXnusSwE9n8lQRieX+W
6uaA4q+bTNWootXkDuUNBsBnL1eeOpKzysSuF506PDvOzGmf6mfUGm8M2ZRFmcYPQwaEMBa2uVMR
7iq9SWQ9Br/UpCxI7XcmrrCplPpgzsEmeMOhbsh7Z5D1NkKNsrVE05yy+R9meugz/9BZhVLVKAnj
L82K1kZn+knGh8amE+rrWN2oAulJULiPWgIfOB/NV0ulEeCDB8rCWyYiQNTk6eus7rfJNbxWGKvc
ABfyf6k7kyVJlWzLfhFPAEUVmNTADOu99/B2gngTTt/3fP1bRGZJRvj19JAalqTkHdwmMDNAVc85
e689OeVrZ0p6iSY1eo+VOqn5d1P1qCrznfloQ+xxe8DXFu7UUuUTH3/e1c1N1etgbfjGwwjpLXDP
QhTHWNjSTVkb12rS71wi9dBApxgtWZPX0u/srYGaZEXeAf19+JDuqK5H5AVTsHRVoBin7n0GVL2x
WeOLbrqK3GctZVPzoTQMvdWtfMbza/zdbEHztrJTuu96d9UXNBx0eibAVLBR5y5IHx4dfFXuXRvC
X8CuIxmrtGP77jp1tvJdLLikGz0leaOfz4n9olT4JjDRJAZhkvOzlhvXzVSbaxXFD3ZPUVnOIKK6
8FKfOf1Hkgd+aupLJMTNqgvVG5VBtFanIrSijeZqk1eRCWqP4r1EruKFRZOuR99hU3dyFpGSbG9L
f2oGl1aL8Vz3iDpEQUh2ndiHuNa7o9UpEJNDYu3zPj4Xk61vwb38oKVNH5qlPg2BjznuG9b2l96p
rwUDKBy5MFSZvkbZ3gKfQyYSR4O0ustHTlXaTPcuLugtNqP7Qe8420aGyeHn38aTvEiOVv5cuzUm
QKIJvWbhxU2Bvyt79go0QUDCZwoPm4zP1dAyTjeT5NLRvE6TJGzl+uWU0fSZ+SrVKB4YMTJN0pbj
MhDlQtlMY7Zmg7IvVdrHHCjHa2gRJvSAvNlhjUZXq+NCEWITND11qg/VGB1eRAz4FiH/c1P3WxYw
eLKM8tbk6pwbRLtghY32FmeyTW7a3bYqilX0DpV2Oq/68OfgFC3EyFM5ELfUwE6gM7zcoQj9nlad
IZUPNxUyVs96Hd17/Dy0jiDQsnBsxrrmkJsY46o2u9ew0DOvFOSJWZQC7VJPhcuAgAy8C1ujU+AU
CHXM6gihCQt1EqGVqmOPTEDCJOkd5q37QrtCrmRKC9/SwdUQZJ2noHMiOpHQK+pNQj3A7KzChoTB
bJ7a+QSD5DzGhLDKqpmA0KgLt5nmnxXBRGpgicxKTKxdOLc8ksKD7QConGBfDPYj/RtO8I0JKatj
sCHgJcT5GdCDcMehoqLZFj376JayQkSwJ8Njzmqu+W13hEoeroRDEiER6K5no+yLtI6Hv2ByVvS9
B98x29Qkt7h1epE6/fmv5xf8FBNDer3Y0ye6GGwwpfGhl09OJO+mghOgNjn5RhM6/FXZ3rW0fFau
HhxM1341B/9HiRRmgyPkrph5V508azx/tG6iYDDOjQxCV2weRBH0GwJ8BG8AQpUp1G9mmVyn1uzv
aytoPXxIr8Hk3qWxRmta5kyCdlYk2l2eaDBTONdOiRdZyY8JCx2tvcb2/Dl+jAdmePxG8JWdgAZU
GbUgy9D7hZF8yXzCayNAOGX72shC4PxVgrq6InajAE+c0kXt+055o/J8N/oRIerYMFPGTaIwgMh7
ATHqAtmKF4rqw83Zd0g49cI+2wV6xNbMUmFGwXwwhura1uFnp/O+dKpoK/UZqVrL25AE2y4O3jWp
qotwqFBaibeyBsNHJVcejNchjl9KzN1zrzA+zBVCzT7GxqiBxSf9t1QKamta8wMJ5FeCEviSPEmO
e+0DNfarqIwNg+3JUyYOuMnVxa4u+hfEAjQ0FWykSkUXtK1X0tIFgh8j8lqL++dLMmzwhKCGpaKB
VZGe5xF4I6njzhn13j3++kvPHuYrh4T7YNpbc3VE/4szOAZTITUsrJSDcWbcDjnt6ZyJp+10mLMK
veMxDS5Jkn+clc0wvk52tjW/dv6qUvH5FOiYLlIcwwKQ3OAAgBx2Fq26bVMGT3GfbG2txOmU8AUY
u76BtD+Ps0k71LNJFRmLrdY110E+pdtQolctWDdx+wJotMV8iBjfzRaD2dHfFwa44RqNF6yTpV3i
0llwg8cpHMVOb0ptbwd7N8PAxY4d7cyOvwx9cesKe+v4RoLWSn+nTbC3aPngaGzvApToW3qtnmOP
cq23y21qMYQq7dKhumNnp30gQQrqhiyJqlFnTlMT8IscUhkUj46zd+dsw0m0OmASfUgYR7kW32HI
rGdh+OnaifO7hPmOxdxhF7aZdfBr9UTGQn0c+n6rRBNtnHJpfVvhYz3eabR1Lps8Dq+ikGmem6b7
jvKPCjFTq0EMNwjHcbzk/rzWD5nqb+Z5+MgZunXU5JshGN5ru7+IojjZBOXMH0B5kheMzxPgrLui
pu7LomLYdKa6ysFBpTYrxZCpdK2rePIcKoyG+n3bhdjEwLgxb+TJIoHgFPSCfQHZ6ApA0cExfXq7
BtR8o9+PRvmm5KzD+IWUMgvivEKNysD8WbsQoxkUeBRrcg9W1YAXVkfe2FTPnQgA8o8tXnK+82yk
l5WbagitUMu4NqMYYDI0Fs1VV/mHeCT5bOhcGisuS0riXIRNjDl+BDW6aNrmGDKb0c8JvFh6qDB/
YDVW2K/9OX8ZiJiNLoehqB/FokNhM4UWyJhkcHq0jx284DjwxJwvXPDh1qBXCnSq0lsi+DSiFY0K
ShzZSyu3rw3Pp1HmMZGnk5UvWCDnMukh2JZrMXTEIYKkB3oi1rdG0NwD/qB/YgYTqAuaCQETybPc
+OjZKzayUI9pprwp7O/CnpMuEYl1rcabKmB3rpJ8A+GHhlHH/ifnR8QBFhpyIz62DBfUiGzCkeZJ
N7o3NciapJXXwQqGfYobbOVEVgCahbTNgqyUqqmifdoYJxaTZ+nLu7kk/QaVyMkfKd3TSnUr1g12
toxSnS3xznEyWFfP+CBpfCL0C1QGGmPSvBiBw7qSTrJFlYLZK9ARR4TVKlN0D10K9TKEqkj2o3OW
0XwZR0RJelL6a9PtEWrqqRclBsf8PvWmPlXbUp+6leUL8HxuSGhShSSzuDHBrJ41RfvkjiERWpkL
lgnTOjCqejOaZrhJMxgYUQlYk4k8Gu7ipCV9s6bHlQEOCMLHAjJqlOBQKxENoJi1JQ7Hqi/33BuC
bEGhrqQ2InVh1Nlw3sB91h2pbGEroeLCygpBjCbvFdjFCPACfmXNtVaRPnR7QJSEA04CcafV/2hs
vPRzqtU7jPa0KJHTruFAngN6QmUcx7dTY7QkV8uNYp62R/MHxIbEC1Wmr1HWkneAJmSciAa3OtDe
ar4OooVK7ZL2ZwjGBXpXMWHbFpqfe700MPOVyTm40TOMGzCPmoeKUqTkJF/YtGlMBdWzmfeqqO5Q
ccIaW/AptDEJ4uLImmXiCIj5DuAvX77n8DeRf8ahQtuK3unpNnFUndxwRyrZR6y5N5qWTORdQlgN
SXT1bdFDKJm3ZJ5EG5/gdNb4tsDgvkZqJha9E2dSOn7rPkM5G2Z9ex6U+XNGFbbSXerjWVUD62cf
rHXXD7dmewLbMe2DXj/vpv6hy6trnwyJnaYXzQYDdDoYJU8KCWYjw09Xu8G+x/PLYHKkiFthUCLr
2cxPciB1oDCBZjS+2rgaPBDYOtDVgQaucDFdFkSY9imYEbY4Bw6NTQ5f3kCIoW5kXkHCsuVoJxPK
0762IdyCqkr1Cm+LVD8EENCtMyYMBhS2XJs/ZXABB0gZbyEAxinsPhUbBznO5Y5SgGarEa7boWMY
MHM40Bj4RFoavjZBdzaV9aqhNr5AWXMKXU3bB7FN6YwUZ0o4ERWjhUaEQb1nDoqhexKfrNi+EUoM
G12Pb2PYSKsmqLp1KBus+rZ1yZv2bEflsPIJKF+VQQ4Ae6bLB/HTKy0Gz/eOTyypObSMaqhWT/zN
+QR/yDY7Z5/Yzs4safdLm2yi3nXUzs0teGXFU1nIA4nQTOFS82OAHIHUGr+X3SckM8iKEsIC6+VY
GcyNVOyTwbjsozzdTomgkdxV8Ta3YtSNjOhkFryPs91v58TZD1qNpX0sgNxrwUNo4GGh0NjEHFe9
SGOQbJpeRoQ8+GdaEFprfeRTPmxnAEGkyJZ0gI3plJh9tunJaFspId+JSNvCucawIa50c472WXJd
O404Qwi5sZTf7kRmoIabE2MVioVKPGvvnZiP8ZwwjB9JU4UwzzE06aj/bMPfobW3mPVyDFPJyQ+S
yyGmJzpmcpsLYlyNQaMvpxk/BR1ROogxVhCn3hgjvt+Aqayq2K/aAgRNUtLJkUiDMtZCkIeLfsJd
82SAgdVvkD+h+4MmatfNEaAQEp6SkTaaq6tRkTpuhIBzfK3ECU0yuAoWeGfNToDaC0gxPVD0OhoU
ZHoLWaWAeWraVQqWtGtxAiU65BhfXfWWvrdHHVtARV8z1jWP437pjQPQR1EnD0XlVVZP90jn0kIi
JqT/0OyHpibhaN1EeDSSnNoBGQPKQtbxFZUe4HUksH18Xwz6ee5sDG3uN1GK6YMbFV1LrdwbWs8M
GxP6Wk5heetrxLKk7W72GUZNEGhRV5uPflDcjGiHsLVUm9S0f3RzknGEf27moGGJdumgdPORDlJh
VYc26cddauW828q21oEMXuJRZ20mPVJh9yZRw6ff0Ry0Mdpi0EqOc0+EW2L5lEQmp3+r085j5eLf
nnvMBzOx6KOBVaxJsL93uleFTkBp5OJEOaRj/FFV871y82EHEmRXZlrCvkxlpBbgsp+4G8yQBRVR
fAs+sIDDMWqHTGvJskPo2vTGfs57TqxBeqPFfb5kuzc7QDNwkELrKRAOh0/T3GbJq0iM2eNgeAXt
qlp1Nnm6Qncpd8ETGQvxs65+DF3leHnzIifzyeoesWTxcLcIAjFGUPM7AsgulC84ZOY6MBeXTsy5
0e+rc3d+bjheeVmvuzsD1ZxB72vvj/Y7VKXrCY6joeCSFyK97UX5kqOY06rywPIDwl03qm0NWYBs
LV147ZRcdaHN9BFxxMbuc9of0Cxqzn1JD7EIGAEaw74YDqbAzwmYZxWkxr3QzuwyGnYRpta1I9sP
g6OnW5lQska5qxGFTK0P/rSk81CDuZr1HjDONlyG0E4Tbnj+4r1NEbcmpuolG9PbfHCTvUkeqKnT
i8uGFGJaSfuGce2BV3mo8PuokAe41nexmzW3YaWhBBmxI2Q5tzwwC/+Y6d2ec2DFJnh06KPzfPQM
UdCQdJHTM9C8atIMWYNPQ8VR/lqj86g7/XttIWXhh0HBfekXabQr5nGXFNV6IEXSCxPSRObSM1mj
YfA/jzb7U23dLsbDFDmFl0uOGTYico+srH7lZjq9IUvqntqEdvOAkoWzFKjSXZOzlTlpsu0YCqcc
fFZZsBiI5xk6Hd2QiW/omehVgTfO67nLceaRCLBCqnJd93I9p8iN09EkXaze1GJx1GJ9YPOrJG8w
+RkteC+bEeYAGLdK+htD5nemquIV2IGj3Z6JHkVLVCXp0RHtY91E6UVlq9vYrLckqdL6G9xia4UM
LN6aeYBZSRG/KrIB9qSczow0Zv53roE682Ym4+u4YW2HU7AHEgeeHY+XHuwmmTar3kU37Nvmc5VX
27CMp60coXeU8C2mGQuxuTErjjYl28+qOWoShqQd1iZ96vIA6DwgclxmC9GC0YZLNoOma0e3NIBJ
wrvWsBFPufEz7zxn5BDj2N2u1PLrCOnnTitneTDRS2U+AtcwLW/CqKKaocEletSLKswPdjIgUW9J
D59JSkcpOx2LIloEhnIPhHKN/O82djjzIXY4oqP4QP5ADERTqK2NTGc3AcukJhnyG5VrZ11Pg91w
tIfKYcATMudfjx01SIQZR0uGdsOcbc0UZd40KVIyVZocWNkuGw1mFBp5BjD830W85Nf+sWrZPOug
OECJhp1dF4idzecpQQY+WQC8kxFx2eAOtyGmam2ubk0jYIAlrLeGWYOZNZEHK/JkAOrPZIlahgiJ
3OnYCtzuuZsoMn2xoS5HHNYCZvUbLELW/eQSDcpgbiPNnoEXJRc1PFLA0pspvTkCmtXaYNSg6dWh
qNkFHWy+hWqvZ3L5AoxGSNLSdpPp+BYYoxxI+sSiZazVUiVOJQlwI60H5Ufn1siOF468QpFjr+Ig
JCSB1aaf3B+JURubhEzNViQH4iXsNVNNTj4oDWmqWGSf2yOyKa009P0QWsXKIJZyBUylBQrmmkTu
msvRvDwo/H8ILeF6RL3j0i4dsc4KIC5kVNRMf4cfmJkF5J11Ysh2F4ji5yicZqN10SFwqv2c1OaF
VZP3VrcbxsoQ2MIJIyqtJG5V5qDgFHe41AisGaN9bFXZqo6pZztgFTH+Kd3ggG+3M7Ja2ZyyOH3X
Foi3CJba0ggT9kuSmoN6i6r4FYdZ0OKAWOk+G3IymOMuG6U3VfXrZA4PCDgJf6ffC1Dqw/dld2z7
9m1CCrci0bLdQGNjuWijAWap+SgUoa0mQTdJQY2jWpoYgA7q7bLWjL+mghpoSTcUxGnpJrHYNhX7
EHtmJsq1oeUz50VGAWSH7bRQvtdEWNITvU7jmEmcNHZVHm8ds2OUhPcDfbLm/b+bpy5e+vZn9dkP
9bsd6v/8/+acMnGV/3fj1OpnGr39Qc1Y/v1/+aY0x/4fi+YgaAz8ba5Ot/D/Gqc0x/0f0wS47Opo
AFjl/mOdMhz+I/4zd7HEua5u/geaYcj/cRyUUQuqABiEDuXik2nqOxMVl/jNMiQlfzhcAVAewnEX
sMcnD1VHk9VQQm8QtIYIfBZMaXdkT/uLye9Pq9a/L4NHy0W7JaVj8HV+ZztMc8WsbUYig/D01DG8
dqxwmxvZsbL3ll+vzXk10Y/77SZ85Yj68qoSagKXxIXmfrpqwlczfJM9xSaOBbF8vGHe8Og2I+JF
6kc3OioQ/+hdqiOO1QDkJb2Bi6APr7gDGIWqiSDK7s7Eimlm5ktEo8Rwo+eu0y79Sb/pyzfDSB5c
InqQMx40n8AJuzm2jXb//RcRfzIM/v3zOZYDw4U7ZfxiHPxGqCCVzDcBLCK9cmJURLTxwY2uWnPc
tuGuzxbeV0oarXL4SzGxWHfi2kiYbqOuO7M6ko4bessdnHG75kB6W5nWtrQx3VuL/IjBEdqz6NSV
06Ye5bUZ34h0u/wMJicM7FqxV6tipxaLROvKf60Y/93Gt9yF/wAa/vXlXMNd0B+LiU8u/tDfvlxo
yWJOVNWgBLcvWhDoNDiNrt4KsrvKVFyjrnlPHPtC8BsXKVKGeDjvW3vXKyReVokkSnEgdsmTL/dm
2m2dRKHxyc6svDufy/IwOEdDqYte4YFJZfUU4aZ3koVtLy+iEc66Gz/pQ/4XO94v2Mw/vpZYXire
fgqdT9wJDa2TndrcM5MQpSnmSIQnDaGmYmrVkoGhyXJjSmwOYhGqp+KcJfwK/FLs41yydIzTIiFz
Byjh9w/TV8+SqyAoUpHRCFSfTIJ655Rwt8tml0KMzpV/cELt6ftLLIvG719d6siZzOWtQ4LPyeXz
JSZwYomImx2JdJnunLoJfEX5o6kA1KfTFjHUXxAun8g/XGm5ojAtgdMUAbuzfOnfniGFZ4KTdNjs
5MAlzR9E5D3ZMrmts/gGr8bWmPSnwLjuWmzmRN/N8bVIXYTS4sA0/k5F0a1ft/uigZcdZDdOX1yy
o18hoV7bBeWvH9+4mTy4xVkyWTtZdUcUE1s3cE+GNt1zDovBRyfUYN2jH1Vv3/+azLa++D0NVhy2
BF1Z/O/PbyeZ4KVpQluzd5iLNpnDkdecnydhPXD0tQ+oOM8iH34IMsF0M1Bxpczb6OwyiW7r4mzI
brWRmB5dXIW0+1ZGTL6bT1UZzsTgANn3+sR69lHkn8UpNWYR17SEpyDe5yoECoNPJzeYMDGl51xp
1O+QTzDb8T7mDkN2lXc3zug8qaW2z2vf2dQ1LTXbOAvTmufZ/UEJMKBcwgTZhsHFaLcoCuoUf2S0
mw3nuZ+cn6lfUAHjh6glBYdw7hhPgXePbgqiElA80sjLmpd4FpwQdXteMyFBnNMhY3DUvaQLWBqJ
Z6nsbFBbvNIfHJjJnkGz5yO06DP1nBCT5vU5pBp9Gndz3L8k9FHXol1gl4SPwb1YVQBNVySn0Faq
s2d4JUmWnOfwz2XBvF/rxisH9hg9GPtN9ggs/JkUgcKHFuBYsTdvDJ4ceKOjR/d6pjvWNEyzove4
ix/Rs+r90K3SiGxYGOiryrgfY+0ZrPd5owpmzZa1gpKJinks70i7x5TxTmOYDuatqglpTt01AXV3
nezkJrazy+RKMRfC4MiVYvpV6BxKLE0JNYOAVU9b2yAwtlKzZ+kjD0MynFcj+iKjp71mRt0JlaVc
WT1RpFMM6aoJr/00v1dUXkA1nLUiiCRoL80hQ3mqxTlotyqlKdXu4rg8tb7rgvQrDkS7MTnHpo08
4S7XHjigm1uTB0zVYFXMnERiN99P/YhvTU9eg2BsPHJoedBWuLP3E4rJrChexh7hRuaeFyhrXPx4
BmlGo2lchmomdNfeiOhBMI6ZC7/G5Vkw2eLxmmqaOINZ3Ria8S8M3H/dldxlef68hjG5hSpoAxLj
nPTnO1dkHVbyrKl3aYUgohjynwTMHEVET75IeUVS6wpzVTnqB72SDOOm6CZPMak4fpxwDCg3VRgA
kwBv3dEIR1/+CJ7MopnMHEhz4fblhKqxwBO1I8ZcesxDb+exg9YNmraznKemQejedlgrOJ8tKhla
q+nTGHdb2rekOeh94QU990WP/FPemndDJ1xUr+GLuSjIG1yDdPT8cjWmTMdIfrSj+CnXWlJQqzdT
MxgrFwNJzMnPDoUUbmpn3WrmUz3wm04ptpsIA0USfbhEaU/DuKdmrK0bNDh79BtR4l9STvJZkbC5
F4lC8TD4oK5RTOB+UhjzUQMUE3bmAHZKmr7NUXyTRLx4UXDTSeDhU9ndxStgY4zSU3M3sE3PDca+
UvFzZnV395dV9E/MxL+2CGlDKLDo3HCgXihgv20RTMZH2gtpvaus8iEbppsk1tZAfIyGXipUEDR7
w4yj1Dk2/Namez4wf80cCjt7AJccY3SqHLmvuvTn95/s15X/8ai50hW6yf8J5vjzkw2G49YA89Dc
Ou0P+uSrotbVGs01EQS2i5DIahAgcxbodSRTM9xa2z1EdcijmbPm1zl0jxl0rJWej3m7p5tx6Sbq
0ScdgXuM1zzHaT0HqM70/rGzCCZl/o+e20mOelwzX22MvzHVjM91xbIhKxMMAZuxsNmS//xOuihq
o2zLekdmjMRare+L2BnX3ZCQKpMi+Sexvg1mz+eQtEptPJiqSJ4197HyfZJYEUQyir38/of+4gmw
EEwhpLA4lfzjM/mwyduUIn035/aV7HDzl6mF5YTItNm6wjb+/v31jD/Bcr8eOWXqQtrotBzDXSq/
3x85w4WA1LogkAO9eCssgShd2Ee90a4Z+R+BDdz5pXFuJcbaFfnu+4t/8WW5NgZ12wDawYP157Vp
usf0NtATYxXZt6q/07gHrorPrEVAalqIq7+/4Fe3HP8ud9zWJa7gX0XMby+YHKh3q6TiltvlzyZE
qtqEV3VMK2NGH+bKbh2P9gUHBjw143wxp7tGzB4b+s/W4D/Ikr+cm778BYS11NG2aZufXytVOb1d
uzyCfXME8a9lnAyZVFiNexGH018KXGOhE356iZVpWY5OkW/x4H86gbpdSrPGz+tdKfWnxO028VCc
CVaS2dHeZ1TgtpE+DEP24GTha0vXqQSSsP7+Fojlpv7jQ9iSU72SDhjOzw8czoJ5rGnAJbR2OMgs
0KWuf0/CPQADLNCqRT6UmodKWbexjZwF8JEd5y+5xvTFMZFW9HE8r3Tm5vakH0qjhPfYG7Dj0geL
4Z4p3fhoLRz5AI0zgkI11/1qTtsr4g7s3UhcQUve+KpK6a8KjW3F4bZ//yW/fs6QIOhKAmz8R1Wv
Oq108iDkrSqtWztkIxtz4xYDrNf05Bmj3CiGCK5BGb5ZKGE5G/zAXoj6JNi02LYJoM7/8pGWs8A/
fnZSQSwTCA6W8OXZ+O3Jt30BUGtwK6qP+KZ1hx049qvKNw9xUjwNLYNKRFyjgsbw/U/xuZRjkVVY
0B2KHpZY2Kt/XndSWoAYSiIenN2jWRUPFTq67y/xRSmHJNjk/EObyjQ+V4uBijtc10NFzKZ24RRG
4DHiytdVaLdeoyDaR7zOKYbz7y9rfbV0/nZd+9P+ERAtQk4CPGmkJi8BsnA07wWeX5/Ii/ms7ZEs
NvjbVpEyLqO4e6uVvGgiQ6KKihYTjdiqYug2Qxhd9oKIaiKx2VdJh9gsepkM0sgq67Trmp7UKvYr
r8nSmFlVetCy4BnC11tE9uTKsoiLVj4ZJNm92XL0K9dOMV0nxqLbG5vzKmNf8+GCWmH69P0v8MUG
qixDcPQEt0R37lP7AKVKrud9x6us8Y6m4/kgwFfG4fX3l/nq0f39Mp8e3aRDqa06Jm60Zm6yHA9D
Ed2O833HOCEa842aFByBDoLZ99f96rn6/bqfHt0ird2I4y6vTN9fEfGzgTTYT/7WLuODD7omdOq/
/KBfrhu/9n8bVxuR5J8eqcHWTYj3DcNF1FX09Y9FG/4YGNmtnJ1xyoOOaje/RFJNfFXxOA5iRxIY
rD+UtbYMbr7//uYX9YVSHER0W1oAtxfK8u9rxjBG0aCXPOCZDQO+R6fLGmWTV4IFAP08htku80+A
1iGjYAda1TbDcd3hND2JEU8TK1ubUP62c/6zjJlEmNlpef3Lprn7/qN+tcr8/kk/7WxFGyElCpAo
T4iSaBfjTUjPvr+E+dVj6Fjwwyy2T2noyz//bQXNVWei17HLXW/JfQ52qml1OgZJdZG2+bXS1E1b
+3vCHk5iEKRnUdZMQ02GEBWGc17heynx8MF+xsig0H2OlidwrePaQ/PFi1yH1sVcWdj/+hU71dvy
IlV6fKqtq++/yT/afsuazAkIFzCKMKqNT72aeJzoYowZ97U0nllwHqRWbksiG5GOnGVzte+08C1v
/I2c63Uip+fJrRE9kV+4qhA6CwWFtzH/8vv+q0P8aYuiB+laQik+mlKfHv4i4lFMyrzc4XkKNohM
L8OAfvU4NPZaa+zLOpvOHLswPWISrjRRsgY0wFMNilHo0B9xHemIzN2txGlhWpApSCtG9h4Sxp5h
mu8Xn0Lf+KvQoh1g4AzAaF3eBw2yVj3GqNfXaJr84hl58S3euMIbav5uYOnABnVP7+mbjO2or1wR
MAS3XlAnvDiG9RabJN6aoPPJ0xPtsaqNZymzmLqGf7kEYYkMB+WxJcELp5u0K5gNM9bvNbL9UD0X
NRlJBQluYSAPcGNoIoHEBVxFzl2Ncm4+T4MJxYcG5LXVNz3bgNdoRbKVfoazKD/lUWZCrHKLHdGl
iKOzJ2Z2O6IRfuCulwvESK5axS9ZFfGwzyr9ah7Lcx2/DJLKw9gPe7Tmt6XFwHuqORxZIZoH4qHK
dCtlC9bBPBNEzNY2P2lRZfQGhIkatPkIpESVuliAq3f0OIyPL8wuuYhz9WobJRk1Pfeq26daeJMP
IRUEizTW2sdsVj3oAL5gpPjjuknE6D9S/DF2d2AdWoO6QGcd0/LpB5i2+uATpQ5uoK7cg4r4Z6Ij
Pie/GdLigxzZSzYFr6rNV1tqBBVV/dZPS3nndAPx0vfGDBYps6unICJNCGXqPf6oC023T+3QlGvb
IodhGE3Gu/ZJLPGzFvSMjOlC42uvQa9exwGTnQ/EbQp4KEimfkr48gkAuaABKItzM4KUh+yBUrzF
7vCYVtCUOIrpmyyBoCVhhEWq8Bob8UL4jq2P8LEwvjA0p//LlmV8sRASDs3rw1QOnbr+aa8cXZ/s
lkqUO9LFVmVhbvAScNzL0DrMN0YTX+lZfy66e/rCt46Mr15apFMEYUZ/+yDLhT69zLDAwUbYpqFz
/Pu0IvtxLtCoTNBWjQh7hm2fKANPRX1d1vIE3u1o9E8FqtsJgUk5luBOHv+yyi3LxedPQCOFKDzO
vEs9/ed6baPRJ+udTHJzkNehEz8XTnBRttYPo6+IFfW3GEpvUC68D23+l0rL+qKuAwZnCiHJ/7Kk
+nRtqw4xe9IyReSDnRMcEIS0oMJu1etXejei4yo/gI7jUWo+oshEMe6eUkUTrHmZ9CTDSb22nnBd
JTvVIxmDbNIzRwJGVljBzdSrj1hPE2+U9U0hMwJoRLEl2eIuNaszY8LLLdPuw9HKW5wz4uQrcePr
fX20GlV7eaw8k1DauqK1amjoWBxwYLq/8k1/gxkSCkZsncNmyLYyZgi6dEX/cme++nWQInNy1Bek
6q869bedFJJcMrluUO6aksyYMn6vddyGgiiuuCmeVVU/ZhLNiWQWOM2PeM6O5NYt8uCNW56iUUTr
CHFsyo/2l0riqw8mkboIm/4AmoXln//2wayhEnbb2cUuMzNIi1RFZQcvI8QTczkEwF6//yG+OD87
sDDZgF1+DUbPf15ONCUykWIsdlrgHDA0bOoK8Y8r/jbmW85pn98EtlRqf8ei4/W59mtDNKNxTYi9
LrJ10EWnwkjuErTmCYzQrAnu5rk/74TEYz1b51l9sGvzRN7p33b4r95ItZyfdCnJLPvHCYoAaVeM
YNjxmqKFjJxtPdZX0Gtkk11NhKpPxbTp65ZlO+7/0iz/qtFFRAGz26Ukhzr96d4mTu0wGDCKXdzo
AE+C8QTa4AJsx6Y3jMvCAqXiph+5lt1a/vCXi39xdATTzDCVzDXuwuc2TzcxORodt0Qmqq60uEvI
LM6WicSptLEiWPatqFDIhfrz9w/Yl18axQRMXGXYnOI/PWFyYP6iER2xs8nbMCz9PkpRfnWgXCIB
MLIgbQQLGepQrCRJ8vD91X+N/D89d7+4uq4DxYER86dWDw6LrJF5WJKGI+9pgiksGNMl7c+rvmZe
YDXyFVnHnWpucWUFZrdvCKuTMx5dySRvJO2Aedb1VI72urXfGoV1sAKr4PUivR+IUdyM1Xzl4mb5
X+7OZMltLNuyv1KWc7wCcNEOsgYkSLD33hWuCUzukqPve/zT+4r6sVpQlmXIKZbTInJWkzA1HgIB
XtzmnL3XXgoQN7a6rgVobjSK5MmhkbW6+sXU2JBpGE4y3XwNqLgvKDCl+NY8rAXqMiyUL+mA5b//
XlTT8+DZG7Il1iLuvil19WDG+qsdNy/FrA9rrPH9ATwKk9ONiPGEhn0NGDSFKeLgnmdvNDKBq12G
8yu2dl375Jt4yWWnGNxmMtjsdXik6A6TxEByYZYNtiPa9kvXeN8x3q3C0RicLiwfPv8WZoDx+ds/
V/vQzVB9UU1tXql/mdT0RDMKe/CY1EwfX1fSPNelJgHkCqpFZ4H2KZICYE2K0p6oa8A5TpHo26hI
O8Ra9UtDwQ6yvLWXiwaZeUXucINCF4XxK6lbLlbE/KjSyfVRmC/kFppTANki1KsNmb83nJe+DcW8
lS0wh1u0eEINpye2GwlWOFkgI1zaZZcxJBTw561ZmVfm9EunHTwIqmUJKp5E/5yNwsbHtBPj3XZF
mL62obqLtahblNUTnafYQVxzGsrwJGvj18JC/z4Yxn0B9Ceo6O2Kk1oZ47JOU+nKx7rQUVHQkiCY
IaHdsDmNffxaEjCdagXFyo1Skx1vLU7twED32J6PNYVQX9Fe5zAzYE4pwAZGY9aDjrBoEBEw7L3j
pj3CHHrGsJIsxseAH5+G+iHSlLVhGamTtzxKOcarUfcvk6wlu65rXhSDUsHwXI5tAQyltZ3PB9uF
Asa82xMzUxveNjPKx7tCw+OXZqtlVHcJrtRblMBEoy3TyVzGVRit4z76YiSgfQEgnJSEU3TQMZoQ
m3xpEvEcaum0pKhw5WFfmAcVRWMXavO00fGcrzx5S2ytbfWZ21JnS1TPVUI2FJhhZoccg59s9hyh
wGxVQ3x/5ZnML9iHaVDIsiWbWGypBLP6znWmX15AtFxks3ch6SO7pC1osIzjSpF3PaZShYCPqTG2
damT1i2emrkwYPVXmkq/FbLOPsBZ5aKk6BikcpLji293IRbVImgX9cDkj73TAN+B2eHKTf+2tfl4
yfNOptWpSWDCcXHhgh3nbJA4Y8HN6ysbbeW3yW2+joIbVp+/WWGcHTN8OTVagQrXbbxya2lMWUPE
YwXFgF1vlWqGY3nDF6vXH6NmhFIRfUNtv4Eq5ESla0tAYJL8SU/CZSZhlU1frnz1F5+8aslEiqFf
ZBX++NWrE45oS4nYeRHnYOEHrqt2lqi4NXCVxJPA60mrzrZvpwpwabRhKnBIO6S57ZOcjUy+PqRZ
vbbr1ysf7OL3wx5MNUk1Y0t5NikWMENQW/i5WxbSLmvFXdGYZD4bOGRL4NBIiKvdmJF7WYePZVNu
7Tp6yeu7gfCQiorolU/z26l1/hZ/+TRnjymSJHyV9GtcH0uJbrMRNoYjBfRV4O1wAjuY2Z6oFNwi
W9wRg7AOwnxThlic9p9/kIujSVNMJGG0puh1f/y6/Mwcpj62M0RMr8GIk7gWm0ZZ5WSpKsjRJbra
CB4+v+Z8b7/NDr9cU3y8ZqNkqdl3ZuaWWOo6S10YgPl6Hc8eVLj/7FJnL4snY5UUPiiTGvMIivOl
D+ZH6e7Vqw2wWft74a50hUg9Q9GoIn+8K6G1RWkggnGngdVrsBonqoZd1SBvLb+JULnR8unosQah
GY+Cg5SWb2GJR08KSN8xqHqlL3KHA9DU12J6YXO9NCP/EXfYvm5ws3z+XNR57//bdzD3wplGMLJZ
Z2txWrHRQ3SYuQhJNoNauDgPt4jY10Ut7+dJpC/1ZWfI+0Byzc7cFoG3GhOOz6m6BLD187VNAu82
yrovfrsUvFOjjpIMn++OFN7ZOxytJc9biZZCW9teWXUvzjK/fPyzYWv2cdeqKUPI0OkdUm6ulwZE
nK7LNpmMsR8iyecP7OJ7wowLoJ0T1W9t9GikDZcQheTmxB7PeuQCZDE2j10hxAGFsJPSH8jj6Nps
/1tDYp4naBvTMIRtZp2PqhqtFpoubjQcOa8ZRroKJkfBJDt5eE1FjpGD7bb+BwXuJdCV7ed3PZ+Y
fx8odAAsNm7sJRV+4OOw7jiKZFLEXhr0NlA9FYFglt/AGvAXjd6ytCM7QPyoYB6F+K7wn85UNzVT
WFHqG18rHyXx4HXEivW4l6E8Wk5F8NmiUMQeEbg2C7wnR1IMsILltjfUm6a0btTJc2SynBb8CBaM
hHZQOtLlbGFom8GTlPhON8AYI/F3E5PXldt2vZxlRA3w0Rg3rsAcngt1p+jVDVqPJ0hurEiWk4jo
VLSqazbaPhTeXZ4+Up1iuBbKri7TkEiq5Gh5QJKzWNtxaKfIW/F2VuGjlqLkC4rglGqY61T1GbxQ
4KqKxpnNF1tjkF+LaI+NrXBHMiJq0VpbuahPeas+eyOi1na0HkYkdCvYAod+Npb2phCuP4Caz8Zj
XAfHqcfyGvhQlUmn2vHEv1d9hKQ1eEgFcQ3SKMAUtIZ8TKbhh+EqavRVSHpw15V3iR5Xy7H8YRqN
DdQryJdjCLdOSt4sPZx3fsHcOGWhyXp4NQKFfaetMi/9hm1r1UgcP80hj9ZVJW6LQLMckVSv5aCo
uD2xiuOq3OlVs9VrRbpJpfxL6A3TMgMcbNW0n41ByVhAwcx4Ot7mL2WvvSJ3fhCKn2xKEb0MQw8z
lqIglrlsQaD3O2mdDXEgkuJEio0ZLyEe3eMvl0hCbZC38BE18DGt/aNp9fdyJkVa5LHPB9uBFAGj
HXIQThphCzh1yjzUScEbNu00bDrNeG2UZ6/kczdx4noDO9zWsk+hRyc1hBNK2EO5qBOkP4yB1ww3
j6G+e9IwHGshv9qp8RSxa8lGbddK+Y8i9k5NF31LvPJV2ihjd1uBQCFqE0t5+BL0jwFF9IWecTk/
tGm5mCPPwNyZnrJtzZixwmWJIS2hfdePkaE/hjm/kQnhkLLmIZS8kx6mmlMU3YtSUMVu8biR5ogO
cYz1nSzJiDFpIoqCojEgjjVcgHEhRLXKGg1mC2/GYozpzKWTR5NFYyWdeur2vhbcj6X2EHuHxgDh
a/kKceO2sh16YlJSAh52MmdXZG0LPW9uyQB7Y18ZrVOF8VKCqNHlTqHwGL54unKQ6xBpW1U7MIlR
LAIYh7RJgNvElh6tHoTst2JW3naJji9WuzFSOrc+uZw9CQ+lJhY6vRqSWcVD6wXxsqtWAmbpgpYz
XXsp+2JIEc78uH9ushaK67iSx/gxC2VjZU7ZchwY/r1dNws9TfptGcKWaqyHXgz3mVAeRs14sU9t
N0DNZEDpQFaiHF1/b+o3fZG9ZSbnLok4dBsrXWPFb1mW74xy9oxxKHGmDBSgIVysey2BOhBwZywf
3bK2P/7U6wjs5Qs/4wTV1rPuOX4LqoyILh2dnNL0fyCaQ0ZXpljzqrvO/6NAmrrwoQjqvrWjWvUU
1vfEGiK9xtlLHjx65oQhMKTxgwT2w2jQBHFMObEToNtGYM6yAmaaK9bONM1N0cnZUYTZXvGrzFHH
2cDrtbdtdaqMFMSjmkXUEWSHWXxTpCPDEiGGlQprPSU9jzoiGEP2x2MpcRS2YcMukaAtZctc1wpG
9r66VSNg8N2j2BhtKZZpW5NcV6/M+NCmybdk6OHwWykxfJM7VfgiUTorazNJ7/DaDyglwbVbyiJX
twGhNDm0+6Vid7dypELkyaVTrzOEyh9Dpxx5+zIscywAuI/IMZonD9WPv+VMoB4QGHkitMEfv0hM
nwvCQTr0UuKVwvqGFBkM8NVL52TEWNKxujFGzMtaYW9VT3kWzRAfe3tllvJjbtXJGhLv1rSNt8q2
7mH1ISusIV17I18MbgczRF2OKZtNr7Yy0Vo4ak3cS4GMalHX3W0R1nAbxnAzFGCV4dksIG3Ns5UN
RS9+iU3yx8GYAryqJ6yPBtsfyz50cUi7b55lhkErF0ZO0gRjkbYyrSlYS41pPdUlJBNLmSFsHcmd
DThBxP9SGQUEXvBzZZHvJ7MdN0U/nEKADKoAlyRE/Ob7vu5EdbWiAdy7fQqKWLcxTUqtRjyySKuV
mmNKbmt2mXmjEAhU2/JOCjVolDN7lxU64CjexEdI/dIqTgiFGmPfumnt0gNvwwvu0VvEsh+oswcF
ti1l0mUShcOqFL1KSRKUHavKzvLEMirH90mperdO6bamWKs3WBghZQrzO0wglh+TN4sKFWXP7jny
tK+5lHzJYySOgvgTzOg0ZdR61TD8fJ5f4Gdvqd8+FYB7mBXiNzXl5RPFD9PGjzwbB+SB1DA4LfZw
LDLFAPFRPRWejCouCxPHGglOqbX5dXPawTjGUX1bK+MRkM0B/PNCVrI7Wx9T0n6YrirgpXI+Hk3F
sFaGFKxwn8IJNEziSwlGZcSiRIKF2NbfsHxiradkTcH4Xoq154Jy2iYSwQokxw/ZZkXqFCZkpV0V
StsuG1WFipA7nafehS2D3GetXMJbfId1DAdcFMwwOaFNMeSZvIm/IWkPFhSBFXA20dGAX0U0Spxs
EBMv+gL6fm8rXwcxWPuwqRnTb2hbAzT6tgQpEFd4a9ejS+f5tTOHDshv1TkFduQtgUJ79OrjwRgt
FkeZmpglr+kFoT+sqrsoaNYiwuaXpHwYKzYPPf9TbMZP49hwDq6sHwRJbIUI2Pb0ANmVeYVd+TAj
M/05t6Rbo68Ja4Qh1YxcOFYN3igKjZWQX1L4WyjIwUUSj3qDV56ZMynu5Doip1jI2PD7+kvVVM+N
lm5CP8Mzmz6T98pekphYpa8ffeLk1XgoVyMo46SHjZUCWtWnLlxXnhQubTN6NNv8vedlWcr6WB06
+gwkMMOsDElJyKaZpxT1B09KDqZOMvPU7pUsGHeVpW0zugRLPbN/EHSytPgisADkgKtoZ1dj9xj4
JAbpnYv7i4VaS401mNKFwlZ4lpppSy0rkFIKaViaQf5up8NDMnktb0EaLgfWc61IN+zQxTLIiVoC
mLKuYYGRQRTHq8osDpMyLyPG6K+8CWYf+/plLxoyHt7NomlOWF8QbXhxvNFC3juzJLN3J6aA7xov
tTSyiJnKRORtjft7Sl6q4i2pYRB4YS4I6Bn2StIhqqAEmXfJrQa922HO/UPtEyjdRcwxza/3ulXW
Kztgax2oHbsM484gz8yJp+S7XZLDxDL9DpiwW7fyvmFtcwp/vNWjmrfTTFS4NMCAdAPOpDEQf6NH
70NNYhQhTXphkAqRpcdGNonhgUWDOXA7ESW0oLACDKggGrUxWjQsttNFP3sFmkNnFL9kh9N9bE+U
5FsjIScLgdViygjNGOwnk3cOwUG3y6OhOIUpOomprrhkUty2uddsLDa8DVBjJq9sH6IaWdhxdjQC
j2Ky+S5s4tO6APVc9F3ua2OBX4qCQDCMqFV2dhXv+rTbqTqh1L5Pfp52jDBrIIJCrUuo4221kbXb
onuXzDsv2qexM02ODleEiZzQvPy2LB4JFRmZU8V3wWvp2cRK5TAAbtL+wTdeJxC1Zkp4afGmDhVk
IR0bVEyvxHcUzEo+wBfRf/XCAx4kA45sNuG2nExynlKCTbLtmDVb3Opb3yC/Tt5GdX3EUuUImhpZ
be1Z5U8DBHokxbvcNve1qh6kIbsZoL5MxU2iNjsi67ZBGLuJ0W6xlN74CVNdQ4+Z3u9wN8Q9LY1g
HWkRpUT1qIjgqCTKhqCfA5Q/VzDYaKFSYVe3inTbdsGKPCXX5NTFedwJZXOXqOM2UxZTJO8Kxd7X
OQQITcLH9s5yumDKWGuV6UisqPAe2BUOKxBk6yIDPqFPKwLpHM3z96CGSYoz6PwbD2GHJTKDBsk+
JwubjWcRkSG0ddvN095aVfQNKNGD59ePjf1gtuU7yRTYKcQN2JuHhkQbJbc5+XlLYXZ7a0p2Whk8
xGZ0MmViISWYvpj5R9oycaof7XG8p2h3gFYxQ/x6yEHqkxDdvq3U73bTvGR298DW5oi3DtjsUQTe
Ng0SpCfx0g7be80o93T/1oGmnkJi6ciRaXjJ9Ni/g0O2sQQnYsO6j0V5jFT9j4yoCGLRSELzXqYq
/SPhZVVS/0myxBcZo6D6lNbHmPyxEL1+Pg47j5zkhDXTU+VnnAs7We4fad6bTDzailzYZDLfbU/e
Vrpwy3i683Jp09TAMFl3DMI0ghzwrkW5hmqiF6ow7C2niASsQ+s0kik+hv5xbEk/CIM7qj0sZR5C
lpsh57jdy8AegaClhG3NqdWBWHpasepSxPViWpTMhYOBFDEx92VKibdpSKk0acATRICxSDUBCcIp
rXTmzBKYovZDV3c59Cha11uagHRMok0ySa5S8VPsPrVGW9ua9AThAkjdCjU1oo3ZhcJkbYkVUS0I
OMp9XLD2woJ7CCzttisIG0pXJU39NpC2fV8gBzKBwkw77P4OFLlHzabMO7ieXZAJSRy1iUYFi5YH
Y9oyXv0yc+VhwAFvQgdUV7UUbwOcbw2akzjXaOFj6zElJ6MkQ0PI0SU+JChrrYO7pbbLjEUjyf1d
ZZprz6q3DQtCRfmO7B02jo4dwqyrzJMCpNDAAQ7+ZxvB+67iLVYjMiuUdS0RaeZJrmdm90KYjxMn
64pAiL6WNtbIFdmNNb7PaodCVSNpApMh9PkNKV43RsFWksWW7qwO001e1SoSbWYxjzWyhDY4hs2W
5LSNUYHxU7KNDoV8xIxYjFQ+FDIYu11rb1rIWBYmCbL9KAF/k6cf5MYtWw4ViIEBqOrrGZERzfBM
Ewb3oDoosJwepK9VqRsjKtcyERjywQrmY6zkiH7G/fRuih5gqQfTrqo42JCaRSkVu6Dk4DdbdN1b
wOYg5ro86FWIpV2madtInGsLCNSmQ+t2NTX+Sg8nkPjWLf/KWhUklMGoNSJQ9X16iLQXclXJUDPX
oayyxfY3pkk8MYWK2JtWOZ8oJR0sOAZJv+TEvlD9l9FSnNTcmLXhVkW/Ltg+ewL4XSMtUyWBmXef
tAklmVraWnMsqJo+e51H2FsCMJweZDfu0mSkEzwTn5k3AgLTY32pWtJSsgYClHEbskGdSrGOSws4
i0F71adWANezgID4qENEhuobTbsO+5NkyCvy3TwU9k3mRrHtKMRrdyHB3NBpJbNceCkJax6Vo1H9
hgBkBYhmVaUlzwzsfZe/gDS8ldfRSCFUPjHRUPNpnCqdaL7rqzZTIaNwlmxjBysU2x04BXnNQY0t
WoBmwk9d5N4CtrJkoUshlrGWFQffjtPa2d5Cgm5zrYJFTyqNxThAussbtoY1R25lA3JybUnJumVQ
TKWD/2EBxXYJ3FCkRHy+jUTEMB5Y7qjr4cz0xnsl+2YNAG0wPPvY6qCQKdG+g83YZrYj/7SP3+PD
TDiqdj2En+8pdOlw1DdVxoYInhQQGkcO03UwFE6cghQyOYByayjSFlnQIxLVnBKrcBIXK0aBKxdQ
q+HqgD7cTKRgkLO+Vkt5aQ3arqilFTzfhTdU9+Dx2Sp3EBNj2QlSzLaI1uIyPMT+dBeWqqvCnmi1
ztWB6SvptBGqsm0gxbbF8DJZxk2P2CxsiKToiTSI6rWE1LXW2NrCd41lt1TktSwTi2lj92tZ8GgW
eM0cg2Iu+tGik5g5ysgeifsz8ukARRFUvLIosXeb5aqd0qWCNDbRYjZWWJxtEM9MoOwyD7DLlprC
bGnH2KTh7c0SV8SXXnyYSn+VjeN6MAWginU39jvZ+zFY7T2jk52FtR49xdGGYsVW0Unh4JOA5HSm
vvKZ11eFBZa8M4DXvWDh2ClptClUc1tX06GOwz3sXNdvme+B4CdMlm2Hg0Mi+2ltRFQyJlBkAEsJ
qdp1Vf7QD5y64lhGKJ7MoajviUnBOBpOFJH3ZS5D9uCkKA0boYXIXL8WgXWK294JkGr7HtBbOdsk
8Lw80nDUXoONdxdMOJPVDfiKlU1KVykH+2JS95xxbqNa2cJt3XTNe0rDvujSGynW79jobkPK0V0X
roqYt6LNNl7tNEmx9thjxDPsMh63RSSfjLeo7E8yj81nLewLuqlDtfbM4IZDtmwPbJbGdXADxgCk
HLTGI+qo17rsH6dmmHGXq6zu3VZLVqIuwWlObgUpeTYIeKxUSuSjF7mX4L32nOhbsLadCFcqiMSm
KdYR5ioSoU/RyLk96tv7uiqqNUGwxe7P/1SxXOwsOX7olLxcY9Wpd6Ed0KaYf/Xnb4MAOhw77f/H
X//8i7P/5ec/M2bT//0HR1XuUWH8+/c///rP/+/KX//8QRM7cq6NxpYCWbe3/bjf//zVn/85+7PC
C3Fa/PxrJHM0oyKS6P/8GY2ASEjt1/+dsx/R1AlaM/uzsz//5XJnH+lfV/r5hz//n5Cc3O2IrOfP
P/r5q3/9HHXwJvcbGs8Jq50RQPPXn5Veb109kZqD2lZ3tcChSeDVsCi85scodY+gSP0rTb8LHXAc
Y5psqhRWWBfOOuCaHJQgOWjN97qxtYhH9iGqTpL+13tzNKuIydXQQQtxLvMJolDO6pxpoKtbUgZ0
NiG8Q8CIOfuNQ70mPPnKjf2uwZk1ZHi0kR3Mek9z7t79ojfRcqMHqcglIXqt7aFfeJ7FrAXc0S/d
gPzSYjLWnZreWqzNPSEmYW4dzHhYVd3rJMbVla7ZhZ7Zrx/n3Gadp5XHWYUHjdRrX5RI9UqsG3F2
ajx4kapJfWeWplKo6mgXWKgFi3rz+We40CD98BHO+rs1WZpV2gc8kb68Ed5NEL1YoJsVZit4kid1
aHafX/BCU58L0khGdmth5z4Tmw6kGwxFhqBByojBgrbn0fylXE3ScntF3HPxUooChgc9taWdiyxh
UirGFHFvZW1A+9CRlopNUMdA7sxrAt5L7wxWMEOZDdSqfG7m1NBpy41Hn5yjLjW8gG5gA3JO1Qkz
LLaiRIZTEj0p0QuDKClp6aEMypDq/khzxnwgBPKKtPnaBzpTNLRaofXygGCjDA0OWwbKnnoNWOb+
86/zpyL9TCBAfx39NCZHzKzqmawN4jlxcfR+3Q4Y98IOyf/K9YhTPlxgk10N2pWFhfHGUvM/pvSk
QvmsWZSvfIoL7e8Z0SbAoZkWUKqzYayYkpF6I0pGv/MOVQipyBqpI7wQccBmrNnFAKpGkE2+1m8y
O7p2+QsvsgX6agbEoaXjUXycV2SIGWqRNLnrVSncXkTEcge2KvkS6f3azKbnsGX4TRV6vsDE3FBb
bFcM85qJ/4L4gKtjrLA0QWizNX/MX6a3jBNdlsFjcWWVqMC+oXZVlvY3uUoOUZs9kMC7EBb8exm0
5edfwO+GSCFbOBYQBql4W2T7bGYdi7oLCRDJ3WRIVi1UR1WyZzabEi8tQ/HZ+jhxjs1MJPqmBvca
ix5sZmzRDZ5rfd1YPExTw/mQwmSqRbctiVdFkqGiTQFHek1wRacxD/+zYfvL51Xks2ELr5RFyeRR
mbW1nSXnnqVd0W5dmH5mHQijwrYhC5wPCn8yiD2BaOzqY7PPDKo6JyFpjk7/8POHf0Gjg+0SW6CC
mlkzf4rNf/naU4OEL69nVbPiio4iDKlYu8vpgpc1aaC1cUXscfFywAANtMPQOM4lQRNn1SrW0EwC
11oOyZEoHMcen6gH+KgZP7+1C8/QVnGSQyHRNMT68yz3y61VMLBHNWAKzycOIZNHtSpZ6O2PStfu
Pr/ShQFhq6gl0SOC8GKb8PFKQ5JNcsGL4Q4hYATSeRZqYz3+Z9eY7/aXu/HVASKXzdpHxAaHTuy/
cXplKpo/5tm45jZYW3WcM+yszqYADF8cNjqJTC5bfrby8HtXaJtAHuUrL/zFLwbBz+xSMgA5nD2u
jjbvIBtcJzOn5y6NXtkpnWa+HyCRv3VLf17q7KmZmt+VesFKViSWBPe3c3rLeixT/69PCTyyP68z
j/tfvh2J7PHBLLklWdPvZFPcSSmJ4X9jBOgw4AQMGwIqzx5bOxokKEFpd9EYEJCobvBmXrnExW8G
V5+NGstk8jlTTRbWaCE44jZKAmY4NjleRqj1+EZ94sre8cJyg2gbvxBgS51bOptDCUPKEiYItG5T
8h6MnTNh4NaCPZTOFKx1WaeHyb5m2rh4eyZyZsGWQ/lN1qxUXmIwHjIYRMVDOSFdmM1ZIllFXXfF
m3TpUliyhKEyKKgFnG2hxkQFwhMbDLzJPtkSdS9fQeEI3SnKjSvbtQv7cHs+lgBdNAH/mOfvbd/A
yc/lzO2T57RV9gvLJ/nav439KzvVSxOExpHB1PTZC/vbmUOpcpIPulmgmB6yQXrLKfWkZnjFX3Xp
MtY8CDlFKnxXZ2ODzh+5Y7QZXWFCV8yJvKn8pSGqa/aFS2OQOUjBlcjmC1Ptx5e2zAYmu4zr1PVs
waFazrUM7yFP+hPOEBBhyZ5MsrVHR8CoS6q7xg+qUJ0mXLVNN+QxLxvF3Pd658BBufIq/vQvnM/G
tmZyxkUOCvT3bEqZ6mayvITB2tIomWAt+gWplxBtC30tUYlGsQnikYDmmjxwH4xa/RIjeZEI/OUF
EhSV48ZaaACuJ9UGiV84nBl3baQtBkH2DqUryYw3FRKYuYBvacX68+nqd3cIVsRfb+BsY1sHtW7V
M97K77CqsLGlD6+6mvp9EBiFhDrTBFaaWl1Z9ufn8ttz0/F/QgVlFJ1XICSVmJu85M0TRFhbExVk
8BoSAoohfzdRZ39+l5fGKvunf19tngd+mfjTEbhTEXE1rVV5tbHTtiTWGg+fX+XyPQlaFWySMUCf
jdQsiEkoHniUg04ELPSoQQ5cXzvAdVgSJnll6F2auwBy/PtqZ/NJh8ItKojsdXX9fUS6YIrR1aXn
QL1yV5efHQ4edbaOgpn5+Oy8jh5dWlAktaRxRQiAbOewGcq/dTd/XuXsPUpA+NemoWaoaF9wQC40
8k5wia0U7T+8nbPxXmD370bBhTok01b6lqgveqleGW8XRwIGN0GxUMbbeXZWYtG2Oub4eUNDYEL/
LgyoNhL9bmVAEWlfmfAvjoQ/r3bOYsI8ErZ1z9V8rV4Nvo2IEfaqRbIDMex/Y4jP+wFcPVQDzgeD
UcqFkI2R6U68tAGMjS/B8/wupWQJfH6li8PulyudDQjomJZMxizlFhLkwn5n5e2cRXnlfi4+OgCi
7KdZlAGwfBzcdSZCL2sZDU1+N68vsFBWonwO6vRvXUjDYqHwn99c0L42mplhsvonfk8cu0VxGrFB
wG4qvXIE+X3swXZWqBHMtk9kN/OD/WWuqyMOdNAdMteTzPXM5K5hizdYJT2nMrO/vEHkYtDHZKa7
n4DMjxfr1CJQWpWJdb4Y+q/nLincQAlOUhy4qTio9T4DWPxXhwYXpXxtyLKugrI4m5HiiaznlMB3
N4+nlWx+gdZ7Suv+ygC8UPfiMjqrkyGzB+ao9fHebAVFs0nUjGsuBp3ojRzBIADq8Kt8mGNE7e3A
FiOmZ2om9ZUS6u+Df760IQBFyDJjU/146RKmmO6TqAv1f8aD4p3HrZf2w+pvPEiDi2DOtHCynM2F
vZZLvo+gyPU91IK0cSc6mxJ05c8vc/FJ6qBIbEHhCILq2ZOMY9WzvS5hsVcblGm0riUs7tN9Xh0z
0ki7wJmom5nvMtlaf/0WFdoBTFX0IXDnnl06UvMkDqIxZTMMWjyXDnzTgI2zK1PwzyLox/0Mjhhk
HprOmozf8eytkydNqsPYSt3ST2WEf9oy6UgbkYb8RpLR1WB+OmrTVGwoxndgiaiIaWE9Z6VjdlAj
Ff06PvImnN5I/k0XsXUj7OZLUvNcau2ahen3WY8Py87TRjIOpfG8L+NnXRI2tpa6baTea3eaXjg0
oW5VL7xy5pmf7vlTwS6kok7RZs/S2fSKWiERiUl6TxRhSbF0bph47Ssr+u8HBEVXEEzRAAC1wHby
48vSWBHWpGZKXdUeeUu/jIQ1denXVEaFPZYrFWlSpmWvn4/p+R89u7MPFz27M8otSGQRjnEGB5gP
+0DoPapnhEgcQ+wydKq8fvn8khcmdjyFvKuMZ2j658QUdKqy2hkkMJcFYUOAazx9coMMwUCIlGSq
r81/83b1/BbJ2oNIBp+FqsnZdna066Cv5DR1+yld1Iq5RjO1kMF961NJHDk7TvIZxnHTjiag6Wvn
vkt3++vVz6bA1ijiibojlHTRL4sQb0k3rEJkSD4WoTg1/jVP/M8PQPF/Ba+85dhkQz9ozn77v9wf
+elb+qP+/yoZh1npl2HmfGu+/Y8fiEGbcb7Vf/7j+C353/9NFs7PP9p+/+c/fv78v6JxtP9i0ZuL
wLy6nLsVne+g/1E3//yHpKj8nUqJeJ5CVLijvB9ZXjXBP/8xT301OGx+qcj/xTxDDQLb4ry+wJ35
C1E4JgvGxyFpYkq0eYmo2MD3Yhd1tvJLWUCzL63XXhcnnOpJKqY+sZU6dCQA6uQi915i9tkuqvKi
CKBKtYQY+OSxAJR7jWTlWJBKt1JTeztlhuTYSmyu+3JY+rxYrjE+VkUTLmdRahclwFSCHlS+nuPS
S1+T1I63neW9RDNif5CJ2/aHpyBJCauIqjsS7Cn2Bsp9JWmracp8XBEyuiJljJxAbkFgzczMITqN
DbKpKpJMANpfpDJT0f6gX2yV8G1K9e6Yqw2OlQ5QwYD6cDNo9vuA/DHRCRyh/HCUJ7l6MKDDkLr2
dbDKdBfRsULVMwe1Yg+RIxmRPIpwIzfwkcR6vQgm1CmoxUrEZB6pCg9mQWJza72UvkCSjX/OHYjd
KfxjhWpvmfW+tKyVlpW6PxiptsuTHLmVjzSzIW1GKXfdHEIhZ+kOEPp7l5v3uTx+1UiJTX3TwKZj
uQY7i7XRNg+ZlC3qLNmTDXI/phJKDS135BK1SlJtJVXbZJF6G+Zx7ObZQyUqnjMoLGwcuC764U4v
TdyJg7UslfKbhu52OU0kxhWUoQkzO6pG+2XCELfKcoHruBx2oycv0MV+Bdn+ltFjB/66LYPMcto8
2QwBNtWiSF9ShbZUzb6IhL3qUKbt4yCMRRdoX0dpeB21ocXBazihXxGtGa8zX0fsVxV4n4maDbwC
aXqPfsBrO1Slrayupsze8puY7IMSjZ9n4d2S8/igYyypMXnuDDE9Kl30js9MMxqEZlXb0PsnZbQb
66VcyThYW4T+iLcwaSJ/hZ2yVn36L0j/7VA5JqqCgaLGVGuYidMXSb9GUyYtDQ2OnJeGBL76YtG+
0+/ne6jS4bEYCBPUpCVdMHsTUKd1miJ96qxjN2F5SYQROca8D2E7fQJbgule8f4PTee13DayRdEv
QhVyeCVAMInKwfILSpY8DTRiIzbw9XfRVfdFNTMey7QIdp+w99rbeWrH7ZSNclcURn4wG+SMkISt
w4yp5glmVqqG8WxsTRk7LnpzIqzvTQ+BsDmj694y968D+xdQaloVyO/NopRJ1cjHTYqfkaQ1eEvz
58azdl4J8p277LMJv3qjRGbWTW6as93kc4fSniPmLlraVz0NcW4360M+n4bW+7D1e49BI6bfvSyz
KPZEG2vWrfj0nLW8cMMFOxdhRyKd9d0G4h2T/8SwJzJOq+z2rbdAh6wuBNnmeB/aLbYz4gKlLR6q
qXwIc1IryPOubZTEhfMeTYhjphbuT1T9djagk4bb3YHRrmfP3vVTmJrCuxZyzJJhm0nl+2sXIIMY
8bEk7u96maHjGaYHZIAfrRF9AR8TmBdJYWDJnbYDVqJAbbhvTFOSxoNMJbQeBhZ7vT3c28UoThG/
Oq35abQGm6hy89oN0d6h47J69Wm2lX2Dav4WFZEt4JnG0kcgR2SDIopgzRGp3WibTYn/0ZKElYTh
py68g0+wrmyiIo1G/Wpv6nnemj9jDs6ScO5qZ+bPjuCq9Z3ZShy9YB4BoYmLxN+RspjvCy+4K2y0
zNZ8rEU9MtnE+rPIhqjbwBa73I8eAD6dt7z6z8uHy1Ztz+bgv09TtKA6R+JioG61Qyrhdi4eCat5
R58vktYh+jFjWuZ5sXSqaRfZ/WUZhoPJybnDPgIferhYGdmNxCFvOWYp11NXS2bfOsTUuGVHaExv
uFlSK+STpC35BuG0ThQWOXSUxJstxBvMxkGDLHWb+Zqb9UD9ROK2Y7fvffkSSfQEfhsoRLuHvLam
pDU0rmj7FspSekm7BOi0me2h8drbm/gqwIfBdpnSfJoPgdLvUaQQGRUnekY3IS0FOWwD5RG3uyFt
XOeTQ+Q2UPSCaKyVfmLXsgA/9DTs4egOiTD7Nl2a3oU0qlsSa5ovOximY1kH9x4xAnxwcT+anXUi
JMw9Wc12Go1QJu042JfBM3+JkVhkRb4ycRiYGjgNzNpC0xxhz6scMiW5z5Cd7YcF+9iqFmb32MBW
BLudD0K1BVnRNM82ZpLYzScn3jT5OuvKQmvK0eGKN45Kcr03+zgX5Dt286konurM/DuSX4gxQNnp
Gj4OwWLgmNEEfw/M5atCJBNxN9bw6VgYV3TS1cW7wPHgEZEYl+Y0QRi1XubCTjZpfwVu5cADGD/b
QnkpQ7sqXkT4YeQhv9635ywwkePKVz8Lgl20iQezB5gqe+9V1/WWduvAJHnBdrP6ZtxH8rHxNCGW
i1uDHH8tB5ecWFPo/aK+G3JUJRGo69g9A39p42KdstSZ9bCvCJaTof2YCXHhh3nfzjUpjcTMIY0W
mNarTuxsYmnx56G7sD0rMW3EiKYFQW3EaFgS2YmdbmEE6O5NGLq4PXH0r55m91z/0lYLe6eoyGpe
+jyxpfehg+yiNhAomAjMcnwnPPfCNCBWGVqjjGEwn7KIxJP+kAkko97yM0acmLrpz8MNHoee+IjN
lURUAOqGv/7Wq3k1ZMdKXZkkY5f5uQ0guupu6h9UflWqyeJRmqhOb4lmJabWqnTKGL/OR9NOV+IG
sMTjj7Gq9hWfvYiV9H5n+uxYZsn5MBwH8YG27YwfQ8RBVwPPGcWnL6nPUJ35cegIlOL/vniAF1x7
+kByUCfaV1c0LD0otO1moDf2gNfuGo+CbS7yOhVIp8Is+tPiswBALCKIaWIbrptd4D4pnTAeNNnH
eXYF8HAIK/I7tVxAfFkf42a/WNLND8SGpSCXH0KjuTb0aGkoui3lJSBUGc6wPcw3IoQQrTOW2Bs1
2n+9OVXSWr9k0RdHe/Xvo/J1wY3WGJr0MS94IX3pwn//PZEyP/Qu9x+tWjrqaUwqGf4el+qPx/Nx
KdF04sfrieSe/A9L42wfEDDtc/vOQ8vB2YdSG9EqlrXA6h+QSUbnsZKPcLCIKLLHH7seKzS+ZfYa
qSdfRgcD4e+5dzOw79ty3wsygSnWktzA8R1tfpU4mW53Gz1ZUEYmdm8heUYGjiFoJGPeP1a6D5Ol
DZDpQBeOrUWilXKMg+LlFNDYD+XifoS3T4m2spO/rO0lqFV4zBwOLMZE8QSgjKcZkGFOZMwseeNs
CyZHX3Vd4imgz2U0n5fWry6GIPjGxUkCQVXtwy0OjL5glh/3hc8u13P/uhE3hqqWR1TW0rDPeQfC
3nfEc4fbbq2dD714J63DIqXW+2l9APRt2d/V5YJnqO9T6c3rDlvNez/rxMvsSx65cxqU0Eai+uri
EE0NSz0GxnoaLP2+lAFJ9fPfnvHLzl8UGbyyeAlpEHYgFhGkZ8bF1eZruK5/MQRbe1WEjxpb966z
mRkVxREruhv7NX9zz9VUbuEvb2vs+xCfBgRFXBNy4GqPiDd3iSkPJPVU5JcwEvx+by3BU/hf0E8i
7nsfn1ODUQen8L7pzaPWZHusf9F6NYnEl7ADWnmHfV9sQKmDqbuuRpQfO+ivyq0f5jrHa8lgyY7i
CRmn9JkHmP67mNtl5+X1dektCMuB3pEc9ZOXWb2X/UdkqFeg2rtssead43t/cq971qN55+GdzuXT
1EE9uA46i/Ngeg/y7GlRrR+bGSbmA6I8Yo494vUm4280bzEtCK+yFL+GwtkVAg+rmN/91XqKmuB7
bb9Dq+XXfWZ9DXnhgVO+DBqs14LHI1qjv04rXFIwnRmGL2nlvfc3b8f/ZteUqV1pd6cs4e0kP7bI
cDCM52eppl3gLMjgq5RZ/us4wE7m8vv2RuvKsDuAam7dEwB9Cmofn2a+HrQ2n/o2v8/whHgd3kOU
erqqdzYfr2Gwvnq/ombHnyHQAsfr/GCo/lhH7Q9xd/uMda5JODRWLtDweAo3tyCOgkk3zzr4dATi
I95V3IKL5T7Kx94z/KSNrHNRr3nSl8CzKmd9XEbrt2JgAtG4ovsDFvAmJczstbhsm+/tPEfxYhdO
I998dA0d8UERhHM3L2NlPXtB9mFOQYxDnpSoWxKe12SXPuRnwZQ23BVBhuk0K1/sFcg+mSkf6/ol
ZzslluqhmrHkhe2buRTPIvfPBNPZ8ZApQuh6/7nNzTl1e+vUZhPnKJ/EfVcAeW+t01aY1IBWR6w4
4j5Je+jAjmX/4r2YrX9oZlof5cznIBL1jkx6aJ8YVo0CLZ8z6eXsYIAL4SQgv2Zl7b0EPW/xoEtg
K3n7s3pA4KJtTWZcpABMTAunxGWs3DaObo2bFdTHpSFaWush3pyM866BYkA01n7N1QOYFJr+Pjjw
B2PyD9aj6y/3Vk9YkHIcSkgjqfq3dfgwO7fE5URWYXYtfE0SOYCSzGQAHM5rMvq0w0FhfYtVfg4j
LiXFE8s6mOYwM1tn3/nVWXnSTZAoctx8z+BQEaNQaEJIiYeexHFRtFjLpvrUNh4Pc7k+WNECLmOw
PHI7k0H14S6Qy89mew6nBshQQxy9krfSEk2F+czfyXXwz3b3B0bGLs+5ndo5PJQRk/FgFf/NvfMf
NXwSeN3NcXNDBmuySLfOZMNnTU/Kx/nU845eCnaKOSRPis4SO4xHm++skiS+pdzLBsKHlFjM6q3D
uMWd0jjiuzdHARkc5WY1BoKUAMClG6wgH8Mlas2rNXIbtDm9suSTrnRh7XOzX/ZOlAdIs/y/XrPx
CfdAUqiiIOKxy+67/nnthDrWdrRXc/XLRNEJ5t+oLnM4UWQ2QqYMFEmo7Zplb7/BHXI5qmvwOSS8
3WHPRiot3kt75NTumd30QxYPDZ42W27fIXVBVRT1A9AVKj8G2Ix+VjZM/cWtFMEbY7hBWhv82NMc
urPkUjMWmgbS716caUvMDof5Fu6wzs/HhuE3VxIVTHdLixQVrZxPk96hOIOo8Nu3KqbJ4R6Cegak
tcmSIKzep7KjWxS3DGaBI2NogyUdF6Goj2YeC3e9aDm8VgKcjGPGpX/u24ZqgKPDRlAOWLY/V0Hw
a/VfwesFcdV2EAaU3Ktmbi561RBhXUQi6vYYemYKQBcB2cRlk5cdaMIbPcL234RVlLtZNd3OLF6h
6TS3Yc9jOIghabGJt0FO+AjZhon0CTyAJXII6lvsuQTsEQRRy32znBbXfcla0uidemwS1Yly706S
YnTFA1JmaBU6ayjTXlQZYJFF7LULQYBRwxFLIg8S1q6dMGRChC+Ihnb5bGq2OsJiWFCQzHmEYvU8
t57ejXJr0kJBOP6Nrmt9XhvcW3rmbtTu/B3k7n4cIS0y9dN7o4Pu0wTjdpQLTl/VIa038UzsREnv
3a7ROSo0Nv3fq829s6GLeemr+aGnrPBLWZODusD+mH3Gw7zYsPzIqa2odD2d1INie1xQsTja7S9V
VDyNtUG48sIP3ORINQlY3auAG5TAxmnZFnoFC3kyRzkoexyycvGp9cLXVY9fNN1gKbP51Q+KS16Z
ByEN+epsHv5ITFdHq2o+ugyiZWeaLSgmtbcK45iZQ3XgEf/I5SQPTZ+bDNLtL5ZfVWAXsWeEf52e
zI6tGr4imiObbIJZWQdcmiJd1XozaeXDSVxo/InS8nVczr0Vd3yelai6Y9cGP0MwpqI0KzDFzHWc
4IvMWh07GV9KJBbsQaL3wZRn4Tv1sff/LBhz0jrk1gr9X1x5NGkQSuDBBjlzJ/c+W0p1Sp0i/Apa
XcWeA1+UwApNf4CUqlTzsxFBMRqz/C5kVFVE2PFte4iNbmlj2wrG3USDnpLhwW6kfuYk6HZVZGtC
avmDw9uhRLX+nvfPQGXYhQ/qtCmAGdyTfVwUTEt7zsUN2/KKlShRYmiZTNoPw+QeBn/2Yohqw37h
JMlnOzh0DeCNemkfIl23+7w0VNIqMR/9GsDWsrRc2NEKcETzWDuyCfehfSwHdVbmUD/rKDzNTVWk
tY2KHjzDnPKYK8gASnwSJsHm74AsYjy1Ao6ul7tofApHnGhZTiHsemfrQU1IGzwRJPes2Vz6aL4d
kv3lsRJI353o3fJU9irrMi1Y5m6m9T76eJIDiEZxSyOqxXz1OAoehs15Y678NfXKPhoNlzJIk+1Y
gkvD95n9Ka0MakXp3dAA36Ov/uQ2tdEmPyhQh32XPw7NtOxnTz0tBZl6rV8MsTBo/BD0rci8bpPP
6WUGKXglO+4EloPL0q17lGZ7P8s7CiWKsG6t3/ko34/Vml/mCgCzn4zm7KXYHO6syJn2fi/GXdZF
LXqTDpxdb5H1UvaXvvFEspREI7lGblwwEud5nh0oQX6V7mwD0xkfBz5UabMxcfclg5wqsFI+zyae
b8aroCpxdC+C23SfLXwCJanYCQvAgYnYX10TTU9yNe9iB2zFltzfUZUbfDsLDl0JURxbfgpi0LnO
lIT51DBZmZnmuLl8yKYOIqAJMrdYLv4ASMfLW2goFLt9n78wHckPnQUaLlgZRk6dTN2hu5j21h5J
PUPW1+K9x2F0Gt0qNqqMun1AMNIU6nMETi1gDu+qCiXiAtrFZqAPz7rlTQgEc71geV9W788tc4eK
w3mJqmG/OT2mwV628Twf89WyUmVwgwYdQILcMBPgcm8gq+AVW1HFLsOBxAQ0qV/lxwzHd0dgy660
0UNuUvVJ1Dh/gptNh0FbeHGkFcaUxCskoPbLXaxfbs22X4aZOmQzHLncY4i6GMtd4fCQmFmIpaTA
KW3iYSeDuwL6CrWBEBhadiyWy3iFes4KBitCIhqOAVuDEKMGFVvQQIYZGerBpo+rCWSc8u33lqOS
AYYrYofjdGrD8jqq8yZLf08hDegjKp9dKdpbbxnuMHsZsMfywxa2Ym+V4InDAlRK4Dv8iAo/oeV0
YFw5n7BXw1SJ8Txbj6Np9W/NOKiXbc35eZblrue+2Q2+XyT5ZJNlGh7k5OWP1fCEx94P4BE5cK72
NUPO/dzzfLiDRZgXWs794HnISEMeryEoUmdFOqp4OKC1E8sUgL6BT4HcwTiBrduguTlGbA91EFv+
/IwSim1NDj6n2dQFooN6GFv3OdORe62UZ95lvfyTdZ2zx+kJ2s5Ns362UjpmJ0bVW4MwIw2WIeTg
wGdZjDmI7a02n83CnG+mXyceUYzcu4QSzbNiNmANCA3l8t0yoMdxFEaPZeDacZZ5E5ZgvrVXzTom
Ec9/HMx+OMtG/ACmlcdpuLO7zaQ8r+VBWkz0yWrMnxhwL/dVNCctPkXM3PUtplgtR2/TL3NPHWZv
pndoIps6TCp7n7M5ERYnL7504KTbgAeGgXuZL2fPyroEy0d4aVeCBIiKaoxgeoN86byYVLM0tHfI
IaL7heM2znXkH/XsvW/UPEtlz6nY7Gd7pX9cM2Zgpt80iSu215lJypOA5w8St3veqhX6QgEorzCg
8nVYV142x3hgQ7Kcq9o8+Gq1Dk1r4A1zKkIJKk3WRuHuWBCjeDUpZYalU1xc5ow4j4Ot6PnLGG22
L50Ala4CepSdQWImpRjrp39fOGwgSq6FkepvXfPI24GsTqsylsOIJzx2WxAsvVleiyGDZWDN93Zj
V0+1FBn3S2XGivDyDrbJZQqWm2Zv4c3nvQo8frNX4VoqreG8qel+c52SJ9cG2G328SREQOkRjk/8
2cwc7KE5LV37g/DZBrXhXUoMEHeGXd6NCxlrkxM+4oNiMRMu8uXfl3F73CwzT1sQW7ExRTrN6uB3
2RVHYkC6fVStBmyQCmrWEniAVEUKf+Cl8wkJRwcOaqAmlx5FT3Bu1InWzTv719xe7TtJSerqyufW
i0gwQ+3G1Jjmupoo0CJ7qhiGo0ncxtHgUQk/lq3K7oq8D+/6ZK2D/Aqg+Xsto/bQKI2lTsHPC22V
kH6dDjX4vTLaDjp/68t5O5DCYMKkmXTSmyCjvQz+Q5uTUlwU7kxczUoLHIhzvhhtbOjpGFGixHMd
uUnjtsNx9LzPRnOUu2L8aBwMnZUOyoQDMD8NJP/Fth9VHxmy5K1ZRiQHPgtUzZ6pMxjr9r0T7gxS
tuKB5uAAbnPCq310PKDV7i2SyGuaD7MQ85M0qOfs5r9pyKsHgKAUoa1L2vfqqATI7gRJJDpFY90n
yg4p6J3q1Dl5Ok5Ncayntjxnf+Xgg2sCrVuxWO0ufie6g2fpBrjKkkrgBecAKpshFn3OifHuBwji
xXgvnEwAlbxxa0y7JIig/oiIxLpkhWWeFKbknbE5L1KbseHjfeAdZxsn7CTymBW34RztI8u9ojOs
fjmCFh8bq3cdO70emZltSR1msStYJpVLfW1V5t1VHqN0dqIDiwNG2QWTcQdfn70UvLEMkJTHXmOu
9fo8BKK4OuSpLQOsxQB8mqi4Pu3SMRNnnf4LtqexXbM9HQh8DEqFoT44frbGWaw8+BwZoOkCmNBu
CtaQm8MkNbCZKUDNCNH87JzYSpeHATVVbYD7hzgdusSdtJqSaW6M/wC78nctt1+F5/9tZxJEy1Wf
NgM2Qr76f0Cgt3Q+U0SEfV/H89hQLNpshMvQe1qXFceBk01J1EEYMEzxJ7JzYBtNeLTADcT1TPi8
KjsRb1adNLAhdsGWtecIRZdXVmFaQRxp+mDmfOdlMKnvoz0xKsXeNDwYGSsz5cxl26Kj/1obJ7O2
FsS8fj3cYV77IdKqOM7Wf3RZ6mEdQqw/Up4Ynb8uEQl+rqLqmY3AI/WUenrLf5c1m+7Q0uoh80Fo
ziFye2Mzi8SawaO4YxvSzZWQdm+NoqJlN4wf2pv+6MzGp2laj1OJUHWCzx9bQc8qqfwBB2UcfOY2
xVwDqG0WTA82y4PbcD2cSxmXu1asn/5oROfe77/qri/vDNCyNjuCvR+uP4EwngbIhclqby9mQAQZ
Ktxves9d52f1cQIyCoXDg2bNvqtgSX5RRvY7M7bgFmG38OOwju2wWQfDvBvsEY+CDTBskRlwUmll
sbxRJTOvd5LByyu4wFXx7iiASHPgWL+ajO5vOjBnGh5CHwQPaU2MnOSbYYTV6+rk9ySbAUAaGGSP
ow0eQCEsKw3G2HY20B2VuWDv3dsk3C36btgIegnEqS6riEwnAe5xWtlf5na9D/PuieNZ7lcIxKdZ
+kRpdcSI1nYO+zVaLtk4fUQbo/MqLA916HBjjb5/aOcsMbLSv9TcMbFrc0d1JmKUf7V1AR3lONzA
bcp8JyZV5+JRzxWTR/b/HJSlhYJEzPkV7ORNYBjae9tU9qWS07nPXHWs2PpeFCNZmYvp1CgehCI0
WDi2OdlwE6VuWXWXpb542ozOtXT0pYf4d+kriuYgpAzXSFNdS79xQX4KULLp4M2/s5kRj1YJvYZg
Rdyb9ATBevn3pXFDLANT3X3YG2OTyvku2dKeZf5mS6hm5bzK2yfhVZRBloLGDeir+SKqW1YXNYoO
N1r51Xx1kf4cWrP4WWi+94W1Joof1sXplE9Sz4Z/htliEZebPrGs84+zty20eYyI6mX7Qlrnp73P
kaBLkDjNML8hfDDSwgifRL/NB0AzItURQo6O5c0dBNbpkI/Ra0lkNQJcQYDF0ruXLGLo2W3ruVwa
cTeZGdDzTT3NdR0AuNCfObvbuGutb3hDb7rSfKxk8OM3t7i6povimoUfEBi+U2vnBo7Kln0wA/PL
CjQJ8VE0ILipnL2xkt5MKV9f8Eb0sZzZqHne2l10t2smMHag/tg8QtnbD4KV+rIynXJm+1vnWqRG
Bx9Qj9UDYcHEPrFipmTJH/59v2oqDD4C2amlmD1s5nQNZDdffEa+jMnQp+Ni6y5B/4AGRtENhad6
cIxze/sy1M25gJZ5vFW+ZxZZE3XpuYkazA2MgrlwfcbKVcRmlgkaeeTwvWgK14STPUCasfOM9kUF
CCd5Sq1dwKQSllnXniXrF4JLW8nwOqcJB0DVQvCfvmw+Ib3KNd26e8id5qlp5ungZBUE2QlfhQyd
ht/9/y9TRwFcsh45TNunswwEh3YcXtsUIbJQ4J+a0QsO2Zh91yMkHSjoo/fmbNN0QGBVVUFxF4rq
mQBWE4oSE28j+/Lr8ZOA1vax8hi1usgfT1HHGN4ldcDuuf2FHSGOKugoVn5+zEYifeDRhWSltvLs
VzclAQoz0wZ/nGu5D7T4sVQYHIdicBJZMjKw9PIc5jRLTggxyK+Mne1bTOb4I/zMf6vraDxa86X/
99wYkU5Y4wMh7mcPuD0cKLuCSme5TVwtQRhj+gKhqvznwNV26nrrgdDTGhX0rJtX3v71gmBvZi3j
eBiwYp2b1RGALzCyrbvvVne4ukbDUmA8gzHNeApRmSm3ra8bL5A5muxhnfE6m5rBXKSuneOKh8Gq
99rJgkuZzai46paxhjEeXbcpma2BhrXQTe1lJ9nuFkhI69IVexEUD0LOwXXMS66ArGQp7DOKyloC
XIujVToPW82bSHTVi6+MV+Om3XOwazDyIwmSunGlrmIl0kWPmnMlbsKCV16o586qCMmV7rrnyTKv
0VJemsXunjJf9/EcDey1ihv6OFzbO5rD52axbltX0K+2y7DEFsxEN9Pgba5HWnlB1KTywfdk47sc
5YqwZXlzxn2YgfK3zMXcLTAHbrNWltVyeMmlZh4saXsiUm7rqEodT/+qLVudy2J8G4elYPVfPbFx
5eqsrVPQRSYo/9jtci9xOpZ1/Ypuif+8cwqq0a5lIALR91AbN7i5ZLkSMPTCEslAhyGSsXNDNIBK
IbDgVXtqhTI88TbqUfwtg3EkwxteXW/Qafz7fVs2nv/9U8HA8mAHDhNjtZ4rMke2ibW/rMLnrXcg
RKEtRGPAJnyyzqIwmIexcN4bZYWCI0/URntrdnlwWPKJuXAYajLmQvcIWZoMiKxaeezc/jje9iFe
6RWv3hqwn1gHN96y/D144DHJjl5A3HFpgHdjpkj/6DDtdC0WxcGkdxMTs8CQ5+U52tAfhk31hVBa
7m6sc4pVbk1X+ukUlI/jnJHmhnO4WLcGnLT1VgNKS6fltphn67HmGDj6YF3PmUEEYG/lf5x+5PyJ
qi0ZaSN37sQY35vkFAsQFTEC6TDuIvYo6+ZS2Y45S4DY7p0ayRfKpFz6R8v4d6R3Z7zrmMtNZFuG
r87/3t+sANwvttTLywjW4E0Ddvs1V0lczcAzdpbFmfrvnzYPwIhGVhNnNYPWWrfxuHmn3FCoxJg+
qdF6iEbOvAay/9mnIUk6Hh0k0Z06Ue3s+gLCPgY9kRgiF2lnF++5yYcVekdMXoV9dDpDnZfc2g9F
5R36JtUu+odKDD+ApPmWA8C4xhUM4qgACnSglnImPqnmj+8Fb3mDD3W8QVvN9hZ0EuT5EVAlK/T6
tSoASRvEU5y1OXwYBqVthcT1rGdCZnDM9FMyligMcEree0iG09F4muieT//ep8kticOdjqQmShif
9Q923WzXt1Q242NPlvTJ54fhuYVGwzLdak3SLvhxmfuRjZIoS6aXLZ8NSNaHrjOQ7Dh0DKFlHAlu
VntGISgM2qE/u7VGbhJ477SC/NvtSzHJjMVzBKb5dhH9e/upTAq2+rO5J/FwF+rVjxc4Czt5+yv9
+9IORXN2u3BLa94V5pbjWQzy9rvHAytAXvzETShM0LnrLUejrBvGJ3anzngmWK8gx8Q4os/mTGGM
jPTTnpykt7f7haf4tOZva5PrK6PKICHC2KKmNOZ72Y3hwXKnU5l7yL9C46rlhpZ0pHIqokndU9OS
CVEMWzp3zHu6tTtn8wcLuPKqa9M6u4V96khpvueMS+UilstkjATeVvJPY4gDFjZ5zwQB3xMCpZ3M
FJOemlXQbZt/U0Yfm9kYrrBvfg+dp444AiLowNLHfbr+NAwaLgsIOwiAKIewcibmSvIiOWVIn5HB
bOYtlIVRzn0u0W7XUX0fBoL9WTNlCdu16sLrSzdjE3Ag3WfXCLBxuCZg0wzRmM1AoZYzBBlzatON
fMpUW7ht/aLSd3Bm2C4Y5T1bcqDLxegilKqet3E9bswWCqzgu2fkTZAaIcyXXgiwukekYITrkd6b
EbvYmxaE7BbwAnVlz8d0qV/K6tItxh22OiqX0mL1FIqaSSi5N0W5H1cju5M9xrDFRk0yDuSSz5M+
up7+07LHV6EE7TgIcnuJ9ca3UMyhejS87mdpnkPooWwsrItecnTKYTNcyVB94H/5JgsEGCO8v9mP
67xOqkfcsTtB3cj0YNdyAK8LO2YhXnLvptLbsgfWt15ic3oBxpUxiTVxHUTPpcs9a/r1ebAteUBs
etBK9DslidHww0IlQS1j7xckdfTH1jqksnNJUAx9BEzGo0O1nPB+AqzN5O/J6Nhq8AeyXLXVfpj/
cBXy6BoDDiImV2wOa8YUStyJrj+0ldKJNAtAsW7w4OVfhaW4tRBuJZGNLtwK33KfIRNKBkbRxEmN
U/23NPtUz/pLNeHnWNh/bMM8wVRB2UYISpkVGQhkBLsuP0+fOTvbQ9xSLKt3822UbPtAETtSLVSv
Dyc0PtCH1vLbXZc6IfIVDWuDWIBmhKvU+ikFCoXN/uHa3MgwLXr0ksVgI6Pa5L5H4b8ZHbHoI+nx
lmmks4SdbOQPmXb/tj7jLvJzWijE4xcCoYR9useAIizYRMhfokpyab2rRbkcYS7ky5YFe0CljMqu
KWIS4EfGR2TJS+vVqqaLYdSJM3tvnrMcMxxMIkABRyDmUwmq28nWIuGyzJKQuPjA6b/rjPTiDSkl
FGy70QV8nkCQzIR5L6TXpKx7ns07YZ7BbPwZA/MjrNWXmMbXDiFrZ7kHPxjes4xHij+YAYf/189o
xOSC3GEA6NVOam8yHNj68YptdkeEISp1AzVGZ6qkW77Z6dX7AV1XPCr1N6R6PtjG/OhH3qlum+Il
mingszU0T0akXgs791ODa/yAVLreQ7VfecRMypfJMukL/8fXeS03ziRZ+IkQAaBgb0mCnpS3Nwh1
6xe8N1XA0+8H9sT2xsTM3jBEiiIpEKjKPHlMd5Y5LMQJ5kXspk8xo5ogu/hzXK7rPjtGqKw3bW0l
20Q1T1G2M5jKBWR5aGsp4KrbXdatZeJmOyXLbZNkz9KeH0yuyrVblQzgE5FuyzAS59mLnw03HPdz
PBG5mpRsSX30M2S2GdTqkeDyaa0SzV+306+qFADEwwfT/jgw2BUSY7nU81eGt0eoitkGBslPrCWB
G6qHCcCzc+aDaZpAIERUwOaHZAqvwWW0tGLICgeqLQNhEJ/bFiRiuJrbHclhRRhYh9vWYl+wuqk5
Gp2xBQgx1rGcMAjs1AZRTLoy9GRYCVdWjCWsncjnHcbiP7qFFbAny2ZVGGI95iBJzqygBgHCQtAA
zHWHd9sEUh/8sIWd1HcrS5++YKOaLCN7e9DeVUSOgWedc7aAurbf+9DuV5QSoZux+DSsUXAwAyn4
DxqCVfC7gOhd4DEbCo2RPQUaM4bH1MjZTwqtCJYTfLTb9hKqbO94w6np3WBEzoLJBTdlYlTrRuok
DIiuWSeqTjH0kOKQGjOTuVIdzGKazjNt0qbNF1K50yuAETTmk0VrHGW0IIlRNKfEbK9dCwGltDFR
nTt314vmDeJAdajS02zb9zlRsTCS+PqnkgQC9a1C/UtrFsaz0/y2iNtj8MGKE5knSb7ytlYEJLg+
ygdxJr1p2lqJlged3+5h+x0ppJjJhLDvC/8rjut7hBIXmgySBJcveiwchuGQSRhIrv2h17Yp2sc5
ie5gD2KAnf3G5jPe+kZFOFFuvk9pF3R03ll6sArvUqXMgHqEBjp5XP7ilF1Mr22qgEPj+xDWvBnq
9EcsIa2sprUdcbR06cKu2xnK3csRpFL59tc0O0erHfZTvg3t4kWOKtu4oDzbq0IxvgAN7dq1OJky
tU7NxGBMQI5ziUiSKiL0Ttnn2PVwper6aBTANnrh2RisDxcIWOMuM+NfFZDD1tj1ZovdMkSQ9eIQ
1jjdY9b67/i/Y40c1dtI4avp23cAWZuMg7oWzJGDqomX+N3oPcZQ+sMJPRhN+Hhv+Q63lTHV53yc
yDEo55cxl/7JWJzO58qGWhE+mql3QqIVwnafdhFwz0Fijn4ePbtie8s37Tx7Z2FlYkNoGvBmxlbp
diWgEAj82sGJlYlgi9O1FpLKbEz9BnkRVOFhn2tGv60c8IZS11sq2hy9aux2UFkih8OirG3kOPU6
BvZB64lWxxFMXFJEGXPdFk9cZ/DPjtIwPlqJm20cOw+DJqx1NOEG6GZQqPIy+8AyghcaA1vlc5BN
0NGdGiKBjJ1NKUDJpY+5tuxp6yvu+SZeG9AVT93ojWtOPlh02D7NMfAlvG+conHJCMMKthh20qWx
MHhKAoRz46HkK6SLaQ553417czS/Yo4rRHxIR9D+tgPc9L00vvVRWvto0a3Vib/m32SdcNMfnFiu
dRzR7xnJsMRUsbwkR/LxhmCGkUagFeMFrEvzgM9y0RRsc6ZKQPRgsCsFyHhne+TIlTViPdkn8tpM
1bACKxiD2f+NBmw+GBmGrL4nwJH9s92XGAnBmNzTh5GX4wCNjs65qyWpF1pxwhJsUnhRzyXMRie/
L2rfv4TZScYcKnQHxdoebHtlFuMFDv8+rexFOkBWE/x2/FgsvMeZYc9PTqSdJlRBH4Yh850qTK5/
WH2nEBUsCoN5WU2Sp9Sr7evUZDSZfR5/jFUn0QjYOXmWLPZz0dSH8WSkM0d6dLKTXkb1MZ4Rb7hW
5b8LhsIwtCRFkk4mAKkK4TNBw4Rmyund90V6QLNg+R6SISetPqD0/cYDz7n3Na2/HwSLuBc/tMTK
fCjPlBsfthuBNfEIHXtm0J7+9mncPhgE5YfGz1AcU2V6eeydbP5rSjDS1qOcuA/0LfKUzd0vSI2P
YWWIdzUVj7PiHSLRSzo/3oIx/8bCLApKosRQDCICbn+ckS2Dy5UJknyJCo9eL2KFSBsDF3ip3HdS
4ebYKT6wmq8PNJFmCDFw9ozyw7TIoTT+geck7mLrELq2yRcsv8ZantIkJF2U2ciuVDF1ptY/EE7U
b+SQ9M9h3R5Ss9hBg6aozqF/RGn/5uZ2tfdjzVmp5f38WTPW5qSskzRUuJkNhzkYBLvbf2eViX3Q
NaVvrLma7qQDJlbOG2WFB7fpjEvLfOty+wkS0GNhJEwTwjjoPGIxitgdr4P2mEAE/zRxXidnqDmW
1pDvMzaIIIKKvnItVBnxJPcIbrKvjqETAZZwgci1GxdMk4a5tUCPte+K+BUyMI6302pk/T3bLedD
hGM62bNUmhpLdsyVNfMu84iBX+lAUUKagbRn0GFhWOWnqPk6hzknECkE4VThFoUa9cKoP/s2wkS4
+nejm381cMI3YYJtoq5HftCpAbq4xHiGiT/Ba+s003/XTWicEuxgkM0hIQQnxgxhTzBWHGgYbAQe
bp37zBp+oGiNB0wsAdMRYgVZx2JNiHkOi/SOKpp4MpKgzuwBe192T8acXBtsnoPUQGdj9tpEgW1O
hIfFcJm036bkOHjEIlyg95foqirzglaF0V0ul3yJV40X0HIR7bTQjHbxcE3MoYSYQdata3+2JfYJ
dZ+e2A22RvpMUlC3jf3u5PkkTHVW0Wzn0ULxNmrw3WVcXzV1diCkW2ndPikP6peVXstxCfZKi+Ze
LETkgUq203kXM8m6Q6dPyTEsPOr9aRg+gRgB02S3Ik7UOnmyE6epI2fBN+uL0ZDxY05O9hANznNp
at6RPvEHFkF81ZEmr9u497Zu4XE+6pxcZPjZYHZu6GgntMrndEquUkeHWA3oftil2JU7fT7Rz1J4
m3m7Z2RGI98VP2FeffU+5TckxXhFTBzRITC/18k8a5sI4+GVWAakqFUunaF3j5VTv3c5rcDAmAvj
/XKPgBiKrI8Ds7EcnDjLcIc1jNdML/1PONFYqMV1ecmgld377gNdM6V9K52PuJPEYfW1oLEWLz1J
H7oD03O6ffeqaZk/GAHksPYTo4tFaFRSQ4p4RJaijUGWqDtnDHp2W9ds0zPw1MjOgRBuzq21XkdE
PBw8WdgAD0xxrTZb5QCJ+xxxxYLEll5kvmmCTPpGhlVAzKN600yoQcI9mWKwX4wugkm5FPp1XAW5
N1iXOMwz6JP2kfNPPqfmS2NowNiKy1oIwBUG0IoCRo8Iop08JAVYCwBYLi2+S6mj1b+SzjjavWvt
VKkjCZT5MREjCuXk122pzXDbgRQ/L8BlQapDfU0dNR3MhDLYlv017LPw07cknsh5QV4ESYbEKoSB
3+v0rjWwgdU3u5ZR0SGDagjvj/l0H4l2VzAPZ5fOwvVim0KABP2+F+lPVlyTl9G9ODkQDdWRuTE9
Gop0OQf47hb4Q/vRKjJ4svhFTFUKKkSiBShwS1ARQuyyZR8fLP1Ns0J2CLz5r5UDZdQo8aduTf/N
sdSbnQ87zRleqW6ycz33x6mPHi1H/YotF44G26tqKdd7lVCmFjFNIXUn2QzWmuCBR9vkS2e6NDLz
9oNKRM4eUiSRbKptDzFpq0FlmgiL7ScT6adymdm2enEK7cqnoGc4lEXlh+bXD4aiaCI60qZx9tNr
U3b9Y5o1LzEGGydLYy02k9hbO0m9KezwOZm9NtAXOR/yM+QU/Z0wGBJZsFsZhh9aAzVls/AXvPCX
lzGizj3T+3AFWTOdLp79yicha6SoG5pp4y8bttKgejWt9R75dDjS0rFuHSVbaVeNXENJt/JyUjm1
FPSu0YvmrsQNMCiavt1niT7spJs2iL2M17gnBQXL/kBXEky6LZnZG83GTtedHUIT7lnKWP4BGXPj
KU3m6hEc5/eYWu6eLalbNaNoPnDLzYFEasJw2RKStOuZABVqO8mKziZEORhjeMgmIcdGX1HSkuOR
MkpPpu8u50uaNFTQCXmUc1g/aC11AxPJX673HOeN9jaP9lMT2ZSkRXGNqiTadegtP+BHY0qAyqof
kTiOpfU86Vywt2dOLEb6GIQDgMStsIKNABRXa+1RIlV4b+WrjcP+K0zPbarmj7bl4FYZbgO2+LKW
nXBsiMZMRcf1DU7AGXwMIdsygBBr4Qpvb42JcWLp1iCRrBdP+ffJLOk8ibINKpTalDih8a7+bPNt
+1TElkVPxlKYyhgwor/GyEo+MNS5hy1UPmVjqS69g1VJ2Ix8IAIE1wNzsosmMhiCAyb4y/OJAiU9
Z6qcfdu5l3KqnvSIiJfBJmlOFNqZWGlDo6bR0cCQV0LJ4lma+TFI+OYOTHikZIOUQAGweh+jaH4q
LVV96BnLYhsZnBymVn2UfJt8a3BQYTNtyzpjQ1SDeXDnnDMjrqCVj2zretHfJSL+1gdH3SepUz+w
R70P9RS+a0CMwWS4ED+ySHuvI2s7geausyZsd+Zk3RV0Y3CU6mFrVaMFwKyr92yYUKOSmXfAdJvE
3XzQLnoEdOtPn/hQhHSGNp08ZangPyOkkVgbRnAvFoyeszbl9VrP4+Qja6uvyC8veam8M3je8GTE
w/3tihqJ0QxAnmYu9ip/z7SfPw9Htb6zLLDVekDyRxTktidGdCda/8NNIgfI3u+uEliKWIbQ+XAs
IoCNOe9JvR7DR6NJ7uFRYBeE1XxJlztZAxnKJZ+Py2cAIFHxWx5PhKwV9odU3XfeYqegR/pDEhkz
o+h0eGg1WMmg2D5skvdKxx3e1WK4Rgj/npJ0fiIq9Frt6CyrR0/l0x6XPtJ4xPDUM2zecbqQSAeZ
pS3BQEo5R6sio/iHSOW/929Z7bQvGBbvOOAQJ5wY7kidEjYxSTbhxItWiynodZwf4VpHD5LwRmJ6
ZpIWcv1jjComDi0DmFQwBfSbmI5jYG1G6j228IOBpV6bbAg8puDogka+4RTK2eRMDhRpj8GDzZTk
diM7Rlb/6bHbb//+4va8v4/9vftfH7v9Iv7fN7rd/U+P/X2p//putz/7/5/3n175vz52e6m/7/b3
5f//x/5+gttf3J78b4+hFAI67BXZcmPu9JDn8DXyU+3oGAAaWuKP63YusSqLSnkGayKyOEfLr/f+
eM5rK0JEsvxYpGiRUf1JeUY8hdQmLvZq+ZP/85z/8+PtVxEh0dSJphHc/q42XMKloG4w0D7pAsnx
VOiw8paYQ5glsCbN+GUwTACYBf1gBJevnDJCND1O5fn2GKL68ny7681L9CB+Gx3gI3xG0p/P3kBn
T/Q30RyRUGfl1D+lhI4hRBdupS/JiXemDdeHWk+1W53AlleY8QDtR+Y/CYHiKxnOIDMG0GqsEZ82
hdZ1kuGbkVVIypz5TJzgyh5dLlDtMLoTsXI57Vo02Wyb6Xs3Or87iK3gJ216mafM3A9+8uj3c71W
U1qxNcdfofjV1DoC6rnLVqYdm+REn3qMDTadoWVszk6gBtWiyRggZVeB1UH/KJc35/sixTNZiAU0
XVQizgbLnw0ixXwDk7Lb5B1B36ExwxViX2cmSMyan33YCZiP8NFR2R2ySKxDRKP1w2pNhPccYOVi
raaG5NhaqSAPwxcStqHbhBj2gCE12GT1FysBjTVU8t1V1me45GQ1vweF/AE8yTo2fQMzyY5wpEkv
vsWBMxziJduWlsLFq7hP9XeWQ+LyGh1ZfqxR983fUzrSWyTk6mUtKYtzeBxEXaydyPuGehWklvL3
bKNn1xrsjcucIqNBbBiVAkUSRAa7fqgF3BsOI6Zlb86AdJPpJAD7GOI2UzabORklehDNXie9c+8K
6wQnjUz5rE8h1MErHOsI2g8InmL0zSQVi55Ra54qXIvWhChTBifOhQpwhLXq7kaJcEF3412sL+GD
kfs85x7tBbnla4alILs0ggsGAcOnaX9QGV9zNUX72CHbW1ePGJlg0zBAoYrz+Kpcw141XvKZN1NC
/5rQ7C5nbd/36pzoMIaqsIAmjFnD1i6HL04uqNn4568MBvx630gOXoqjkUdjVlbOwZ5tYLlMOXCZ
oXWGaSu2YbcYDvEJLyZVO90OB9hOYC2Izmg3yKS2JqSOA3nKGqx9lK/IhC03iQEr7eicGGMgmD1v
PMA2OgX0hDz7CfQEtg2THn6pEiYJ2W5Ooy8/1LDgkC54gUs6WDzpn4rcDN3o3CPetOXZY1C6rpPF
jcUzVlZannQfV9e0AGeOYv712/8ftxbNxu1+3i+cXgmgh0NLh69y4EWfiM845pbbBa1Jih1uEk8a
EWum5f7TNFDJdeT0nfLkGocYrriZr5Juwt6oBsytb5Bws6lax6nFEmL091ltfKMWdDajGScHTohD
V4P5hPTKrQCZE1avBfOgiAj1D6FjI4HpIAb6ud6x9JX9mVZmJ7gyHAY9Gye2xLktcy4ki2R0Yesd
A7TloEN3PvPRxLaKyx/Pkf0Z6UizsnEU2EqgFKhUeVBY82tUNUnQ6tXJ1ks4ClkjNrQPm9zDn4jS
vGaVXKZ37htw31OF+Bxoke9DW+b4YiRPzhp1JqwZO/fMmJBdlil6LzsbHHCC4oSlQ5ugFIKH9wm5
ttpbunYGDTFrctdHbL5WmlKPTRw6G7QBJ7DNwPKKAWZcqs6icCROD+lmrP0nOcMnDGcGL46e/Nka
bsv+RNoKcbdJRgfVYrczYFd2MlhwIhqZTRoRC+ybWXq2nOS+skhahcJK+ObAuSAgOkaeJqA5N0dP
8NJVi6dLqEXZOS3Cx75mAk7NOK2NejoZGKTtwbneZd5cc6rtwBG/bOJQoXuDJUgdHl2eMUuPrfR1
mhDXJUTUY+uqM+ueyNQufUK0C3r1qjLQtvdvU22s0CtlK6EWUtEnJGUsDVpWWSxa3moC0xd8KyN3
pT/dtsXbTVaKhc0U/tk0XWcesQ5ga/z7jNtPbj39rozkizAvxPZMH8/hhBBXwy1/c7vb03Cfbz8R
d+SfK1U7O1jhL77VF8yarXA9x+adDO0PvZFqb6u96RYlvdSIJqvi0HmYSewGEkpROm/sF02ffrUS
26rJ1X7HsRcUqXUXNtlTpGEPZLJooi1YeY2vcw4lT/DAfD4Iq1nKTCKx2Ij1yNvbOadzS2yJp+LX
uYuZFAm/Ow/LDXaRi+AYJqrihTLEEH3lbBD2SepU/bmMm3SNwnEOSPdwYKyVz5HQ3tyi/waReqkN
GTAXjo5+FzonL1vPA+HTDLF2dli9YatJhrTjbmc5/SoWF5C2FU7QNBv22ogA0qW4yIBsp1IBTBAQ
vEoE8d3uWitM82guG05tjbSmKf4UVdJuDRus0YCn7YNMhVGfBINXrHyNYSfCd+jkCHU7ILbtCI89
S8pnZtQI2rV6ieoN63NfKcyfCE7Uzdw5T8tNASVzNdpFGszmkMLnLUgM8j9laZQbRtEaLZ5wVwvU
6tAcrw0jGs/NgIudE/LFhTnDzL7Jzo47k2WgkUrq5OLYqP4y4kPH+Im08JD535lKHkpIMjacmZep
bP9pFvXo7VUGCSZS+8+3OxZksPVIRbVnWnpNO7Yft/XxK/Cf6gxTB8dyQbAW4W/cnZNJtOdFJX8e
lS2OtoOby3KczSmdgPV1NFVJvXZz5Gu6E2KikNWHBvR0jkkDKAwNZ7/fM/LxEyFv9bmF0sLcytho
CcBVvVxX0rCejQ6HEstPTrkLd5OmYSIGedvCEzuny1sXJivAKM3nZlabqbIjmD1UGDrB51gN4FuN
9dC88if1mM6RFZiiwluPD78AuH2VnG93bjdDl/WbSdOQhCKD2xdt8jDmHV4YynfXaQct5LY6j0xD
Gh0rOtPN2K21t5iVHdH7nk85rrrluCIfW1araDpqfNu3zWuSWnEWWlWercwlSxadTOC39XPizeYO
DmRziNxw7/h85QSlzBuAKLI6p/jYpGI4V8uNWTYn5N76vmG+hDaqZQOieEE+892267yAfAf+Be1j
wovMT62vePD3ul3UwFt9vYGnKun2YWBGT+PMxuvj3NypGcNmOPlnpfCGMaAiMJJXZNzL7DjE50xO
TOUmujcaNPSuMNAs+zNO8q2t6f/gDr2Dh0A/a7P6UTrLe6bx527sL6aiTsHZZVMvJkx5gfMVTL0h
Q6UQVXeWo+GHnfTfMeWIqG7BNtH6T/3vTxEqwxwvEz0sHgtTAZjZ/CPp0lU2+q6etdeCNzz/vfHx
cjib1J67kpVHJCOOECnMRhI+KBT6oSIMOHcOhWuhpq8vdaIdp2wAKUbji4gAw5lUe+mURtEWNkfV
2VZQzPKxLYg7dWvvHPfW/aRzWWppviFQLeuH9AhZlsmdc1cghN6zM+vnYSmqxuI1haK6znE4oWlg
w7+d3YnrUaYgjN5DqD1jQMMkPv+udTTFOHx4dmgx7LO+bGnnOzPCX8gfuoOfzJsIZu0aogMFuR0e
mFMYWBr637cXdZZV5fbTbWf/+9jtrokrMLR7589z1XKN3Z7x9w/+7e/r5fSsiJ9NN6Vv5O+ldKpd
E1fTVtMT470p9TeBz+iDN+bNw1w7r7eHSSHXt7WFNcTt7uTlD6gRKwhWWX1f9Nn37WG09hhzUMvt
sO9o97iLg6AuE9DI6eQVXjtCYYEg0S6EvN5+8fe3vXdSUWddbk/F44KehyLP3mOo/vn3WU6XZsfa
cjHfrczrhPZz3WstAPxy11A98ivPGTdlGhrXpmjLq+H9uYP9iHm9PXy70ZBQpbAmV7E/7ZippWzg
PtzgUlzNYfrXDdGz8d6J4dgg85zbsb/ennC7AZkR1w4zyU2TYiNChr3EicfD5WB0nSsah5fWG9/T
SDI/+SLRB5plVp60Gs6ZnZkvvo4CRG+tS2HT7aAgff3bw9/AB/h8lLQ9FpsOrduq6WE6lwkCjQTr
Q7N3uxMifWa0BQZ1/fLyiG/a42DAi/3zkxggQs4ZA+Xlty7zINx/tmX+GNlQJLW29jdep6vj7Uay
ia2Fg2mm3/ikGcNEoE/Wdz2SJmbiVFcz5LOoTM6QKLGYE3EHOnS7zUz4tX3sNsc66YMMQ799u9y7
PeSVjLsGmNpa79hEGHyKRQ9humN9xDuMRtZvH3xpvlBAn2MDAm7RFCjRlp9uN63osqOSWH7Oh3oA
Ei5rsm6HhYTqFdJHbAVGCduE7YP4MfeIGdOMQe74Onb2P3SNMQLj8h9l0LTOMh6pT63hmAGDB4lp
vt8eAp7yUJDz5RSwKHY5uZpHNRTuBvMhfFeWuy51NUTYAssfVDxiNS3gU6gSfR/1asm/Q2YLMbgb
6nYTg+9BtsNEoaHWYFPBVip2uE9pXh1ZHNDb80W0VbES2Whv/iuIMzfOe8HEPFALj9scmnKGOQII
FlX2xdZapkjYrQRpQnxOKXTOkCE5JMYPHSAkJzemPxgn8tq9RYEnyrI+Jp77yzSFCoqyYaq+HI8/
R8B5qXuMTyMx51uGXy9jjcvR7cbVQkXSwITCEf1ZkUIURVf5cvsCbjdTBus5K/TX0I4PNj7A0JBb
+tu44cTbd7N9cVSe7qG0ZhV3h4ecIhCSqHiL1PiKFWq3vR1NCv7qeDvYuHmqlV3lHnRpIwywTN9N
vngPPUSgKkMSwilsi13VEaxqDCj6l2PyFxlrhrzBBsR4Cx3/J69AFS0fTnaLCcXRo+5QJD2uVBR+
G1nxfHtrJtDWIdN2fz7HAvyRKNnNa8Mfh30BDevfsLKuB9AGPcc4yqjik/7dm2peyPQDNhK22Dqa
dp6rZNim+HcWlnHIFm0O5SjmWnHyxiS+Ot4e6pefsAquNfEscmQoYWZ/4JgCdzBLy3g7syrc1gLi
N3P0d8s/6qcYfzDAEQcuWUw1bobr46LzZTCSeDhNyqi21qEyyuuErv4qjB7l9Fy4gdkmUO8a+4Ih
SgJVCr2o9t0L8PdEwFy1UxPqf1rvBY7JP/SeaHz6s9s60Xuq9y9h7LtfiPH/ycY+AyKhEEfIyc5h
Tlh0zfgEpj09lAYnaFLTtayCpbEqE987601qXjNFgT8tLQXXVeC7mJYZYfqvm7GffuVMwnFKwgVV
dh52YlOE+4Bmf0VT+OzZeIyEk4pPsc4ht/LwQ4JfrBJCaUH1Pjp/cA7wGXdxGiZ78nfxHRt7SYvL
8nqMqGRWXUgnwFgY7rSGsGb4AThhJBMuQMUz6luH6xtH+XjC2Jl55IpVcoWhzVpSWO8NcwncSMuv
akAE7E6LbF5h7zHjohkWPRKQamqQ97QtMBVKrTwZdpEs5GEK2/uar2A7oJhZuzpGO340Q9me/aOZ
mZjjJdqJeLYSrQAGS5UYkStnPbYfuN1RXx5bTC0OdP787bJhLDrdsOZFwvySdrmxsyDGXlvX2zi2
Zl7jzB2urBlbaRlYf44DZnCQI55qLPlANGrSoOFWMX2YkX3CICdovoArMxa/u2jEpScV9KM121cx
Jnx2jLahrmZAgLbOCOuzGCFoUtKqkqGsVY9HoY2wNMJvi5F4ACXIQVjSnTTReTu4mPFRZe+ygI8Z
xjq+fL2i7O/qr8hTOyaiD72OMxDF0xscQrWbLKw/SuUr1twLdtYp0+PhTvd+IdESOXr/QltsXkDO
Nglu5itZ6MGArm9jAFKRGZ7sZPJJPwORW5DCy9WCyg17vLrDGSUWctNb7ftoLMORuTKQHZrMLRG1
5DOzhsENJXvpVnZcWcqo71pbJ9bFudM8sYbwsYAjitNzin+k1W7qsfnEMI8VkXmnnOOtpfcWjNU6
OnuL75KD0Nh040Npzcc6Kn1oQWm76goNBnwLupGkJ1BH1tJ4eER1mTD6x0C9RE1sDeKIvmna5tiq
FRoNm2VPd5g3J5gyiXPdKWhNhf/qtoY8ab5zyIcO95ERz4/Gh1bu2FYaSCQttUIF2LjiGWLQO5D2
Q9Y4xi5y52YtBF5+kWXjlAiw3njjQnfhotAwYbTCeETOUh0nzXplC4BsngOgzhoOIAUVBQABxcNw
L8xCCxwo1aFR+Kd6LI9LXOJKZt6p7eKnAXSVvhmKX5RppyxjeaD9mC6jO+Aco6H0cIcUSAybiO2Q
+PvObB/6Hj6a1iPWkcYhhseAty4pcO3iwJVPw1734xOToe6YZXgzadY1J66YyVUzflWR/yWEVd7X
Lc5AaQd9qhhOfieIgSqd6OJCn9gY0FHRUrp3YY28wmv6f1r8YValG3q4wMG8H0mA2xpd8jnOpDrB
3irPWRbX+74GAVURUI9e/MxZ7QJgmoDVy8dIzjKMfycp+weuOUWAdwLmdnX00uAKAanRxMAkgg9S
ZdqmEGPIJB8LWy7zmr5VYM6lYL0srkc7jMqLtQybGpPe0FgZDozfEjbdIYO5wj+xJdoVKQMSZjRW
14Ix5S71S+84jehnCzeHRIq98QkxQCjKM71mvLcr43MyWCLx6Y02eqe/dN1o7L2CPJJ8xueLDneL
h5TtsbmXI2Vm6Xk0fcSlC7xtnCLRUUmU9dob7b3onEc5yF925uBGaWLUVoBsTHW6J5Qa+1PYbPBk
y26Xl9dmsOTKz5zwEt/1HHan1B5cDJ65aKEKQfAAilH5tmPkMUqAtHHY8uu9RVsNo3rW0e95Hbkp
8dGzELN58pdXYUXBfMFfZMHHBox11aOegJ2boSssmnURNhdtrkysWoY88Hz5VuD2buDTA1vIwInW
LDASc+Rdy6V4xy6VCctnBMGn68qsXAtGCdtMoe7wEu3DJudrPxnzD98F6r0Wub7BMHvFa7LgLX7g
DWy8IG5TYysHyuui3fnMzw4Af4zqjQEfmAG9c+IvXjZyrxlgaAbqpV1WGBsH7TW0bcxoY3WEMgUr
wJ0ZQOFdVlM8uRrpg5nMGYjaWYH3kPuQJ/Xj5HivcLhbBScA8/aKsVeKwzU08TkdV6qBN41M8RUB
wqVPl87/XjY0UYC/r35UfkHByTba4oQJNO6jIF/m17+cdnH5AiiG9fZp9XW81VAXc2xx75WC49In
DS6Gjb/DZLy5FHqxH3WxLQcbol6ZkxnKguRg53ARY/ys6Xetg/hVZHg/TxGmAzN8b1Y2DPzoK/gG
iWOAT499bU+6z6WBMYudNEOvBgrQfYjdbyb98joWcgscr1jpZ309mK8RYhR27+E7hm8NnKGYhaML
bEgMkti4unP/os1OfLVkc6EtfddCxkeOEKhpDfOEKRTktQgXXl/r7xD5I/oGlcYolEKuEBjuxNG0
trThRe9x3g0xR8k16xsU6176JvSREoeEoV6HuTWcSiz333o4eVHuX6Zulm/ScJ775i2GkbYe0f0i
Vas+RrhOjLHzfWTiqhdaUI9hZ5bYk0CuZgCDpLJ0LrWS6dYr24MhxAU0RCHfhXk7VdrF9OSxKpxv
fXYQGWHtBzNl3A/jeNfA/ZDdz2z2RmD02XbCYqJbCCZS0XLUjnbGlOw3xMjyoJLhiLnlq+U0b26l
7prDJO3nIvK4LPLEQuhuwpcqkPMkwz+OGxXHyPN+gEKjoXtnC4cC5MIPL2KNJtN4kDK9dzmpV70+
fKUYKa7qdNwMTnZHG+DC+erhyOpNs8XK865pdZyS8duA2K0xrIKXX48m+jLt4mvT0QITtUSnVlZL
pjpi5MyJ74tG3Ic55DWkLgPODQjfjdMSo57ocRagpnqCEIcaY/wfxs6jyXkku6J/peNbCyP4BBTT
EyF6U2R5u0GUhQcS3vx6nWS31JrRRhtGVZHlQAD58r17z+V0tO6NyjBOovagR4p42rUhM1AJ8rmb
zJfe1vOliamtZ7MDGLPfBtK9jgf5jpHvIeAMpB0zHsZE+6n8o+rUHcfU2kJXXffpk5jY32LOvLLF
YSz8XTX+1EN6bbHFXYh2/Gi0cuuiT5h8jVQAG9zRhGNaSkhhba7hF8cIBW8QmTHo7K74jnOu0M5V
sokPWk1d1t2kjGftof3ya1GuaM8mC4l+sPUriOBOv3Yb2dxeHvT2prKNZJ143i4yE3tXF9Y+juhC
TXidd2Mb+Xeubt2hoW94YwJz1bM5pBd8Ri/vXCFP3hJckOD80o9zUM9XdZt+J+2MSIqJR+NxBnDj
hAnqJh9TwaqmW059dAt2OZhwCd4oHaBHHhO2uqK/ag7d2sKGB6eQfllZPXHCJU8W/u/YAyid0Aub
ES4vRyfAcgpkLmL+sBgFyjfX1l4KtIfQcfQEVSTLS206JmhyXa4t7LZLI9BX7eCPa9Fmz0wdh7Ur
oucIYF5vv7pWPABCFca1JVoHeGJDgEjdyC3vHo0BF/4mwlU0shaAxHolRL9jPh881rZYdy5MvmAQ
X9zPyrVpgD+BuobEDADZZkwmaAnSXcbheF9HTEjL1g5W/WilN4TMe3uB31kfyMzArr0LfT+B/+NT
GhWgeyxJd69lrrlyDJwjWYRMonXMK2a94K5UvQMdS19HwAKIEgjrZCvdMFnmrU0Td14ZwKVos5Bj
krb8/0oi6WlddHTNx45YqoMfWhaws/pkRzgXhj7u19Cfr7phuvEDXM2Umt5ShzxSMPbe9DPQhRn7
YeXOhAB0tHDTJL2HsJXU/l1g7qfGghMT4CBsfOGsqgplOtPw3kWBSamwakMuKYCPmpHttVCteAbM
eUJMtiSSf+f6OC09T3RQvJFkGha3sUbhKovoQ7PxlouG/m1MRQrRMN1B9yNA4nomn2RodQqXKvnK
MKgdPFe+u5ipER5yCokrRqDMGrvyU1QmnnjRAIi2/RyFp0AiBuK4HbCVeca3YzFmMTpiNiQNgUUq
fbEn/YdtSt7fVN173UAE9DwKaeCU8M9eOseY139ck6CQEW74nNO0UIprt0VEkec44F5729kXJf7n
kdVkwajlNrfTA4SIZ9TnNtNB6pR6sPl/wUmGWnXnph5AtIy+c1juDWWY5btBzgdoF9ldETUJjgSk
I4IzKMZQ1nYYZNYaHeuiYkBs1ldj0KTXPXt/W+Yrr6O0kxQHbmJzr9K5cIqsuQKeJXnrux8LbBKM
4NckCtjOTB5j7qJeaWOIJrHWw22vJ08ewMl1mN12mftFzFXKm8j+q2JCLekTQfHAJDr35r4G7d0R
dYDSLw424B6/K9u/77p52ARBSlGxwWzPMArBwQo1y1VbgD1rE3fZImvZiAbNbk1GH5oHuNVjvc/7
rifrlyCQ1OQfnsNnuv7K7x6+YitIGHs1j5M+XuVOyDsjOyylWUXhNB1oXtxFBYyyeBZru2N4n/af
dhU/GMb4bIUN0QrRcrCHn8QqtHXwpLNZ6nBuFx2+H8+GCR5PGyP7gIl2COjurmfKNAge6PTjCTRG
hn6bpUf/wDL31sRyJ5oPdkTOKcCTnUzp92ywqMohQgiuH8ZyYNpBuUV2yiYycM8IZOyOh4gcQ8km
D4qfcIjhssduvQwmbvJ0TpjCVPx+DExjaoJCHmj4hOd1jJxHJMbBCCnDCoZS8F6+cQuewzA7W0V0
hS9KQ/VugZLVnkFJ4w6Yw12eMuRyHYd1sXvOU+ADFSI67FLeBrbefZ532gqADl2YjL51QWfZiA/S
qJkqExpdK5F0kbVb3/aQDKS4eB2z9pclqDaWjWLPztrS0mc2OJCwMu1omvy4ST4PkckOMGOh0kPF
begfqxpBQhJ9ZAN/Ig6+h5Y79ZCIp3FAWq2n4PddhKCkFG2nOqrP2K3yJURpi+2hlWOvG5V0EEIV
DWqDDSbRSMo8W5XezstO1Vg9OhEEiNwYt3ndbLnh30xm2W3gul5RlqvIUZ9KiNmgGJw3ErzZFyX8
F61/RRvlw3Erdz2PzW4Xt8V1UGNYdUz/nGSgMmUcvdrhsNWd/ht31o+M49dY1rtIG7VFn9307Oet
GQOEIwsQQ3bwXvrRRAIZKoI0pixP6LNxuc7GGxk1P9M0NayOMIz6yYaYZ25kIFigqy9LG+itFiDa
GUkdPOfHptGwcHTqfHUO2Cy4umLHTX67RhP/6fYl3MHJeskGnNj9jLwsy/pjHMlqZVLM20W0Y8CM
fzSY8SXn+bqzE2am4DUbwa22cxGrwLRdxBwFOdsrZ0aGMOnhaZTV12DFYEMgpWSZuUUvtk7t9j5z
5bRipxN6NgitqXtnWXp0WpS7A8UZ3gpNBYt0I6W1bn2h9XmM8mBDxBXfbXsUFuybEqbZ4JM5srrm
nKN15eKe8XBKLYVoHwlI/ELJxS6xzZ8mvA9mQ8olITcPja/XlA8lWuuEdX0siKizuuRb0aX8ebTZ
hnTyygrkYqIPU+sVpK+a2WEEdyD0wbd4CacaJKIP1uTNFLbNfnLMdqNLuS1idCo2bvqwMwC6lTgO
QAygoE9rxOstYnMvbeadZ2BFGxOwbpbC5/ZNDQXsaHU2BhL0s4veGKODy8mKCqHm1tUP27CO9m6X
0FjEq3JruwfN0ubPIBlfNCd9i9pG27vu0DxBU1b5TH6zMiK1GwMpo7etOkO9ZSq0ZmcNUcPWotM3
FcGiVK9WuHFkRV7eSynkFbEeBxTUSAssj53OqCGqCU4DPfA1Grz91E/sV3zvOakQLpc4URurRaZl
/kRO/Di79gmJD0NoUHiuGRP8wW67i6bHqe6+5iR/LKgi1L32QzqcMFZfHbXZOAvSpUCTbTzXVqCw
fuWVFVRlS5yzZEYH59bsgcib9ghTX0+9/DDYSZaKUhqOzwbz1g2FkccZDloHV5BTIV4IfdRHfrcx
W5rLwTwfHDY5wPEdajHjNTZzEKki+mnlyaoSbWMM1abLaWWzfi7cMd3MqaeM7x0tNROFUGeuBpAz
K9eIbm2Bp2QcWffNfj8w/KFL4OOUd0uuQe3esL7ztEmXnQRSFrE4lynbBQbiEUIg/RNpz91ow8XX
J4yUUC9cL3v3s7o+lnB0eLfSr26IRtSQyeM4lemODNBb6ELeWroW8QydgaMG3HexmcsqI0IDUPuA
FI4ehL4jFd5aR8jq0oS2Xxds5zy8qjKig0riRQY9PoOU4yTyoCByWwb93HGWOZUSShWvY+0ShEOA
WOnFeA5KEa8gs1lLeCfBKrTi8zwYdAVIZ5xM/cvzLf6J0nuqKkAY7PSrXZBpn8RjQb/SeEfqofrM
K5d/G6Fqr2WvjYRyl4SfDNC4JyQEwwQ1ziMwI6C6fvqcvloxPYGRXZkZO++kMOi+5MWjoXophiJ7
ArbfneayfLZyA7dC/Fr1AoxAoq1pyxx0d0QPY3hvecaVjTbtRq/Fg8kk1nG+oKbwy9GsQVG6aXKv
AyrC3cArt7NLn5z1DKm9WdB6BHEY1sTPCFHvWhu0bwpZkXFqk7S4avLpGMtm30cmNHpB6a1RfyyC
PHqwRoihBKvd0SqkBUVtk4zCIV6hFosqP2Q6TU0toV852apEiRZm5eoLWUuwLEFw5WQYjgiwYH23
6dtGPgqRgcp5drUl4rFjJbPziI307OKegct0bw7hW83UZTNUPuj+4tqImGrDCEKd63KBpP1Hyrh6
CdTIJAPjRsc/oQWg2uGL0Vi5Lhv0FEMAi9b3IHlAiWqi3t9OXQUdUwfcSOxEKzqFtCHKoSxPbUyT
p+63Ro6vf87QvJmkaYVsF2hS39VTtdV8bjpl8RLodnhIUHHFKheBPtcNwt4P55jrJsGb8fgBGuub
3pg/uR9YtOo1KXc0nXsCmt1E3CG3OgzIRxe1LB/pEACAEKeOhbCCObDFd8PATZuu/L7fBJahr91H
P2yf0S48NRoMVYvCoCRTiWA6/cMB/H626nSX40+XwWqCQTig8t/0NWIKgWPdSfQnstiNoFsOHSqJ
BvSBWncXTRs9CrINIl2PDxEVdqqv6pYDOZjXSJbiVV4kR/Ps6wDVKg0nZ5Gf4x65MntdNEfVfESj
sw7p8W+TCFUo83Tc2ze5ljTboTff9MBat2FNap2E5qnH7mfhBIyn/S9dotwSTglft3TvIQoGDIZ2
WV8+NLH7ViZeTAmFKzXK2QCgJfzIxYkmzAnMQ/wuEf31VrKCJ4IytZ82QuOu5NHhUOTSri5S6I/D
tCfA5Z42JC0NO/0WTEJoAmjW2o5ew5n8oi422cTFwRVdjol+ZhqcAmR3rWiPjHyV71jAcG3LJ6uk
kVskFL+joB6x2CTb0fw10LnMCXCxvHBjW1hs6QoewKE4oCgBPbheaRPX06PAbWzqhQKYTcMuY+F3
Vg5Fnj6diemLs5f7ehjZ5GSuCOP+TvFtOXp/F8qppNFn/AyJdjZ9HNmyJO20/DYrAbjT0a5aX3kD
wZ1rTgLzY4zuQ4daa/Dn557YmNouHsAONKsgqPOjNBz4uRZ4nc4I4Wli4/ay5zTs7katAOVd+HeM
Xa9d5BxLmAfJGtDGd9nQCJ7HglLUI3RnEioJKFv7LoR4jPz6FHTrQdADEDoWzqTC9hMP9OSfYaY8
NT3QG7zFZxbZHp8+sUddb6zLetoNEoaXJFBzF1b+TWc4b5ha4lMeNJ9inH+awLu3xXjtoU6s56fE
bHtKrP42jrkwULYcmph+ftWYR0M7jNK5AsX3YTdU+A6XUee/dHSbqKLY9ypact8Zi563hXnifmLS
TglNIRi31Ff5mitu5zntu2QDyoXA5iby4CzPoPMcX669tr1uCGbqxUNI4uWyJebPljRiCoRLq8Ft
v7M6SVlwmrt69G7qkJC5Vrbws+0tZBvkgUZxn5diBzjdNCy8QayVZhXSkwAWGLgA2owSQyBBShjA
zpWgizCm9hvhocsiFAWeVotl3yxup7QPV41+R85FPYtnImE/5rS/YT0/hXh81+TUQKzr+33ayRP4
I/EYEHlr0OP3zekMpPo50xJnUw2otaAMXpnO0W6/u3FmdQX1myloq60rRx+Rho1hbf3OBMtmVQ99
Ur4DB8fO0MtTJQIqBmPZtabkwN0C5WNwGVyPUFsXdjVvtQbUD4TaGfkJKJIUAQJ71idLr28d9AMV
KVxy5A6PATBc9tzHoTb3KwtNK4EUdB+Myr5OJgIimbE0G92ALyqzdEBBK7deoGuAtfyTLAho0UFN
xAX5ICOBDZKhNfnTz1Xvbjxy8ugNE1Ki0TQp2n6V+DibA/1nKKsE9yWjInO6L4P+NelS+8rOmNRn
TMktjcOYceMNatR1roCNZCJ3hSzuc9ONl62wKBkczmRtkD8iMuge2yuN+Mh17qRi1darDCkU0ibj
o5YalZ2US4scZc1EudboR2cI8wUzKs+SzwyB+4VtDyxWTXsdNGQYDvmbYaW7yqvuJMBu4XNqdZkD
fBpUpYGVHWkRF7gD204TnMfGcAhm0p68W2E6EmrNMNOQfacW0bY55ZLjEXEROlw+XTQeB7d5YJSF
d2K2GBM77p3XGKcEjQO7em1eh771WqwjaKUQ+c0F8cNbH24N7ASXFNHWOKQ9BG3RP0IsS7YlDbyF
z83dcx/sCfx/f+OnHffDPEUBS27kgHJgam8AURgLFDIBvVdo37RRNzYNHBqvkhRazd9j/WRhCuEP
hmGzSwILjhYBThCiDG4zKblWGkmGzHD9Y1/rN0jPOaHGxtwEYe5M8DpJbEoms2WmE6PqUg+uQeRD
KJppo0+Zh560gP0VcGlC2fK8FVLYDmhhCEw+RRxAi1rjPRhWrEqbkEp56dQFg6uGsL2Wt0FrpnXm
pEfqHKYuVhEyFTeZTXkY1MfYqm7aKvghKNFfsRGrlhN4RlTSETaHO/xaihzmE0sTI5P1/E/eka+q
baodw+8Q7ARDXb9pDpNdjQv0OjDvcnY4JEXi+qEtCcZ5OGIqytaMVBzkkmRSm/0qDqhYe4n6tWvu
HYumojYDXY/SG2KtMIT0iAqrICaZjPF0ZlfHvoAaG3nNN+8BLMEEr0jntFhKuO93ov0CjbHRcuum
L6gmGSKK89D2R9MFpxr2OZFf+eswswElFUwjjrMDPGPTuHKi+FMrhmIZYi+G63A3deOL6ZlEj5Dz
HCBNwQmz9hrpwam/59Dd2g1yRsxLvLxOX62p14+hFu988x6pw7Bog/HMiG1a9JvWDiHTWKC4LWpG
vaKH1yYD5GB5RxFSLdrZvSnZF7Q2ycIYtDZ6EANIrwDQsS9zqFC7A1dTvW1nLldSyf3qiUm5vyPE
l3bMpp6bGxeWnJnPO9/pyR5DfLUIXOV+mwoGduQi54V9Cug3m8ZkXTuZeQ2/ahmzPq4qWM+IjkqI
2QC9yv4VTDMHl2190edbUFM/qC4e0pRpvOfB4vMmA0oeQa3sv3EVlCHt7AYLpuVaGxZygs1Na0Vr
z8K1Kd6ZmNfgIhCMEcIJFAxghoOuRE9DwPnBSyPJFciT+qOcim/SMOSS8Lt7Z9J7vMkY5uam87dm
Wz6UOg4+6TlqMMK4NSGfyfCnYxUG1UrvCEpJoRo5UX9PjGjOrYNdvQzKdJM4/rVLzGekiXVtMAXq
4vrRrKNPxwvHld4TklwUsIUG52U2aw/iGkSPyHgpbPs2n7UEApW1S1P/Skswcox6l9CgLLdOI+2t
aKpgxaXYR09xg8qOxIcfm7vKKPOXPguIjKQTWNw40Wlusmc/Qr5Gdh2LL4oB2X/jjP3UIrmJIfZI
IiqTRn8zUH0t0foRhefIhyQigHkM2L9cUtKYNRgas+zUAPnCsiQZ5lWsIwzRctZzUGAi+BkGtuZD
xP67w2wUB9MHlQdNTMEtofQytGUZJ3TLOI7j3uzTBBa/S+ck6cHAj8yQ/dosb/S1LwlMC4fyJXTS
d+WvWFkwSFs4CkvBDnrNuiXWtFbZqiRjxiZ4ZjQMD0oE+cYc6N4ZLrtfsJAPQUknDqj5PhWDvjS6
vYg+E04bKBDVCgNDh1udeEiuQDRFYYWiHV9wK4M3i0w5ZAJrgVXpenwdCJyaytrZetydEF+kMJIC
H+0sOWlEQYlzXtyiC4EC7CWvJnQZVEANMZUxiZuO6x7SvAuuXItbxUBjWroNASzmtAG/ewcax5Yg
pBvUdatYfAqh+0sd5a42muVeIHmDeVunW5ebdZ0M9xWhpnVjXGvZxODFu02Q7awjRyOrUce75znp
l7qfYrgXJK0w8M59cW2mCIsGubd02bCiU+7jEsrYj0DpjAmkIAiGzTaDL34zQdDG4G8lEajL0AM3
JVxoRT3eNluecjJgeb+eocyVaO5rHT1cOC7wTVnrio7VtquqT0P3TySE0C7yuV7LwHqc2mgPfcUh
G6S9a5rulgjmMMWjVAjT3yIwfGOeu0LBG+8dHbYUAe+t0w83Mmc/IpgNM9Eg+KGocGho848h6ZLr
7PXXJg7dfGqXg8sVmST9bW2RzNca8Spgy73ytGntCEqzSMjdoI1vNvo/qF+c+ry/tRW7mwjBUyCo
qXPZWwcBPoVFDxJWS+m0BegLkoihGLtEInO9cD42GTy9KBh8zniUE7IGXtpnW3/SJfNC5lsjmYTL
gX03wpRKslWtNqTYxLtcChsXGat2aYcmw6Z6bQc0AWxL2hvfsnK0bcm5Y6K40H0d6UIzmuey04/A
zK8D2IBxTYxUBQCZtmDIRz2YsTki62nuudn17KqasH7pbIJsSEKH09kk1yKJdobKYyn8d0DL9VUa
AutMHYLawi47Rf4+qZmgwn/PjvXsPxgtKqyJDU2aZj+9E9CsNZGu2P2jFnYnmQljVQfRD8rYdJEg
FUia65i0rFn6xZJz31l4PWIJAPxwEgPCs8dwh+FLWxft+FJV5o9vuNxi22IZTSCPq+iVbrFL0BKJ
8PYbBRVdIqIra+RG2Vgdi7bbaVO7r01gaLV2n1RtsHLr9JwRLYaIaU2e+hajKu05830Iwgf4z8+h
CF+CIvgu7HcdVWqqDd+xhZppCk+642BYkNExB3mUmca5DONTPwQMERH8Zh1SNiN27HMl/WuaRihn
iIRoi2xaJ6lHY8HVsGoEDB7m0aTUwz3S5aWzgP/eq/B2SoWujp4txQGbqnsEqM/YGgVnRPuZDkyn
Bg+SWh53DwSyYT/XpleGIY8ysOYrQgo+9W1vcwgryqCzPkUvuky++G+Rts+hvmkDTt2a3OmNbTpf
JtcHU0aOpACZmecEqOhT6+EfK5/zmdF1112lrTecLw9G6Hyjkxw2plZJNtTFrrDEJuNkRGAdB0cN
uVcDDGlJ28hZ5j5I2BujSkD7pnq8JtmFxhZw4aWl1TC/wFWf0gwxGDDWe5MM9ca48ab0wA1Q6Zrm
fS25JPMKnKOu7ccq1zZ5pX/FkfteaWZ3tju5SjX3sTfwtrs23JtEkNZT3nqIAI6mob3ULkrSbtDz
jWth/SJS5oMBdrqOfbZik/865ZJThcjQyIrb5TgPr3hngMKl9k9tlCAE7YwOAn9SP7JvzfIUgr9e
nn1RPDpIrw9Ov69g0ZysBhmuplW8WL+z6M+tYIqA6sWpuxyF9ZVqE1F0cQjuqWV0WAVAOU0JiOjX
b//+j7//++f4H+F3eVNm+IWK5h9/5/PPUhJ1FtJs/+dP//Ecp7H8/orfL9/2Py/7l1et7v/z4bef
sv7tdL95+NdXqt/3P9/Iz//z96/e2/d/+oSrLW6n2+67nu6+G7pVl1/CX6pe+f998rfvy095mOT3
778+UYG06qfhISx+/fnU/uv3X6y0l0Pxx5FQP//PJ8/vOd93eu/quH0v4vf/803f7037+y/N/ptn
YoDUdZ+WqqELm583fF+eMsTfdNd1DE94luNyh3R//VaUdRv9/ssUf2PAgL1U13X0BIDmf/3GPE89
Zdh/YwvM/N12PWZv6qn//vf/6Y366437jYbxTRkXbfP7L/Xr5R/vp/r3HGEZvusSaKMLX/iMW3Se
/3y/i4uQVxv/FtpoAkWkv7T1aC3LNHNYgWwcYTnpNiI6t2nXXxeVYS9sLajfIyP8ChODYamOgwMi
a4LeWHOCc+5HPterSluHBYzP9t7s0VA4Upyj2U25vAIN9TBVpV3vy0F/igkuOHi+4C7cBUdI4PMJ
yiGmI8eUh6o7EAFsvMK+nlbeENgsrb4HuZy8B7r2765Pzy1wrqmycYMOpO7+rzfxz6P0T0fFMr1/
PS6urRuGgRDbd2n/qzfgfx+XEu3SJPLo7BbyZjTFl2lNmxQ18J6krUdib0D1stwzVSDi0XJTDPzI
2hyvv+4s4lrGhC8Hhnl0lAhubjNrVbK2hbI5Jfhhz4XXP7qV71KUGp/wrvep9MZDS1qW8IYvTNeg
lpLnCqHO0quBjwOu3uhOATc9aG7dQLNvopxDQOUeLUdulye3QNZelXgIXBmRfm3oyAAThzGPQDhd
j+jfCrpb7LWvZ2h2CEWgjaEdNJSIcI5IGxGuvcm1Yte6XnWamZpEyZwdIaGx1uXssBJjwm9JxbeZ
ZffWWeJZKPFiOcYfwYCc0QvQUDHDKoY4XUV9+o4l4mlUEsgAMpJiEITyNLntUzYY9pq4LvI/UE8K
VJS6klOS1B0vxPg1o7PM0Vuas3/bewUqHbuG9dapfn4ilzyd7d3I2ASMVJH7jAcDJSep9pSsaDtN
JfIMTcbArTXsDCUAFaoPYA7D2SENZwHLftxDKEW11BxQI5F3yUYegVJEl8ULu6WphKYDWgZYHJS/
U2/+kFjCPHOK6GV7kEQRrm2ajuMivSDfppPvL1Oi5+quRimeKREZUnZbyV5N9K9mGZw8OTP41wlc
wES768zmNLNi02lHICRNhE92QL2RwH6bPH/t6ewEy2H+SBOoSXN8CH3kuKUS5pb6pPplzq6jrlXS
3ZrWeI6W11KiXq6GaKnZWF85Ce4atLXhtadkwLJjRDmOZ1NgjvcqlIek39ATUPJhDNKdPlI46D79
tXjGje7d6Z67czO45JVLFsmo5Mh+vyUxOt/MIxOe1sYxjQVnstONE1vDQh9L+KCFZbCWmo8mhccq
1in3fMd660j+2eH4u5JswpRIuhsJCMA+yRDDGbxDHrL0lXZw9vqwRmculjl66wTdda4E2LqSYvdK
lN0refashNq2kmxnSrztKhm3qQTdjpJ2ZxeRt5J7G0r4bSoJuKQ4iJUoHLHXAsxvzvAQwXiPctxH
QW6l51IJyiclLe/QmBtKbN6gOk+U/BydVnHVKUm6jja9UyL1UMnVcyVcr5SEXaBl95Wo3VDydm5S
W1cJ3kMlffeUCF6LkcM36OJL9PGmEsoXKOZrJZ1PlYjeV3L6JD2LCnn9jM5+UIL7XEnvIzT4YWVo
+w5Vvq7k+Q06/Vrp9dHtm0rAz8Q82zZK1N8puVuohP6Jkvwzhju2ygTQKjtAX2p3Pf6AThkFShwD
vrIOOF37YCozQdDdhMpcwE6PRjDzO0sZD6C3oLWuxBO7g8OA1X2Txh5Jq0GrcS/Q6Ogj2dEsj8wx
2vslTSZO6ojASBwPJc6HxgPnZtSsLHa3hqJLGlnM0JNfTyYPEZrcGr19PwbDMcNVUSl7RY9oktII
SPaUztdmHj6St3gdAFvZ4HM5NMqmoYLlppz5SpsOd1WuW+BuCWpDYa23Gf4AP6/pDDX+CljHIVeO
fbr5jU7123pTeMX0AU0LcX55NKLzaJhc4ighI2bl4DBBDBou6ISr7EWLVCmX3r++nXCljI1r7RtE
OjUqc2mBdZhIlcgEqAiaD8aaoQrzNHwuuTK8lDhffBwwhrLChMoUE0eGEp2+Ee8Qb3V8M3SYvVUo
jXVl0x91Q8w1mbLZcLtkl0dFXH8StntdiSlBbX2q44ib/OCBaG/1cRtW3jPOHiJrcfNoYtwmWv1O
nWesfGX46ZX1Z0hfJJHshznT2ZzgDoqVTShkGrRugy+o+e3Swkk0KEsRFEc4zRV+tDdyc6GUKPPR
qGxImTIkzTiTfGVRqpVZycK1RKbI9YSLCbKlvimUsQnIk7I5lcrwNCjrU6VMUL2yQzFJxxiIQcpR
VqkKz5SlzFOxslF5+KmCxuHOh8uqqGbS2eS0JA6o3nczNixzvEa6zn4TBMNSjh2RUXpSrkev1o4d
QiIq9IMzmRPbUyxeoA4B8yjb14j/S2PbsGewuNUTOe5GcyDyU4legpQ9JhX6uPYkCkobEM1QONOu
NOS7Y4NZL0ddEB+kI+FCTlgKTGnKnkancJsow5ozFw9z9TCIyl94YvgxZ9ryCWIeusjcSJX3k27Y
YVYeOMMZ8cSxXyH6tiq3TWW5eyt+m7gk0FVQw9tG+AY/IToSdRwdafohBByDBxMHHsUOUU15Zh5w
egzbXBn1Bhx7pvLvXR4CgZ0Po9J6VgY/+Mvzms0Pm29l/wNNRZD0emr0M7GtGC/wCZbKMEg8TYkG
yaQjZ5Ow0vRmejRr+Z1btffeU6DAtIxeIgXD0Gg89c7wA3pul9UOwc3Kstgo8+KAizFSdkZ2HIyk
nRNxqou8CUmvrTiuEzeXs1niBC+rFKij5mtkoNsp6T5YLUxloOxppHbKUukpcyVXS3FoL45LumcY
oXBhNhTG7PwEzkxTF681AUHLEtdmphYfInMa5eS01EdY4Z8xxXjry5fKMTT3cX0kcrdjmcfwgD/U
vzhFG2Uanb8ynUM+Jt60rlsE17H6jZcHNHXloaK3rysb6nxxpF6eGNUTXrzrlG318omOkzWzw+9B
WVsFHtdKmV0tZXtNlQGWuwJkh8F6lsobi9MUs5b6IZeP6L++FMpLa1vb2bn1PTeFHqq8tphuI8y3
Ed64dSYqhi9pOyJEwKgbq4c//hDl4C3F+FR4znOqvL2NPtyiRkNEFxMTtqtn59TthrQvVahMicoL
j3AHq5Tx/tOo3MOkWXDA1cOQd4+Z8hg7Oqu7Dc3MVf5j1gB4yeoBJc9jyD5145vGvK+Kp0I5mS8P
gT8hA1VT8UjZnJXf+ZI9Wl1M0JbyQyd45RYxghGprNI46JRcMldfAaCmDNXI5U+Xg2Jc3NaDMl5n
yoKNcejlr7fmryN4+ZqpbNx0DbC4XbzdSN7U0Q0vru9BGcAJYYY7fXGFh7g1lU28il2SpIgECSFG
+8pKfjmcrbKXm8po7l4855ejbSojOn5X/EIXl7SyqTdWeZzalILj8t/HKSa/DPDrpFzdly8Zyunt
436PlA2+zrxvEiCeMOXMGyZZ4uAp03yh7PPi4qS/vAPElc6rUhntEQXsfU4lCwN+qPz4l4dM2fMv
H5k49tkkPvp+fWsqK7+hTP1mj70/tN4CZffPLYSoAgJAo3gAlXogdydn8kF1c/kM4d0hv1AEyssj
9HT+OhjbCDMXAWcflxEAAqFQBNR3V7LMg0NtG/6Ca1ZbQpAeD5eHoAZnwAXOeu7c6lsNNkKGLA+3
LJiOcpXLCccR/txDp2AIl49G9Sw0PXOVBxOm0DFtj6TqvCYttd+UDN3BzR0sceQIENsAjOFyN7i8
439cONwXiKQIVHL7SaolwyDvUnQg5SrenMsvLz77Eh2+JqcXc5gebS1DbOck+bb2pEqODRFjsDjT
4fWs8xRC9l4UlsPcnnFdNDDwCeYIRQ1PXh6Yu1pnYQTbykCUgLx9W7QFAByJikvhLS4PaTT/+ZGM
kfHhA798GYrQsBqtqV6xkOEU1kY8JmHJLE196hODDFE1PdiKzBEpWkeWpW+a3jm7uXTZQ12e8BPT
PjnZ1V+vurzUIK3knET4S02loP7rWWIQGE8pFEijoCCawoOEBpSRAv1dptAh5HiUdwAYbi9frhRg
hGmn/sersCI/+QpDYisgSQ2Z5PIqJOxIOhS2pFQAEwuSiUQhDdakRhd5heRbXgkFTfnr08vXoOr8
+SwV05elwCmXV1xee3nFX9/w19d0OCy46Y2NgMwSKERLpGAt1IQMftq9RRG0cxXQxYXs4ivEiwaM
QSFfEN5/Ae3fw3y6SmDCJBc6zOUXsV7hn1TwmFRhZIb8qW8x9GQ1gJlCw9Vjpd51QCGcKQgNGulR
QWniPHwn2Ou/KDuvJbeVLks/ESLgkbgtelPeSjcIqSTBe4+nn29Dp7v+ONE9MXMhBABWkSwKRGbu
vda3HmpUH1diwXe5OT/NArLRBGnTwbYpYdxYArsxWaUugr+p4eAkcYOsBSKjBiDHEVQOQZPGjS74
HFtAOqUQdQStEwhkB6Zv9h8brI5vtHsIZ4TOUwmmp4DXY8DtgRHfIoYH5QPiKuwhW6mQJQ+oH+S4
MeQfx9WqA53U+wHtRMc6ZZ/nD6TvsoqAGmQJPqgb4AjBEyK99cFcCUO1wIY8qEMs8n53eb7PoRH1
giWqkIIIpkgN9rAbABAKwIhZyxY1Et6jiXnKLJijToBHAeSjcWHdH8FCCu2pQc1/YwokyRBcUgw3
KYCflAlIqRCkUp4DV7IwYDTTLwoO1EkFv0QG364SIJMFmQkZQX9tZMNHH50RD+9aATl5gnSKYDtV
AnlKFLgnbkkvkwCgkGQA5JDLcxnBQyVCOQy1dhsJOqpmdslKAZxUK2CpCsJUDGmK8K6PXNBTnUCo
WmhUXgQ0EFnzDXMdb0PCAZF0TfwYeUCsFsFZ8Ya7bSnQq3VTCfYKMNd6YFnkHQgYC4bCkyWoLCXQ
LEPwWbWAtBZBajWwtcbRhO6PDyEV7FYrAK5FUFyBQLlyb8O7jC8mI8cEtasWfFcC1nlT+ua2XdFe
8h3TBfel558F9C9dMGANPDBdwGAGhDAlqDBSkiilQA+zBCNGv51CEWSxURBjsbx0ItixWv4cJZFS
giRj/vYwTNqz/COqCmgZ9LJRMGaOAM08oaUNMM4GCt7rQSOf6wIHzZ5uZ8Gi5QJI01BgAeiQNhYa
7E0DR82Dp1YIWM0TxJorsLVEsGt/nwUSmylINk/gbJLQQWgDohGP//JJEG6a/30WpJsucLdRMG+F
AN8WQb8ZstFFISFYOEfuSqmg4jKBxmXQ40YocpSVGoKRAMvFgpjDLEEUBaHwFoIqJRi6HB6dE4Ir
F0BdhWKpFmSdJfC6sDDNM2rOTR0TKEKZdBHQnRLkHXNJii4SuIlQvRUsHjGC5Y0+zj+VEPN6OGEu
DL2QNt5Bh6rnC1kWyB4tg/BcC3cP/p5aOXzxhw+XzxFAXyKovlKgfUQVvCwWxZceWRaym4yWGS+g
YP0tMP8Ggf9NsqEbC/7TjN9S13mEYcndA2ZgYgMPRJvwZAlO0BKwYAthEAKRfiTggDk+2DVZUGjQ
CM3QvWe+szPy6FcruMJQW34Gbybq1wGWoS9Qw0nwhvQwsR9pWKbc6WjUIBDLXn3TAuu+tYEjBrZ4
VeAlVgJOJN7Fv7KW8sF6gVVc90IFalET6OJ66AiIMSRvVUFmNIRy/LXRBeCoBOW4nltkpiyYx6+f
oLxxgRmanmrBQoaxercFFMlsgMy27/YEQNJKCIIQM0cOWzIvERgwScJa1AS7oSZ81BIUZQKTclnh
lHg2c8FVTsJXIeedCtQMzNKzfuYCt5ygXHbQLk3BXprwLxcDEGZfAQVKYWNqAsmsBJfpWyh9Owia
kaA0bT65QeCa4GnqTSXATQfyJtm+CR1PYJyRYDlN+JyDgDqLldkZuuA7kVRa+Br5IIwF7jNuNwwz
PPUkFutk0J5dSKC2IEETmtxXR4EJTeGFgqG8NAIQDbknjYIUtQQuym3B0cHPC3R0gj7axmBIm5b2
02AOdLSwfqQrrTQQcKkhCFPTxr/FP54JvGkroFNcXdnRgn2Khy8RFOo6sucKPGrO2zEFmIpAoUfd
Ul4igamC6njzoKtOwFbOrgBXJS4enScQ1goaKxJe5BcCaLVGUK22QFtzG3xrKyDX9e7sCdzVhvKa
Q3vNBfsaZABgc0HBai4D/sydXYcSawsuthVwrC4I2cTxAFyFp1HgsoQtu9sM3mwOd9YwfXLAdZtp
K0ha5IgY5QRTOwiwNhN0bScQW97btRGsrQXfNmQ4N+DdtgK+HajF7mqB4frh986lXD4tQFoCzLw5
3FzsWmCEV5YuZs8JzCMbkLjYtgS660DfzbFZ1oLj9WfAvOvgZTCXO886hl/ovZlgfHlj3LYE7Utk
1o8C1i+m7ngzCv7XlP+Pos+ec0ED+wIJtgUXnMANzgUg7AhK2HSACoc2eOFWZJjQXya4wzamJAQu
oIgXgRJbgicmOCG+1QRZrAm8mCITxBcBGruCNi5hHHcCO24Fe2zIpMqEhNy70lgVOLILJZnmsYaJ
JK+3CVU9RKTAlNe/fxLAcgV+9aaBuTyLEjQWCnPPPKXyADOTLvDEyg0sFMNP64x3Vdr/iSxgzrpg
nWu1zNdBUM8DMtebPPReYsFAG/CgyREl2a33DnboDgQ3ubeawKMrwUiP8KQnAUsjpol2Haxprgfw
hdQ0aYkBog4ESa1gU7M6eUjxfaBjB1vts9jIBGTdCdKaZVKOPiZ4VzijGQmtre2nT7GAsANBYqvu
pYqA4VT48pfZuaYCzw4zqld28AstBPgR+NoZnO02BrgdZ0tE4/xXLyhuX6DcJDjDP0z0j8jDIdI2
6WPU4wwMBObdQPXOBO9NHWMTkgVF5xj0d5TjTmFodNzvJt8MqiUmdwbyDuz6oHFpULI2x90phyhu
Clq8DoYL6D/UuYId39u08pkfCY581HxgkRbyBaT/jZ9+8wRdPgrE3EKwvKXkg9UWwHlCKW1Low5l
fu1uIw8hYwAP3RQwetlRVHAElp6pajdN4z1SwQa1sLvrBKxe0UvduupiCXLdlY+xqfBSadbPASq7
b0nXT0DtA8R2XdDtRgLEvROcO1fXZwHfHca8s6shvo+Cfh8jPGaw4GtKM3yzl6sJJX7h/2iBGk+V
hMtzJclPWJMTgctHUOZHOgwg0NB/VwDoEWcS2kRJZxsuy6dtgakvEUvvZ8j161U7C8zeF6w9GVjz
tVtZ9z3KAF/w95HMN9ekwF64+OuhJ8D8ivnMzXpuEJx+Alc/1gDsV8yo9otA940Vvy8g/gyio4D5
11s8jVPQJ0hCmSDLbV/GxL/z///YXR+a4P+nOkEA6+8VGJH7m79jowwVvS/9E1+CBODcQ0SRZ2sl
ZiBMCBzwQNlfgoSvgYQRJGsuQdMRURBIWMFXOearlvWvc19r9fVHvh79VwHnf/259YGvZf/XE/zr
3NfTr8+8/tz//7n/11f7evqvV/ufzv3f38H6G//rBzFJ5EZuFgt9uuZAWwhGFre6ndbob71EdRQS
2pHm9DTTBN+PRqi68CehUlHRMcxv00jqIFlCyTz8cioLLK8z32qUHp/tMn3Qqmj5FuauueuosRy7
xQxeC0wx1bLVymoi+y8cKPA3+T6qHf2iTJ7JCoLb1BqKp7FNiUupmKZ6RL8khut9c7PJJ3TVsC6J
Q5uNOuIpwqhKnwQBa7TMGDdIZNl51WLsZ9KDIvklqmSb2GqK96Q0inNvavZ2klAWTVdviV4D3Jkx
ZVo64rn1fD6PWO68lFgBHPO+n7PkaGrvzIzrxkZV8S2MW5TjesuaW3tCyvw+aqp58rE4UWrw3lK7
YpxrBmzdgas+XA34rQO98ar01HgLkFrriPuztK0/ekuy7FZUDn4hU+u0Dw3PLNGp+ZtpTi2jvQaM
Xc4T7kw+fWwk147gvzdFPZvYKO1DjQP3YpfogZhv1A0pNfM3rVSvU5IWT36djXejeCXQrTVPcx0+
LYkf7WYP8R5exXajtNT/pgYAHa5nvk8xpDFUh/FOIzKx9h37haHYl4sDQZyeMTM3sqcCPbL8ZV+R
kOvhoqW7Jp0f50XdA6PUD4QXnTonme/a2Xt2+mkHQnRmAImZylspHgczg45jIM4bCIjG5xNvo37U
XlO3fQqdJn7qy7l5MGv1mVqO+TEnrbZrchUcACxQsx7rMz0z63nsAvcOzUJN3DXO1A4/GOC2333H
B1a5dnSO/bk46k2T7KGT0sCjz5YTa6UVuDmi7oKLiaSHnN5vosUug98QfyvgQVO30xHomt4DPauj
55jxB0pHBqmCDgpTDDSP8fdJeUzHhiT/sOzsR+S51UNDzs+z8p1T3ZOv46Y4nSv0AYA/6PbG3ugc
A9TzpyrIFCvDimIHPvQkZnVnFaTeFrFFsPiMQENiu8iqNjdelI+XEin7u+c9rp+1SSv0lC2tvvWS
Tn0MEsSJSW2+G4gtfh74q2YnJf6wIzJ60l3mPpT6dzVhRziwSVYPsrMikg9FPF3hiVCru3kYs5OM
TNhO3N80yA/EvurnsdK8jxydzWh/aF3inHWbMtx6dlaxhwV4CJGoI7vX9cV6S/xvDuqwDyPKW1Jd
SOBbDxe3zbZ4dqaDFTdH5VHNUyRbVXWjXhT4sXuHgAAUJJwf8TPvuWAIj9MIoA16vptTPvyc6jJ+
aCIfVWQTHplYJx9LkZunqaMDLrqJE2ancesU5Em61K52IT5bVAuF+17HOD4yvXy1MtBIRuL+IrRm
eGdF1ecjOU5lRY+N8tq7LiiIJC2N63qYji+z3g5vJnnMxC7QM/VDhlKmUwRZeK17bcimProNvnS+
3sk7YR0dc2k7PbW9NRDfaj2DzkJ/O0YGNgMnfu+G37bnTTdzGidXH8bsvZZYf9YXqyrE4rE099uF
mwLIRPudGgR358EWTeZkv6fJG3CY9q2bxvwSJ9Opd5h8Jjpf3DYiJqugX7Ufk4oGUDGR4u421hWi
oPUelj8U+vQmHvIXFU/ZfWOrP/izDcIJY+dgOAhE18MyIqV6tq0fsUET1Xdq/Z38FEonEwaIsQuv
RVBb916pf6q8Ue8oaZaD7hFeB+73AObRew+Job6JizG8dbljvxOp5uRB/r6UWXDrKrzfURSyqkpJ
coXLg7A7JTtr/QASE8ElWuTirml0FvzDaS4n+lyerZGV2S/QhvimBYZ2rP2S5d1stedmTJL9Uptv
ZTRZZ8ujqKTlpXUeIthVGkaWbWWTx4egwodfX01oE7Cu6p5wWpfCT28m0Sd0aRmQ7lrgQ2AiTWi1
Rw3s7/76+Prz697/dDjLs/3rR4D38xRfv/L1e+tP/8fDecgn5xrFIailIQ6z7rzudVTkuJWxGf57
L4jySN+sJ8N6xE5spyD8Sn140OTPgNAINJjQ4hTIxHTrD7R2Vwjtyp/9ItGu53yQI5vSZDAicrA8
N9RzzqgrPNxPELFWJjP2egZ6iglHSydFVgegCvuFN7huKP78sxdD/2ws2C6xPOhKuPvKhPYmFvIl
EcSE1vcEePiZvcU/i5ZBDjN6lOdI8sG+DrG65Ofxwa3cYW8q77FC9E605UQLuMenp6Lcw7YQzWcV
xhmDEst5N1wgzJQ15ya/P/g4v9E65jdd2Fa7RF7DXhpGnjb8ub7i18t+Ha5vj9U4BJfgtL7/xq54
X15XZ7DJ2W1qEBMscXISkqMaUSzdr6/Neq4doMd0y/SAUgffaJKf1KDsk9NOMKHXNzKaCvprHx+/
/uB+Jm6vjMUPL0012XgS9YAJod9EYbMg3JYOpz9gdWywpqzsYldIz+teJn1CnXIQN39q6fPaCBui
23jwkYSIxmHdzLlLZzFBssQyV6+3dhyqjVmTsz6NCuMDFgXr2LfJxs+n/Dw7Tn5e9742WhzkZ8be
N0C/3m690kDw5mcvZIaHZboC0sFq/4a8SGzEDd/UoY2l/cym+++90ve0E/CygJEDo6i8WNT3ivy7
PuJG1i3Bdn1qd/1ufr1Kb9DitML0x3oRr5tiIc315utY4bmvYGWeKrmS12vad3TzpqwGLK5ej9dl
vai1MfgMluGhcvKezuFMw5Oa/z8bLSrLU5MnLM6kLViBYneWoPu752k2XUI3upaRp5+UkwWWTQPb
ZXkZa79cdyj0HW1WpAFFPRnI8jszObWUeWlPd3+fRzFH/Lu3nqPujwJwPfmvn1Hy0hMMebKjYsyE
Vjac183c9//srYeqFVE31mPK/zTIjZamcGmCPv+7t57DDnbQwbwoL22N3d/bDFDjk5/8sbKspmub
e+6ZrrOLeETCG1rzuIDtaaa9nZcU3HSzO1dZfFxE1BW4EEn6uXkvYviPjh9XZ+Yd/n7284fZnZbr
16YWP6muQc2FHmJccqiPJ78td4aThpfJNMOLtbSPpRHaKAVbugmEiMCh0YwtziwTP+C6qYgDhVed
lx/TWKp9AVv30iKSuSzu5P3dWw9Rtuk7Je/OKhvqLlpyMeQn4szzLqFs1r31QSuGTqR089DqeFoM
ol+olBk32hDu8lBKq4+l9duAeXcoFt16ZE79EHfhr7Eb8drpTrYd/QTWJ13T7ZJHgCnKjvDrWA+O
MNHowmH/RlTmz7yVX9NgGVc6K+oUD71zwFatPYDpUXxTNnbLHHaq4G3Y4PELLfwZGrq7HedmvLAU
ax4Xx6S8b4w0JZG/Yj5DhVsOcXo71mAArNyGGDVf3LFujjjZc/yhU/NsA+spdAOEv5ENSNRMggMo
Rd3HNrid0IMytR6um9np75YuJfcMaTfAr6Q5BsUw3K8bo9SWOySkqKgZQhebsQYrNwmTABoi6p4b
PZrxpPomFQlmN8CtDK/e+n352s/ReFRBcW9R0j+6pDPXmKpm7E/zVO0icuiuWvVfm9rOM+Ls2k9E
2BRQ5bweJOifQBh8/SjlGPKOwzxFSlW3pKhScV332jbsD5iZ3tfYF6Izn5EkjweHJR6iQ4kSsgvv
Yk3MY7yGuvG8pPDgDIOea6O78HO6ftrYRY3Vem7z69+T+JycC/YV87/jz6j5itHcwd2JQ1qT7JO4
pqOYe/eAAkm78+ON0bTf/AzFG3WWsylFFa811cXG6A+wijpoj99EXyJIXgOaKeqAcTbwNQu0DOy1
YUTXpmyja9wZv9qOQAtUw8c1/GnQKdZFBtRN10DchDHvO9mz35ymtwhdl00W0+Sg24FiG6xEnGvY
w2d8zGtQooy6V1w3jxNTc11ljJipP/3d9MXeMbzk7PbU1gCaYIyT4WVY1J4iKJQNU3yOfa+dDXs0
YRoq8h+S/u9G78gj3WTCO1WTF6K07L6ho+PzpYB+pnvMPE32VGle9cEmLE8UJnZjI/WlKoX1jFuv
pv9XCsR6uG5GvCObwgJQt042tLr9z2nHephAEtv5qfP5N55inXL83fWaojksaYqChLHb7+1g2azD
Op1Y1ETRAzC+fwbxMGU4X8fvdW/dRLYJ6KJZjozEKFjxVHxrHG6xQJhf1qexZYozGd2D1zvTPkr7
mGxmeaIcl9GNzTeFYi0oedaFzBPWUX1Ymo0xLPnJQmK7paCJXKISL+Xk0IrO0LwaeLk2aCxpb6cA
rIxmOueukeeYvr7DYe/IeWx/z348nRN5bN0rupH2DV5CZNAMqJi2+Nasuy0OiKPT2NvFmvAMrMN3
ORpgX30ZegkjUGEAAVemjOtA7ssMct1bz41Ff0QtNh4yO4HjtM4v13kjzZnvUdYvSH2RwiE4Y0EU
OH2IYC6ZYO1kOgDqhGxYBAQMxOu80kTkv+n6iMLHghkfn6yLbEo26/gBqGLaOd3yw5waPi7ZGPKJ
rA9CM0/BypcitcimQ2pFpzUFZRB9D3wj5D/rrIcZjHuKyaOWSc+Kzwd69c/eem49NLD3V1o1Hs3A
jZpjMXRP8IS6fdF0xOfahArTbGfX8oz6ZoBbRZsD2XskI6CczyyG8nVvPVfnsPs85s9cqjywbloJ
cKnXFBc5pwWKAvWMfqvu6PLtQOZ1SPpwiRnasi/C+v5fE3MMXmYap9fMMJ8KXyceso+qB6PS72a6
KVQBMP6WrO7CMBnu3MX6GP3JuJgDQLIRNU+rqaeepvvG7luc4qbmM8Mv4A8FJsbDTJtfKjgQgWUF
3wyTonHCnWekVXZq1USrLOwUTakou103hp8TuFkTTaWKaReHQHurqqHwx5IjEtFcLhrDdU/3eTnD
g6awGK19N9Zot1SLDgTnTELjYTwulv3heRbfWRBjR1Xn0S3K6vfZ97Jj2y/lNdEDytS19a5Qa/SL
D0xpvAZJXe7HtFHnFGHpjWUTkYAdf6RfPh81RNvMYyGZhDB9b1TD1FkZI/Hm8Z/CHY9DTPUZPXX0
YCboeVGu+OeUwfJmJHBEV9pHzuL9qJI6PxgkUxLs0sX3w9ilT6WdvoKNqL8hCDN3QzZD/AkCwBKp
qrfIURUBZ+k/G9PKv4Og2oW03W4gi1KE1JfrYPTzY8oo0yKsfu+DnhtYQVvLL8yXJneaj0bYkKXr
N5sJZNNGbzXKl/0YzId4GofnqfV/zFHSX9cjIMLBocvptakwJJl78T7MFmRSZnj22aoz72PDxTg+
Qu5xt7pWkvIRc+urDP1ojg+q9ZAHZ/N7FgbaW1H1E131gBw5OcSMQPyy7z1xoSUvSU62mDVqbzZg
B1/TGloltnmoza44xP08PXY+jaChq8CGeCGppAkoTlup27wwjMc00n5qkfM91HOwhDUGwST1hlfH
ifIdEx/vNutd4tX0J6ab1f1fa1eu06gv3Wq65XkeFzxHLOXAaQ6LT1AuJAyER8YxyYLkks15eoX2
cddF8VMmc+00Q/Dt2/q0nwDV3ntEeDPRiOfviW7SX5+XtzSlheWMU/2W+aSMRQaJV3NQv4UYiglQ
7F8mFZ8AKfe3RbWEBHJyryq1znww7Nh8MEGiXudZvy21l8awqViT7AkcYSK4JE1xhlQOaSfZC0Mi
cTposZgdiWPWpvJXuYV5qeGuSEBBv09792Zyi7d6mrP9AuPujfcKudN4mEeFw7fRbtdNsCDKTSb6
ZgGAtDk30/vR8RfmyAouVNbjzlAZ2nPuwk9DGD2hwiZ1eAKNgufGvrNdgAYUjzCiD/MWueT0ERYe
/c0q77ZBNfisWYbmkWYiiyDzNqa3lrfDUzos/DWLU97hphlPU2YbMDsiqz/i1/NuFUua2/mlzMqX
0G2Il6+NdD+pNr/gp8/pjqJIz6tyXxpJ9tM3z/Dc80+W4Misc724a0flgsIFGNGZ3fgSp9GzAvFU
ejZFaX8KX0PDeRl8fb5bjxhCUS7ZLdJXebDLi3jb9pKD0+XPFNwrdGwd4ZiGTWF/PvTE1W3sYTaA
6Dp4V6y7xDTLp7+X14J7aRc2GhyJWjmXsVs6ZvePA0C5TYUL43aaH1JKhbeZ7Yd/N/4S/nZT2yet
7wcGCXiicNdOAQSp5wagySnztAMMP+Bwhop+Gm34PrrFU2B1+qs9u88qTppn5bbaxaYOBl06xIiB
lL6Zx2Jr6T15u0ixiD/xGVFaE68c/pS3guzUx2FWyO7H6c5LaeprQag+Ri82tktTaOjSmdW6/K9b
va5t9bQ66KnmP68W/KibXs2WloiDsYOZ8mtZhNPrMOyU1+cvenJf5YN54ueTazFiXOuLOb433bkg
TyE6xJnSHtdNsrDAoSDXz86DMxvjq5e6265vxycXjturURRH2iP94/oY6Npr24/9RSvmy5BVUIPm
ILo3J5fOiFfSHpbD0Fn+eSDXIvvsLvrtep5KMH6PHsPZAMPmdt00XqiJkEu+LY0UtA3cSkzmg4Sm
tV+4+dPUvKLn6J5t2XQL403kLVisRq99LrvJQdowfKxHlPHM3Twh4YzsfiFl1u2DcxK4cBmgxKQn
Rfe9ty3OtTOum3S69WYwd9s1mxpQ0kJk+ML/oX/0wpQMFmuZWEHIbpl342Xd0z13uBij+ccqUPFE
gZfhGc8rRHEYtU+tINnkiD5GdVn3yDqIt6mrzwABekQQs2rnW5Np6e3UWG9ZEnVH1lPzbVhOv7rO
Kk8zSo0HF/7ttuxqbjVyuOTx/BANpXm2g/h9PZUZbhFA1OqPbpJrV0qvHK6/Ng3jP78GXmfaGqUZ
7jPdalgexBFuoa57NnU/vMtwuQLK6Z7XU7b4IT3Ekpf1nMFXEAK0SV6A/MJ6DrUoc6lgeFjmqHuG
YY0ivyCpYH1woIz1kJr2bn1wiMO3MGIKE9sRGjGW6LmjbnXb957bBFxEC1Jvv4SWffL7RDwusKtI
oEZsIT9SNqZ67uigL2oYH9dTle+YDHhBefSjWj2bGZrVNnQpTwOUhWFzS+ehRmNQIJfUEhSAgJe2
tpGNJ+yDAw143BdQ32/0IZ43PrE1+ynT8ocJB9M+ihssdRPGtML0vBMNffNV12DnG5LdoY81zj5X
3XnJqO5Y87OkLvNhZ+bYDiGoXcoAViOO+OguqLYRsJpyoio6dMsO6k9/xDdhsf4qJoiplUX6bFCC
S2KmUd2c4z8DAR+1xTj2kRkGtc6kzrZGW7wlnvVIeMxHZ8BVKgYk8B2Wmj77nTBJ3zjL8uRnXrtd
nOQJF6CdzRfmghrulvS8jM4btNQEiBICw7FBujjzWZbR8uKa2d0QoFwNcrREloZgytMBGIa2a1zC
pzwBiQvEbRMbtbntz5BK38a6tjcZSsAl82Hq2b+cHFQyWWY3et/HzymRZO2Cj6Lg4lwK79NZoO4R
3AAqRE2f9hT6R1Qp7XbOyoManeEeQB4jdodRNKYTG6AhRCp2mUejpxTowpSopl+KSaeoLMGY2wL9
ZG4DMDrrsSGmexXbhFSLD09jvc5dt78YAci0oimbrVK48fLqbkA1iG40J31nBKZeqV9G4S2gqqxq
4w/LY2riZ26XfDdZ8O8SF26p3r9bBcUR4AzkL8CecqOT1gYxcOaEhMRlvKW39jnD0Sp8zTuGmntw
VPaczo5/iBvnHkA1RezlSBWPZMDAfh2tChV5DXK/HD9hoz6D5jW3FTF4W9+X23ZB43xW9G1KpOWx
g22kRtgbvDuDk+Ddsy7Vgt4Fpw5U5uU4NMVPrYurE8qmcutiyu75sA99qn0SxRBCQ2aFccid6WT7
Y7MHdhsf24SMLQV4kUXLVevmP2UdnqTzZox5fY+a7cfk2fR+DeNz8er4CgnrwewA9CHTsO7szrkv
A+x6VOWBcvbg+EGbDfD5yv20oNmr8GWHc/snHkrQy6QukFftSIoVxmEo5bSu8OpRV3BdXJGx7lW7
2jTvnbHNN4QeFnhlXuLMJ+ahr39MsUeZzREYNiIUuFbeXZ/nd4ULiMML7adJsVKeoug+L7q30evj
WzyP9mXywNY7VY3keAARUCWPKFrQW94P/KmHMqt+ViEBw8rADcbVsJpBhpBQhsIilBYwJ5LfQ9Gm
t7hyCM9qEyYelXoZaXXfFCiPyHttHytXf0nKHgKgGe0UyPxqpISd6HejBVkDAjv/i8nGM/WfQc3y
kRAz8J7l+JSM9a3buAAWZzWctdbbBgNG4aLke+LZOLVrNEn8/5twd0cUoVs6mndZE37koANOFlwr
evb+RcumiNLQQMGyrQ8lTM4bKE+RY+W7eEn42hX8BZO5j7QIAblK33H9tns/CC+9XhytKbovdNCD
0Em5hSgiBLPwOVXTa7K44sJm+m3e6y292t5x8eR0FIGmZCTMqi30LWbzA57i4+gAajYmzFC1hoSZ
G+RdZf4Zqsp6DG04tmaVEXfh0DAxujflzfHGxf1IkG+vtj0TXK/RSASqZqJ7aZrW4be4GHGogm65
wdMKiU+fEDh0CqEU5alNGn2MRkUQ34tKd8rh0mfycVPMxm9IO9/DUn1qCNuovSSvzYj1sMWi4WXo
EZbuTzzxlceT9lHkXXhsYhw5+jBfysHF62yi5F4qh9RX3do6TeaTOv+UWf78TAblpUW/aN4ZWmFs
Bmau1Aq719q/K3OtZXailw8AV38wSx/UwugZxBeb/ynKqCNdxIFbEikHO17wnhiBCfUmEyhvSm9+
MUOLbrxhIpvG1RZ+uyZkkeF1R7wMtUgfCkXrP9VR9y3H6H6FBfCjbJ17s7P+LBosQBiqj5VqPgPm
k4QfljWKucrtpp07AwVSyfLuubwvll9RrllbU8uzuwTbth9r8aHulX9DJMspWawHUpd3fW+lO7Mk
VqXr4Edly63HGhZE3UYL4uDX0nH/Uhokvib/WJZpX4zJrTWX+7C2D7XTopqzt7EiKMNx06dq8sBN
0oyZSWg2mF82rc2tSYcSjKSLznDLgOjemmX6IyTrZxunyU8vBO8bOe8qL5Gwm/b3pile9ACn75zZ
9/ZSyiooPCC3QO5pLj/swhYOJHqd0IS577wTcLUlHu1aB8u9Qx17qSsunhaM/NRm9ySmZSZjW+X2
CbBBjwQ8uON4/PNp6+cd1BvNI6uDZXvGVT7ouiYytT2Mfr7dYYMiJKHqa8bZY5NILC5XOeECbkCF
wtfo+SVbI+n5zpuXEbU0lBAuaD+ndbhQyKNijm4x8YiTGtEqmUfKEe9OOXFrnu33xqIVgDDwj48n
AG8WQtU2pk7A/0W2DOUuCt03c7yOXnPIMoPBZKazZuMub1300V3X0P3J4HONnl4eoz74lpeJsQkb
D1pwdIyn+MXyTNwzSMQDbXghxyPF2iysT8O7M/WgI96Mqgsvric94FGPvL6onqnu+2R4zYt/fasN
JpxIc1m0lNlWN3NQWvqs8HBDJmlrbuktosMtZaHwBgHpHXWgvT+HBB6ErH1SlW+A1GJzn8LPdMAL
iSyDQYwUI74lm2AMROdC0qc1PiO6RPOX1QD+3eVn6DsvYUj6XFuciPoYXsLmOTYVcWdVfE1LxiKf
GAZmImQaNQihkbb3NVXHdPyVOD/terj3DLz/1JlAWy5YONqGUR3VUT86DmbzpYT0iLZG0+1LWSOt
VaP1h0ZjCTvZXQ6TDUs1Kas/lGT3C6Erp7hE2w+/YAl/ATW8cxYTQ46NliLVmi213eZhstAmaORS
xS3yA79hhgQOYG+hpWEyYu8pzYIi6QcSUBy+LmE3fM5dk8Bno2DOgpM4NbTEFnO2AmZaFx8nrT5U
vbqwBF92MDQujb9F7EIZN6plQEra6TCa7i8ty4+ZYbv7VudWZrjz7y42uCoCZxBOyUa1zc9hso3r
lNOaLkpphqr0kqB33wEndTdFGjY0qeOTTvwM/oEG5FvCdVBYxVtgx9/1iNuWoqIWULEkzyKgsGA6
W7VUnzOqL4yJ9zrStBuVRQ/2Mr3mrvVmk7OUFeQvtJ3/xzKj70vKew5VS55Sz5XXBeR1Zd6IBB2a
5xQUb7PDDa2N8tsC3wMW6fhuHEZ7m/T2uXTM+7Dy+tOAX2kH+x1GlvEA2vFXHPrGpinx9+ptp22i
kqJA6EozHHXMjSpMtXGCH2bEyq7FQ7NJ1bDsBOBg+WuOTfJYW8ZB82cLkV76WKfg6k3Ey7UB2RLf
pI77HNVFk1pvFsFZjdu+QSbdKXrBcFKxGiVx99g13GunwRYTBiOiAys4761pb/JrFH6hlus9gHpC
mzYI57ZwgX83dXFxkvETJZNBnxCOe+rXez9mWltq9cxQ3h0UkeoogTpwzg3hvoHG7E2TED2kwoc8
j+k8asWumaMfsY3vY/k/1J3HcuNatm2/CBVwG6bzGvReFCmTUgehzJMJbzc23Ne/AZ6KOubWq4rb
fB0GCVISBYLbrDXnmHROFV8xKuvTOWz502FVPPXUBbfCKN8RE60Cvd7kpVq1jb3DAkbLKkNjkBZP
CorbqXasQ13N2YyZgX3QaLFgSARhA6k/BSBz2hvkxhSKWr9+GuN0eKpB4g4jKb2AA0tJu7pHLWQk
v5rBoWiYoNxJus9S3jWnU6glC53NijE8ayQIErgDuBAHUc1iSZZ8D4qQeSc38CN0zgDSLiCwy3z1
hME/glqNnVFI6KjwDjZg0lAOWDE1R64Du3jS7PSWA2z6ZoVUDztriyosWNKpHJa5Q2BV2WGILVli
L8wdJiV4oFVVrLqOTqryCJGasGewt3gdzKg4xO7PusEE4SYl2lebLwMBCPaKfo23AAAR00T1kjPh
fMnCsYu1oXnPddwDGVDFL0/NYYj9V+D2LxkhSboBF6ZrrR+aP7RwcIrpinLA2Tq2hqPRQaej6rxd
c0UUvMk0XqqoeImDvdG5yPRkIGDqhu+T65z8Xu/hObSfRsgWL5lTsYBKVl79FDrUVZrhPES/AkwE
d32+Lis/KzfGvPIZ4DKISc8vhqg/aJ+TSTY1wYJN4GDHzhtndDlFrbEPCxRo01jkr1MS4VqIg4sa
9HNX2Cs8ZdtgEm/EWuwiTAGLgUZXWcW0Iv2kXjF6GvDAz5Ucnwp/3Hi9AhuugQlFJLuvuXqskZqU
M5yQoQdbPdeJDQncV1Ul6Z5dfUWJRggaPs7R163PCMlGNVfUU5ZPnVMSotvIzy4g/ww9VK1ZR9ya
cNYXgW7dLDBNq2oCSaznzkbpFElFRkSXDzSnREZBbgxoxCLGHk/rSQ3YtHLCKMtqXkjiTSsyZ0uz
gaFLuIs4JdpLmTg1zHJq15FeLbOQ31MLjyVVdqhtr1wmS72dlYlx+iNTvrdkdoq3fiSnNXRte6V7
RUvFsKg3Q0lIicxeEqYoFAaiWCYyejZJW10nIewqX94MSWxQj+iBppnrr9KENXnvo4MYvb2VsLZi
cNpr7MnzYPhll+j3WEFt3N77rg+2S4QBgXZl+hRqZb50BBHlfUZ8mcvQ3cjxm9FF66FBr/A4HA8/
KIUASo9SqN5Z/xXKgiwMkg9Af9nj3jf5xkiHCXucYiLXDszuPS6L4jsKpYotY0rMtzduimGwd2yY
fyjAum5A1KnZmmAp+RxYPJJxXI14uzyxZTlWbnXd3yZe8OEahIy6eXbvJ+c89nNRlUznqLPoqtCZ
IteHTD0afbvQ1gM0YUyHWga53icrYEniMZNUGVxAMFobjwFuj7QZa0OnEUFHQ0f5DK1d3+HQ0l38
71lhnj37M9KHbBWBQEql9GnyO2t7FJStdIcr7KyAtVyHOETNYGARE1VyKMu6w1eL79dlO4G24zuW
2/Y2gsmqeEddYFf3zI/IE9RolED6bjZG432vomHEtMuY5UPy7iFGyj4B1a4XTNd9v3IHx9hMjac9
VSn1RMuZllGcmDtTyfsIHPYZRtCyC9GKDnl47XS7WOkEhboEhpYDyaG4KM9hYHgIelkABnO/3cxU
y9KqKIjVqbNdQhS01tUfas4lDeeEUlm/d4bzAgGrf0fkfZZEmZK9Obyjw1PHfs45JfN30RF8+mDa
/a8Yjduf5cwtlH8HL/6Zu/h//v9DNMLug1b5/0I0ltNX/j2u1c+/Ihr5od8Rjbb+Dw8NKnQHxwLf
qhtgGH8nNFr6P0yao4ZPp0yYgmf/BWjUDP0ftqv70BOB2QIfNO1/ERo10/mH5+Dh9QkOcizdE/7/
BtFouH9BEXqQQlwW/rYj2GR5Pkrkv6IIQ3SBUhbsjxu/gHTVNSezTKYnO4HVk/fR1ohG9k1dZF7a
Uuf7xvzEXqp59iR0CqXqauMDel5FkI+YrOJDryWXP53Rf8NLNGca4h8Uycdb9Cj6Ck6I6xiG4BT+
mZZYm8g5SpNIa2dU7YG5y6fIFgDTt6LpnjSrpH23K/z0mp6B1Ipi5+Bm5Y9ykPI0pM50J2sBkDhI
CtokRnIMHRRANaGy68kZ01XSOcB6+unzv7xr/9+8a990dV34usBN+Ld3HQVRGno9Cw0SXchlz2p/
HRte+SnZu1mjXX5nwVyvUMsAACPT1LTdVWJhodYNFjBh6xrP8Fh85lUIySnTaaBHdy3ElmiMTXY0
RkGoDSmugq52wYp5YlO8cc3yl4mGEaJdROS2BTrcGZtm8Z//tb//ZxYwW8MAiGwDRIIW+rf/TOd0
DqjW6WQ4nU7vjfDt0TYueS/VOnWb6CBUn+zDljKHLrb/+W8b1t9OK3/c8XTBVYFCXXBN/PViqFqc
uDEIXUA81lHYHmZxYZJwpNmYnRVaMsD465iSwT4P15ar0xHQtVuSzEKbuv0vZ8L8K+DUA23quZZF
ccPjG2QK++/vJnTNkVotHf+QuCvZT199ZCdnxgFrk7XsQF3RteRjEuvgh/hP9UKQzN7gIyCh+SUB
ePEuHP97TP1qMq3foMLbz7FZATIYOyrzsxFXaDHmP8ky8b+cyX/z3vnOC4uhx7Yd1/vbezejNKsC
ASdei6N865Lxhnx/WzoFyac9pIkUS+9oqmEFdcMETcE6sKMMu28NruD//F7E/3gvlDUd3gbCKoMm
nDs//ydQ7ESjN5UINglPbCkYU98/9SlpGhZ1JqVXKefDRj/owxxtiVRubKyciZ4mlPVikHNR5Qzw
ydry/Ljhi7WjLqvtepbMZEodVNfHTH88aJvMPFIpYwkfp3MlFFfkQq+wTknzm/RI6dXqHuSI15xy
v1esAQzUalk2PU0S2HwYmxmMJPQKvD0L8kcr7lTy7iWEk4MLCvGimkSQm2QtI3iTlBfx3vta1L96
5IwhGGT37dtttoZ0AviNtee0xkOfHP/z+XRs/6+IWc/wTN/Aeavrtm55jnCYQf58RgtBbVAIEcLN
TH6SRKLQUCFfzBxIUy3qpVQ4O3aqhJxNKL/H6HuHco8A18Ig8Xi+S3ueu/VYsnp2nPb4uPf3Z8IR
Hoc/FwceT0s7O+vAAncMtNg9Q+2fN7WhEsV3hMcsav01ZwqU3Pya8vGM+tcrH695PCOmkr0DYqug
lNbhj1/4OP63lz0esp4KV2RrkdrnuJcJy/zg5Fj051ljIWkFpE4OsFG0dzYLzrn01IffOtWRrf/4
zBrtzvrRCPd0W8yTliek6Jj0aYLEehn6cdwOLpQjygl4jsjbZTVLtwvr3Jyhor2xswQpE0xbdzSt
Z7xjYqfFXc1F0Bp3VuDGvX4x+pCqJMxsSu6RCTAialCUQPdo+xrcIUnL1OvXQRlS/Y2GNzmSjZxL
j5QlC5+RM6W/JdGIKDkVx3oIMfCFeHYT9v5eKdg5SNfcsZSwloGObdoQSm1jiGG7aMDDkYPX3Ieh
3W7rtMle0OwwqdNO/m3s0l0N8Tyq8uwtXGumPqfbRfI+ed7GgMh4CCmehhgqTno/NZs+sORaZcWG
OlP+akZhdqakOrIzIYJN715yFChLCx7Ga53W/Cpy9a5SMBKPRnjqpFMtyRYaN0CL1TYLXBNhxQ+c
7ghJUsJHEs15A+ZPqI6tmk2oA8IiJOVEEkO9t3vtYs1dc8/lG9p2ETuJzCpWpqRHW1YGhcqUFAi7
JyjLk+FrhSFma2RDxybC1j5zXJoxBWNoQbo8diSCUhwuQPlAQVsHOrs+/gcJXsPo4M4QURaTZv6V
OLi4ake9isD1dn5BNhcuPOPDlBSr5hfYPWnl0KHaI5tX95lerqf734vEE2+uArHeKJ00A08JxB7+
AAM5aTaPh5Fs3CXBSx5VZJ41BzLaSq+vLo+HAfr0NI6nu4wswS7BbNkjMetXVCFjMrTuTPIMx6UL
eXmKsBDGPBt645+fZc5THOfFj5soS4/gwBdoQd0T+m3tNk6ZhRNXo0Ju6cFNWGVwi7Xp7ioRnx+H
kO97+6QApfp4+PipOJ9+Y5iwjo9DGo5dcrfHuVLD7+ADyTZSkTcyYD5d6QR3rhOaktdsvumH1N+g
k1bLMq41tAJh+OzQQT2oKPjt8YrH8VhW+WUcQbPNr3ocf/wOpyF+uw3zpz+Od1Hx3ltI6TLIccuA
Vd1zYuZ0AC3srT6UjF2NXv33Y2VFXdAcyC18vIRZLXm2C9WvJxulQKS7DcJCfCJbvfFSgtrmx7kq
wGejugPQoacb3UPOM9pacqMB5m6K0giWWdekt8exUgHrdAx73D0ePp6IEVf2hdk8Ifoq19D36F6M
prFTMVs5Py2te8Om+E4xomZWvD+OFEFJ6d13AcvMx1Jb+nsTnMbi8ezj2Jj/KnOjuD0eoML+6VjW
rFZKz3rYJVdiSCeGZYO+SV3+yMH/3+g++/Qfq4jB18Jf3aKfSsfko7Ck96Y5Mb1a2bRnzxyTo0LL
u9H9XNw1jZZrYenpT9QjWLXtn1OEMYCwUfHiEGkCmk19+XQD1rAu3OfWw6MFvcL9ikz6YfXY+c8N
Pmgmk9xbTUTOfZn0ewIa659al8mNNbX5vimk/1IWw/PvP1lRqsGPmDwVVRGf+yAK1zYs7BumWnMV
RlgerJh2407mI90zFJunrPP2pmj8p8Yy/adqvinDgZTlKkPZWDIO0wbSUK4Kc9PVnrbzm2B6MfOV
0zMLtTRrssq9RpWlX8I5Pc5XU3xnwN07Ve00pGtxHYVpAE/P5IKaxSFOPssi6/ZPjwT2h07WkBza
gEnCnsx94JDYBWuv/mhG/Wcbqulq5JN+0UqdWi6ZkO7Gyyesv67GlGOG5s4DpOr2lUXlj5vYs41d
m+Ufzfw3Q6roVjYld6UpAsmrI14q+ZzON/VUYNEkhAOlN66S6R3TQn5FNbfPGiQGVp4AL4f3twrz
CqwrTYuVQtYKxSnQL4+bYb43Mi+BAo/U4jPw+uj5cTMVXvTcttouS4zqPMyPHsdbK/gV6+OH0Q/E
WZgMv1MmiSHvsL8tpIdG0pFEDSaeR2hxV1yjNO2fHo+mtiLiVHVoluYnkVsSlmcI84ACja+SJda6
Q4/cT7z6jIfXeanCbjuGKvqQAXamEmXxKex1iyVdTFYwlovHjfWve46wIdNZ0evjuD5DLv54mR8N
h3gY410/1tlRAyR/bNKC1pDZSKZ7qkbkLxl75YbBQdfb7sJWqrs87gVhlZxMUqu0kEN/HH88STJ2
Apq6uoPY2bJFLcXU3vtZo1az5MFd4K7GMnyrY++X5TZYSULdCs9JIeJjBJtIsDZE5+gms6IHxFBN
2KZKYHR7dfWldVDXVpETD/AF9C5aFoM86sI4sfiovmyMf1XufYAfkWx5tGzZ2E50972aXUeHUaeu
DUJjSyS2EOpAx00VWpC0n8iKRBwPxgF9Rdtr58eNLK1qTYhg+uoDykInSTtnNCMoHR6e6s6dJjrs
k3eqZ1Dh456OjvEwAMrXqh1qMsXF64VnYqP4Jx93CeybWH5ny6BCz5C4BYa5+f8z8n4h9THfWCIN
Ni6ZPR+pUuvA0rM3ljfpMSBAYvU4brCUWZj05q+p1ZhPvITktlxOxwkkC+Y0I74SXfMmk04d/KxC
g+U4FG+rwjjNhH49N3ET55V0z1ZruudQ85t1Y+bkilVEQIfwHtCtiKNsBNa+wnhXIQrlzHera5ke
DXNMX60c41aFgSwMqv6XV6OJ8FgY5G77hgadErGhVYfHFxXed7k0+GL50zqywoIzDO+Obc834D3t
s1/Sqm2g0J/7rrYvuPQXJRkY26giQ+ZxXkSVIZYNqp2Dxe7pcWUAYfhNg1y7yoWAsNfgy1+ib8jW
5Vhbi9EOb4PKguvjpqBi7AdvqV9NL3XKX+RyXz8eoXGeXmhIbNBfbzT0YMfGCdwrHj73WvrlrwrN
AiDqgFUj0thdiFj2mMz3kLhzr7VIf5vXR1hAb6Wfu/sGS9aCRNrqVjilujg99DtjDGxsMDN7n7Hj
IKMeaYtCOFAkTXB93Dx0Go6d8ZUwkwTv/jArdmr3WaUWaTKiUBsbaOa18T/TMDJORMb88yYZcPvl
I1CcEd4hghs21c5EfB2ERlutAA42y8cXK3ZMUiZL8QvrYb4yrEiB9CAteuPN6jtcn0+lN3bbkK7x
LhntjdE79E1yLT2RbK/QAvX0XWnILvpIARrx/XITD86z5o1koLM42PYlKWkIaqodMVIjqFWtu6h4
9DdVI5+KMiEWokiLT8PM33ytbX6i3V6Fjm9s0soSe5OC8nJsEu8cVBR9KKF9JYaXfha1Fq/aKZ+O
qVPQR+2sHhxXf/JLVX6qsSZ92NeCPdIp+y3o8/XjOFDQbFNpIYnvnYw+Iv3atzfkatrPUmbXpHON
T+xbDrSQqn1Bnwx5MLe1y2g42W6gtXOIoLSeMNsQ+GWaX10tPZabU7O1ZQAfiLSrw8Qmc+cAHjkX
Zof2SzT1syWSfAVaCK1ke+pr21h4yoheBmJE13E/mBeEwnJXDkNxqLRcnca01DeyzOQzeyMEYpqf
vcO2Jmo47N9CEyI5aIJjKknKwOry3OmzWhjNFSbtxPnZS/MmsMN/5V1DPDeZDW+lTdgwYPYB4vlb
OpG6FTqh/aOV5trQoeFhtYpWmVsiuTTsX9igh/e48cHIcdbOidVSOTNReOiofEZt1HY0UbLnx01L
1t4ybc16qygokUaZkcqkjWiuuoDUD9lQ7fELu7kEYywvVBf6/eRPN29+9Dj0x03uldY67SHg13wR
hiKiaTffNEGXHYc50LhpkTs0rdo0rd19DBY5knTBvjcavpPQMOWp6uvqqgvsqv4cmCEmtce10l8e
01DiYAFiS/9mGkSx+k4lt49RCJV/si7NWG4lawlWDzys54dhXtPViMLhEtfeJhroJdPb+2Y2pfvL
GaKbQ7TUZ+WFFoG0jCvIfXn7drJK8crf7V79897jmO2K/v64h2aeRqajyZ1j0W03EiO/eGU17XKj
Tg91ODQnW7PEhmRe9+orWawmQwMaibB6lgXE3wVhbnFvSTzd3QLd8uPjUxd0THfLIpu8TrKd15EQ
uXC0a9UafF2hNtJpL1lRjuYB6+MGuWDykynkheyg7H2oVQMVtQdMaE/9yfEauc7NKX63LfeFOlR5
aKFcbJJGv2U0nF9rFSKAM8C0BkzmL8qwv8tERT8qV3zYs4cB2kmxs/NC4BEuq1fbTF8fL0A3gsDP
nKp7V0nUlc4Ybw2nJTSCzL6FBimZ0q6FL7J25GvsSNRb5vgZDjp56lQIfj+eNeQSzcfTioz1P17/
r+OR/z9+T8h4tW27HO18wUDRe7SGdNEFr7VGZTaiKrtkuxq8VpYUcAQCFmnzszI3tW3ZEgdK8TJ4
nWgAbFtYHOvHs0Ng9Bsf5s7vD9sgcNakzKPnIXlkbiJOL6xk/d3EMhmMZjJRTvC1s7TMt98fjX79
MmfIz089Xl6a3b0sTHVR8w9LPCTLFNn8/vGKJlYEfyShv9TwCaOmEreyasUtxpnB9vOZFZIgQZzI
02kYteUfLyDz+hLyL54fL29jMotHmsZ07fjpfL6psMXPIfK0AbEhLGIcw3e3tKaDUxOC83j4uLFK
/ahRSrkYXaLuaDO7TUddd/V4UqZRtM19zVsqa1x17CYuMQXd6+C37rUpad42SKz2Buvp348RiWWu
BFf4OlaeoniSqnb3eGFfXHIjac7V1DbnkSm8W9lKWFtG2a/HE4+b2O6vnebFJ0lmx9mGGmOHbPUM
Oyxv8BRZzAy9vRZBkxwJWUyOqRbjey/yfmcKhkC7N3Y9IWufE2Q8bN+RvguCSf+gdKrluvbBTrHY
mZZVb3Qswx9hZmy0DkQfiYdos6qRzjcXIdY3xgg9/VY3prkbdDffPI4Daf/T8QBd0oY67PS317e6
+BhyMnbZSLavnh/am4HQh3WLR+zVq3JBKgRhqTQ+1etoTN5umpS/fDxLeE5Mz50K5eNnzc7syH31
vhm80ZViYPyOzJyhrv4SyHXXDGbkUvZD8Gw5klDS+QUYlz8Ddkx3EU3dXlh1s9GaAAGkPVJ/jMSX
13b2JZMWWB3ITIJ0zVuIYuEJG/UhiOx3x9cqfliPjhGunZWltPwryFnMBchK2sp3QQP2xQvikZsz
yPNoSm+fFul07wOf7EySD9ZD20/3IkaPHhpcaxYz/9zKISsoLep9i8hvX5dOcpIGWq3Kcpp1W5S/
Htu3Xth3YRQVq4kM35rn/Ijy+GucEzvUm6MTphr1aCGtJHoatEE+F2PeXHy0u/1blHfpB7qz8GCm
obGilp19wAvF/dInhIfFlF6z0nYXlBV8ZrKYBbw2DIfOl/rWM3Lz2ujEPweN13wbg/TdsimpUgZd
DKat/wKN9WWLCrpiKl+6RkWgVksMh1YbfmMYhHrlFS90qMOrkPn3x2EdlwGYyEpftIOVLLG/hAdh
RFzHFkmawFvE96gykd1G9SuJ5qiDx+GLolh298wKpU0SFz+0Ynpmtm+Xid2G236mHSQBnyakLbkX
QdrcKz/ZIZ9DnTrMFgJoW2+jlsAxpvm5ztNgLdkOfZL/QS+/7L7bAZpBcOdUV0s0WmweyDJnbAUq
3MctEUGJv6xBG2y7ipbhkGdokLWp2wlbi49+a51IZHsPat96T+Yafhn04or2PgfqFsVQ8kgYizR/
FRwen6ZlDXJlFkkILIUi6tzoWKo6JQ3Fp/2n0SrDgAahDO7tKUowHrBUkCfkqSDN68q+gE/rNy4L
2ZXTkXTFAujkp1kEUZgyrLaAW2RdwMaax8iAYdqInRcp/WwkUIBxbw0APNPxSnyJ2gVDf9abcO/U
LcvlLlwNjq8OJCDvU3QxZpQtJ63fcGrVZ4RhBb9JNlx0p7moHkQW21D70hoKZltG3cJPk11H++CD
70u0jvr4WsfNWsJptRaFV7CbcsRmIj99UcZusgAra+90NxNPvaWAY4KeblrnWOTVnVxc89QhhV63
SpPHcnSCbaNFLChNeWQPZ+1DF4E02K10RfR6dupb6w18j0/qdpu8zBEbrms9x2FyHFTHiZkmDD6q
Vdk6tgBrFAUtq7nr0wz4sxghVxl8y/PjJhDy1PS5WJETXN0EbrONP7CXEbJ5btoBEAp/dmExge/z
2EFClzj9q1DVa15jqM5rcU4dQl5Fh55m0rWGED8ezk/Wfdmh7t83AbW/OLXkk0JBOofAfWfxxyhd
Fd6qStxwZbLTnadVk0xsF4f3IutCELC9bx3wMT6JUvCzUj9Jt1DHKgd6q4Pt2cgxEU8TRZ2l5mrh
roevipNOYjkMExat4qpn49voTvII+Z6AN49RCM8eEUS4ZzBXKPQqzEB00Zj3LNnuXb17FVZaHG3a
lnUP3bfQS38jCRFr0ZK9qY4oxazpMNx4bDlTBTe49SrzUIU9JTi9fomSvL7UVHnAU4hbkw5wVvrg
VGqu9YK8kc0M36DFAL/mNv4MGDVvoZEEgD90cSyRUfHJBd33xGtXdl+4e310dnEEISGnvf0oYQud
pEG3aQHed/D//Sw59cQTAplmzyRazrYfRCukzr6jRTeGVveKtPEFLoI4tHqr1rnAX2x7XbEBEHl8
+NFNHxV4Nd5y1QQHSb+oKbweg6i/de0+e2Om4D1rjR/ujPDimeFIkNwtynE68m7BLOBxG/aj67wJ
ofXnh6dZaye+nozK6ymlDA1zkrRjLY6PAe5wW3CJdlVXXirVvEzlZC8QnLqnUNTetqyTclU36c+o
d93zXOejSmTSX6+KTWeJ+IXsYGwf1i/HEONWaD6g3YLRg46yuU0JyWaxmRsndg/ZkvyEJa1jw12I
irLp3NYDVbXVaDxf/BIGNUi7/SA0ZM1wkjMV2tcY18VoBDiYtcw7SmNayEHJJ7/PoJb0fJztpL/L
iZVJ7+cv0BzUzkzJFksyARjPNb4QF2PtzKCkpxoMjBsSKRMXclotw1RnZ2w1iOKl9Y3a+njUQyFW
6PrrFZkUYh03ecy3Vb2hwqKM6PLtZw/HgOAWV7zG+cFIlf+UAwEFjBN4WxxL2BVFKihHUbkhw2pc
mXlNobG52gbLsjKW/XuYogXnJDzlCKTWhltou9hzhzO03VI5LOxEmO4TjSTRwe1/pgLmSt8J+oVa
ZR7DKeOEjO1r3PvR1vSr5hBlwXgJJ9msfIuvbeAZzVZUfnAcDLw4MiFqsVLZdHRz+zOoBYvOVGcv
PobvGAirixm2uKgq68pVRgcS7pGnSYKRWheHJsEVMgvM+8SZnvoupr+IPQ1tdJja4Pb0utjqES1q
HBLTespKd+3FLPHcntYRZeR+B+2jXrGgDNaNAR8sAfDDyJoduh7lQ6CraluJeuGBFceN2WA8sKQF
PBDZeB4X6SFigl0Rg/gC12xl0DDbaRPhRkETVeTlgKYpo55opfjadQG2BMxKBD6JjdWElzjNqPWR
mrnMm6xbpJN1y9riJ7ikilpDHS09w32xMwoW8Vh8sKwwwJBRVwQSvyjLFEl6TiZ7lJ4jb5ZZ1ojl
wnwa15odzZpbl2RpQUEpjHyTc8TZiOZ/wnHS8KSq6kXzynpXT83nY8ptGichfxq+jZOV+8I3zC0p
dSDdo7HddG5Wn6U2FNT5Pp3vgTdMzwVtYTSf+0AB7Q6kW98m3bw8d3nfvHQIhbBQUhr2NWhItuWT
1DlAJXUGrr8+16Bmp3Z+0kDoex0ff6DL5FbnBdjm0PkhJ7O+hFDeB9fY6nRqSGCq2HukrX1MiWde
UEHTjyPo3VoNzoI4EXBmqrK3ORG42ynx/XsZ4QWc5NQu9RIDujT0fmWxqd7mLJm2JjpGjg2soQP5
ScYqMZi+RenGDV51Owz3RuB+ecSS3VJJVMLcwRAyi6hGUIoahc5Hj6mNJjE0xKw9mZMlSevE7c6m
SC6ahtVf0GRIHtEYVj1QgQnuyKsm10goJtyMdMbQzwqUp9oQP1FY5iJmPbIzjEK7QAZePCrsXUKP
F4tUcu1QTo40JoMKoSjhQj/AOXwhUvvFhGi9QMRApIDGBz0B4YfScC6xz1ugbbIFI0NdkdAtMiNy
e51E0PG1HApRnDXXeEzCrWcTtaZAjmEST5dmmlsbnLh0dltyuwIWfIqfXgMUN5aIs4pFbdtoMBpR
PZOk/Epnaev66Y6g6xgpD7gyIuFYo1ffwgh6xuSaT9EQhafaw1cARhEauToODTErVE2jQ63UXraV
81oYKf7IENlWEaiVw3xG/omuOwtQPXJNPAG8haZv13kMec1r0vZl0jKEdhWZCmFRvdZlsBga1d0e
15rS+moT5rhvBsPU1kbnmbfITM1b2+J3mnxwiKV8DbJAXiPbWEuoDXc7/c4uRQLTLNNLlMb9amzi
+ENL05PXpteyH6NlBBh+P0vH3+LC3w5Ngjkiia7MlfENVH6Kx8lfF6XH6MiUjjna97/lkyTpR1nt
haDNFGE6qTaEr5Nym/cMuww5USpvijC8eyA3NbinyygLOEDaeSCR7xi1pnavSYJfmzgx1yKqlgaw
157lBdeV61H4olfIBeGBIE9jUrmc9NJORbXTM2oADf1C9BM3ZYfDs9TDm+MiBdasKlkpDKnrMCmC
L2oSeR2Kz768sEKZsEkJ+RrZQXiuG7YUYlDN2Q3M7+2wdbrE2ET4E+AYFEdM0y8B6kHQ/9676p21
DgX5QNk0hyRpI29IvZ6rMlP7YOagupkG3kqXtCX16GZ2+0D4tNYiCtP2FO4518YzWJk5G84of+ux
wRB+lzJQknQfMhA+sYMwjnoa7QMd4W7aLKq6bG8uts3WboDa9g5lOmvw39EgfFVIAM6jR3IaBfJg
J21UAV5G7BEfHAXagV8MIM20A2vdRBHdbM1IsOj4Dv5GO2SC9bKXMXaAMQnW7/ZEMQ9lsYyDm8GW
a08VveIDV+V3yzTKk5MJVJ36cGJweSWiJ8CL6X8qop1WBHvgniAgcJicTUDbYiGiZVy21cGD1r+O
0mhb2OonHWNtKTwyXSam/03kZ0c0cP6C0Ee8gyz7tr6VbuiMPk3EGQ8utK7CGm7Mrsm687DPES9I
WQSKZ5QxcqdZEqx7p3srAGqCiaGfLfJ+O2k4bCrlyq/a6d9JZ6p/oPVeya7emJHEwdv8zOrM30D5
8A5RPpI7R+sVJR46t1YmH51NO94fS9DnhvWM2i9ZCpzlMgyHg0LxQe5O95w0RFdODFcrjUhR0mXB
xHbFhw77AisIFdciyO8Zvipk1ZiRqnpGyHk/i2Ig8SZJrhYL+7xOoP04hbfUOGOsbgFbIFpoBjyL
4FxqwyNyQNoN61rNXkJNIxq1yK5tL8eD1JNNQeVxE3UVcXOjvteM8YWKDYZl00FCXqZvDg70jWWQ
BxvPKt5hiPBGFOy7UGEY+0bD/a3k1L1Wbbhu6lI7B+Et0iq1StmHr6YwXZUdGJBQmdvWHf4vUee1
HCmTbtEnIiITz21BeSfXklo3xC+phfcmgac/C50TcS6mptU9I1dAfmbvtZ/KhYAuWcYa5xSDgn6h
TiGUUNvGIF+S3HhHgYl7YSpHGMuecQgt0Cbo/OObsL6M8p/QSzz2bb884G36Af34J61rwgTUCEdy
Sqqd6zLJQ5Zsf3K+xUYFxbBwyl1LcbzViO4BTDP4MNaqXWbyhjkGJiHc9h2RC5IA20i9k9y45+R0
DkYp2JNpxWNKFNkHbgJc3gSD08XQB8gRSsSwNs9l49wAJru7irsIGNvsWwME4JUsntZY9EAbqmOF
qXGMuPUNS76TKczgagQ90A9nkbwSgRXdZ33hJHS1q0v+yR7CqAT6aF41lP+XuB8G+rgKZqMKoIqa
RxGW3JNmfFhsRUQp8YpoCAndxBupV2rbF2HnpxMbq3kpRNBWjAaUZzKzbur+aimdoAivTE9GrXYq
clJc4CXfVIKDJHrrpHyrPBvRa7UcctW/4gTItlkv30ZBHienxvxcY+SiAAZzwIKSB6Wpro7O1Jfe
3A4ce/hGZVsFSQfdW29wVg12Ar3Urc5aEz4NvefutLQ/kIvWvS8gCDNqeWWTX2wL6Po80RMUKW8A
6ToQgVbrk4P30ePgx7fFz0F4cTd5ZGDwu15iYsxHsF7+ODYkzTCPwQzEfIccqsi1ogBMDqpM4u1K
6iynVYc5a4hMtwmYJHbv02w9AnnDbCvL5RVBx+C7CzYH1JM7O+/+hsyyGbbWH7Il4jKjEZhG4Br2
HKW+dFqc1VFyyyWClEqjnLRp4MmTR5UAX4Q6em8KoOVF8oFLOb/UUF1xYqK3ZdtM4wL+Eshup+MS
1r5lgz0GlXa3GXRW3NBRjqWDhLZE2XMyNRyUGRC5vMbV10kmZlinVcg6CrAVsPbSep5tDdJqT7C8
7YQbSo8zLWXvN5O5i2enfurr+Mn1mlcFfzkYwh/Ezi85ETYGSuMdze6zt0j9cCGYhxO8Uy8Fx0ni
AvokG+9E4btZCqO4zEbE+cIorxoo+LNeu3dldm6HanxWjVP4ZVoPvqdQyXrxzFIpwm68kvyEdbcI
2NlCwHxxRHP4TQMvtrkSXmDP+uPY/teE5t9RCiLhwOXSwUZEnOmrWJJwSx6OqC95NM3nWoTfblR8
NVPyE3mfoYy6Yx6CbUmq5FoK/al1LHy9eWNgGkP63rGVDIiGeI/ZCm887h5/7iLfbUSNgVGP8cjZ
Y5BGIgKxM/rJCMoLuoZ+zEIGH1h5NkIU5M2TQvxc0/ZejBOEIcoTDAtHsg54p53qszHZCXoeHKYY
86BaeVAQWth+1eHeGqxtYbYvjBX/2APG4dFLdgMRqftx6Mkejf7SRjUbYePUiqiJNpmH/N522m02
ZyPpaN74NqcXq+vV6xQC+S0RbQfmNP1HHbH4i2tjM5PipIlWZwfMiTn+ZFEYg6gzHlPVC0gDDAts
7YajSj91PEnu8HEgcrXhdAmPdGHMNcbhTLysvi2nCuTBXoNcT0AFeHlWAqrSHl1Oq1sxDM5pqVGt
DYJ9WT6W3i6OizQoW3IS3KFCIdbrkMI61yT7KGsCy8aoD843n8ketEqXdvPW9j+QEAmccpeBMdE+
HP52ndYEWebFF67CzE/H+I3WVfDAmzAGd72vLcuBfCHyyDx4VFW7nIaGXBwm82HLBKiKNOvkAfM/
S9o/3yaESzoEGugVBRZtCRlK6FklswK/ABlUtao+Vkl4gkhF6p94Zoz5Pps0UVPtvJQ2vxDEBqyl
hxOPe9ZX3P7UkhOzDg/KCTlNExFb5msJ7iAgx4SJ8tA9aXNyM9bu01IhSs3x3lmQU5YIRr0NBVWm
h3Ix3iCtl0zSGJYOW6IcuFZR9iOlyzY54reAeEQWCgTYBt1cvoXtNQxZq+uOF59KXLprzHJ57FL8
xBoZGVzQy7W10voSU7qMSt5HqRzce/SGyRjtMHGEAEaD2UBA0c9HRi8chC71HZOdHLQTjnIwercS
AIlbOo9Fbqp7hcB9qjAnTlUPuDRz/NjS/hvJTSm5Nw+4RGjyGAhY6VIFzpI8yIUoI5JZLi7JswhO
SAq7R6DS6OWPKU+EM42b41s6T3geB7cUcSqeSINpIPEhsXlfltE722P4IqR1rKuMn0128BkFenZl
8X7p+sawnPnEeDA3nelcFO15jBlBDvr8s5QLxUM58v62n9IdtrGDPj70wFxxTBpR/KdpCAZMARiv
bcCPUDNP9wRU2po2U5pe0EGc95P+3mSY5hDi70mlPRLJWOztjmGkO7FQnKo7T1eE1yD7ohAMR1U+
OxOObkdIcXS8o1sT2gw9WttIrX8Pk+U8u4iM3BI3cJxwDXgiPfeNx+MDLo+J7XATTj3Ku0K63Iot
0ccV3SA0LlwwFf5dBebEJlsv03ZmU+zCJDEP0WAcHCeiXV0zHMgpAVuAvi1N+zV0oI62LABK5u/Z
dvLAf6FgfsjibNx1xTQFJq9EnxGa1I5AjQaxdike9udxwWiAXHlTTMwKx4Uda+nCjG/5sol3bXsh
gzTsDnrqbPnva98k1snkjmdx259tmgdpeg8aA6nTogm6rgr0/RzBCkjcdwDm3pYbmn2PW9xXwOlr
lBNQjBQkDikoptgdjwOCvkSXn0l5L+wmOarBOXvpFflU6VsxQVtFoh0KhJ0425k6gp/8ozWXX6Dy
BEJm+BPP5L2h1k98E6tLwLzlHkWKckEgUUq8Ai5aTj5158UbE/JxEVk/rbLgZCP9HLL/THPm/lim
Y9RJPFXdsxDjUwswmwkGrV9NZKtGibhZhh8Z649EDSCYq8VPm5bRHnzsaf2RWKRto8gOOB6+qyi/
MOK8Fo13GTPvxNgd2ddSvBR6+xlzOlJRuRfKu2aTF8R+2QOHcFsESlk/8UhegNG32LOik1e1CGIB
jo4z7jIlnXOhXILWkUEEEKReUFKfmnabEgKCaGj4xFryw7u7n4a+Z3XAw1jxlG0yUixVnoiNvl59
BdrsDQgHK0xiDOhWukHX+7e22nSvufltXxVKBmbofILBaLZheKLSc9ODh/9lM6Sv3PPvWV4hmAjV
vez/YUI/5r3X74mkUyv6gWhTBPm17u2hUTFOi0zrlBjj1py0mZo1pPr6/bvfl0FqO2wabTC78V+j
Gf8X5Fy7iLCWxxTx1bE2cIlrQ2fx3CmskzZ45knLVLvJwjXBziPTcVIxGgxv0w4D5g4Xeo2nEYou
uWLS2ND8MJ9Hv9H2swfQ3iH+7kRlHZ4IoHNBL5Ctrjw93Q0s1zfMr9d9kDoS/2hvp9r6J6eCkVzM
UoLTdgYwwJOk9c4ktGTMTAdOGIOJNpPyvuDTOcQjbeRAckhSEyRCYCk4sWykSiI9lwxvMoPnGjG7
pdR1cIz0MAP1gJgmo2ARODlMzAqP+vqC/BEQsypXH01F/udAJTElRf/AstxH9POZJnl3i4C4b/RY
S3AH0YOmon8c67PBkf4kpEaigDU7W93ommcv4v9Lrfe7ENubBU4HbRDMjFPzLW7Fc1sRGs6qwLtm
NDo27m8jm4fn35eoQYooIvtv27EAXoZmhLqZDOj8MKjI2cZzgBpj5w6Jdi8cMqvUkLMFmFvUWYIY
xTRnqLlG2LlQ/tlZeAg0IfsYs/5SsajnvTQ/3ZbouSGn7dFbcf99cc31KLe8IWDe8+a5MTp8eyKt
3jXfxQTYHWnpAxa6LNBCM93NeYjLwCnO43WyG/fWGrG3IecL4wcwadBJ0KlQa5+QfdcPbhUiBMye
IGayQyTr60XpA4bux3Bi4wm8n7YEIQ8KR1vSkTP7NasVkDe3h3G2/iPF17iPzg2HLvePWOZd41V3
B5EbTWf21urLcOutXOwGpMAb4bZ7qfTl2U57uG925O4Gs3t3FpiVff4dsz88FGb1PCdJcsvCcbkK
kq0EG+RRH+7KY0rLZ0X7PEZoS8WY7slo4Jfj83MRV8TA6uyh2mDQl09+G2a3sDVbcFBZFJ2iknGY
2V2SonydNN08QIUlhMV1or3J0OwefWGiUxBxXezzGVX8oHHHGK7YmG7+J5l+6kkxTq/JmC+1lmTL
QKum46jK+qXMqj81KrlrpPsttrGnKpeXNMvSfWQlB32EWd7+ZpjknfY3s+c3ZFo1ebpEPZZhQkZp
RbhJOOcU5YU8Zax1SKPEpY6BfmA4+Aa3F61aprnBmNQ/s8BxZSIMvBHvF+8cGwKG9jeXqRuEub48
WQz3gk7LyKsPi7W+ZrLWFZH7kGtsd9i7oulZVV0ZEkbfQLt0Uq2lnYTGfmKu2MeRqDWf9PJYopRl
T3dTfWTe4gkSdO92O7vl8qgS8qEN1HOPc8VU38bm/BU2wz6cHOvdMiihVaTzeMk4WOkj5W6YBxLQ
u7T6L103hYn9IHEbAWovgFE7HSwCKYa9lXOlSiey91k/m1TpjnYGzekw7fTyx3HsvqJU+1pyF+Fo
VGfHolqeEHW/CTxR32TtbNRnxGz4w6mnPwrpIhuNIJaJ/tF5sK3cWXee3bLhaZlrCfl7UXxMHR0R
HPR2ozeXa9haxtZLa3xMoYc9ah65MYfmj9lPZKaGzCST6B82zfppmPlFGYVBYrkQB8cGyTV3rXMx
auOLzUHQh3P25FV1zeIwH5DEoypF4H7iwIgZIlbqtVPiS/Wy+DGHmzFk3nft1N2G0xwhqwIwQ7C4
tp1Ku7zIpLHPSlhIMKrRZaXPo3UakuLbRF45MGrI0Lb03jvp4DWZDZXtT4S/UBreqJaYQk0gFaFL
tgeLtTJfwWVvT17b1Wb4uE1Jw3p14uhDKzvrH++mvxihdWo6XWxKrXnuszHfw5tsz1Yi/VSjmI+x
UwdCAroXDklN8D//7+X/P6QnKoHRLMi6EvGJzyfaTSE2CShNCMXzSb5EZDAD59SeJFbLl3AoPgmb
bq6/H8kiNXylJpbhafgCQUJ/Yd627HQD8vDvh+GAz4Ca3ma/xb+WoFcynDzXuA2vaKgjFPfgI20U
JoJz7f7/L1yzko6WAlVj8/T795Ox/N//oor65jZoJHp5u6aZcKPVn169HrsxgSyN4mIurbk8ssX5
q5lrzP3iGdtcj6rLL620XP9Ut1hojdyCB7NUKpAjA4x6EhD4stTwzgZgt81sTShW1w/7IQoxt8X8
MwtC74xcinNnKg+//9qu/5qs1hOylYutaaWkBZdDmvgpQIHNzFyV5Gy2tdHwNfWDd3Jn74MSMj7j
A/RRaiBmnyzzoB3rZW1kd4ZHmgkKlpGVJBHQ4ie0Swgxy1fO/b2BUbYdG9VeWJWtHSKb/XzNY1k2
mYXfDHAG/Xt4gni7kR0yDEQk9W6c0rs3q2eN0KTr1BlA2uZX120ROUfkNGZuddHiAUCmRqwwoUqf
hqbdzLISJ2ToOFWJIGH8PJnziee7ItHdibdiHUCEsWCWvw668uSP1MTauPDUBgLhI6c5r34JKZp3
V2fGxiizKh8RIBBmkhkbz9NwZZJVowG7VlHMMirWHvrl2qV84tQArFUsnKlLP5+I8Ruov5n+hqV3
sbw1WhvXrdG8tIoMPLdgCZeXzXelr8Fzs9se0p5ax4pAZmtPxqQfe45Qiy23X7PGw45AWO8ip209
yjtAOPbmtmDYXdGV1v1FOsKHwMwtCJterGBCNdL/tN1VKaMIBI+VFkNLazfjX49U8kGxzsPxPG+7
TOPCMqsrg23yg10JHHraubI5zpN1HJ3qrx7hxzQaZCosqDI/N3HfEkbNqq3yDeBCvq7r0x7ZpgAs
bDADxRpUS4kGqG6fwKQFihyFg+THRyps+H2YX+wiDrjmXy3VI12rzaf1Ob5klJahdk3yZD7UMmLa
xRIAKYZ31xvx1E6ctSIktjtEUHZEgbRFT26zeJ6iLUYIzuMW0SjEo+08uldPIWNzOdB7acit2QLs
ZGeT4a4OVB2CFgbsA2463HI7Lxt+9hXEav1RrUkIyZDnQesivo5ZGGi9+bXo8w652Qw/D0maLRDp
So+bgQCcjTO42UUN7aGC7buxi/B5Yq0YSlo9bQ0ayeb8NOdwnosSZhY71ZznzEG314spy1+hSu9N
cpGzWUCWKKcdcUUPKbtuYxSn3ppvZVXd6Pp1K6OTJrJ3u1CbJdkdU/V/M/1qIpNvMwnvhgZgr0kH
Rjbt6o+DDC2F+T7VF+bbzhaUmKLkDpHa85603HogL6EFrdktNYvwpHL2sRwLWN8MRZOYGOgwMXxn
LV3wIrFhGnAgsl8WlfbZmeGWDAhScmb9iJqFDpnViVaSXalitRmagzTIWtLgFfmTZMpjXkZEvWAk
u5disUlWXCiBCFjfM4E/jvDKg6mLuq1cjwogDHgcpu5s2Ubo07QWyHjl7+W3JbAFWtxaqyDE2GPM
C+yOhD0bYCKx7yzqcr/JDHtHr7doNIplLd8TsqFUhIO1xlGymbL5KGskb0Oe6QHjD105jxlkOrbK
IHS7vPkpHSJm++5iJ/OzAQCMWl37A1r1g51TchyQVf/WzuDNiu2clEzX4n8V5HZax5EgRnIKFBFp
TCDuk1Gp0zjGuFwwUmyQlj8W2IN32Zq2U6wvHfKRwKjJH/MmOz67kfenUyXrqARqmKdjMCjTXW/x
s6apwwMneywdDYOm861jSJxKNiZ1NS57qgb2N4si9JONSCF0DOkgCmONZNG5AVxaFDQTUoIYJpyG
eIqYXlWP1Na0x3076++zixzEFAxaqU570tuJvbAy9TXIZDxhpP2p2IybeTOc52R5a8L+k4Vr4Boe
aS8hBgNu85wYvhFljg6NqdnZZL70MsvAVpJiG4UusOc0/y51qzu7/XKREowgpw57rvZBAx25KR3w
gJaTHlQR2775h05kCFwBs7iYH3sMO6Ji7MPEsN+yuhBZq9+w2h0ifuNYEbttpOX/xDj3+7RCiTBG
78yYX1oP3Ay/CgCyaqKFHl1vk61rfLxw0F2N+ujwLW0FnMEAFTzhwK1gCRdD/IwacjkITCrOyq0O
hWjfCgEEj1qKYpGpW50e0bwiEcnlNm2dF5T5wYjDzE9dtnokD/ncZabvhMlVm1D9VcloBTPSCK4j
vzBcipMIsQsUQoO4GYKjIESLeGGdgeOsZ6rTZvUm0URzhGGpCr1BRsiWkClNNefiQGKns7EJb4w0
fbt4Y74te/0VvyXbB+urTtAmiYXt8jg/mQhEgScAJxzCyqdDY5k1PaH9OQ85QrzOgeHXO1/cZZyO
omFo2yGMV8/5RDW/cAvwdOYZIXX9o0IUwM69wtDGN9/2LHlDZHiF13E78l4a9eiz+re2xAQ7Ndze
Hkbzrhggq6sFQONKwDKTlsp2iBhMcexRBzYb3dXewjW4DbnXRWSqfFpQSm/YbCiY8ZVN7w4nQY/r
n4Rv+cRinxFE8TwAQzOLleuNT6mS80l4Q83NC9/MzVRydOLyaI4UWygqhJ8Q1JXkiEVDTlKsp0HU
LNYRbGy3B3r46LgO0ZTTiN4nWEr5rwWC3OtlYIUsfruYyLjEsy44odHXTFZxXoA/sJuoj27c4jG0
DUYKR2lTwnFcLocy5m1ZgiaOr/bEz5nU6czt3Ow0R/9Q6PmwjRLrQ0T0Xk7IAIlNKCl2DyARCMHg
dxnZYR+g9UPtsRmUuNSFIq5NuQuiPtXt8i9O8acoAovfo3uB900fFXnPRGTnty5X74nb5SenrdcK
6dK76mTYzNN1q/zTZkSJzJD7E6f7AyEa9yzJC2VjcbiQpUUOCuD9rN0Wk34ReZdcu9HyVdM9xgVs
RjGU7m4BtktsHE2AHatgJHsuKJblA/DoWovzsCFZZwf0D1UKwd6NVSZ7LLSJz1d8Y9bZ0YOHZI5Q
DiLmdGcqggq5GDzOhbEh+NPOfJ4dbqHKkh9h2O9026w5P24T8s4gR8uJFxBweZfs87uUTYlinP5a
uuN3lCX4BrTQF+5MWFy7CvZI+U3V3oWHsaXtehAhasDIOFWRQX6LNh4UqREnhpGM/3QsXLmB1aFk
DP5sOPtZUSWa6KsIc9nCADyWtsnu0WxdNgCTyQi93bVJnh8GWT7XifGf0VuUM6aeHjKYEIyBW1Rz
QEbd8WDidUNXvYXWXG26tZJ2ANJ3YXqsVcTtqn4aga3GUDW9Wo3blKxmE38VBpAdO2J1zHryMDqr
4bg1FFNij2TSsfxSTEOohxzms3P2gN7M4KZm5h3xq9mFI4at1GqOqRn7S939Vxr5s7CTYccPS7rs
9EgB/q2T/nfgsN4NnuPt6c2Y1yT/FVV3TfE7bkxnhGhaWtjYi+Jpdg34zUvFBKGemezjst4q952F
49+q+28aGjfA4PlS1865ryD0GhyTw1KbSJ3tZhO1/YOj7AVo5ifb7Z2mu2jtY/Ov02GlXIO591FG
1oEZkWKe4XVb+doH10bpN4/cdpaGWZ+uDeXdc5Kk1RFdwLYBh7IhrJgILyxWq9IeaVip9m2zvBZT
+gPbmlL+nRYbFcAggrrLFibDvOX1ApSVxVCQ2d6IDUi7trpiaQZnDWECx5hFoXZKmWLiRjoaCwlT
uc1dA/WU/by5ia3oP2NCAR5PpGvRyOLrKLqj3u0s2sCTTNYuIUJE430UskY44Xkvjs34VxJjzOjy
SY76+8KPtqGepErgx9eQ9dtzXD/js2t9nTnazsa2KmaTKV2+uHsde8O2cre1EldzTF/jXIv9ut8u
bshsyVwdf5Jmqk9aLgLhV33/mLdFdzAtqjsmoggYxsVAwIQgNHubFcZc8BWcLCmhNWPjcAEISndT
HIY5tB+KOBOM6KEGGHwj2kPZ2Papq8LCR/BLuRiR2Dhw2YOe5MQjxYsqOScUu2r3cV5IxqIjjrFa
PoyCLy1XrS/WvlNumohIG/bs4ok5XH22asPjJsa1NXPNGiabXi/hFGTmXvEIaDaxetAn1iKz41LA
4h0MzEXcLU3+0xVCgcogUnwuLJC0ZFlqUXZfPDujkrQaX+vA5Ehi6TOSJKuaEGXWZoRFLjwvRt6n
dNG+E8Nb5WtA600G077FE3jvxCkavc64lNkjcYHJodKMhznRzmWe7xzD+qagpSxm/LwFwHzutYyl
qiFYf3oRPpBF/mizrHZhBc3YNmTQKMVFpC2Bu0qkEml+5Fr01k4VWmpw3dzr9qGnM91J5X3poiH5
U0O8MTRkaGeArx3AsTt3Xu5otcBPaENxtbwJMVFOCqmho75XY7YEYBiI+F1+Mjdytp5pHB37vSZJ
daM8lymGQ94Dz9SREGPebH1wD+RcYuJacEBqztlQTOC90M63D/wle7sI52MK4EWKBNrCsLTQeKkY
Q8P4sDxl3j1IQy4je/ZnFNVSpM+mbagtw4UnVq5nzv96X4qG5QcKZWAhbfaSdx2BXToVladpB2Hx
rGjS8rbULbnQwyVFYvkZ1ejalr7zBzUQ2AJnxHVytmJDV+9tsQCahghh8gUBm0R44QPNjiHd2mCB
qfR9nYSsXWzZLyh4Cn/Kw61W1ufQaLWDWTIjyXFxWSVhMV7ZoZVgzovCpXB3Kuez1In9yQrx7o6K
xi41HZRiLkVY7G5VR4SKrTifvEwvUfmsoiI23oJnkJO5FgGfT3wDbbBAzWLlUwd9/y+SwB60xgv3
Y9kQIjW+xaO4elE4H4z+LDFC7Apz5Biw2fVILyGvcLB5vNTlR1KM/VUVA8l1XuL5wB0oT8vJOPIu
9XWPHE7zyCnMIfGSMEuFge2/jIEjm0j5oohgPDKonjot/VmQxY8abbSJu8+vhxWb7s0IKwFeSxf3
UVYx5iwK42SC+dk0hkNwBlvhjQkDrGpwni4HNMQs3nNKo3ZkOB3TbnVvlsWiwnMuoN+uypLI6jQK
/EntJLNO3VgzGz0gVHGykKNrYxAbkus8zypYpwJpARzBqfPPriflL5HZ69y0xSHm0k1ap9/mZf6s
0/ezWK6vrjsxRoVVuGWI3yJ/yyJGGONLhtnbN1EhkeXBNr3SCFXMYAUUzFyA980PpihXPBplhq0R
MmDo3ckt2tCXA/1E2+ooB+foRIB6wgwZEXJsUOny+81mhnYclWjc1/yazDymjKSs1eLZmtq5X02f
vx8tJA1ci8S6IOOunpy5bLc10OogRaPcMBnf5dYZTeVXSlISVeDD4PXxE5uQ9MhxRkM8z3RKWdQf
YeLFj3otkBSY1Wubs7MXcjKeVKcFmSOLu9khQbInwlFo8cJHOWGi1gyqoF59ylrS53aDuQORfzOa
Xj16loWrJy5vOkh3USXeY4uh8LkvULgIOzT3c1w0xNklKZwSnjaul7Di6T2ypkT/ksh+eGHijWsf
ypFcxJkCbLy5RoJoKl0Eio3WBWyCKX+cHROzB7K6jOAUm8Va0E27hRh0cEwUNW3U9bffFwG9YccK
bmTvcy2d0X0oFOQiIpOrA6pCEAFRlh9hgPeR8ZJZyyPuT23HTFfylmj2H/WVR0VxXZqx4xtst7EH
T4uBO7q4FEUiZuoGXM8tTkE3tbH45yk5P5TLUZYhaZmZTc0GkVibvOh1MelHWpA7l98PqxFL11gg
vaM9LfYkVQFU7JHmCBAZmwbHEVeZad8EWN+b6f0ZKu1QWqEHmXB0Nmw6vZtQ5hWcxozPdUAON4tn
izCRI5Jn6lw6NcJ+olc46w4NKc9TK0NdN3TaPc8r7VXZ0SdT0OJeDg3zmCQ3yWKEFBcz4011PKkJ
WAV8TQgQ6ER14pjC5hgbIwI9YKqjFZMZMc37rIC0aadEAk3kYFWJe/39oBeZAZUtBcwViWSXumZx
HVqUa+Xknnh/zZmt2EyK7n1IZ+cOp/GJ2i/z6zTM0cKOp2iiHGS4Uq5FWvdIct3dVjNDSJl2j51O
jodNyc++q9+ltueBnAZND4Qraa4uViDmnra5dXCLuS3lgzUtV5s6917kTnQwE5wWv39C9ofvxcpL
zFZ5XpxcA3oFRpU9St714mrje7K+1DMzT+QLQHFIHtmMTpY+/76UjMhJvPqrcGOdPLeJnn5fFCt5
LfSureJXXgJw2c1tMz9g3t3V1ZAe0PRz+GN0bjiBp9YpAxZB9vJkrBdAvAD4cHqedBzy3UMuY2yb
brgbcmp8b3D8zuhL8jvM8alIhW9MjGgx6quuax+kWZgviywPonK0AwZz5nOdVzz3I30NBz/7kPYo
TWMb2t0/vSqgoTqHLIkAFBaMliPSFyLMsFejkfOlaPEr1yMqTtUymTYN/TSEyRhM3IxFOQ271MNI
OQA4YLkAXT4PYRml8iNLJjbtk3WO8BJwe25rXICH0uzfNOpthJnGvc9A6oGcabQZNk517PlPihY/
bEdWIvOIqTzhVmjyzzI0xuM4w3VXzhbujAoyC8VfLHW/+mYHh97Oujf2qA6izfbpNMo/U7bXOzCC
hZf8LRNH+svAXq4tSEvVeW5HQwcoqfjsw6y+FvXy6kygTTMMZwzmPExRbXhcu0R9FdLkhflgxAjX
hhH9cTEy+ZwTVx6s6IjpITmL8aQ4VA95WaH9tceTHQrqCbS0jlM/EmPyB0UYGS0OeU5u7DEUJ3hv
hJ7LZ4AxPic68VlRD264ID2Lk3+DI1VPrTcTT+27ox4NTzvgBXoIaY0ewkT/Z3GbsgFtTgla1Z1Z
299tQdEwk+jWFz1Fmyf7U2jNsKIYqDoUxsROM2LGFt9ty+yfVtfYKCpGP0NCTnU9sOPVOvh8KOb5
4+8LFW67C/Py1SkJtWvZ4AR4ejbmjA7u94WUexylrGEY+c7nMasrrGcgEPpz3BnfnTS7oMI+W6eu
h66WrmfdLDodBgR7NURHSXthkaiLtt/HbVdtatud/cruom0e6V8qBEYeCdwoTcjzAELuiaEY6Dkd
+aQeUg6QriNXxkTvjwhZRwMncOt05nlY5pcmH8KdVxWo4c7AhxTU33l+LOvin5uqZZdN8j2FzYzh
fAiSwf6ujOmjrXAd9OWnq8LJV/odmSKFMG5LLPGCoVKvkyZD0xOGZwf8phOqn9KKmVG11q6Zj4us
Z/YtxQ0V+c+kGGq0RTzictVpW7WF8dzKxq1Qq+xHFpzJbNjcyaQvZCwFNklFeuy0NAL/5wD0xJnQ
exj6kcnkKwb4FKcLIhOn2FMrBlU/fruwMXwNYjtfeLeQl8GGrIPjH62areiTjpZLeUD1RVN+ChXt
bcxstifloi+WTejZzq7vIgwHjlGdxEq3q2iR+lWu1lk5ewKVNftUSnrFQozXqrXmrVSd3FCRm6T9
EKxmlsAfYsvvCoPklmJ6aXFUcATrXwIFysVz6GhjrfO2VV9+RA2QhKm3oCgkXUGzBcZ/lHhR8cui
+GpSGGbrkt6syI+P0mdp619Qck9gkA6SyIm4geLdCu9SeSFPX5xLgfAekck90Su0Bi0oukg2pwmX
qMvdwTiGxDx7vLFmeIj0WW50kb8UjGCGjtSgAk6Ub0fFD1fKQ11XD/oaxiLIFxpMprST95q3ah01
WAxkd9i/0m3RsZQgO++czuY/C/vdquH4wpn4bEckAKTubB7jvKX9achIrJ34HloOacjMZ3djlylI
msT2OD2CP2Q7HnM49USDzJsSItDiLvObkfCDpf2XDl6+/R/2zmM5cqTtzvfyr4UvEi4TWPyb8oUq
Foue7A2iDRseSHhzT7oK3ZgezBcKmQgttNeGMT09000WgMRrznlOuuqk/vkSjqOzhWGSb2XtIz48
ekVuBUbeCcSh1QsmJxkQAjUTtdney8LjYwJAK+lcj1NhE63NCAEN7K0YWu52hu6bdGza0/KlJr88
ZuaIB43NtKl/azedAswmLAGEuNK0IQRyx0PkTeENX9206eb+AhlSHfCEotXrFTq6Fyfs2n09ub9T
5f5VEZ0kETvZhblu+thIYR0Ka4pZlrVc1OmjNPNry4iAsHO7f2DY8F4hgTqC7I73SxMtb5njuHjS
GXlS834JVZunOGVlzbE7uFhpwoENcd69DR5yxyRSBOQM/cNgOajHiIzeILOt4/7ULhGpV5JILHTf
ZJw4/Dk+N5UlS+diO6wKmMSjwVgXSlG1Q5PrnN2UEim3XiQb781sN2g4K+eEHN/boiLipmqxmFan
NB6gilbssDLg3/sV/paRaHMlmg4ZF4lcsQlqNwRlM6HgRWIXPS0+2z9czYGq2t82SK9NWfbD2ofz
nrfLY786uoyyczeNbr19byGFt0z27G5iRWtIuLXp4mE+I286dbbzkoQMuoQn6QnUO0kd88UKoWqm
NULpxH8WACkznyKUfOjhFYrodADtehor61clzV8KpNioIXRhatj1DR2BUzPYbdLwk1haEJsCq1Te
Ezg2mY/GIMeNVtETPOKfBLdgInVrrNCSZllM7wWG8MtUDAFDdbR1bBByr/+MBrIARlN2n67SJz/z
2lM2Ku+QVzbOTGoDFuDFycjqfUeE0WagkA90LXbd0H0gZOpeK/z+T2Hu7hgyG2cDaRjjL97jsiqS
E++/fkPqEy5RYQZVGbvkfi7kM7lKXDx3nI8UZS8J+3mEwcj1R5U7wD5jyvBEPfu9XkhPYuRTY4rI
zLe+j36miPOfJncKdzozjjLBIhlOszpXyweiy2TnluxaREhEUjPlN8IcxQvS1l0fzfaOyKdAubXB
ag39nKqsv9getmDDCkIi9bDLWVJPTvprzOSa/ZG9MxLMzh1bl+1g5M94MCiiY+80ttAMHBxTtILk
9BWlFtsoL37GGPigkCE5MasI+xANj1nHf0Kd9JAHUIMMpJYcnQZt0CzzN0CH7F7GHpFZ1N8YB0Uo
kKG2+hLa96DvDHfsU5ROfwriz09NI7qDaMES2ADKlMrIO+fdS7fNMj+SxkuT4EFZ/Ju/yG+5+D/m
mjA8VMybyraIVrEWazNitUrfSQs/dPN4H2mSCu0Cqte49TxXfFhQT442DAybvR0zWMzDrZlRN7Qs
wav2j1WkP3AQWleXP7FL6a8cz36uRVczCaaRrFr3GFYMC/Fgot8vCnTeKMBdSiQzfORNeG7b7Gsy
gMkgEUcj4XpfcTO/54l+cCvzrgmLPRUVJ6xe5J4u/UFg/d7EVvfbQQ1N5tTdnqp+bzsFjWHqhqdy
mlleEA+lF2fvQbRh7Z+8WILlVJ551gYTm204RIYnRXGwVj5nW8rAw/rLkZT6XJ+bjE2fODWFuZc6
dp64G+CbHdqB4ByfDN0tJNnVrGQxUTa/Mhxz0GTbX06JWx5f1UbEYXIE2YsTpt+O0pN7nFQjZyBD
MrsOj45nUfjau4V4RfrbMN0STbUVM3+ON3guK88IcxV99Gq1kJETHVKjh2fhXXOSoA95iOWKm+1X
jlJr6bzfIRAdssbKx6VCfrGg9sRStbccRgUkeLcYxWyAzZyJLOKc+jGOJQmUIDnxYL/KyZ4Y6Tbl
zszJPk7xGtWu3ve2Ig2OgZ0a2G6nfZpdCgYLejHvYGH6k9K809Gx1dh0rU/85dZDh8qBTL/fvg/e
K11JVLge69B8sdC+Dn+GRf8hvGw/ZA62P61+VkxawlqQDs69idjjJYls+2pUy212Br4bFmMAt4Fq
3nr1x66L8hg28o+bOE/x9DS460g200AreotrVj/LJP6ZZ7JG7v4ikhIfSjn8BpexotfYrBZoP0uy
cmUmz2Rorf3hq9sZ/rkeLOBXGmkBQQQZXufFx++XM+HO4aG4o72PE2ObRGSixHCptlkdNltFmoBl
G9cGnV5q0SOlscW0ZzPik4wJxKJaJO7OZczg1+uOMqPKM2GNbkL84858aNMp2yHTOoRNB3MmW/L9
wCmMYZG5QlnKiZLR77hX2wteGNaN4FGRXe1yXf3xYMfcLXKWW6CCK2IGzzN+A1aa8QMm1Ow5gmLL
xrBQS3daOvXlRH5+sxG24yueH8NssPcl4ZupHy1bGIdf00+PjOkHEgPTUwz8x4NIifcNC3De5Z9Q
02u0iX/MLjt54UrTnk1JpqY++mNg0tMc4ry/WS2JCNRhZDB7mHvY35OYEbheFrQhXcTicnJU6UnK
5tNcRqCThn7QXYaTH/pEq6oXyjqYN1BQpVrl/ZP6HmYARXMYge34VU/IEtrKug/FUO/nZny0J1Mg
L8XEKRZG32oxtnU3dTuLnNydmbHRL80USM8wF6c+oqOfYdVv7NDDfakN3lYRv+p6DjnQt6qAWCHc
zN5PpCKyEVn5BvYnlN1zI/MLRJhr36IflXOOsLKOtkD/7wkUoS8P6lmmircK5T9QEkLC7dREgkV5
3seIhqvvxiHnrzJf7HTklGFcbeDYzsVSHHKfrMFBOiD5HXVLcVjCXDGqvblwUppQygbARcVkbl0W
f3ExmEEcsl4RKEGW1DY28IAoWvrij+6t9ahyBnaPmAS6eAp55To+KmOMi1PbPTKC8Ld5Up0Gq62v
aadvbDf+9kAn0R6ghIDR/c5qOwNA1h9UzwaKQxuo+PpPWH5Jcjb1iyimfjPr8XuCGrXzRpy4Rs1L
3PJgfU7vrWNYfK7etchivFz1aO+yAj5QyP0bRSo+VNW9jnDPQdJ76PuclUNa/kzH8atueHS0hczZ
D6kWcMATKE3oYl7HT90yyLeGh8+ZrKOG/xV1BOKil2UtDPSKcR9n1r5mpnhsh6w9zR5xcY1mC6yd
C8YGzTNDGCz5bogRjdLbR8lXIswUR5CJIYf6txznXQt8/g5HBkl+Vu1KwwaR5b+Jq5+HxS5yoaIZ
SV899pa/FgkyQAw0kp/H8lcXGZIchFpFWu7KieGY6zIWrqV/w+xTnfqORCUPFxjeJUzmRXEeWHbl
7cgP4z6hQM6PIROGEHKXq8JnjR2KJ5m0tYWE2Vo4G83lZDmHlC/EOMj+xZUbGvinJGFJX5QHVSBG
wQYnNtkadycmqu1iqRyoBiXtmSj/YubmA5gFTtmS3m10Bbfs3UiylyVtvvEQHJLB+m1HY7BCJdoW
w3xGMvDUTS0g2Sm9Z01Iz6izx2ymjy07soEQvr9Gsx9ABkAefRmW82SP2ZH7aN7YbXLQclg2sY/h
EwTLq8yaZ+iIKeuf3Yxs+FjRLPqO9aHITGIUP6Hp7AyKNzsklHbGpSGjpD7aEid858vrDA3J5pC/
OqoG7JAtv8ckfvQkzIrYU6+GodGvCHN16Pzi9fLLHvRtbuZ9qnGWDh57KaDxgVzSm6yUDUdZH9Nc
X+D22l+t85cRPsohLQkONZgSUozYTJEdDEFh9qi0SD78xijIPy/4u1Epqmgug8aFnlr3TUDgVwRa
CzY/cub+UDvJ+8yF8oruZ2dX9WFODcW2y7/jU+6ZG8pL5uBHwP0zHAehn+eC/zVF9k0ig8uux1+u
SOPX+HrM3387MrqRqs4kxkkPnIV9HauCSXAIKMRlQbUNlX6Bt+xe46wOLAsSbMI20o2R4SdaMDlh
/JB39cmPSvpCXk15yMPDHYSyLHdSShMn22gi6fbFEH7UORd5AvKaiCBZFry3KnudZpM2EYP1tp35
UBaHl0uJey43imrnh+YPlrhPCU/rqwwhyxGqfe/j5qZHQz2WC4E/g+awXgQZ4CgV1IbZvLqHJqVK
6B7ypQ43yiD4oi2tP3ACuH1dVb7npPBsRWF/d1nlMofJsNWt8+Wwp7TiPLBr+q5+KABHu1V1LWeB
Xgh7AeEg3Kz5PB31lJ89j31dz9AJBykLJ0zxP+YZe249warNG33r4BDtQH0HZSOcY4J9Kh+jbg9Z
YN+jGd2Zq1PcsJuLlz9Z6Oa35kAF0ToLQRYRbj4iyQs2hob5IhMgjeAHzZx6TuBTGI32g4hBvvnW
JyiyLT9HVpoZKaQU4nDVPdffCGhW2Rh+1RU9YF+g1UPbs/dKuzpi95gQ2fFASY+oaSTYv4YUzcDo
SYwBHSkgVWK/ikIiswiNi2yl8+IydN3ZEU6bcHVW9wTe4soS6XkYsHNWbSXOyHC+7RZYGpk5PGdo
y47SG52j1yZvLtUtACKnPYW9l1/NKVwTSrwK/Xb6ncdqCmpr+s5S7sZQFcmDjDuBgWbZhz2IF9MK
m0PRVM7BBc/MAoTYdt/R6TNYRp4qk+QJExyoI7aoQvqzYMAA62ag2SnMVZHetNQWaFIdokt/1Lbz
dwylfSmkO4HJyt7YdPSn0dDNyaEBZZUwBFOKthCJZOkLNpDumGzgA7hZ+sNb1M/M/i7Hn3hw3sok
nb4YrTC143LD/iZephQw4yMCNcP8AsyY0wi+MZET5q1PiYkdkZ+jSydokZyPY2dY+mz14q0bqt8p
bdxL0pQfRW9IJmucfU0TAhXiiKGGulq5XT1GivJtWnrj2rFB4x1MvSall7yl9ZrDPjBfqMQ+mQpJ
/iPQdv5NBZ4afUaWnoXjEC1Qmk+i1vlDm+AHbJo5efbQctctCrooOfs+J5WCkUfMDTwa4FsfRrfK
Nl0OBjROL1FmMgT9m9UMaCeZ1qfF0R/EdPubrm8LpkNwOIQf149hBX3Do6N5DKGH7Ff9NLthtqBd
mZ5aC7lB7iKghR077WokDxfPO2YTN1ZpyvgGW7o/j7qM0EeCI+EuHphFHcJflr28xwlUdtfFFpz7
fsjssWm2dqKTY9aTfQpltmMayIQX2pIVJQvw+4gy4dFXiJzpezH6Z/g+mYZEmMtyhpDOhC8v6za8
lTQ5Ku30tL4en4Z0/h1PNenSkzQC9ri/q9LTrPmK+ODbzYOEuHPx4UhhGjBviLftpzjWz9AWjV05
kCHAgNBgHTXUp963ftTUWJcZ5B6Pzo+R6J6jPXj9EyIeM1iW8g/uwROuYo/9w/Bs+mPPXfDLlt5v
lTrLAZtxhMjTPjcqI/YgXKuqVl6MhjW57cYMgWfbvIOTmhlo3bMI86UwHbHr4c20LmbJ9e5G6RPP
r02ZmRc3n3bTJDGDN+qAuQDZaSlCxtcX/kSmMNDgmbex3w/Mvp8DuGIs/oek31vVPOzhxVACenF/
WNT85QE3vRhusdcC9znTt6vq0viWIcvWfTVfhANMc0ytYO4xvIYokbfdOHlMqG3Wp0302QiE4gM0
35sKVXuCN7SgINafac4ur+0muA4pSmEyDfAQESy+eFeKtmE7JPItTZICpww1/so07wzPCZryd5zX
BVkZfDFVZgX+gpEVuFGa0DYQbjGxR6JVbh2acMPE4xZXqEiaQT127UwXXcC25CQtXuLe7s+RfFxS
6qnM1f5tqGai55T5VYDIP4Dc9I5gKKK9tx7NlnUWTA6/+EUn2gLFa+Vc1BdsWxloH5l8tfhnv5uP
/RDexxAuArBsJGQ5+teWRRqUM+RB0uVUiaI3JMjhYcTNoFrLuxTEvhLszBCBcqi8GkuQVc4qcKIL
n6JXsqAJVAOqfyVHYtuDDHmUkpaRJFqmdZX4XFqmlLOV7ZLYecgajMEF1eet1cUHkwmCODKN+lf/
pZcNOkhPKF9sE9SSYAviEPmg6kOlQufqxrGLhHLdzKrmMonGw8riyY22qY/Ttnrzi2itNFlzeL57
tsdHN3Uc2CeH2KnroyD004kZtCnLBF1lezCYmNlmE7EqDo3M0qZ7j0QVxk/Fq9PbuErLnEuSp93Z
4BOoVz5rtEJfMyclkmp+JDMsOgAu3TOOBTEAbXdbuM4ZGi7wjpmPh83QJsuG4uSDrgI/GF7MvE63
DO9KgAgptDhDnmVoHgobWSNj1V+mtF8Sw2mOTY9PG38nHhrmLHNonuWkKAEL/WxUdLq+KAmVIOL5
apHgUXe8uyt8jzvmQU3PwN2Il2OnHcqmAjtQC2kgRiNPjVDvBzv8xihyMvpmOUxIwzTfwm6ke9oM
VEJo5iqtPrE0XhF1rfIHBoplRAByqPgu8nH1MRN1djU0Mn8wiBJhTvmeJCI5jlm1Tn/oHTxce9uo
8t9FDdhIrLqA6TyBoTmb0QG6chKYsdxWdUhYdCoPLmRccJA0hpIu0sria5mLz3l22y3K87/j5N9S
wjQCmYSv8H74sSLvMRXVV+pba5IPFoUMRft+8j5zQqEQ027NGHxTlY3HHsB02iFbNKGfonSN9jIV
MBQ8DXkekyCYYYgZlc06J3X5aRpL0ciiCL7G8UdrRxbdf9afXDk/LD1POcmPEEP65hhN+UubFiaN
YaR2E16gDD7IE++tdRE0HWYsDDh15B6pYh8QH/3XMok36t0rnrXwEKV83ABzD6qLf0Rz8q5ZIcZ+
Vz9mPV1WFTbW2TRjdRidUWIO7clXZYiNfh4iouiahGULs7SYFCXW6puwB6Exax5o1+t+RkgkmBGR
HUdA3kMDLV6BpvLx7j6tSsGdMs5z5iVHaQhBLEmFy599yaZSrxnikE3ZdN9TiQgKwfDOWig4xzF7
KVYocbZ+aWu4EDAjqH61WR9XCCWwlfrcunHASNG8ou8Hg6upCZFGXJtIqZtB28ZthMI9DnDRQXYx
H8mMz84sGYjxziXFA4PPR6gCRA3lubG1BhYPHe58Bm+tCoRZ65OVhKyKOG2y31pwZNJg7LOC69lP
rCswpT1l5nPC4oTJPe/+Sc7DtTMolsui44TnA8J6hFYRhhzqtXgczqKASZsRIU6wUoIfI0z6IG9E
HzQyVUdqgTP/VUhC3zSSurSER+GnF3gs826h8mVl1eFmHwYU0AyNY1t/GxVgO+jUcwAiH3L5+oX5
fLZHvs5me3J+RoYIQjF+eiMfijuz7Il4i3WpDuyqQtSeJK+TOzPUDamLgeTg5FkZOeOa+Z7CGfLA
43v62+qhBdJF8HZd8DqU7iSeIsGwZbaid6+b9nXrmIErs+Lo4JThvZflh0kgJ1Qo3ciDts/RYHkn
pII7OpkVFcG4UESYrPp2jSSdlxLRK3Z7syMjzp5CH7343A/Bv/+xj2zkWyWJ4ikP3UGDXcGW+FT4
TPIbGxpXGqOVFZk/Bc3cUwpPMJpYwnUB0MFmB8l/YZgYeoFbC3P/X6IZvz0GbVihbXbz+sVA/z5m
58Eopk9Eqcy3W/laofO9sezpNj0C+s+uDpkPEyZ1+ueXQ73QUFU3w+5wLxilfTJK69YM83KKvFyC
UEgMYOb/40vqGg1IGlnu4Zz9r7/xz39iMWHczZg1lhFsPBvqizT74XFewfpw9rjiWNtO//ymTwv/
7/Db/59XbioCk//veeW3//Zfo+/mf8sqX/+H759t95//Ybr/gvMhbd8TprCIBSaI+99Z5eJfJqM2
x/d94UjbcqVHnGyJ9S/+z/+w7H+RfIx6wLSlKfBokUTbMsTkt0zzX9KXKPxdy1KcnMr7f4kqd23T
JbT2fyaBKwsrnDBxf3s+umXfdv6PyGKWT1g5NfnOvGy0wQNfRT2CDOF9OAgDdpBZ8ru0vkpBVxSb
ip69BB2mp+LbLarnyivRcruWcc4jlt4nv12e6Ychgi8hM4hwZ6XTucxUEsSjnCmXkycIOz6gqjhB
4y+S9EyOxHIiexdhs600SL3C2EgxM3uCpIEVFl316indYe4gPMT/LT14NRlgcT2n+6WK/6pKR0/o
hwY200l2KhtX3LL2jQlHJQRsQKJpt+ZkNPe0pS2JY4X01kGJbFbQOVKj0nt0F/UG4RmwyHF6bIr0
s1bhtIr6wocy5GCP7DekriXATX52mbjjvvA+IpZ/QdjwJRtzEGIpwiTGgafING6kg8TkZCKujef6
AhWeogdNCIlT7xUp6mvJgLhGkQPHRhQvc4RuzYWdhn1+VQtk3kE3MRJLukfXML6dHoWZqPLs3hXN
vS/wSZZL+FWZ/pl1VBpEbGajtBn2vWLBZsbZYRDyBU0UeV0+1lqnw3CQq7knIol9fJ/Hr4NPiz7l
xn5kWvUYoshiuglBNtF/cI9TQxZpe2cYtW/X9jqzYE2MBuhTywHLa+/FWHifigw90JGJAvmGbYD1
Ns0OyTkw94/x4DTPvjW+2qrsTtPMAD8hQEF7frvnWjngF/v4a8ljCMAFWRO5Bx0Wn2mVQS/vy/6X
w3BlY7TWH48oI9SNMCkq/Q21k0ZyQKCY5/5RzhUAoDgiMCYd+x1r0v7VGNJXB3PDwSvGeF9pQr8L
0wFQWU/NLWVSa0EFPI5N/jELaOnzQHnmQ/Hf01GvXsdJPcQFagrYe6lBZ5jyskB+oODkFJzabvvg
zzo85LlXBiEqoAOxKM8j6BrcZR6AMB5rRGaQrVrddGeIcQSZMevCPORMgaGGKdADlujS7VpiQJFU
kk5xlNmwH0mmHBR7tozYIVw15zlnbw92ZKPT0jnM5a3OfwoxDg9lirIUm8Qui/BTiTj/Ww/Gd8vk
7uZnod71nP2PMUibfa3aYLIAYKfer9rsrAc+/QicWJdWsLnGxXov1xlDQ6gX0zfnl+0a24lIsL9h
br9GErepo80Bg2ulWN8grK1iExzbMn1HQkQnS/u8UJJ85zJgxs+eVrj485t2vT01njhMkkh70TbZ
LSvCz7nIKcuJAhEQZjAZRWC0mv6UZchcQxTK2IQTcjmG+ujG6asCCQ08PtvZIUV/qv3uoUUhfSCu
DknITPGx6kImtFM39J8n9qR020cmIrxtAcKV0jpbonq3VhGt9vmLE2CqfjXEN8CR+M5BZ+6UCXJ5
6SFFz+ybB+5Rq1lOnq2632F/d1N0JPDh9jbwD5TytHG47Gu/cC5m05tYYWnIYp4pQn/3fZxCL+iA
5flGHbQu61U0OBcMmaNark3qir0ToQixYp5wOy1nWvQSHreByzWK6fdlzZtbu5E8JCNjLnS25AcQ
EkBtlNu/MR2FGE7Cu4oWdJ+KfiaZNbjUWZ/I6/nK8C1sLLBsx5mF/d7pw2vBnhX1YvXsjUQ0GKCU
fbPPvpRgazzW25mYRSRceYCqCneztNjORRoTGf4Q72CDJYCAHgfYnsCHHEXn/0Y8+wSJh1SROB1P
zYByZP0Rqn5kFy802EVpGjvlgw2ce1jULYAir4zEC/F6RzJrqb6nOj0Zqf+Q5pnzsDTiUKKrIkWb
0bERS+9ldjrvJYYRVunWv5f+ou5erOH3CXfrzpnPwLu5L/UEZiXsYBgl7wmmHzT495Ge/ImBVFk8
jVUQ8bY7j3D+66YMSC8DnSAwbYyJTSpPBBnbabqnf76UpMZvzJnIet4McuMhdAZ9syvtwab2XAVq
UawCIGVRVrvnEQ0S0nNVPXpRuaeYr9/KXmxVCk+yUgr0cBfHO0AYvCZG9WPN9JpS9xV6IOYBbQfa
/8nh1dwi9xCLftqpcd1fO8jWI1J3EC3z7ktyF+GO3DZW/0ODWXBlR6gZHtm0nuyTLBM+q1CRmby8
ot17aXj2TxpC4zYkBnPr2wUkB4KD3lv6Dx7fiVw8LvWrzS4XfDgooh99q8uzGqlJwZ4L0g5wtTE4
WA7z0tZHE8rYNVcMmGTdrZTiZo1cqOzz0DsA/eeivVgOy76h6POHbjTX7OLKJwmxDqaMsA22POV2
HU3QTA7ZUwu9bV3Et/fFG11ktLc8i607IeTYuyf3Gf63u6sq2z7YSa+B9ycv/oBzjhv+hxxF8ySa
iWXwum7sz03qL7s28/9WYqB/r+klEKL/cdLMOsZkMTEWZdTpEVC5z3R/z2mwXsFy7qVRP9fp4rC4
k/a9Np87q3mwLedSA/97df30Yxz5rud6NSRah2lw09dO8rJwY1P+svphHzWjj0ovCqomEdcc6jay
7jAIBzWC9sA8Lw0+uw47y1CxoiOs0NypGBEr+xtMV2kTuFYnj7gUm2BxQh7BCQNeUhIU4xhn1CLB
IvFJjY4kf50h7zx7GuHipDgnPA5lXBVZAmg4aouri8fqodEFclgFlcc38z8yBYzqorwx3PQz84eG
ggR+eziuUHkc+TszxobH3g5RRoaMKONsaFsWquMExQIou+sg49laeNy38SK+nJTX8JR/jaMW+8yV
30J2/WXpn1ojZIgzR+1hGtlCFb1bH3iicrQ5bXPKHSKaLWLPZCWiXZGcnaowT5j2XoaJMDfdBZVr
lad69ghjx5Ecly+l33yPoamDTFnvkT08cPEx7U4O8Uz+LYnhgSqTfdxi87zMg6Jztt5Goacbn1fz
yPaBMxngOAAj/8nJF5SG8bMZo/PLC0JTVD3BzT4x0UyPnY8DptcJjrUJvKC9bSXL+vlviLZ97wNx
h3vxkGtIwhEplRGGOJMWllCWH3rl/frC+BzT2DlYVMb7yhVn5idyO6fDcAFBwQMRFytdlJk9KEo9
JgFMlLvv+q8aW8wV4jcCcHuLW+M0UHo8tyZ0Zr9Fj9z9k8qMQpCReeTMzH7AdzbAWAFh3IeyfZt8
OZKWks8bL5ncTdyYv6rR5+MW0T5J9Rduu1wVfzrRoGrOSgz9MMxRR7f9A/xqJleAyXYkOIcGHbNC
/bdHL4ldNbkRx603ZThS4NovpXGOUC1PLsl3A56mxsrpnVNKtyJCdl0tDM8KA9+SWH1+I2DQcLgz
U6rwZqMixfUdRipDjOtcRjODdQNN8JiNADnoYCcHJxoKapI3Zp6eVaheExdjzNExUomHq4yzVWt/
fmTk450qzhNOcGQZCG17eGZBywuU3XQnuCQNVkrwSkSaiObgJ/eYdGuhwRuXFEy7gYy5rV56KPtg
evskfUv7/Mjm+WCFGWpyxu23KSwfdCvfE2LgQOmu45WqA4mofk6eg4yM3LLUZ8bEIVg8G1+ITH/0
LPTPkzm8d4WgrpK1ta2VxXTKmp9SB562iOWTIMXm0FK57PopLDaJ8NWONu9rFfD6jsoeoxSFYF75
qMa8eN3MzquesUR03M1b2ZG/LLLnDvrGMSbN9qBmFBS+b5r7Ev/XNnLX6282F3Zk66GLo8nK1CdA
nnsmgAw7lvzkTMPGarB81bG1DZHG760ZEgEf2rzoJ6hFZLlweaSa3m0kUXiYUIJ2JrwO04SNs84W
CRdm7fWT/UG/kXYDsRZPcIJr7SGbHOae1ohgdfosDPOENTs5yKJNttVUHmpzvfNYym08leJlTiyk
5YNMAtWDFHd7iJMJwuy4iuK9X+CTLJrpqkZGWeGKZu5SNoQziRY0Lda7APSxy3GcAT/nce0pT8vk
Zrn6zYOJzH4wN4I4xSCQGbrbxev1g4HHmQsv3loclu/qucuWz2wpKcO1A1i/XI6SgCJX1k+4basd
zIpjI8fHVgZCalDYMz7JZniLJbxMbzTtnaGqv47UF1FK6rXVm+EzhE/0B4D7CuZPshx0ZzmbSJF5
beXxvZX2ngV6vJtcssVyJO7b1jdc7DO0fmOEq8wuyr8jsvMRovap8Y6uFxfbjnNy39ci3oXrxwfE
/NTbzMFEA31kaWX7kCUu7wkdHZtB/2AyBjsAy6VcOWWe+1RxrbYI5WucY/M1J1NvH/ci38wFZCCG
ZKKVIwjuGnpMjQcFHXpNTI4muQAHp8F7iNWwe+7meXrFyPPH7NmzmJiiHdkOp9QBoOOk+YmzrHx1
zSJins8uFpx3w/i8hGbOJGHXeeZVprJhVO2i9bbbB2FMz2V+qGPb4x3JLrOG0M1pVZ67kSLXEcaw
q53MRVtlVYe2ESGuqv451/a34STVS253L4qGQ/vOsR5ncWM5tDV0+xhHjsJtppJDkeo3YbOlb1zz
vc7ZuZm1ReGEXv4WpdaqRAJSgIkm/OsUfGIOhNUlNClyWNfqbqQqV9khZE49VLynY8t/KKbiEc42
aPR6O6KC2Zore2SFceHyMYkC6s9OMh55kQx3R8rh7LWMLFq39bYpMnEqtAUMbwzCzg0DLyPvTdtz
vvdFs5/Ik991TqJeJI40c9WM82oBjER65KWdbYy4o8PrmaAlEz01XRE7APooc6mftI82exTLzUGd
dJZEoU5uCqh9hBDbzTG7PNNpYGZBjy9W7rjK8G9Cd9uw1XKO6dA+03qwSJZqV/su8e8RbSvHMcqE
RN+zHHqWNWL/A7/ZPUc2FvWsw2cHQcO0zF8EPPIjpFh70LQ8UGMvp3oKn11D4CoZYM0a0rqLwfto
Z9O44JcObwUYXszRBfRW5hCLzVqZDZqFQq0+5zLEQmw1tHrMeBe3pb7CrYGLQzG5tqdL3VRHJFwL
VIScHPcwrLesj8Sh8YqPfIl/NsjkDq0IH4xGeEc4MUfy16EdYIWgoYlOaojmUxYt1SWpFnDqfg+O
1bqJOuoCs+7ZmRpPKLreBmHdiyKK2cYNf9NR4Phyjbstmtd/mvF/vmSLYhiFEm8TLvq6JAaBq2yQ
y45LBZeYGJw0OWokosF/Z+q8liJXom37RYpQyqZey3uqoLAvCqBB3qS89PV3iH3jnPNSUU3TNCAp
c+Vac44J8XAEts3XzrBtrf/+t7+XcH4mzJix4ywlLOZ/BDAI+jUd4KUC3LzEn2MezLn3bODRXcOq
TNDiIYUdw6Y8w2TJ0BXhiarMYafLmp4Bmlgc9Q+D8TpyhFtim34Le/kv9GLjNLN+A6O/hdWjzukD
0Y58oESU59Bkzw9H2R0hkbhrQqC6DcL7juXabf3nbJq3pYQmUjvAcK2zOR6KNTbzhWAh49uOCg1Q
nHkTMr+k+jht05CFPHZkuBtMP9j7vfdal9rnSK4ell+KN6FdK57+ZVbTni/hYTDNWQzk3JFisBjI
kUFFqBA+phnLZN4sRdm3l78XDraS/CHAP7W+HOpPgK/7P8MLAQ9ArtlddcMYVpPlHvkPfm1yJ6/w
xLfVVHTfVRTTRTMTFEDVAFNsVAfX04J97La/GHIRaXIPoszr07WZESoTgIbjcfLh4iectUEnnZjV
aRWVCwygahtphUWqu3zpRn2XMZlexJX37JLB5EXTGzgrX4aPWW2RY+p9kHVPSFbO/VrhkoyqHgXe
OuNQF6bMcEf1wNqI9you+B7xKa0NB7JCOASPhgb5M5iFwYCXytHj8uPrHIJ2R2fu0KVgfFp+GktP
b/V8eG+XuYUbN1Xyy9LMs1MNF/IGPisk4VmnJ1Dpp8MAn5gj9KWJtZ3JUXdt+OZL7pIaaRXjklxG
2PvJyouDXxyfaBp87WqL8YlONAaoYF2DDULU9GmPqwDc/RgaR7xsiCEa8G89WC5rCOjmQMon8RDV
E7kW4pnwF+qGGiaG5YKirBq4UGJHKtkXFrXfxIsuYfalpunoZPZRp0ll2sNSkHYZWfzmwjx6T3z7
OAiq9pBOIdpUAzvZuNeL6bmLzPXoRnwVdklm6I03lydgq0HUn6Q7vTp9/VB1KJroDJLxOm1gSbxr
3LBAmaFBmFD+oSBsMkf/YN8Ol5qhOEjA2ClTAhBtFX67XvV6Npklk0xiHYLevyRj84ADh37Sl6MP
ezfKUw4ptJczheXQfhbBsKHn7EEOrA99QGtC74+15AgzqO4hm6BKyszfVOlnQJI4ahwE7qq0QdB5
DBtbf2HOgVBtmsEryckMMbLPQqj7OKmvvgCEzrPMSahG/mbaYKNIatPBOy1kbB+VP46LqHOpi7Gd
ohBdCMdmaSqxncdZeIwdzdioni55yr412tgDKCofgcOvzUYx4TS/ug6pvjejaQIHe531CTzvBLSz
WY6cpUWKvjVot1Ee3kcw/UQ9MEhrwcoHoZSsS0ujjaByTl9xSfBvTLBBBXW/TYZrn5YhjbJD4Uq6
GA3WH8imTO+8fl37SDhqcW1hgIzVMwfexzzIVw74os4kiz6hJYL2tiSRHDWKbbJaTAkZ9LM/ZCrz
aUPMz4PTOh9Gx3SwND8CDucTGlaoT4s4Hh7MODnbwHESJ4FubTw0BVrFptNeNErjIvaO5Wgefa/m
nCPsUz/UZzXPxlgwEcL30xdxA68hgkFfZScAytkyEuiqRTztk6J9LWABhZktWTy/aK6gOSd/sNAb
UAwD2csk77LHhtGlk+48tB2PwlL7aPRPgQHMsCyU2BqKvgsgukWcVAcWVvSgFdo8H4srg6Mtk5Fr
QWJumSKJxTtxZJZ9qg0X/TenTd/RN5b35FfMB6Y64N7w1bh2keiDInztidbztAQdZnGBgfZov+ia
ecx19Cej+SCoe+q6fEbVx/BjIjaXMZAEHhQ2qLjjaCAiAWomvGamsTyW1gew4BU9BQdhSTXuRFjv
4EERtGtM/3ozuZUVhC/pxd8mlqDCwi8ZdVtOIOs6hEVKU4leEWGRaPVpmCwHGn8xesK8xmeJWUai
bRrQSvtYWsfB+ZhYtEuNbugoPoYJ7ApFQL82Yyg48zB/TC8hJKhIlb9WWNyCyrqiDdw3gUcgCPQY
hE4NMoptS+Gf9sa7KuWdZ2EndS6f5ZPtSzl/TsHlrWKl7bA60FuJjUeY1cjiXWMlTaGDnoJllItp
QNnq4hWe4nfRVLjWtKuf3iPABEEWhsvYW5gg7pYR7P84s989rn3XJedQGdt2Te/rhucTg6Ewn/Bc
XAyy2/Wi3EYFPEp4d4kGNVuXhzIhHkCbk+h7lxN19WCYw35kvrgiYwD7CjDXtnIeHI/xAVhKcD/M
7VhG8JdjjFmWHfkhemqcat3G14sk0IBPsOiH7B572skMPdSwyj9Bd/pwO8g6qoby22Iy4EhuRSAK
6sRHI13eAuADRtg8tkmHLxdEtwqtJciUpZa611q3Xitz4rwefYcOFFWGikjMjM3ou6e+6Sj4PPY9
K3gjjZXeLfcrdq8fW5n/es78YMKw4WwliVMIs65VSZoRkWs8or7wzpbGMFyf0m0v/HPCyhoROtiU
cldNAZ0Ewr8S75iSmBxjcbcE9SlLcpO7VBcp1EQxHhWBFhzaf5za6wjOIBjEJdAnpNuTB2xPnY40
QSr3brsO3WmxdQoE8Cp3T/NaPUcQJpH3DIKaijb91WL7tzSt56JMAmxZM+tQh7zXPyIo3icSO308
UsynZrwIdRbgVM/O3Pl3HO9X6t9bz83cYYWLzFuaG7ReRr1b2OJq9yQuWfVEZceDZxreXZgjOQv6
twx2U3LS8WrFQXpCnIMQrQTLkL3auvNuTqSOTagDAEkQXthtejL7jJz0MxfcMgt98D1W3Y/bbdPh
aRjU3ktsYtBi/VFU9Wr0KRbGltlaMT67KYkPFcQ5WEp0rEDiw0ctjnR26dOPxqnN6o1HOoGjxjtk
m7aGb4kiFOcZFZys1asX4atiniIWFcflss1BslEau0byBNHokodoqlGNUKY4p7gsPtpQRZvITopD
FBjFQZtKWExBRo5RSghxOq28kwM/oC6nZNtQgRbe9Fpp1efUOtivtOojrkM8ZSgbHPuD/GSGQgiQ
6mQvmo4qQZFXh38ETRttlE5+eF/jgMwSxRcM4Oxm4MQ5pOi3Ilu4l7+XvJj9RlZ87B2gfRoCSHrf
KeO2MkFfBKxpgZWwA7lAuyIa6Wm1HevxAlWsRz48Lz6G0IIp/xZ24DXqsJK3Dcs20lNrcUeE42wc
aRMG2OawPprWNxemU2cbmhiiqTmiMHJbwOtOUAn90s9wz35rs1KnjCkDeemyezoqeVYucQ6BR0Jv
ZgXEdYCpKbMWHJp6bk2q6Iz0pY2fN1vsK9Zy6HS1huv31nTZqwjIR6R1v9DIPcGPHn3BXjaOszOD
fwbLF3JJtxgd6HWFKU5Fop+KscRRTasOXjlhbnJGG6ELV3uqkmg1tqOHGni+tAO8xxBiFQKcISfn
hzlAl4iKzhYpUCBqrFjSyBhTTHtG8SX1pNzlEYIodMFUktMunnJaucB13JG5tBFwnqzwgEg72KkK
oGQJNH9Rk43G5FN7lNVPEE4/MaLQXaRjpmbMu3IZXiS2lx5sTp/ARUzFCYpmv9lwmpakpFSOXx7U
gP469DVSBbAvYdxzaQuV7Exx/egX1C3oE2lq/3Q4/rGqE9Kez93xPn8dtX4tK2FvsTKE1W/vqmYL
I39u3dMnJnx021MC28QPLYym1mjejf8SA74osCZWhoCeUAo+PmTkNoukUO0FD5qeoegdmamDVqb2
sZttarvfWex/Iwi1qeTD8t70TfrACPZMrfaOn4o+j7A4QjDBBY5mfSeheoxbey8m6lvpEY4lTWvl
tnn0qEkSCEZgodGnm2juUhq+y5m91hAuZpTO3IxnUFm40OBltuEGlEZ01ctLokYyuduZ4VtvjaTp
doUdHcvkGSCbcS9joBQyyTcjpOZXU2oW7Uq8jwNJwYturLfDyPbH04wdNDmBWXcPIAj1tenty9z6
sLryB4uKubZMBUtNrRwxblXT9g/xQBUDXkV+2h57SZSJbtYJkxPivhUkRa28AjdznSOQdMnMzYzq
ySsjYwmTQcMcLI+xNn4gaeimIvkcjCLdkC9QIqMWC1Hq+mMa+Hflzn4lS0/QvaUIiPVaXZ2wCo9g
jeBUc1unutbiWBkgknAaCEDNhuG7liA5sMdBY+5ae0BnzHKDVmcPb35rN9W/JoR3CE0wvdd0w3jE
hp27awHe2vAFCh2bcJj7XLnpwRBkNTqAlLjDby212ybPO516ReR0UmGjBP4U34Y8xoZc+q99XWF0
xZCRlVcmk9qdR1kAF5rOJBLoF3JfGvzjzpNIJKUg7pMknQjUjjPvkb4c/aH5Xd0R8oqI4SGQ/rjP
NOOszZbgQSDRbUvtxsyDg3gffKsMb+lU1EwN68BZu6afX8cS/9Y0sFeZ+BtQ3ZFUMGnaxhunbh+F
0zGXybby/HwHoxj0jwF5ygeHoPfUpTkMms2Q4RcZleYd/Fgy9wxNyM09XT6qZzSGY5MctbwtdpbE
djVO/A7hSTGPmcxrYUAhROynPcW1Uksm3PEq0EkRbvB+GiOqkHysvooG4JSbdIiTaGiH4T8x6Yci
LtjL9Pk2DnECLThV+YX9LD3WtJBt2KDo/I4w8y8as0uevQZLDb7D0lD5I52YdM3VyK++kjmtofKE
BJpzgaTGJ7rXOMVjJ3bOQHatgkePIjIChNFQNTDk+mgkNsNqdKKzGrVk6zq9edEcwuUE7oWrRdrL
mvAP9ZgWIzhNPznhQsrvfo+jJIIrh2q2jTdaakKLEnHwHv2d62w1Mae3r4oz0YHj/FaZqvl1J3uH
AwysgN/xXQwmnjbraRIWFgfzJRRqgJyFe6axXNpMfmZcVUdTOmynr2kI/plDJN+DhKpn8LA2JUGX
LUfkECvpWz40TfyWDOT1x0nHV9K3argmrlyYZtEA+QryIwkxxEeIhDcQaWx7pP+LvqbJVLzn0L0m
XJEEKRstrGAdzX0sUppZTIe+H4CtDsUvaVtInyNQln8vjtipOkN+a2f3pmCvV12JzcKDer9A39XP
tQldYx2SH/kYOk6n5eDp4bbUc9LQp/RIV+f/vvzvx5Rjf+oYUDd/n9GMw7RFu3v20DQwKE+lfzCZ
HNCRgslC80kGSX8ss6Y/Ir7tj0XgVPusdCAr6EzATWT4MjSLo6s1xVGg28AtmVFR5pAWNzS6I+7b
NaAPsDBl4O8xZSGlsTO0PPY3/pMWR4wLh45fHkbQdVBkclfOfwL3VS8ZWevLPgnm3A7brncRYNPI
LIZjML8QoicOnv40mZnHQdXyDn/vKCa9Q816uHF0/VMYJvag+Qr9vfv72jEz7ZFP+t+/8+dPiDWP
Bp5ugWnU8+gYCRwt7TQzuThb0TzvbA7YLcNf26LFHf7UToWrwaxpI8w5I3/vqiKfljKuECo0d4RS
wanXdFAMAUPs5lt2mMC73Nepx4ieRPbknjKLKlu2drs1hPPs6+JIAIm/thLzWXc9s+U/jjnVE1rB
qAsiBCHp1jooZXz6e8nmxmIMsq0xWDftKGF6odNzx99/RAcfSTs+6ya8YBu85iafD/56L2BAV9Op
MDfER8xcGkNfuURfLdwqaKhvKX8dSQB1zwBtK5zoN3ID59SW1Kx/76IqWHSdQUM6hIYTBdqbT2A2
Sc5ybkq5A8AgZkBMDEH96fBOTN2NLjkXkpiRONk4Q3OjFcdESU7cag1TRB7+CLlS759FRuymb2jp
CsDst0ymi92QblW4aq2hu1zGacGhr2tOZgogR1pkviSIMhnDaM4jlLtq0SuGKrXTHcOwUss8aSjv
7elrDERK06NKz1YfbPK2Dg40INpTw6R6O9RzFJk6ZJwJ8WPL36BAWF0HGh44Mrwnh+8pLFOmXXq1
tYSyNy778HvuECMvkuDe6eZwHkI6Vm1foysqipy/IC4nGky62xbmLSdTuJC+ABnZL65dF2fXxSVH
F7RGFSPto6OSEPxPyXx7EiD4mgxhdNBxvtPUPe4c59JCYgT1bXVvBQBLEs+zZOfi5J8/s64D6OYz
QiCgYNOdwv+J2/CVqLL2vUkRe5pzguNUDA9WmE67KQADTHcS74CCTtYxFHbpKc1y2JNpDNoVBSYN
StI6qtihCTVWR/rOBvq04Z0MpnJDpkd9qFDjrL3IZYTfGa+W/2JnnfEV4TdmmgnIXva0bYk/OUgn
42BrgNdIqaRPPtXbTsa4fPO4AoZFMs5DnRLrCqSl/bamN6NyXrBRWy9xNqfAZG8mlD9WLZvCwUp2
om7pockqRm8FC470QoqxRnbIA0h/DL7qOgSJE+Q8LT0HnWIOdsmvEYiDZaix/EeyZdtrMrlCiHqu
Wp1E+ITlVEeU+zKwfQrq8lEv1uOk/wZt1F3NWBPHglipVQU/mChJTLkPwpX9V9IA5wP6GTCuncJr
MxgMgirh3RA94ViU7rFyRvE0gelz+llzMfCbByRSOHHFfEke3aBhZC3LHT7S+sZgAMGbWfbLFt/L
ohSN3ESVZ5zjEIAIFLrmK/UgCJG1+t4DqN/wBIg94iSyZGriWYcq/XFl3H45AyE9wTD567EiLg+W
B+dFiKbgoAwscbbst4FvjNs+Gzf0OcktplNy60N9zxZSPMd6EB37smhWrmqzj7YVz6A2bhG8iX3Q
alvLybjh6vyzD1/l5EMI7CbjbyTPhjj/GVoLfSv775WeakPgI5j2yA7eLMv/8Gs2oFQN/eHvJVPR
OQ28bAsE3aCXL5EP/8+7v4+1VfdGjhcpWs3wzCTFI52ClgC38XIwch9kFy9/H/9711lkscUZgQPk
5zEEsBS5nPOneLHIz1Z0ALsbnzh8QtIe8eJHqiZ4VwKMtBYY6gBCjeGwKURBvzaFN+YE9WVsZ2wI
7T/EfRA4bMydocVc1gA+zqAQ0ZVpW3hQZ7M6WrLskvYwgL3oseviZvv3YTzg2cUuWoaqzYAOrxk4
t3Ju+/t45Lr8m/kzkvldXlavU9deMQ7Wa6uso8vfy5RFKLB0CSe6KCjpiJJiardSBj9AUb0Wuddd
sDl1l54U7v/eyaBxVqXwAASFb0Q53nRX76mR7G5XS+PS6WASW0rmObt5Do/QtglGdXawNNhOkdKe
sE2mR+pt0D4G7ZFfxifWXon2OlrJFtGEWAFnvNAMHWc61kaYRnej1vKvDXEvbUbekDB78xhZiIma
zkD1YOvx1hbgrIaOmj1O4viSzRMx37o2NAWtrvI2scdE2hit/t7g1W+kqd/0whueSu1aFuQrMJX2
ykDsW2bJqIqf0N3CuI7xNTrpsHNIR7j4GjGGRfUR4K4GJ8mxjLpA3NO+sm72aKxMrfTnSLNgX4S+
fMgNxdE2vmqV85g5dXnIe81fEa2CeKJi4iRSJ1ynCRyQqk/ju+14WEQdrJkh3d6tq/X5CrxdfF+E
AQiKJYIpXFhlVh7J9frluFDtg4nHxwv/OX1pHdK+iPCVwXlg+5X4azO/dWmGM0ts22wZaAMnJ816
LdHLr5w6JsXO1529VYEFKGPQFV6MzlbhcA0JHLhEJpqixBg/7UZg1A5JR86EcZpsnt9GaJ/kkF74
2u2t1U36Iplxo/aQ6wQdGbpCmviCcVeHCXYlK1W9tJGDBixQKxup8sbs8C/gfCVb+ldJzFYoS+Vz
Uif5unfd4Zzndscog2mg1d9SWGxP5Fp+RBpQRi8gBIqqWGyJt5DV2P0AMsJUaQ8QnDriAu0sgt+F
TorZunnoapXfurLBdEFdf6jqGK8tLR9Csz37UIy2evNQpyal1bxktmpIpK6fk0nfCrs8liE6EIQT
1bog5uPJNvdlO/RrrxJELcamQZ4A2U2RSSElmAJtAab8aqp9H2VIzTqaxTog/MPqGE2aaaFvC3y4
siaOCrZtchEmM8zRa/d949YPqQOqJWO+CACyZ+PXnIE0H/dW2315sPsKx+7UMoW046dBmjhmWw1C
Oh4HGkZFvZIga5i6+9as1LYujMHGS/pKvPZakjF1RPFQks24rnSg7aBuoEqN596o9EsvOmfnG9PH
35/ipDSRn+ifmWNMl3b+hM4GsoqXHfTB/DHUE8ZpbmDF5dDs+jFHJbdsWuFBOEYbMyI47toXaxZZ
jwlrOEMxjxGuLM1LbLouOHrtHaQxHnxZkcbbwgiW2cjsh2/Iisx/ZggMbRg9bCrZDtucxVLednhZ
jGrdkC5P3mh1BunZXKiBGuz5bsODydndsfe1X/r7yMjHh8inzOXwRO65WWWLYgoEd3Qb7DGavwnq
UofuN96U8khtSN0dkTHgmiU2MpkZGyf0npOqXzsAuR6CwrnXdbdFhAyVkOFlIer8WtRzcItqna0O
xeziTmXDmYBeKLaTIyCso6FKTuee9h51w4+cmBm3ifPqgdHTYnrSobBjcnTwU6Y9+quJjiJuNQff
yBRzWAZVLLlXF3VMPkKXoj0c0G+SyFClF9uft0I7ExfUPPARnbE/jfXanzr1+l4NMAvS1oBkHuTe
1W/6ux7RLDAGVW0GePVw322evLZXm6Hp6Q9ixtsLv6cATPRXWd6zqFQvGD0IFHuIc/0HQ+LwOkiV
7kxtEmgStQ2MpO6VYJtpiRTYOnC4JkPDnvp9iSF3JFHyUcsz85GbBtuMPZxaeM+sam12KPM5ez5i
2FPWrH5T47RL1lim48S6H01tNK9T677Y3OnalOfPgWWND01b/MPLNbzwDPLF9a3TVdBL2kS+llJC
vKtliO8+LNgvoOyaePpV07x6dETOOvxHujF6eAdgs9HNMNuQE1VvtaCK37SYjrecYyaGgdBDlKpP
uoq2LZ6TNck0Nk1nmptNhOgq7mNxEHrmQhSLfNI3s+lQtWH6Rut9qcW0eNPekseCwcGl69Hz20Km
b0mPTwhWR7f1Qk7/bMIS9af+Hltmdc0r337qBwPd/rhSTqCeQ8V+14bhUVqGhM0IME2L6uxoAjWo
o4YpgBXHZzcHnaVbL5XY/l2bzAb+2vGfZxYZDKVZgLaGDUc+LCG3FHu4LGmFrQBytK/ZUBEqQV+f
ubzY1kPV3ZSCrzPYEdldNJykhH2XG4RI1Fwav8raE2qBX+ljj8nnq+URfvtous4p8ACtRmwHp7qr
nV1YJi+ZAQDIcabkDYCQhAlJT3uUKJ9VlL52xn3CKvRGrB6s0bY7tjO5I6g889UBgsksfdhTMSB/
r8f+DWz50tKk/1wH8EnMED6bQ/hNFOfhG2MVAa2WTso0uYQ0NJW7jCP9yR4LXKvD6KylcHKORbij
redJwsynlwMboPLztVckL45KtdUg9PBtPjEsO7xqp7+vHBoHA2T83q5Q3HkeIxauJdpd12nWRksv
znVluWnzutpKg8ctQECVVS9aFqQ3s9adXZqhPISdfBYNT7VgyrE3WFDwwhmbUmsJT+ra4q1NJpuU
SyCsGvoCMZmwfQf/HU51fzXs70AMQMOt+E0wXQakQAvVqksXNgKfWGqsAxoBjtvRHNVbmZRXXVkS
rS0sXyCnV7PWPvrSFG/lVPYr07Y3mJNIE4q69M1meFq7zRFB13jjRNSC/u6zXebKjwArNI6M22S0
PykB8yvWhXptC+87wQYXpdLZRUn0O2j91WXQ8NgW8zfbGZ9WVQVn+iLewgOvBVwNKv5c9L5xdnpO
K57BBjW2GwXdDbTQczW6w5tnc02mNr37GUwY9J44lwzzoY6V9eja3bnKreYIqfTn77uuus+WfXs9
htwKtdTvAXzDWzEO58Rl0Rnn214WqrwOU/PtlOX4hhq506N+bVuVtwUkpr1FzYDjOelWE2K7bWZ5
IztfzeEoNuu3sISNk2G9pjuIE1pNNr88pu/1VNwLYlEWVkRpKth/Gdvx7ce2/SMTADo0loe97rKK
R63qL3DPl4bSbp3bGQ+571nn3gKuW+gsAL2T1JuKg/AKuo+/ZxcVGwuw05aeBJ328TUCwH6k+dUu
68liFeiDZ3PUQa1BBTghXMm2nq/pVKPIeZ1ee62CvF/2ISLMSee+15g6M5UBGOnGwWKcvzssP9pD
ERryxKTtitnxMR5K8Rag3t9SoaBHtlyQCmb2zGKPsoUz8m6Kx2J2er5ocTC8VYUpN3EVXmmoh4hU
CUn0w/TJLwb/9reFZD6bQNgV/0SGWZFRHL4olFRLNgd2qw49M/1sZj+5yb1URTt9NqxTKATbsWlQ
yc3ccUFelTVfNXtiDK9LrdqPOkbIWPH0DAORyMpRz8CcyAHnRLkAI9a8SZ7ONYYSdnTyiPapYaXr
JExXbhSNL4Lo22NXgYrKG8Ka6K08DfmPBR4XBkT4Udsuko75h4FiAZ67bqV+4fRZ7e2CAxIeiL9v
J9EH9mPC3YH4nlREk9usv1jFaGtYb4XmxnvE1xMwvatJyfY+hvqSBvA5TqzglsXV1U48dRxi+T55
TynQ2b0dcSAqaV6sMdjau1i3H9w8z66OaJ4ay6hPU2MhO6iSFxo0/TNJGpwAAF0PNjpVrqhz8yao
c7FX3rUoSF/oKayMohg/iACY1YSkeowbLxkRA9i4J4w8nd7iifnNEIe7ThK+MfnySuggJO2s+iZq
HBAUttah1oCQYfq0E3a6AZUCJOZh27xIinkasDpAEG7pPeDrWfyWrSqgJW++5j/RE6t+ESYySkLR
KWOSXyfcNwsClbLnlDQSzro9DKXaGPeVycM5leVKJRNlZB+irIp0jBmVdk0xeBBNFG6byPLulds9
wb5zf2XyUbkGD9DUeE9kaz5FJlCnxGItMjJ6/LGToikQhG7KlPEug2smdZFERNRNy6TrS7iZodqm
bVneOL9OywaP5E1KD3B9em11mf0SIbselZt/uZoNJtITqOmiOtqbJYMah1HpuYCIvgNDsMCWYpGf
PrkPJHU6S6Wqg3LH+G641aMBnypY2OkTNTBCubb4LniAFn0mzpLR5C0qCUMu4MA8tAgrmP90GMHc
4EBnPyEqiKNm3WjOahQEPw9xDCsv6BJCseQVr4VJf5QgUTilc6pBTXF/YwUY3oWpIQx0huDJqiB1
IRFrz2XPhQKciS5ZaxzWgcA6y9JycSM03WNkEdtXemweypeYDEm4WpRWnTO0QMTHKVqTBd4aSLZ0
2rsfu9J/yALMXpVsCKERxvOksv4wNhA30NVlh8YifiabXbAQRr0nZgcm0rk6PKRerjPdwjnQGMy5
+dekv80/R6se0kELPxXpDKi1ElIlXUvf62lhr3oNkicmcG9rD0IclE1ZGY6UdQp20aYa04HdKUJy
Y7KVuVPyadoiXfYEXO0AdjB2FDSV1pWBq+u/P+cKZGM3CJI6KVTPetEGR/rAW5Z7/jS6cAl5YqOl
GSTGOjHj6JII/6pWcZdV+7ybgt1gRf94yr3z3wv3kX+GLwdiCYc7x9WJiXjjIZcKR40AnxwHThcV
dCWiaS0i3BJu48KW6PGsgjB0Kd3ifT/E1oGk3/nTKup6rcguFnysE/a3hVIJ2ZYe3i9+3c1sq+b7
/u+Dsbgn9G1PwrBinAdApsrUOYfAkCYiEfKcAx4rS6iFBIVNWfnfz8OUP7q0WRqduxaIk8AZqIXa
OjboVHQ6XSZREwOUyxAhFjqC9CKgjW51ByVoV0HqDBJ2LTSSKISCoQAuzjvYcQF60ObXYmi7Bu1R
Ic7SwHP8ffn5nV/jcvI9/YwKRWzGwsOhHNJA6fTi/7/kEb/xrGIDbnTjHekZmc4T5m1VZs81V23z
l/5BQjJhYhEcKm1KGWG1DlKLmhxpq7Qp4av48Id5TBvxUEyCKENORQfyMPP/XvB8jvgfyeWbhpk1
jM0OUh+50GTOHgD8FgfaWCazQQ2RMm2Zw9+L6M0XSyptHc0fskZsDdw3+G1lgwmUOOai1IKjEftb
065gXbfk7w4paNrUVDpAbu0apAWTwdDpDw4B2ap0s/1ABlWAWQWkwMKW8T8rh2FJRnQ2W9wjTeFz
h1u8/xPLS0lEanQZYCCi18raVQpRied0/rkqM/UoYdUro+LxYHcOaBgvvteO2uQM1BkyY3+pZdOv
KJvNhdPbz1kz/LPl2C6tCJdknHFMCLjYvdKWI9fuMJTlvxSuPdHRc4anTQaIWBslDmusb8YupnnM
0qQOXh28+EEIX6hSAeUGOQQCn2MShopAqRivdqmRpDL11YHflLsquSoGnLtAU80mpMWX8cvwyQJY
pkbSscBlgA9qVDK6yGDKzO+KEXcOukd1mCRDZitMPPBh5IHnctoEfXxDeamADGMr6KS81X2FQx3F
O152Z8fzC/+ly/Yo25sZ/WDBQ6ZhCmpcCElaEY8IA2CMovPlryOtBE4fTKvKQi6VR3S0NIaLrOjj
YQijEkvQQLAcp9JUBYBm3On57zr1tbupO9+fM9euZE8DQWAqvHUp/k0TUm1iRJ9DgRG4u42uFh9g
7pRuy4nbEogizeAYNH5/AHsArTHCTBwHmb9j8ZiNii4ajMaZ8fN2Hd2HgKwG1+2rXd1QUtmaMHZM
+6xdULOKc//GuKBtcgy7yTp7aNwmPT70hjWse88yoDcw0IxB83JBRtwMPEipfBzpYqwTYMllrMYD
XBYObj4KvTJvD/bcaf97pzTBQLfzt7HbNGvM2j906fOVpUbOVIShB/DBTb4yFr6UjOwCHeTfvwPQ
oQgGBoA1ODwbaUiVL7r/x96Z7EaORFn2h5oFI2mctj4PcrnmUGhDSKEQ58lopJH8+j4e1ahCbRro
fW+ETCAzQpKTZm+491yS2IKWYWAWgwycEDy0ODLQ346Jg1XcXQCyDf/5+UKnJo4r06+l7QB79ab3
RoKPVMRJtlUEDykcXkzcPhdEMXMIGLHxEs38upqAudfbOtKvVuXTlAn15k89qnzT7HhKcIO5LNid
GDIqhyE5noFL6vKIY3FwrUeGs83dUAB4Wxw2ZuwDIaBnqn1EnHYupkbgCoNeUZak7xW3VDsP5mvp
o4Xi5aZ4oeXrIlT7oiwgbwJ7jGsfkEdnvbjA2nFziy2JY9c8O1DEYNGZKbNKrl6eE28Fgze4JFZy
dYaZiyUl39FVwBs8J6i2JaaiNU1EAW3L1QeL1Om1oGTlyAvOQpRgWobk6pXtpcbDceLx3uYRLyuM
ZxBZYVxe2orxnZ1gVMTLeUqwJtHH9JdENgiSNOk4I1HzN4WES09K/wU5qvGms1I0Z0D35vJDmmnv
Jli2w0o+cXnd0gmQNw2DqJGkpJLPH5OyIRNm9m3Y8kKSIVVnkuiN8zDa+uDb8hU58P1AxtcWKw0W
GH/Yokoh1TwozZOVohReKpfZsAgObhD9saHSgMnr/prFvMzROGwC2RWnokQ40WeIojpwGStPocoy
LpqmWDj6cPsrPPp87Op+cvQkaSFdjtaEz+m3Mp/AyzTXHRqAICHZAgEUHoaLQ1O3771XtUCfIlco
doM/OdgpqKsNiozByffM7sB3Gj5EvfzOhyXfD8Cr2cqO9em/vywh19TiZ2w0UqwxmVuT1if31gRL
M2a3LH316SQVGMsQFcyqgSmzdhl6riG1kzTdQOEwfvTvFp53OqieERfxfnmPLJnnjTcSfhXnaXfS
BEzCL+VEIwyiWtOeTmRbNwZhzsrTrnWiKE4PmiO17fm3+vals8NjnqhuH6or8UrYLEN+uCB39SbM
25EHaaAI7fO96qNjNWQW8OaKD2/Gy17IGp01etQZvRw+7YCcxClhqO38mWZjtjrp0ptoW7AsASHW
DMF4Rmrue3N7pgT316HvqPW/Pw9tcMlzDMnD5DfTXQ3LhN5Hn8uFNA4O1hgjPs9NFYFRLTSHf0YC
GaJ7+R01Q7pKS+fVnuc/emCAxfT490LZu2N3+Th0rr0Pc3RawcSxVuHG+/cnOYgZUSMSCYq2/GXO
UwyGadbflVGFIJ6A+Z0pGO12kf8Y+8g3g1y/RiAs11DhBlq1yd85kfnse2YAuacNwO3FP5CYdAxC
jMLeiPZ4makDVjS88dnHJGVyJ8MgYxET1jAzUPOLrlHKFTg/Vk2UvjLmYitz+5JAOd3lRfAiXECT
sbeQFCFewirrT2nzJ0bXu0PYg+Py5sTOnHk+//vSsUngw6AI1SXsp1uCZKM/TBU7u772fpPA9crC
q96PSbHhYBXHOsfnV0V6OttCRSeDniULkdcgiz8HDeLtHBhAIFLU2wwQjvON0ukW07luJ0Sdc39y
eqxIsgCjgWuNRAbXuutr/KYxaYU9otCxxE6cJg9lcbKs6S2EyeOLDpykgM5Shq2zMxMIN6ej1FZ2
4CEKjDZcvf6emsecJvqO1MarwU/+C1Uy2iD2pWuDjI6HU1whUHTHZs5Qd6XscmpTbXlykXEO9Mek
JIXEx+AiFc3VMdXEZ0tpyXzsp3IKhjO9ZPzQ0Ny2dh/eOcwAzoBiIWVG1mVZTPkSOS9FgJyryEMP
PYirrm29J+2PjI/Ofl9G+qG8lelbSNgAJSvH1CgICiRXO8Ya7yHlgHpBUFPnMAK+a/vF3i/orVK/
MquhwMjp6/DDH1Rxhm/Jb6vAjMqSd13W+JKzDr9AW/4R/EJ38zQ9Q2iAOxSHj35pvh2La0RZ3qoK
0uKubtrP2TgR6ZPj7z9wP/L1kLQLKCjHxhxAOAvagmoVROeF4JS9XRXftKZcu4QBQInGXyLsB2Yy
vyunV4ck+Rt2mmWxlaekDxZrjwOPR57HIIe7uTEhWZuWr5ie2xMAytSrQSf+lj5ImiUT3sEEot4l
I4PmMnZehirIjpmGmWKS7rqUPy70kAP60O8F2/rdbFOKt+h2t3P0Y8m52Y+zJDLEgmnIMcAxjl4t
2moqqHVD/48uk01FUbJQKcIrEoCGoHrIgZZkxNNmpD1XzBuQsGwLKx/PResg0OE6O6vxo05KTtV5
RFjsNyj+xRAgrMJMXaoiOsSRY3Zt92Dk29JYy31boxibfLmr+OSNF+QbObIzVwnq4hKrQz5/shT7
khmeb8CH4ZFYZHLlwu9YB9EO9wcCGb/szHasMZFyuuEswGBUYSjYJrSrTHBu7jafOHAlsE1YLcgN
lyRJoKm0amMGzhmn9TwDdfDH6pJUA26FlGDiYfaeXdfraN35bHXaYAiDEnqPAEWsytJ58YNRv5gK
bUJbMJqyU71HtIP+oldHXfoI4FT1UIziT6mb4VDfjm1SB2Dr678Rg5QNe3h18PINbIG1VwTkt7lE
tOWx+12nEUhry36jQSABdinuaVzWIsR5nkTqFRBAf/PjN6uyj53nwGQbS43+xsM5sp3FdIoniglM
hcmu99R350lo7wixrCknm2nSRM74Yp90uqQadvz1WNV/kswh9x0TJvk+o7cpQpGuF2IrsRIUFyBe
jGv45lK9uNDjkel4SwTsIw0JQirKv5kEc24l7h8ZLzW0lv4O6y4zGACwvbWcYbX28i8j+XzlDMzl
WRE1CwP6IsEs3mdc7eEt24gQo7WpyoiQOFwcon+ZTOswYiN2gqjqfd+hi4HQ5GEJgWUhF1y7mbyO
yd9pmtorv1v+apwAmmCWveZAswb7iZeJoZGsdphqFReaJtbdSVcQotzN1IaPJrP+lHPDG5xjFpcE
2a7TvL+3VEbWVm+/zrof+aT8Fs2FQNZP8ZpazbMexx85DickTqsuTuu1P0Ko6BJ7M1LoqjRCwDG7
3aNVxRcntUnqbqGCwc0goFrGu6V0v+Y87ChgCIjOfEkfS9IXoXBEFkmSm0r4HCk4KMJBaI80O7Od
MOmja2ENlvV97ejzyHZ0BRU32HqRepzDiqcyx7YQJin78CSpCU9vLjIHhooTk4o6FiDZQDZgIfEe
ezzoB+0TyyetTV9laBxNlK77GK/k+Lut3WCDxGaPUTrcDyxdwA9t+D4Bc9SYT0KWY/u5Mn+jcIwv
buS9Jp1rHcAOv+umuG9nMMmdi61qxCyY81huhiBmxh8QMAKiYl3ZDZt+uWxoDRGwqPaI/Go9KUD5
blM3WGDJ4sxo25T2fwpP3t0yiinQfkZMhdfMhquRusVhWNp7o31xCHtqxWX+TVECKk89ojfCzO0i
FiBrBW4aq8UN59I6QKS87qVB+UVvXVWW5ixBYTmnPW4cVmvbsGWQODEjXS2TTyDSkeSuljsSC2YB
kmrwrOqik2zDGVyuk2AS7C2Xnnf4Fu2EuRnr8K8s6z/bVns8fJRN1QJSgASIF0gdkBUThK3GHCtR
L2jhEJWlEb79OqFGyfMNT9v7nEMEjPIn1sgK60kA87DCcjYRY+r6ubtuQpiERPg04blQ/ZunkkPF
8GkT3/zXhVDdhh3aNaRtCANzHBnVrsKazdNorNu2Ghps+FGky0fgENkSLI2DVCXn9VtynpSNSVra
cAm9lmoT8Ez3bEFi2DEiJjpuHjam09elmxo8EUgCOt5e2HojZOeRMsuKMnvtwHo4sYO/HUgJWnwc
S40X+wdCLJqTsgJWCDinNqXTzEh4PKJodert/3t4hKnrPYXQguODMjmmjcdmYAQwd+9vygQGbz52
DCkGJgXO8ogdz9qINCEKpOXVw1p3w0+3xwByMxgka6QK7J6rZtmQA9aetQohbcYCTJwzcL8M2d9g
gNxOFIyQ0tnU5WSfwqr8a7vtwW0wy8D7XzYB5u1iHvqtq3qUnWH4g6opvkdFwQGejdlH61pceKce
fMNbVCbvg1d++jo4mtGbH+PikcOUF+1LTJ19yUmUrlrvgOwFL9ztQJjTEmxSmqk1syaKoahrn5Kd
Bihn2uh3hOb5reWYwfOrV95g5BO+hz80b0QahW56bnthM93k/h8wJV2rsPy0/ebF7YljRL0U4n5X
xH4vw06MHTaIyLKvcyNfWDl+tSp6jyoYoPgV6eriNCrPk45zQhSsp8VonDcpzfLsJdsZZ/PKyqce
yXV7LP553CL2vMQF4BLPk+LArxNBjn+LeQBSE0hztRcUuZi1L0GrEmJx2DjgNW7t6jcpWg8TsWs+
QekMBPoLOdaIsUo33XeOV72HCWJWyvzCxUWTCR9fWPSQNtYPu26CI2W0an1e53HIH6Lh1j1rGZAr
xn+Y2Fi6MicCJx4el3ABf4P72DP8ogNsMdAYkPjgqLo1QRHWBzWccdzoPZwHLia1n1uY9YzArnqK
kG4Z91VTI+g8NqtQAEGxs+IXIozpCRoioxZyQaYkJeY56h1uCMV8o4foTQI6qmg8H01QMjhNbsEX
JrKPfQT+inVXRRdXdhtaqm1futwyIi4P9YiBZKT2FrQda69JjhnZCIeoHXbDQPmzYKzuiuqEKL1f
4qt2TMt2REy7thhtfLzoytySNJLKlasKLdoawcbjlLC7T6t83xc2rEeDSen2JBc9Tp+MNG4c+QH6
dhpZkCgMtfg+OT/LIpJbpn2H0bWREHULD++5s56qEgR0Yg+PCSX5aiCGd0YcjjUu+HDiP51PAzYG
QLhcTPypJo5+uh2ONuakif3SFuTj1S6W70m0BH5gkUvFcstoaX56WHJ2eYNloGlPZgR7XsZciJVV
jFOmpr+DSNi4y85JgwdbtdNqCceTizi80dGP67PI9R6zWT4R0J5twhG821J/CY0zPrhT6V+dIfmt
kLDs1ZCkRx02T0MS8GPXvY8eoagP/7gSEXADWyCsstojqIXNkI4j5P+gPaIF+CbJzwJRBVasIn8i
CJP8JSwVuuTRSjdd06f3LvrqPomcXwKt9m7O0FYPReQ9NOA78STyelumr88xgRK4P57c2ZNfhBch
Lcd9fy3buTijWYvAhZgWALtNkVhi0lEmPsQZxdtSogWr+Ssjt+6uNbtHexDi0CSkHNae3LFUhnLj
PgkYRaDQn5GNs41U5SNW77uJuZ7LJzxKzENNzsQUoTJhWRV2g3APke3ZwyIYU0eISD07MQOvag6R
397sWzdZdU54j42YzJe3IbJ5xaaKntNyPomb0c6rjCbOyRHP5IgfhrX5NkmRw8vyaUdmCt0Yo5JE
otcploECecI7jmubUXD3tpATRNXn8VpgV6BtYzYNAH6lb9/giC1+F1SXcskecm8M+GEWhnQAUnfN
pFgvyOU3iRHTXSSsCDG0zZyvHPxj6BWXgqUsmQrZTMGZ2net7tYkt3eHZO7Pwo7vgpaeIvAhvoxj
A4M5I8KePOF51bQ5Y66ZcQNkQCYfWSihvOMgTyyDDEAy6kjgOOnkMhX2777toEax/gyDV/Sy9HYt
3snsK7EVvpoABUyZqa85fDZ29RGU3g9TVMpcbz5lNuVO6RUfsY3FUDq7wrG5z92b4ubW7Jp4IYO3
RUKRiWjV9F9pO5wq67mjxGRiPc0Hvw8+0OafiWLUfHIJL9zMGYdqHl03INe0lcMWt6s+ZtL57bTV
VSoc9LjqtgwqzKrqaGPKMH8N0/QOctsxDKanKmhPH4NlCySvZuLR5UDtbTRsUdeTm2kHBqnFk5tE
7AmXblcgbV8lbnxRVIfbuMBsFsuyPqYquu+15+MXQvrLxC/denOFIYY7I3HOPg8duZ4tyOgE4mEn
j7zR7SGWZv8va8/2gsfCfDcR1QrqOgYgjUrOUz1Xu8EX39yGOdO1SG2BQKm9KFtSjgB4bYjtsu8G
W3wtvt8zX1XWnnkvrCt0RRw3bgLLHj+Cqa07EchiIwZ+ISxgo307h/vEpuMKIvSjoshhU0XTOXBz
pgGyJqczLjZ6gNiTz4Z9+rVy+w8Qk5DPKA3Pitdq1ZueKAokY8gFtw2REJRF406NWGl6LKUQ3xCt
ELY6e/U58+6c+DH2+vfFqxt4OlV0lslvZqFscymbmypKzoHu/4R63KItbo/T3A27dSy4y6tA6F/E
+2Ek1ttGT7feG6Cv3YF1ICAIHXB/WmqwoyISzpOTyjcjNE02Q1DpqNfS9OZYm+zQNeaqBvkeVl1z
sBvbI9o3PuS2LTd1VBGPgiZaztMmh41TJhDvCoUulElgBaj/iAgAawfRQAdPjXLtgUs3JPGRNTFf
Uj2R1DkTeRMcRQEcUVk7kzHCdolM2miXbFpLaBijMaYluAq8ss4RgyJzbtoIoVvv0QacIb09dGCA
b8XIzsPELw7W4F0eDBfKr3cz/VEjl25blss+MQbKC+HFoFDWSDB8dNjyvKAwQMbYHny8436O8yjx
HFzxWQ1KsNP3UxqRq9IQ/+TesIqYrzLEDEuxvMhxH7PJ2iHH++L5clZRXvx0TGRB2cYPpeXjk8Oh
yu8wztmCfgy6aq8QcbOVXffbf+j9/x9CwOTx/xpCkJFBkH3+zxQC/o//k0Ig/8MPhfCjiEQSIcIA
yP9/phA4/0HumXSi0LM9145C579DCGz3P4jUEAC0UCrwjjvOf4UQyP9w/EC4URB4oQzdMAz+30II
PP9/hhBARPfDyEfb4rk3o6Pku2j/fD5lddITefC/eM1dRc4lEmL3TsXFcDcCUz4H3SGrYAI4bNTg
uKTqUDeyfzgjwNUPM0uAh/B1FqUK1yKYyWWZ0hxHeoF2o+vxGYQTMYyAmOJ7JZt8YzWMQ8XSxv2u
j1x/q0fJAZc39a8sgbMVFF32ZcfOg1cisFi5HaNEe+E1MJkmROn2BT8HOS56jg8a/M+QZaAO6yjC
kkBRtEyO2eeVVruijelXp0xa3CmKFo/z6PzvSzg1CN+IU4Lo9FEUQf/qdnJ6SBLqPSZgF4pxks5H
X8mzU/gpszrdXGyyzk+gAswaAPsBFqX9OHeReGzD8YE48eQ8hu58dYs4uTiGMQR5mitHeeUhq1uS
MHFpxUesVsSUGpbVlu++kL64VWww+l2jEMUzYQMTRzQFCeEM7OMmnYDCWNODR7TnHcCKO7ToTaSW
h7Zs4v/84rnZIxrG+ORPV/8mQUGWH130TYLy718LhbBz0RfbKZcjpol7doL9pf6vL5Erswtr11hZ
/aUJ/Ffym6hFxrJ5z7ycIX/l4/qlpfLdk5Wb774ZMjZeHpIv1DjRRlqx+rTpfUXa2IfEqYq9M1t/
/UKa05Ax98/qwTp2Jh9xuGTpZoxcb5t0FiObfjhHvr+egmHcu1n523PYYBReoOG+L8lDwup8PXKm
U8cQNHShZQp3Fsby+3//NM8aQE2eIoKa5d96iCivb8JjLcWTD28cYgc+y0yuRlOEWzUQ574E2J7g
8H2qvp/2deA+a3Kc9paDik6xExVzdwfUnfpYSh7LKRdvnoPOT/O6YMXs1PMYuxcEANWxd+XjqIwB
rhBlx8WhI63n6N4GkrhHsXeg6vOZYQKDmkpG4ouYDOWq2WvRr9POBmiytKzyGnTpPhpMZ/Gs1RJp
Yp8ManupynVN5s05V+g4Z9MgkES7zZQt79ZpqvEYhu5nlheMdWxkGl9YgGuWMwmviwblmeF9EYbA
vWjhr/XDBeIqihZGAsmOKrNfeSRQjblA6Y6bb578O+3l9x5S2HSiVP63y4DmWRTum4pgimDDop5J
HqcJSFkUFHcFo+mVzMWzOxAP6DcfcsyvsUAeTMxUh6tGjiQrMcy404gFrISFrKjQxfUurpb6e2yW
h5F3BKh3S4A8K1iniS+LG8ZosclBzQmjdVHH+0tZHDvW5X4VrVXvAAjgBMJOoFMEr8M7dMG1UhUG
RnUiZxryhLxPfGy5Bg4ac2OIyMxV4QawI7TcI2KOX9BBn/ievK0iVkuH4BxGTGtrF+zeOovOycQ8
gIAUpgkh7AtVlP2mnedHH07+fgr6jN2HSyvqZeOBpc+LSKPiIWq95DpZrw5D4fvB4GJreocN2fg+
LMFbEHfkegXWnxok0Awm0vPKBW6Zy9bUkts2wb19TTt+rjztm3NqRW8feFJuevI034vqF+7zDhcB
skXH7nzUicS3BFTWI44vtCKOPAiwoFG5PApmmbdNcbEupul1DJIAThReEpsqypIMC0qff1rQFZ46
EYAlEJQ7qBtqKyEB3kn4zWfxs0ISCoyVH3MMfcQ4doNoxMTDapDlsSFRdWd7zKeb4HeqI8GqhJEQ
0BSSyAYAX8WBxfWJh+TawQ6L7HR4LXwiJSqsJUyJyIRL/fkuYD42p9ktuD3+a8vsNfOrqxW+ZvFI
nCDhEpPwqAUTRhDo+5A4Z0/lVx+jp5MwqpA1otZaRL9HQbseKnFnMHcw4iAlNoqhk8BqfIIIJ08E
mMs9ccCohlTH8eHH3Z76fSPYu7J9Xz6piYedl9IbDF7B2MVJ/zYq/uxCrFCj01wRu9sbTQHGZAlz
somIpV2wzDhujPid9cI6wGSOJdI4BIsAaSG59MEZby0IIdMT+cUIPm3yW286S5A0J1K+81Pr5RVP
kg1rOyV3HP6IBCTWsqwq4vSS1VDZot4GlM0uJtHTcbmRVjRZInR5X8pFAKnMaJPnFcQ75lsnYT9i
BMcSCQQbT6696gqHwJ0Gvhmf4xbeU/aSxD42QGYYqQHmAUAP+YULSCwvsSb0h9yFoF5OAc1FX70G
ynsrktt8o/tQROAyJ0kx1K9UVGPFDXCVlPT8GY1DlP5qND2Qu1zmNqxWbtD+9uQnCy5M8zTKqMmy
omkOQGU0nlhmsajohyzY64TO2VliIiXxGm6tuL92Fup0D+ioaJ1867TLvlZ2/wifcodPkK1YsODa
mNz2YWQ2SFAKLZJbdvvOVe95KnbmE3nAW10J0vIgBUQxqb51Gf0NY6xyofutE5Lee3QdSuqjrH6R
eNSTZZk+lPy5GCUUaQlY1MK+mC8CqQJY8K2D/GttMHuuoqDv72SA0iHCxH92bdbBYwf4Uvo/4djQ
k2bfsgnMKjPhgzMwppkRfgs7S8i7ZEcxj+coIoDUI8p44lTtU/mSFMN+nogzQyAj1bxs9TDnoMiI
YdXVK46H9WLs+94ON1Ok362bvVsvxQs2CMQTzM3XigzOZP7DeSRYMbPhGWdAkP2CEkrTePLXCGOe
bQORsHRnuuH8SbQIlIaUYAdavSkN43MSgoVkanSY2UFtGronBpZ6YmAQxtZE6DsLYsPNu6rDkRT7
qP72JiOAe/u/BqIM/v2pjmq+bnS4zmEJ0x8QLr3bsv8YS6ad9gymPu6ZSGExmNgYWcjJ3enu5VIn
TorBwHBFZtwYbsgmvI2cZs3o/fbiZK+9NeCUI4G1S0CYib7lp7MJ3JbKfpgoSniTsWOjZYSimX7d
iLIjkwrh7awi26eyPQw1wHZnOk0IZf1gepg9XjrySls1veiJX6MzxccycvBN825CeaHRZtE2YXZi
3xxa5AtEt6gsBVpZcX0vI+PfdARAXXb1g52578kEZ6aKZL9zDea8XuLLkww2owL8hfbC5cmf1HO2
fOCkW75haTMHwu6dxXD8vLDPj4iyWJvPNYOI0Hle/F7ss+4m7oLbt2nJS6eYdp5T7oRUTJ9WzRSZ
hWgGa7Aoziqz5Qr2TEjeAI/xyKhyuamdbscrT0/1RSz3wMp3iLhPm+8WcgFFnQ3PZlGn2vY+4955
wEuMYJSoxMa/8mNtsJge+7AT6zk06/iPn6PJ8S33NbfeaMVPKG6ZIizm2U2PhT3OBIyEb2aqH2Rk
WIt5TP3iPH/VAaSloNkiKSh+d1i0V2SQJs8slhhp3/DFA0nYke2fjew70IcslwKBsqcU3n5J6l++
rq4N47q9X6JxQ/HCfGY75qR9zGMNCmCqf5rmjyM6hCc9RmjcMvOhl6yACItmPaGWi1MxtuGMxYWD
mzTD1wGR2WNqTspAnvggx+zraIcuHhAqHpXQrVieQn5tdrooPuzp3Iyes65LfgHIOK+BS4wUV0G0
aeUY3aPt1ezGwDakgbMPpQTeobKQ0Q5P/NQTd9qJOxXeWnAn3nRlWB7YP1xa0YT7ftCPGZG/B8vM
73FM19UtvBhmCg5BIX48Jw83DvrVgEsWdNymVwk2G5z8WMcYz9S+/1BxjSrQHYc2isx1mfUnrdYx
1ixkZTKeLZttEhFmBHUARsub8AKCH5CsfGvL5McY85Y5LNaHqSbGkWMXzsvKzkgxrVxCBYaJMzj0
3MOIjAY1DLvlLPvCOUEW6sC0jxgeqMPMXGyQg+ukSF/HnvgV0SIdspZn5IhozQb947FRuJ0Ot5eP
hVqYsv6JvK+hDC5mwbexgDhgW+Nty1dlsxu7vcdgNgkjj+wXLvB2QzAza3K9PCeDw1BFjdkzDoZX
xzbBXdrO17lkBtXGjCATpetVTQ9SgHtjwPRqNA4D5nvkcCwHaxo/hPQl9jgGdOkYOLiPxm1YlE8d
/Cl+pHIXVXeAhnvc8OhZmsJ5tHoU9xYj/GeBxZquY1MEp8oRd3ge4pW+G5EbBa3/ZpsjLTWDzpgU
4yVscS2SrLoqa6SAFXnaOytFgzy70LMcDJhMvu5NFwLRySaWDwhfaC9jBEdYr6UJ3qgUD/nkv+UW
lqCgfkgs8RAtw7ujO2vn1c4uAKy1U3FQbPueQTWWC4eh7MxCZPDfqOHqFXIAHlqT/FSKpGnECsy/
OOOb5pm7yzuguToMYWl21ngJbvuKHo/zzIg34ak8zyXu2qmcY0pnhOf/9PKZDSAJnk+/xsoAdnss
9vzKGsZHsbtBtPAd1cirfNoPg8QcQ6kiVGTa44ofYRJjx+xmIJU2sesFez7DbuRsYlQEwWpW1YXP
ftl0yBe4gfSmHuKY0+eG8h18WoFuYVciK1oiMkR6jkJTMR+cP+awk9xLTX2KYHf5XQiMjjEpwrHn
YNAdlIGRJiFHJ7Ek0TehIx9Y9RAKh0lHOgP1djInRAmw+q9Oo8BsNvzLbHaLjV0jieaXoNDsabsa
N5MSayI84bwXz5ZBRphpuf4XS6pt71hppo3URW9Lbp4Y0EOUwFTVTdUd6QUQuP3omEfJ85Lgxbd5
cnyb+ywR+hvK2De5F8SrB+RawDMywD54G0eWtiuq3Xa+Lb4mPlAkQMVaatShBMPAMFxeyvjWiHsI
EjIStNedZAWad9R3domQj7o6tIgOWLwv3TH5HmYmO6PCRUneYemCz3AYRwRuN3Lctu9MZGpUxfBH
RXsfV167UWSVJq6XUkrV2EuHkqS221UQpc17ZxUv3HTOuUwIwCb0WLS/6ZA+ipzQkrEBMzfnw1Pn
Nd/T4ufnWPN3ejns4TwmoNwKt20s+330S+btvCXQAUxKfQx5wrXPUCjOrFMbx1drXOiElg7mB/wG
TOzMcpBrsxoM3oabL+nmP+1TLIEpEXzbVoE2igrWTASNnIqhPedzyJw4+nDafFqTsoVsohw8hBk0
jPSBMIDCUxOxSxcZcg23+3K64nNOyInImsTZ6zti3LxtM7i7xGsXTD+aUql4Tgf6t1BcStZzR4Ug
ptVUgiO100zAj5Lux5ziiTBF823KEKVKW645FALaGcKaYl8jdC7hseO5rndFZ/90rfroXS9eVR7U
j97FaN2R9yS/RkwgqBhuh+1YvwNYT1uirziO0i7HgO2DQ9ILLX0oxX4Bz4OxrOnOinTwJCTLvlMp
Jp6s/FrwcjL9QK3CsKq8iWvJsoPGnuvgQcOqONPEUXLwBB2H2ysZdvMbA61dnYY9L3c6sO4nw6oA
U8j0Ar5K35FUmkgr2I82Nr0J8QOrqCXa1S08wcRl8qT46QskPrhPEMGjUGEgN56MhxdP5xRHMr41
rOXHjHDupWu9G0Hux1jZc4/9YUPHxukKgngJCU8xuo0RgMPKzygpOzBJjCTClM6KkbYI0N2kaEjD
3Ptr2V56pEc8Qrqszv++NIh3QJyz1kCzt/FmeVf2IGEy8+pr2Jb5QIQXxhSGdB2oJsceN6idtykZ
vhtPOmSTeMwDlQINnITREcipx96Yhf04w4o3yZUQz5jwbjJFqBpWjHXAdpNkZyw88g2kN2Z+OcxH
Za7DHLT73q+dA8nVHoO16cGXPWyHeTAXUeVcaD3WSUvumwmfv2rJ8QLkMXONnJ3G/MzSv8StpXZL
6q39gu6xF91Pd+tEWzd6Iwrhs0bxlTPHpn40v/mpOHhi6uqlCe2VL7grnNSewH6Tl+RVTyhvDizS
Kbnj7F0wCgkm3KNcgaT8lL+mxvtht0GT0deHwWL9OwTzuKluwF0vKM9ejIx/TjlQmwJSc1dx2ggG
KS1RWA6ZeTMcMLSYgdh3+GZGN0TOFPCyjuAERTf7p3Zw/kboZXbI4fKL34n2qIW4dCzg7hURW+TX
MF0MmvzQrf2hI5OqYmGXgf6EkIGO1U6PeYvcrKL63cqFZXI9uGYHVQT9NG07PmHwziHVntttuv6+
813eADNHG7uEMBk2j4QAmGEgSHRgfDD7TKhETtA9SptsDgiEsK2eohNZllB3QeM8Z3IgtDFgRJjZ
/YmJOdDGycEiMS9oM8fLDBiGmlC9i7i59xwWtBbGCALH4QpwJXMUdmA6C4iHg+dt/WEm9Z7EKL7T
m4lMPbG2Q5Tpxu9ZdWMJGne9c51hn7eIQ/OxZ3aU3mXgmjiF9a2sm+7yxGxtab7gH4n/zdF5LbeN
bFH0i1CFDPQrMymSIqlovaAs20IGGg000tfPwjxc1dzxWIlg9wl7r732XlDjP3RDI5ulCXG6Q5Nc
O66uxDC5bkkTHUyGnj04lVQaYo3H8KDKlpEAAICVG8/fOBYJmy3UvjQX6Iht/YlYWNzcEspc19pb
NcAsslyKd/rgjT1Z/pp7BNVhANihYjtmRfUXJ3y7VmgPCJwt9i4dxKprsVJKm/cC75yoh0Y4JJzw
Nv5eUy6x7y20yaGEQCk6O1qpproO8WccJMaqnRZl/9S/YYn+NFSyVai01hBNNYVns84mLOKjISeu
OizGIqkuQeiNG68sQUbk/TJ13IoKnIMTjwcwvpDWw/qSaev3MLonH7/3dsA5y+Sx2RWVxFDMKG7m
1aloNe3Z/OpVHG1nWV4xJrBhq4NvOBfxxur8F9nRC6YO6ZhzqB69KPTBZforkZyApUIJ7korPypt
H2e4IsGM2tQcuMiB8czXpXWsTf0BCVfSgeCOXrAturyWKvpnI/ZKQwgzxM7bXcGLglMrCAhayax2
7ULnK0Fm5pr22W652x1poUXI3pok4s3iRb+Zuf1mKHnEF7LIwwHS25ZcNzrcScKJaXgnWJecQrY9
X3wXlHxXFs8A3/GG7uHpPivs9DTXU7cufXFIU8IgbInUcnxhgYXAZZA/af4Tj3PKPjH8VQLv3Cnc
AqsCBeRaef68wWkMylj2DKGatw7RFBvxV2Dl3l4QNoNgxaa2gUMF3PUv+KaGaIvwJbXq4xBlAimm
IMlLovPA8fTsjqxj4TcPOx3A+U6TgO8y/RF1Dcg4KenPJbk8vMF3uv0mV4og+ZS3J/ouRpQocjeh
pnbRTBbjgsew41YxI7E1TPG6kJcghvkkLfvskArfOjYBRhH2VLSGQ3bCiYO0e2iPEadEEsMskiRW
78RobnWMkN4xiu9c0vEw3eW4UpJGsmf5MFARzJhnUt4AeBv+IQH7JLAPhIF3QinM9t7CDl+qv/FU
nuzaf4iqj3eek321We0x/M83sipcDvfoxevGkUdKvszuiDEl+pxhha1rOkaQk+0BgvQ3mgrqZ9bx
aFXsrY3gGMk4PCVSYfEqytMQbq1K36yxJILOHL5cz3+vyMww4XQYVYwJfyLYIzWhFGQ2cELry6Cs
mo3qwfR1OhbFc5NRk0sBdihzWNxL/2g7jYOCbMkbsKfltXflypmiaFVwRbHz5yKyalzOE1JetVxL
LZDOsuL32aFtRS8Pq96/MBN8ENPGTA2EypLEiwQMGWFAdOE2Rco6RS61cOkQZui5HJmtwRyNqEXg
taX3gVy3Q240vpGrBHynvQXZK5tJdnjAZSxcTx3vDU4AknJ3NRvaNWxvGV+IuyalI48I6SQjPY9Z
Z05yYffJdr9YQzeW7VXbIBu2ikPZNzR+QMd7b4ktieJs39XdpUacILqjqE3sCrh5zbq+THX3EBpu
vZLqzmhltAyAHarPbtVkUx9Ak2Jy18UHUVESWvTVu47VZ9OwVhGQCO9CoMmJoaKMKQiY0TqGBDiu
UOh4e3BCmKubqzVCJ/GtX6XOiiPebPYB4T88WGw2QGUotC9PY603bqkf3TwRjJLGzMphRq2SLFyN
Ds+7qSm/6gHy+lTQtLEpekoVoK7anjpga9bGTuHzDrn1ObTeb7ba6FACfo++AwoHDaYdag6m4jG3
wEM50pDO4bhgwTFNBwNvNDqW+dBCJ5Fxw8yfvz5mpUl0MGuX1NaoS8cbGU7x2e0AKA1CbseGK6CD
kkKCRxpvWvxmEMV5XAwMlU073sahktsmNxBJOSHwkCggFiVoki37bGwSFpmtVhKuGwZ12osYy+D8
24Vy+hhMHKaV0X8DItgMVYQXRwd7YgA+oYCzdUBZ7LYRYg91ri3t0x513W7M61fB7PRCEBN65Ftt
e59OGH8jDfvXwo4h2rl4RE37BECJh1MT+V2gDmhc4jyqAFOvIY1bg1qHUR0/ie1kYqkMYv4egJPS
y9cDg6LD1AVvFUu+ymZgzWb+klTA2AtlbFmefhBuwjhirOdVIOWw8soRe1rwx69jtiSpILySVVkn
2AewX4hXctTtuWYP5jT4n7NL6v2yskKvonf+eNy3VfjUNP/zA0m6QtgKNwNPKHsidG4QDkPAPIGB
sodnFDVfdwwkXIYciHaJmxq5YmadEbwwX6xuoWE9pmk+6dhoV0GgDkSYdFGBeyClh8f4gRteMwYo
98zkD8EyMOcENflPZ9S4YfarYDpjV0sw0iBfzI5Ecyzg1HT8h4QuvgkP5SbOoPe+j3/Ni6zPhgEE
vfOJGrTchciXe67FDDWSmfAoE9zHUiO42Z3CCoYkKCQaARPGp1vov1NWfhoE7ZKpg/6Zm5QJO9uA
3hi3k+v9HqPkLGOGaPPwLbvhmaDXYu2N/c0NaKxj0pRGw/lSFldNP6HzSpEEj4rl/6J7xNjPUnfY
pIl7FK5bP0sdMwjieESbqiLcz8MCanQEQ4fe+MMwKXgkKCXSEOW5thqN37haFzBCtcaA2Qic4XFV
UzvhMutLAHWpam7T8tSgC3vHcjYR2wBkOMABAMYfFVQPv6JUAe9pekgVTj9VW7GoZIrKphz8aCOd
rck+3regd8LK2UOD/xo9PW1IQQuxrFlbDTd5Lcdq3AOcERwhND4zaEkX/+CmGBjkjkKfxVTQRXHJ
n/ERBzvXMo+MAyULa0rkiL78pKunNsLXleYIcj0cOkbYkJkxpAI3zLQLxOwzQ5vloW8/XRNfnyhg
7sQ0SLnJdT/icjoiZD1gyLjZU9NjUDTnnZfyEJvt8NN6bM0JTa+A6swczCixeX4YQ6GN7FATuyQY
cg6EHooQRrAwJjMsfrXJZhFWs9hZXRTAR0adwnh/yceCBjfa6qOb1CPPXwBspIe8ARQiy+DbQ2i2
sivrU8W62QfW1cmb+gzyOAX0eus9FhFd9wxGlzFo4o2sqNovK1syopG1rB183H7yk3rmT+27Na0R
KYz0G62V/Xih+DCqY1+O2cqxiBit/eEtUw68iQbBQtQTsev6vG99BzqVWaOhN+gA+AdANhnBGrOq
nmrLQEU6NNsyw+VcBlC/gqw+K37vU7Bs+dLr7LMIoZa+1FAd0KxZhCt2N8x/QN2rOMDT5Bzx2tRb
u5XfNSPI0QvPrQdtL9DBHd7Urkn0WqNc4ma2wa++YvH5mgsakdwm0CMiw7F1o35tEYru2rRa2knR
YsDcjoefrEh+WTHRa9VmkP0Xz+tA6zO9NUxhmTUQDSmSicD0pUU+p2F7yrvukBZYSoLpb1ORYzUY
ZBRnSNOtnuyDUGYXLcVfmKD4M8SP1WOFKl0DDvnCFjKYvYY1E0ECRv50GLEqNMqMsteVIKYum3nO
uEnXXQxYs/P8kx8bb8lo3ye3eS7jCa5ML4/NYzJ9Y6UbEOWDd+8Adkyh/KCayT6D5j75T87sfIYW
2ZEu42ZI83AuWYn3Cnamy/iNFTvC9ZIhStNPBC10hz6AQWOwledZKs49tQZOXNwHwafDhVe62cHl
JhpV+JLBl2D2Ur9pMTxyMRwT/Eyr2ZAb15Yb35x26A2/CI98EogTDp5Dy464ZT/oP9IiEItYwRVL
+hW8acK/fP3Gkw4c1bE3RrG414rhzbVIvpL6Q07mExmwnO4sYTu+7tqqYhT4nf2pnOhuR5zqozk8
9w7Im5j8lqB90FY+0rZKuJ8pgVU1vyEAQ92kk+mpH7G1cewcMXDWWnwaQIoz3Ufc+m8txKPAMTa5
5FklcpVzmlKlJQVvrsKrkfTPicrZaMcQpG3D3nIXj6sWOatn4cnlp2NY2YSnqvTuYOLJaBPDJTe8
n9jCNZ8n6ZGIvEs5gixKkpdlYxPZ6gleAh0U6Bwmvf3fsn/tQtrUqbDU2s405Xw0QzFrXxWYqV0j
qNfiyfo7LZOV5blPNAmKeWd9D052fxjady7+IN5jly1tyGY9rThlooysqv1QQKK16SIX175ZVh9Z
2R6LOSc6tHVYufuYGF1hHIWODrqO3jybzHmhWF9X7jdxcbhlFRMTZqcbPCDTyhPTX5JNf0KXB9rh
f6nE74nspWOEv06GmdyGEVVojpsU4WiziQaDOAoSi0u7Q/imDUREf1yPUDgbFpNfi2/mM2enDz/N
NP/T9SwJSwzs2OqziuVX212gjqy7qj7ZSb+xUmhbcfAJqRm2B+z0MVyrGZUeXmMmIsaiQYh3jsk1
PrjwJ+lwvziMi0MQlvd06N4qe63A3YPnVG+J0TyciCNgRtLX/lBKmniQIfXMDB3KHhFILznHY0zo
aQgMKjXMg42/jihOQ1LzlvdZzeKCFUlAJDfCi5AbO8Z8PLrNWy7CP4XsQGMOJNNGEE9I2iEL99AU
D19Zz34Q5fSsZNWa4eQg8oW37TtPQdhaB6O3P5kN2JvWKfZ5zgVqWqHahUb2Qcz6EbENTEogAyAH
Orps9zaTjHpET19cpe+h65b9JQz9176dbjJYLCJ2yGx0+RBnSAA8QqKqkfRIesMDSkHmKW5NpPRI
kxqyaigJsqhkhdRo8fSz8vBnwuFgZYW6JtQ4/yDmF/dzlzjExSf4vI0X5ZvfQVEofnb5S+W5vSe3
J6LuqEE38l2apvuvMZeBaIyXssTXiWOEJVMzTuq5VbBY8pPvG4RvYw4RYufiQNw0gQusrHW3hRkO
p7RJ4wPJMYtQiDmBQd/hp1b3bYzmHyMouxfCyZotyioS8rKUfPLiEYjsmZyj9JIZzLwJhVvPHOq1
ZX+gJcFTFCn42OEZpsq0c1Jk+F0A6LxL5UdswtkKWGqnQJvlUGWk3S2gjhFdzUxanNlIlAi5XdL+
cWGNQl4JoNk2gPUuoS0+wzYlv8UH48Le0NcDxexUH51CBeeIyEeIUGZJnk/xndIC+MQ/DMZ8s1MC
KCztOVuALR+jyrmtUzve1n77LYdQHacSk61jPEkTz7NoN8QUb5w6EO9B1XyTCFYhGnlEvou139Lj
Go7mV9IVrzmxaDPxaLRV4GY7+VsSnKYJUOuWJLWASLXoDG2PijR4Ji+MJtdkQZct/rRs8c/2Sy4b
uRlfrnDPPWSHVc3gIy4zvDqMxEV1ZhDbIMfo3twFAhItuW+ibT6WKF9zSYQr04nVj3qk+UAALk8V
0XGaCDmg+uzYCJUrl3S5WEEGB8fXJ9jna8wxvq++GzCTzKx4YuPpkbiLWyaTRzCOTr1v5vZfP4pv
rFI4f1uQda5Ak7Ck3s3mhQ7goDTqEJ9cPJb2Ncsa8Bn5xmmys2kC3EFBHB9iMvVMBuiqD159x4Dc
ALG0S4E8Wc2t/z8F5/+EXXWfB4eBKwMUcvs4teAnda85eX6isJeMIwhOFfx8rGn2mquIqZp+MFw4
9aQCkhgH8ULbb4G0MWqlpBDzXyrjzSdP0AQa0QzeefK7nsEPYcmhezMz7zVzkQMHoKN4s3FwBTx4
xLRtUsvqD03wd+qw4NnJyLUP8cmrvFtG1qFjmQyIGYXQdDhLFiKZiC3Iyr5DBmOTlkgAxkh2Yma2
y/1QXQWpitkwr5DZwXj/B9D4Ftos3eN9SHk7Uor6JDN2TfZPN/65dgvA8GQ3ZngNXJR6m5lURxWa
MOqZ9fMkAFiKEf4wtDPdD0U4kYOexF0CIqup20dWd8Tr/6hdsfEsee9bDEHmEi4ZZXjFGJPBWwMd
qrayL7/8KTy7SyylU0TncSxfnSWw0obY1Jn4TdrQOReEz61CyGY2cy0Qa0bLGm6pFwMYmz0I7Gj5
ZQgPPB2M201UY+olOdMfglOmnW0R49WrU/4PGZsZWZtZ3X/ApmQSPO4Gx7g0lnReahcaYdTc9caK
ufVJ7oyWBE/b/uUjFc1cn4qOLVYhEM01080oXkMSQL2QlRiFphc4lIg5JqBmiQsVvEQrBwzRpozb
364xP9KBPFEDUqOXM9dttXtxhRoJg8d8TDTTQcnwlT36r56sUr2ElmJT5dOIAzl+52ouj0bj3mCP
3xPSToFdXUjuuSpSUF3SUJn8DaR3EJBKMNeX5Xq7CsBfE7tfgod5YK4bLMmqclUuQaspiavECx9N
aQRrGPY/cJB3ncAAuKTjkNXaU9S5RFiydt0KslybJdS1dtI7reRfKk2HUTrmMGs8sAN8IgEY6dY4
W1/QUJjgdFtrRLVPdiwksRDfpHGzSJXtl3jZmrUBEP23RCyxYlDxyKHNTe+p+MUi5mGmFc54CIRt
BNo+/zC0fg6JfsCQKeKVbtGnDeNLxCNLoNPKXDbIiufVMqango3MBmM8Ei7zxgBgjw2ekKDeXvt4
vVnjytPsjf9r+ndWlFr72omzFcYI/H7ymJHKq5d43og5ZA19gYB6tHd1xMqgCCJoARzUPsOXJea3
AlbchuoDp8wxs3j55BIJrMm8s3BJ4gCCRjl8z8NEeHAPLKv2mkvgK+8cteqEsOQJ0METNIk1pM13
vUQRG6P9HHrpveMt6hJZlJNZrLF7lUz90V2xl3O+dGwTA+t89YhOAD/Ou4oQNAfF/tbqGKlISYFP
nOYlxEW9HpbY5ICR+YzY0yNPeVRv9ByvrKNuXYTee4ldzkgOq6KWJUGHo7ErTm6Vwz4o+ltTjruU
7GYGk2z+2e7YKNPTCHYS1G9jIM9YxJ67wbKBGsN4sWLSnEiGnqW+Yc/q1jOZ0Uhgf7eFh+wEf+gS
Ku3UzjcKkpOFkFsm7oPxsrdO1LiXA6W4k3g2eGgDlk+bsNFmREcfzDlABdsHDIxbZt9t7zyZNq8O
BrmZvT3Br3JrLQLx4T6SjT3PzTfqllcjz39bZGdDhQKL1KZq4yXIHpQHGc5xSH9nIIFLn6Y/Iveb
9RsYlNVAOncuDKR2nNUIme8F+d3tgo0m3HIXuN6budDCy2zN/VlsaMKPnf42cVAsR7LRR9fOdk9z
KqrVFjrTh096eLPEiCuQ/DF0RQ44br5STl8WKz8k5zXJW57Fdq66lj655GzE+5yGrSXCl9XVsyDB
nOvh3DSFv81oKVeY2Aqyzn2z+BloKi0y0Cuy0EdtgXIBicltj9I18p5SctMzt3O4MvQzyYEj5NgD
ZsgnRdJ6Wn6DHcSg2v005LAz9MWT1p088tlVizBALpHtg7LeWn1nmctsZ0YNYi+PFb/OqixpBZj7
NZ35ZBT+GYtaTCq8Ih1+ubqiQDAbnl5IWLn1MdPLRKQ/JjwUdO5IwfGb1STOO5Hz7iZJsJW2OGCn
KPwmXRtk1KNKyHl75UAcSK8kxd4znEvZhN+KbM7VkglJ1+qZxb3WIw0Ie4TB68hZ14eRJd2OA44X
LCcvcjTj3xRS6Rg/9IibRzNzzOuM3G4DYfS2RmFdJ4xuCv0Vttup6HetIgcjrMiHCPjNOQSKk9vw
EfkGX+uVwC56EuPFSBiYDpG9GpAhKTNEJVW7ZxvxG3tqlewocsIhAmJP9QBC9qVfBJcayS/wymr4
P12QpqXH0ZsH+icUyEZRWJxyxU8zOeRdtynfI2Dv/k8Fps1nPHkDzPJjulC5bPhdmDMCOjWXnXA8
v/FSHaf2dzS25rpq9rESIUurQdNl82FR1hlF6a1BVlLHsvXaGssAVkA4yEOu8ey9Wiq41gf9YlrG
ze2WWJrE+SEa9LcxiI/JIXEt98PkQMY1tQkAgL0dVleyhO4ZJ023aCmryCLfQrEI7VuQM4Me6Xmg
dVbguFh8RW9zz2ggXxeF2+86jGbbdAr7pwWDsEJHEDIiDJ8BMMldyg7a0veyj06pyOwzeua/rJI/
Z+Hb68n+YCPLFp5CE3rOtnXGQ5bOIClNlFszK+mLIlJlVcRJzmS+1qC+dbkaktzBxFCZa80saG1G
gbuh1s5QwTJFyeg9UyOGKUCpffr/QxW0+BwMmMjVD9QBMcK/o3nbV8tfCgxziRCobiZN8r6MqjPv
aPJZQrgBkRksYYx8UFq++pQHxsi4OvTan6jyYDtY5s0d3Dc+N/u4bvf/V9P21cwV6zbRjYxDZP1k
2O54GAdjT1YJgsFkBivVT3sU4yEFV3Rp6yZBPW18GUP+YZM+ubNnn4lbQZp9NBvTocnQfPPpcJAl
7Ocgc6yxcf04E3ocq5evyUL2WtRDSWZY9IEDDC32CxyystxGzkiX5OBILtslbdH/mAPzRm4UeWkx
IKWpCx81xeQhserLWJMUzSVSkOU4f5cFUbxdv6tzUOOB75Gt25gQEhQ/HjXYzYFnBfsZkFQTc4o3
polaGeBj3rePKqndfYCOjcCkHsV2XbCniUtKoAlpy+gWEAMqbwPklZuBCsulszsO3oiQrGlxV9f3
gT+wR4z8KXr9ECJ5AE92xb7GXPu9lRKLiD9G5uxi/ZnVcm/7L1aKSGaEwtAtP4LpsvRTDY622o9e
gmR6rlI2iCZ013XbwIbDodUfvb7EdAe5p+66Y8eCbJ8k6HiSmQgDi/hNSqWyUcQUmvlzFyqBuUie
NDNd7WQ7IWAmemRDQpw3zx6JTy6oPTRWwQ/V40J5c7X5VKRBc+UP0bAI5hAOcRLvYIU/SqDlTHjT
nZiGYK+65nmCz5imtXklo2HfB/ofzTYuGrt6QSX/rzUYK7ctc58czGiT8JQPyu83lKAdd2x5nBK2
4mnE0q6p2NPBNzTD/jFCz7qo0l1PLuMqrzDPkxriDZN0sbFHFIF+FKgX4SYxpHzUU3jDDlWDuKfO
EHmOsD/YGyf72Az+Evo+vlaeQ6dUu4SSWN2WaRN8IN1g7ezi1SAwZVM3DQTyxXxFcaIqRobAb48N
1nAOO7BmMpvRQobeHSg4kmLwCyZ60baXXyb5R0XqQdlt/fZiqYJL36GZShhqGwpdc98wmNIO2F5h
M+A3TCJJ+vLgOs0N++NPzG6Bb1u3WAoDD+U9RgWUW8M61nCgkAOyIzKek6AkTJrrfZVx3pBcj5gr
kx+NQGSLnMhDr+mveVVxM9Q/IXu/jZUN4GrplvFXBwCQUBax+fGHZ7QavIcDFPx+fQ/i/IikHn2N
6xyAw1P55/MnCriHM7uHAlnxJjNwhaVdSPuTd5s044zlFjFOIm2bnePJtzq9djCX1gO/5XUyVoc2
RVKOwf59bki61tmwbDDRv4dDygZajeeo5CBHYUjWB6HmvpZkt+rOxqjqpye6NA4DYOKrbPn1sXRC
6DhWu6BsmWdiE90BKTqMuv9kCotSm3sI2o2+KJIUaIGA0/NarRj3/FawRR1kfbSy+shG176WKeSK
pnKRyfbv0KlwyBsoV2YwtrA/6QgfRi/BXXCMKQMeLJM+C0KS/8lwKEWeG9+cPCAwoGfVBM2dz6ye
WHxgTM2A4ETCsrYgf6EfTSrbaSuq9qaZE5I5P00lSC6m+fyLiZVwyLVU1gL8ecZgMXJxjNVWcXZZ
aWfL7dqPUbnqck9twG/HO7CId2A69daxhjtwVyQ8RWnzy1btqVPduw0c8aic5iv+4pkuGZ2bDWL2
7gnqi7PKgt9WzQtoKJBs2WTQITI1mqLqIhErQtqjOSUxAYkspitNMEghds2Mv35g7rSuwetvLNly
SSEOidJbUppq55qOWuMKxbIcd4xL3BjQmWaCxvt8RZo2gMy5OU2ZER4aKabnjFRVNFLwS2LGBMpP
4Ohjz5lYbxgC3sDkUrmI1LgUAwh89v17YC+oHWYXZh3HNbJ0zF1y22VlfcIodxPoSGjeyDUvDRe7
8MyPVvJNuCNm1tYuTsuudfLKAQojOgXjyKD+pY6Gt6bhzremlMjA9hBaprU1DBxeniTiDfUqFmGf
vCUeqKrnyTNz8BzaVNaOo+9vJ/dZJn+V5Mxua6A6wp7wBPD6O6JAPif8YT9U7VvjOTdX8WXs6py4
i40PL5tbc7YG3FjZgHMzb8XbbMMfiwcUUyHvnBnkFe3CGSLRa5EWjKCTU7kMKAcZs9di8UXPdCCy
HSeViXmjbuYjqepEIaLqA+xBgkvXi2cX9W2WIZPqY8j5UAU9pz9N8pKU2IEhqOdb/08YdOwlNAnG
KUblItnJkaq9Sq1sv+SE0nytKYqP0ggJCyqNe9xinmq0uDcjehAMJez1WvUMlmO4kq+F/R3pdgcq
CEARXpOEFqaZr2UyA9/pXRc2SkcIrvlOxyOX8ce/KMxf6PSaAA6RW7CksvJTgKTyhrf0pdYR8nr/
MKkeHqKtC1Zc6EDTFsRSzIah0t4i1UdJ7Exxu+uMKD4TdmP5AGAKz/83DlDs5+hziCbITdn0SxM2
sc6oTm2oilV46g2IRPQCOwdzLtYjlNSiNK5jPj3n3EusE8Jsvxyx29Ar1VPWJZ9DjZJxYkI7Gunf
htp30zdomkQ8FZfBxhPM2G5j0WoLGHswlQnfSqUr1zaY5MFiIVvlrIPjFLia6I2jH14GJ8GF4zKP
YpGoTr5N3ho2k5OVc+mGCZglY0otXNIGs/amPwRG2zCnx2NC6Am2JHxAlH40qio1z2EcnxLggD+O
7rd+YvnfGjEp2Fkve23t3cwPsx+H4H8t8odqnJa1tvukbXVR4BcRjd1UNrv3gGWFtif2qY71WtBL
C8tjm0XAwoZhCu8RCIN7aRh/R4CzK2n26R4D/0/LUG4TNIY+DiwO1IjEy1T3siN1tK9DwFnpi5tq
YnZrx1kyKpCijTz4Dt99mSf2DRohs3dvGzVGe+smv91K0K13oYN4G9R811OeIVPmPGmjGjPjYFFS
l7q4OC7CLwN4+NOgXfjNGIWOsEoQUTTod8ogaA/EbYnzzLJljxZ33oVDtlDHcpN/MgDQExt6LPyv
KUh+ucgO6B26V49BxqWzGrnK8A+9R07JXAN/GLCVEWdr0xsHe06Qoc2vMRD/gBINhQv7XxngToK2
y8gcwZOtv2L2MZMduse5kIsKAs5TTfXVt4O9tZiXbOoJ35pWWOd/127snGa3X3XhgooNkSUHXyJU
mL27JNnIIIjJuY7Gc61Rs4q5eROQtoYyqJ9HZs2QDRvvGGgcsUlwmswENa3TE0A9dPFGOM/IBdFR
0kuhzybM0XRVd///A28pKBEOpjsTJDS+l/xORDJ8/5LgDMc5jvWp6ary/sCDKe827fMty+9t+h5F
XXSDbpM/sG/d/GkBSE4mkbloQWsxBzcpW3FLBYMStwtf4tQPXwA/YkYOze5oEoKYo9W9xLm44DbK
Dq0HSY/EnL1gD/vit91wm/W4DYUL3rUk7ChlvgDwsIGxDCXRUKzeRkluVlFFuAAcfh7H/6N3ZUdu
iITCfMoWepHfh7s6W/6VG0cwzFAiIHbKTmk2dLe6XPcg7jZ42GENpuYVPDRh0gTcPiKOhsEJz36W
ItPhd0MeFLoQ2zd/RWED0M1oUMDnzhmDOjETuF5TySAHLHVmx+89BLVVb6EpzoY/zZL0GDQj4IPE
b6HPMb6aqiqm9at4s43QOeLRHrjjZrKhUKCfy89owXXkFfnN0lkw/xMGdIOlLVTSbaovPsHoG1vp
xYNcuk+UsdTj6skNYtbkFWyhRVpq8AZ2gu6Po+bD0Okth5EPHI/CuNLwpMng2IAzYbyVFskV/EV8
Zcx9QIYFfqMp31U42kSzuQ8YIsSNIlX5M+sJgh7xJaZ2TmHks7aJYGSanl/uDCY/RDs3cMcZNbB8
gvQaxK9VxFDArxI4wOTd5S6ffMRxjXlGbVqJXZdI1LU/iQrwRfC5LHKunWQ6QISMuRNAhUwru2aj
qLa4eEh35VPrydJ4XBb9hK//xSNhOhkGSXyH6PtcS/e7WNLSgAd/LSiOfzLMVM04O989mkYVlPGq
a0r7PfGAQQxyPOHf8KfMBgzyLWAEHfk6VLdcFlE4OM8S68umtXRwbezwX1szSjLb/q+qOsxbBk2J
WfYXf/7diAsxGKDdqJfQ0Fq8uk1CD0Yvni25puYhpTIZ/NreA7Y6lB4ki7qnW8TYP55mVK2npFCL
yJxFbphmHaPdkDvfRIlK9c9ZMbHNZX/8KNux3iUTHh9pp9GuTNRliA3v4NfBUp8LlsiuuWHHg1PW
Iz+uCuil7H4tS6YKvqwVVC1c4nWcffBgowO0Zg6nUmHKmV0E27hRQ3Tz2+WT7vghXucw1a9VQOqx
EVC1pXaqtnCDw/3cOttwHKet6/3t5oF4VdjsiHrnv7A6OW9m9R0b3MK5ShGAGVGwLUpCMqVxdTmn
fk02oUVdRPAZNt6tBQILQVPcHRgcvQIoVg8sQTuUqnpnLSM3PSo4gMJfQ2bOd63tBp+TsrdigHUw
xgp9Rf0rBOS48plykTGmbm0zAlr3/kwo37d2joDQTZ3mWSTRNqgs+59NQBczLgRDzGoutSYvpMuw
t3QNpVDWuy9cP9muzOR6oLEk0Bi1jmekJ1xNR0VsWeQJWJ+VvJm1n934Y5ZoCestLK/ApcdVAr0I
VB5uQL+Itwnjg5VlmjZyYPxgSzLttlrSaCpdv0sLAx02z61JRDq7h2FnU3jgMxFXtzSzg0wz8tDI
WgGBY52M5UMRfnipN2wLn+VTF43wCh3zbU5pxUiXZjVpj8emzD4Bw2HmDBv24rSyDhUsa68BgiSC
Au4G/D5pG8qNORrqRoEFVMY0mz0syKx9K5VnXm2R5ofeZ0ju1zK+T3Xyo9iSYBEK0cVANchr8Yds
B5uACOGxFtcD/LhTgwcV/XmK3dwJuHNCe37C6Tsf5jQ7xqmmBRIDE3hE0Ok9BjyyLfMgPVkZgjXW
inOkrlNECnLYzo9xn5PUN3hAy6qw8vAnl4/Oy/55CwdfNKO8qsUF5Ne/KlaYt9gJjXVb+x+1U0xH
1hP0ZOQAJyUgd63xVhNm0rN9UJ1DNJUVWJtQWAzeW/NBOCDnikjvDpCcFT2tfWCDMmIfEppaqqzV
dAWbX2/TceCNKgV7tqjCa1TbxANQNYLD1TrcCDOisneWLSwq+MrCLCtGYoeVOxMthugFahP7Y64g
rpv2i2uzXKWxVm+hLTFw+OOSEEjUcWa04OLMdmsZXNChyY5X1SbvxLR/SQVj4Ow/9s5kOW5k27K/
cu3NcQudw4GyqhpEg+iDPSlqAqNICX3f+9fXAvO+9zJ1ZUqreU1opCiJDATg7uecvdc2teS9A7Wv
idtWaPOHizCpY/z4AIeAJJxRbKJWNy5ecY9Bq/ShMt6yl52ROdjILpc09OiQJ3q1FWaBgCSCHjGW
KZCR6t4INZu2UZCs5dR8kSGUCOmNHIWS+cKc/EXPF340NB8JGYvR2Du6Uu9kVumBjpRaO0oSnIuV
eozyGb8446BYKbQ8OFWNnjyYhci5rgXrWpvNR+TMOTzO4wRNfhaCCWQKy7seMDDocXNsRvvWyPrv
+STajWVHHEFVu4bLbwaiw/A8ugevKN6pfeEV0yXGfnqNp9jdhq5G/2BAkMSwCAmAYwV7iw03IQpx
K7Gawlnlm6Eb35uNpExSipZQmp+pqk7dzFMwQgKApV+emqS0jtiuQgsRLeHH3wLVNWvLdNDRyI8p
VxxDog3uNv2OZNaOpDZOG9nMIkCgUqKbd5SbTHIOufOj6aOLndLKBJsdIWPaUuduIis406nCGYEj
aZV6hXMH/6HcNNAq6Wx0j9DS7NVEVa81n/4fmyZ4SHABChj89ghggo6zTsgKiF6f6qw2b+i83g55
fFvbeXdX28NTWObqYFOUIdhE3UswHnuctjVB1ifZqVA9sQQMvVEK+Jxw63U/6kSeWxNaVsRhmFou
FbhLMMQ2wY5Up7gEQjM17wG0mPc0Br4pG7t12Jq70llizpeMq6hRZ4zKFCX00g6W7qR0QVC1hJ17
LVBBP+Zk1iFij9cI4Gn0BriSQevuPBszPO3KhzmFWJ0UnZ+V1nXgoNkPoQuZA6m9q+pNpudf43E0
9pbajibttIwuDUX1V8puaNaa9qwF413t1ndyYTxxatrHXXrqRvb5Fr2Rb3uMEZRB7KZMj7FZmjiW
7RUO4hSRMSu1zWS9JOZsx0j2G0zRcDdG/YPRz89Wh0jaFoR1UqzdsVPAJLfZN8JUvI65EWDar55m
a/zmhIQUlhPInKKlikcWaufusBPUnMaYPWqkqXF+weKn2WLtGgguBfPLXGCNigdycdIKYRIC4d2g
qcEvDLrmTTQnyPhmaAihOOvFTao12QF4GcAYGju7zKmweyBfIVZpWo0610IEKqHx1mT7kngiHjz3
WtHwdKsw9uu0+Z45NiuhGKtdncOBN01orsl3RXwrFHuaV3nLI0JFxQe7fzEcZ9y2jf7Ul4b0PVOb
fTNrbitVPsF3mX1C/e4sE0xSXyG3n2paFUtKCC1v+AHBwkaiM+Zb4HK2MO3OdBLfCAqUGbuZ1oec
ODBfWHNOcCsmWRU6hzow3k17CQt+64WJBz0yp/uIhxBeaLzt+YXj4EcIGvYUYGCMG+I0i/Z9MJBF
IgJO96kVna0gUqigjWIHcgu7Q9mR0/GeNcq9izN7G6cqvZnZVVYaHZMNTferZ5UhY8ubXsamH4f5
s94xGmBZlchuoGvFKD3DFoeStiiFDfSwtip2do3qChYeY+LUAlzVQBIqXAwoQ8G4qIOsq5rkI2Km
kdndziEc4mW06FCHPdAAofpH2bQtKxQ2Umuq6KwKmvFOX9yT9nweZykuXWnsljhgw0OuYrW8j01j
AdjNwGGa2Nar6l0NOMa7ydjQ0/+AGHaDBBos81iTFp9r/jQCsK5xo9vA0nFU0mx3abNyfOXMlBnd
vdl1FMlxdcryAfZ/cdt2iBClNeGHJ3ghDInVGbXET0jcPNr9xAe4I4tzhVxabIXAt1fFANG9gQTE
BKx4mno45XT01xK9mmYiGEPive8aMGieEWwFb07NMS6RbA7AQ09CI6dWWun9EKG7VXp1s5RQHIjW
jgbzQTjhfYFpCX5afN8WqJKn6Q2Bmob3BXBYHyNMcFwKMr0RuyIy9Ic+zv3Bzo9nYnEeYJDBjXDl
M+lYgBU7zv4dmfMl04jlxF1YoPKcUR1GgceboftmrpuABTffTHD3THf68SDK8a5P7PkQwFcvCpdT
fEDXG1k6gUHJt67DraMcXJ4eBO8wwFLY6NHXwUDDBfPQ5yBD22ymE0wzkbZYmtl+lE83trBWaRnW
69QmJcWL4i9djsg9ocndm+i7gaBxqiK9J5Q40vSQy4Wmmxm47hFUW+CO6+erheFxOSuYUQVv49KX
TYl5LX8Ya3SnIHKy1RrRJmpwnVlCmoffsp57PkmxtZkImpiI7RRyPLpi6lbZ2MOw9m0Nt/oSitxY
xWOBeTK464qKrN8g2U+dfi7nFEnOTAAYA7atXuokpwrUfMwEmE4Ttx3OFbZmDjZsAVhMIQi4S7IF
syZ715fyi7ADdz1yQ24Sw/mh5563V2T+4X1HeiVpkIkcLULWBIxvKnK1YLgdoM4UeytnzY969ktD
ljs50S4rksTzudFW+DkR/lbRgOGLGinJMYNqXe0bi8VEJfzEgEqgTYrFx5R/TQycpYNt3Htm8YoB
Eyf+AgeN6+FWR7696pCirrSUv+QoHH7MRukcaDCEUaNt2rqA1DYxRG3oGfcWx9c5O5rNa6UHaxgo
Jgz9+lip7NEAX9dCBhskrliOSXBui7S/CaXQFsXjergfMhqc4BJwcOW8W2XdIIWywUPWBNMAGp3W
VECrtlZqpdWRwyE6IZgpEZuqWRRJqAQZrOPfxVZ87g26b5yU1c4QTC0Y727ryX4UdKHXhp4FjFKy
L3VlP9tmhLtYgQ3K6BSMi62kBlYWVJJaz/lA3T3uYrhQLFzYbavCBU5iLUkwJODhXjBRpk6NfmQm
xBoqoks9Iblkm9jYOoiRKQn1EwaDptbrQ1QW40Yv6qe8ImIoQWApI+sJJBp357zxNKKykWWus8RC
2iUjwUOCLhaWTE2mFSfznlC/1PoBG/VYlhVwjBklumNzIywW+yEdm/XkNAptDhSn8JvdgDuIlPdO
ZRL4el08Z+yNjApaSjINKH23pF0iiO5RD0z3KhoTYqmWDzL8MrLO+qJ/z0yXsiIkjDIL8xsLE+W6
hXeto0lZxiEGRlrGQd6rIlri8vnBGIRfiUnbN0N2KhUO/SyAUjaPDu2lFicI32aWdbPspytOYuQ8
89zHzYXM5wscIGtXxzykc1j7fWg8RJrGiaxA++besdnFu2JKL6Kr90JDXUFKQUs1Rkmq5Eftpgcg
2fgkGe2TIDE+Krrj9Gb6o4fgml4DzyeJUSiTaIxPRp+f2izbCQWiTijg7i4RGXKyvYNCl67XIXa3
Cd95oOhBNSmZk4znoFsFlOdzNHC2KN6ngo5VwaqY1M4PHHXvBVTJRlAmGTPZVyniKkJ2IdV458yJ
nE3h2olfzuE+qpMfPSNh3inuaY+SCrXYN88iQdeyAKY2bgAsrogQCQzvNfa0XRlvOMrWRzBJ34UU
3kOb+T0wzSkIQuqurPUNp2fAVGoINefgkb+8TCGj6KA8+QJSzSPBdgK/NqS3tVV1fjcQUVaCKyhm
dGqDeT+k6phiVYKzixmTnKJkj0FyPipczI49xsfI/Eqoa0abo8y2g4dOrRinOzMKMJgTqkNLxcnX
dllyKVtFukI85yi8KzAWcQDzevnAYU4Q3DBzArSwq48DvKXPb1TzrdOG40lGX4l4Lcn+odd4xNxR
WfvPT01naPahEj5SAn5PoX/tBZm3UxQZp88PYlT/+gz/yb8+axIa3KtQFvpOd5dBIM4IBjVGJ9uT
Wj7YFeD9zy/1rJ299efXn98JEqGtEMbFG4hXxrHMM/PYTXTJcbTy6ecfsk6ZR9Oy5r3X0KQ2hXv8
/ADKhPGxk+Qmo1qmyYuk24d5/j7n2PSxXqEGGy+fH6YJ2SWiAL62+kMdju7ZKvIJZeLM3MvQz32T
spt9fqhsPpu9HWDw5kjcE33I5YOG1XbTttDe/vu/bXL1BUxzvhfLf/bff272z2WTZXdMDBoSNlgC
ZgYtIbBbkxLb1uboLKx8fKZCeK4qeGMphpkJs8zNMKUqP4o0jS5mDQPeI4PNMYT7VZ+mcydDig0T
VQcYjPA7Ng3MnUPE+qol5FenibzhFZIVPRtgprI6Og/9DcY1UlqsuDoQL6xICMblBXBZvHZNeYLn
an13UkZObT6/Io+IcG6r/iY1kOuHQGAxJtjRqXD19hAnUXwKzfZfn33+Wbj82ednCLJu21JgE0bZ
+QzvxC8Fr8Ru83oDwUs7Dg5qbfpO1tPnlxacWiYkpvkkCpwqn9/9/LLvOucwZndKWtG2tAf7dkps
eysClH9oeCe/GsR8DA0IFWZrczXzWPcNLuxtwiLfTyFeL6v40ltzemNYLiW1iPDCkqUUuLr30nj9
j6TI0o9O6NsTLQiuOZiTO1YjiDIaApYSfVllGM3BHXG4dL32WMakXwsSJEhbcK0TtceabAKIJLVT
U+Aa99B/jFutaY3bPz4Dddg4dbNpzKDdeEtASRBPMyE788fnV0rhqOXY4uAacZ8N4tquTRBoj0Zd
8tgktnt0o1rfiVpAusFxdGnYu8Kg6W4/P1gYvQF5O3D+Myw5CSJzxnX5Y+Z2b4XVxvx1vuJgEG7B
/us+yDVw9qp69OYJOJqlNVcSZeoHJcSlSc30VXMNzhCe8UwKjLaOsTa8dgu3iPPpi6CKPtI5cDcz
pO1XLymfUtQ193GnzAt0qAwt7ChV8HUcwj0HdpNKSQt8V6XQGsLhG3MS6L/W5FIqj/rOmk3J0wmy
DWxBt2lxiH+JNd7uDkV3OcPTnRWzDZeQK9/UuhQx2xwzwqLuzOZdONGKyHOn3rWmkpcIn6dbkcOw
1vEsx+zrKShnfywLIv9gWCO5SO0du6+K+b/veT2YD+ZNa8t6//8h/fPhA1K9B9j+f/yf//U+/c/w
e7l5697+8b3o4m6+vuXf//d/7Pq4+P6mreK2fev/gupf/t0fqH7NsP4JaEwYnm2ZuiNdafwnq18z
nH9KXXhw8oXjGpTN1n/8A5F3F/GTAfm7unQ9z5YCmYrDf9gSNb58S/8nFg/bop0sOMu4nvv/Auu3
+RlVmc1hWSyvECuDA2PFsaRu8DsKCuO/ovqRcXkBcZM3svP8MUo+LLaFmwaJmyrNjwEJCPknVnB0
UdbO5jVw0vqc9ZB/WqogYGl27A81neUerC2yj/CVrOh6Z/eo503g5ReQLUdGoc7WSXt3JbKODuTU
JCendC2/z0EVxUOJwRzP+N5G1HzDyH2jhkk/UCgAQA8xTTA4y+etTsDhbd2/0ekYbqRGgDNutrUl
pkXNVuSHP72Tt39cgH8UfX5bxkVHKIFw//262MTwmTQ+HNtgtPzX64KKs9C8Nrpp3T7xsSTR280n
Ivya9htgsJ1pchAPhw2dwHLvxhVRsfDs3YJqzYQRjytFYaNyDXKAnJyM9NnYWLg8DraL/rxS/VmQ
VlrVWnGu5uANOChJ4BLNOavRCYosTvxgSM6xzVMbKfCo+a6ZXYqKGee3iLCKghPfp7JIWV7qCQDV
NwdJXOxAuMx5x9eqH7FZxtAOY7N1N6Vt6X5vE0bqttWNF0Q0irzh3LQ6ascIB5T0vsPINI9Jg3xe
l/VLVdQDjVoLpIi2+v21tfVfXFtTF9LWTQGK1iS+4s/xEKDxXDU42jVQYbkbm/vWzSFNKG1nd7px
EBONR8wE6Sau2UytrdYm1ovm6I+SkX9WV+nDRGe4Iud3Y2SRtZqESHcsqKQEyhyRVo5JujRo2cAf
GZAhJ5dFY0U+rJo2+O+RN9GUXEkmaVhr3MxvUUJRBeFmykZxtHHEAhgwgQryfN4GnU2HJaJKtdtn
m4dl/fuLYS430k8PoG1jnpS6Y5lwaX+60TxpzTNzYWAsyVbWDiBLp3bhrf6w4fwSOtog/B+NeeXO
d3DMn+gX+9ThqzyZaPqjgZ1HdI0dcut4Yc/jB9CimX6SmVS+MrMfNRP7zeRWXBf24T/iWf5Y737x
lBi/WD1sW1pQykzD1j3rp9VjUIYGddu7Jnkd3Bg9R1CYm9Gi/s4zLDN6DHKEdgV5BmQytM4Jcxht
fP4Sbc/2/fdX8nOp+ulKClP3uIScCg36UH+9rTh0NOxu8Y1Zk9rkCqbT2gCBWnMornO89NsiJGtt
8rLyAdDxqoVwQt5z/TYhbwAkXCZPbAi3hZC7KKALNzjyQqZhvzJaRVMKH2RMg//sCe16C5Jkqh+D
ev4SuyivJPrOTWdxnI+cYDpaIseJm6ExqPUL4pzgkDAG4+xrfENkG6xymKkH5uiFHwgXVa7Ho6Zx
gvbHmvYzEGXQnvF8XRsWAF1Dn7GPI6k499mj4MgZoej6/ZWz/prX8rkJOAgYLMuzhVi2nb9euZSS
brAb+9qWY+XXOWeZBMz/0Lhiz+B+W4/oRQXy0F5bpG4tSJMiueYajBERDYzXxn4FT/mSpjQ/1BzM
O5UQ+IiRdlO1Z4cHUDmmPGo5yapSYtpZuJi4jKb9TLzQJLBNalIDt2PraLIdmusPDvFwdPsRYLOo
1qvS5p7+/Ys22Hh/fvAkiCadLdQyXMP+6UW3qKQRRevXDF3/zhiQR+vGjvhyRq/ouFHnxZU/O/tA
opa6KQbd+Ztl0Fgejp/uV7ZdTgcOqkTLFMvD9aeUnHYyyekKrCsrS00vOvlhlXtHs3MY8vldoeO/
GzHqBIn+yJU7ipoVjYX7766D9YsFiLXH0C2bBAG8mMvN8adfQw8zmXmjfo3aYmcR6bXt7O9BHtLA
TyKqrb65mG2dXsbKuYca8oXIc/vYtZw3K+Ja10FBZzBuBrHvyeg+I9uGPcu4RCUvCTUNSjc6ebJR
5jYnrhpyN5NYjXhmpWab2CqiTTyLppHjhW8M3PbQzO1rH3bdxhEWHqEO9e7v33f5q9drmCR1oqvw
cF3+9HojSzMVw6hrHU+3IxYKtKVl8URcZyXc+UomO0G87rDR9MK9q4+jcnCJ5Qql/ZjuRJMda62e
rjkRWTReeDcqnWVvgvaVlm6+6nH1eyZeXj37aDtMHnrT3hkFGLtp1t4hrVNbWyGWlDIEGFgBfAwy
0xdA1Le2XZEmY4i9GdlfdeqmJCfQwGiq2wrQDr1Oxv9ub+d0HYV7ykpAVNbsQF8IvWnbO96z2AXw
lw+UeykSn1NElLQf9GO3If9W8HqY6pvkhNCHJ4+jD+P4NKok2zBS8ofAa+5ieTdGenxx26t89Nwb
B6Yx9Nwlz84uiQMbqoNb7JizV34WYymwpz79u93wFxuKND17OfxaPHzOcnT4080YwcgLY62/thbS
Jt0LUPEZ5ddCDvWR0Cm2DTUJP2dS2nTwHitDgyQsjm5R7FK3KTZ9XVV+6QzPSZzli21jDVIj9tHo
FTtUBRsIJizj7kASspddfn9jfW52Pz/PYllAlyO1wSHtr797Mrrk5WXdAut84+TRnAdUaMOgEVog
CWHWxfzoGsS14anw2h69MPVoy/c6jO6NwbSi5MYobfOl7NM9Ird85zSkW1fBdKOR8H0NAQ4wlDL2
SVO4m7BYuFOaQ6+1YYDUJtLbm2OGuCJtMb2bavmX0Xj8/Yv8xU5B0WFbnFfwdknjp4cHcbo5B011
nUd2AhtNUMhWuVbt/FbV6f3vf9avHlSqI8MyOF8bhrsc0f90L1SZC5KoKa5pPlV+oMU/NIST/u9/
xr8dGuyl+uKBYTGg16X/vAjnpamTxmJeU9Qsq8bEpornxUPvHR9NMrvxkvDW4ZDkDEimRUeIc8rZ
IW0JzhXmWcs4Ttt0ZHOzo+FQRjsbJ5mOBIUgXQZUITZGxqT2oUyQFG6Dfi7pSJD50vX2g9YsrsTF
5zzHt1Cuy81gQP3pwpLz+HJ+a7jRVrp3g5MAa8MMJ1Ll/IWprZ4iyiO4hQLRCjbBneo99Ei1zhHS
ys+NmGnCium+wn5RXIKhpagQxIz+zbWTvAF/vuG5di5bp6RwtG1BqfTXN0hVBl6PvL56WvPYEhVw
cgIiVmejGRYtxK6VkHs82CBQJ2PiqBZ4UVGoZysrnmcnM84ZbmxXt/Q9ip9D1PKMCjfLNgTe6349
M3i3mo1VUfupZNLW8Mt9zea9kXB7N8rCdR067kslA8CxDh0tR4s1H7UhAVcd1A2rI4kZhT0wBv0k
yuqubOMY/0XABF2DXFbyzPkGbCQfLWi6b/WEPW7Qt43sXsuGc2MQghlPixBgK8fraOMkr1TREsqX
+zGQoopLv75PHFOcfn9d2Yx+cWFtTv4epBhqk5/PY2WLtVeazVUmoG7BWBn3irg0lVcgdl3jFj49
fKVy+mMvtgQMrSDFtjm0xR16jp6mMq+0SeDn6YkttrEI5AGiQiUoJ8MRkVBN8tPBldYuSvrk0rTu
Gp3cyKEcrGSI03JVOHAjaJ1jLWYmblqLVlilL61nG4ecDtuZRh1KMPsrQlxscbj112gUjW2aSTLn
qfw3Fayh1eC25jpt8JNN7jcUXYuTHcrOiNcvnY8mGD9gLCbtAyf2zgDCDL92y7c0N5192jnfXVlp
HCny21ANu4hGJ9BZT50GNilDLdDhrsXekQqmHgsdya8kWO4+nQ0eZ15OSIBPVSP4JcDt0CAPJzl9
4tkT4E/qsLjSTY/PUVK+z0vJFWOFnQceRVHG93TjPJ7l4liPUNicMY/OZSffXZDDMEokDetQPxoI
Xh3r2OrTF9o1a4qK78z6qw3TowZOCim2TjkdazQnjgEMLeIpJjr7kaSU9EqIXLi29LhcsygdrCIZ
dmCtybuvA6J/bVz7hOMx2nWEdyCpbmPJPL8RefWjMrV9ERbmpcoRWjHdPM0t+UTjBCKxaq8OglrL
MdafJ0V0I+HfHJvFzzvA8tAzXHdotOo0n37eoVU12eDT8quWJuPebVk1gzmedkS5oOkWpOgIwu2x
AnN+R3OvHQgIeAz0Nt4NjQ1fwXH7zTTxFFch1JpKv5YJwkFvqL2ztdS6CCn0tZd1N+5spP6MqYzu
2AdVrzyO+O41TQTXKE8cHmuPC2UdQA66Z5dol6gfpoNEkJ7nMGRNsyK5Xs+6jUdZuB2XG3FO5EPg
MFY1e3VLHO60jz1oFaTA0BdhXjTY8Xe0Bcj1ec/qvKh8d4ITZxCDo4gu3GjaMOEsdUveDVjmf/PU
/9wV4cJ6tik4iBuG58mf65G41yJhNRpdd8Kuhj7JQU4M7kbMZCnrEr5zhXxPPelzdxEgLP7mp//c
71p+uqDhJWlGWPQjl834T5ttQyZhoAn3AjZs3UTNk2NkkM9xpTG+Bm+RoJYoE2c3L1HqkWMdIJPF
u5bkcHr830ePHtNsWjdElbgb2NaYb5q/+w1/sdt4dDylSffT5Pb7qV7DYFnHveddxohYtMn6cNMe
GUg5vY0dv0qZ60S0l8jTndd5MXx6M90iBiFkGrDszCFj4RBVQnD1Aqf4m52QYvHflmxP13UG9hwj
bI9W7k8HI/JVsywgX1LCBuWMuEgM1fAotOFGRz/ObU3eRSud9BhEwXyI8uZW0SJZNQZ7S6M1e5MM
UjaUdRSX7qpRbUhSZec+pzCtXFi5pL5g3EkytD+Q9jLPPQM7C7Yz6vJ1WTXOc294AF1H0W+J6oNk
5SE0wZDl7MMQrVBBPY4bF5nf7DT9KVFl/pwlPIBuM2hnJOVGpVtov2oDHFm3uBT50o4Mb69rHKKx
ym2UUAAOu3589KobwAVPuVGAkGYafxg1eqTu5IpXVyJHZfb7TREeEMMyWqVdjB3RtAteXNat+wyb
gJHjMBW550cO3V4iCUBhmEwJjUkeje7CYSY4Gd6c71zMhb3q9ib/gkhDZEFibLbNjIZdr63x2GoQ
91rH2fcdnH3Hu8re8ycF240MuNt2rEbYrc6479t6T65Ech/NhIKZUMcYN0fVc6GjAmv6OboMeGef
AbY+akNymTjef+mAd9mzm+69AY1TZqdMYIo42s2ZnaNczO9D1/g+NM5eT4kvb3F2Ga4iOgNubaTn
NtiqFnPikjAmYb+NEn8dmJWmmM92aN6nLimtbq9QwML4HixFoCAmwL095cZO4d1B7SQQ2U5fUS9+
R9SH1B3HtA/VfyFHegD2b9lKT64HrLVxBu73EYG8pgfHqbVhHyd7azJvMbhu8VQjy9VoUxdxez+S
kAQTDTeyBSs3ptIQifkRGTAdTUULRlYw04V509k9tPA+oMUY2z8caTc3fS4JmWKEKMDqd9ilWMv0
NZO5O/K973Hz0wFX+UutkieOqmaP849C2HbeS0s+uOP8USrgKop/PM506GyKE1KoUflZXDO24HsY
ArT5UU5kw9eqDb4i32H9yZnzq/HdGYHeYhNiRug+pnlDY6Yn61F6iBbAtGUWNIrgdRDOERXamrgC
fLs90rNuDK/R2B+CKkCn3GUXTyRMQpNvbOovUeKcF14uAgW4xViKxmBBx7bqIaMZD3nv24SPdz02
uPwxaX6ddJuzkYyDq5PPzzE3EvAuilRPMYcfpHa03abf57CpZktLt03vphuc+5BGSD9JnBIAWAfL
IpLA/XLlqUMY0SrFJnZBTAONQ+tftAmlNiugAiu3QPth4BO0yshEa8NqnWqIm2A/7GU7iavH4HLB
KZZcp8SSRLvz5CQ13P9q+Bg1MVw7wZUc3IPbGwA+SgO7MxlL9mj5bqlCX/YZUUzMhdeWah/KBH87
wJAigvVXVhBUZhCgljSO82B157TUIK5w+NwMjJcrsqsmjvvZhFd4RLKVV6hKGEFea3uuTjWGpFIT
UEHdKN/iQCzWuP9sop0WFN10GhTs5yn8MuS4F2QcvUr6smuzzm8KehcwIsDfG0DjFBMokvOoYzT3
3DHX3CR1JYkWzFCXu1a1aZQctqMiwVIl33VRYeDIkIyNE9ylZnp22iYEMlGDvinXkhVkRhOAqgSa
QPSh1a69icz+0idUDqP+TctmfeeFL24oEC7mCU5TksWiAnZZEiiE/oS71EShs46Jk2Z1bwI3GJX3
FzO9zx0GWXEMoFQzdF81oE20Rv8xRvYrqLV0cfMalCacfvv0KQawtJYVGD9HmdR8QUKrDQPY2Hoz
TCDxELpzsg9m9hHdIrsgLN89XD9of+H5ddn0wkr/ElTJ6OsDt1I496ik2tfGlR+Jyfk9b7G35ot7
N4bZlqmjVj7CyHwF3RZuPbj/cZq+WL2eb6U2bUAAMVVwiDN0jC+Ogc2gjxp2AbPcFy3YJlSRxjbH
WneDSgJIyAJKCjJ4ZQsoF+T4uJKdgwx8OrB8afcYbL/RUGJwYoMyjCsTYBTpbeg2XuMuJFXFrn6U
tIhJW+n8FnE1ZuDhw7aQaLVTvXZTg2eXoy1kw6nZOYb2bKd5cjScmwbaziUmJ06BS+fVpeaT3mXC
V1AYp/bNdPAT1kGY4+9tTiX21mMAR4I8zJEkvjSpHxiFelQ/kCCRAKLxxavJjsGC7OXGfgYzsZ8s
mMBz1i5kpPHOqz1vWR1Oqapf6Rjb63IR6IbAFrP/+sABvIRejg8xp9JYw11QSF95k+Xb3E46/X4G
HhY+a2AYkT6v0jSD4LP8o7ZyYxRzy6ef/13aTS+0J+U2WUiOnx/0BkYyBG7YfiOZGSOID7X+/I6d
ucWxzd4aVBtbvam+iJk+Nw3jkAPjpHmrsYhMXk+/JSrHrp2HaG5+dM7d3BvXwMA3znmItjI/X1nT
ISd8CDNwhcagm81jUUjzOLviGaANBHvTfAUPLCkJicJ2tegMFnzVxsYLtKR9DYl8ZeX29fOKe/mU
H51J7EaTf1CX4nFaQi+F8u0ZqY+hjfHWiGvtwVwe8jnSm1XD2rnBG2e/xjADYMtfRo7nx3GqT5y0
1P1seIp80hoamYdTqATez0yKaSWdzgF9E2WuJOzHGl8yky6n50iOBea0gvcm0NYTIUMgHq23ijGr
HAf7agTj1tLnx1r2zcHbJWn17HV9fHUxP7qOO69dyDmCHHMs4LQhdKCZtSa/ZDlHzkhW9z2+x8VE
/ENriuKJ2bbCO0wEpDY2Pv3YWzLojHU9A2ORlvgiJJJypZvPOZDx26Q9SxuPY8PkeojibkM1gubY
tvJFw06Pl6L2wmkXDTGRdVsvc3ynbb9h3OR12jBukE4y9a3ujDR7jq0wOOudS3KRrP04HzjZIDFY
u3oIticMQVXm4qoZ/ejD6dkxN391SPE56BpUTLprZNIJ49bTVXRXzeG5UVa7kYP4VmNVAKV+pluZ
7R328KEhomlu+2CT1d2TXnj5zn43huxxLLrU17pxHwWSWJNQvugEhDKuxNE9Wh/CCdQGQh5KP5GA
B0MJGFVUNBMD4ifAoidiOgbqi/PcS0rg9BjGkmaYFd53xXglyGttwKDGDtvSE+WeZOUfrw5nUpU0
5iaYEZA3jNRm7t5ThAb79PmZ7Mx8rWzaw9zjLZB6NiriTF7cwjiJNoVRWyoCj6AUSUE+4ZC+xYuN
yQHjyT5OUhBZcV+U423dBKK+hbCBzNlyb1ghVLNY1zDH54di7qtdaE0PHmbffC7bXUn5v1KMrMu4
EiRhWd+TSM9ODs/TxHpzI7EVWWTZrocQYklqEWEdGfQKowlTtT4+VS4KfkvE5Y+utqtL3afHliDQ
O6hiD3qBnNqYk+HLqOL7uJyyIywS5OkKrU8B5/ACKwChcRqfw6IhhUTW5sYVmXtK0cwTofDyKRyM
rPyS67mzyyGyN+Jbo731Q5rAwx2vfB2c3TpdyUl/TeJ+vOSVZDBvVsdURfcjgRnrkAYUPkpgM54G
11ziUcc5NBz6BpWpGVY3VpfrA/vP3O5QOfqq1Y5yFtMecygafrqIB9nwejWRevedjN+ZiFY+aX6Y
uKeKjOiJKZAlN3g3XT/I8NLyLparEptjCp8mGEgGc9pnQOGItFs2unhs9zQMp02mrKM5JvJqDub/
Ze/MdmNHsiz7K4V+ZzSNM4HuAsrnUe5yzXohNHIejcbp63sxMqsrMgsFdL33SwARurpSSO7GY/vs
vfYl435wKgrDWOY6Y7XHlM06lhjwoJNNr/jvtpSgR1QQL1ueZZiotIvTDvpOs3mfNYGuVowmlwD3
OwE2CuSlBztRd2hrDNtlYjIrMk20MB0mcym8+C7LIayOOW0gg413MFFat8cYsnLc2HnqjBFwhoPG
kNrpSavQ75CST6kOhdZt44eib9Q+I5/QxS0HeIk/JJQ4u4rJ2DaW9Rp3Q034OX+n00EeIOqvtXFc
y1A6t0hTx9jxromnBRd8/afIBVmg9WZ6N9aMZRyTJuCYE1joW2s7XJlBOe5SvBnLHi9tXauDh8Fw
UTcdPkrXdzYZRN/FZKAXm8oQ6zKtoBK0s7rGJnZy7Po1H3CeB1p7hIuvUY4Dw5ZV61xqI8ZtVtzA
icVPad/vfDZeIFZFTYKD3KebOgyqGmRfRR3nqvZj7OcR7Xt21uV/PgbuyzzQrz7AdaNtvA8kByqA
+fXEgQkCD5zNEgXpVnGzJKEgXxrSevNteNgEE+c95MbwLep4xqh7nRacj0m/UrVJyX2HZThU6W9K
qzRqU+gfi7nnS4/qb8H//VY3DQ5sBa/S6tyvmGBACvTzKNMQdrw9PnX8Knn7wlT3RHixaenh/lHu
LFECsoN6XtvxsSPN1dK7WjnFcGSSGelqtZZGLsb9lHLuNRHzVIwsyLFuny0NtEnkFDu90Ns7lP8t
Becsr4zyFXBHdPkzthg65SV3VbLW8a6eygG/oZD6e+y9Czg/px6y9CFzKYiZ/AMqvb7N7Ih8pUaB
JAaL6pDVyKDDaKXgsYEp+kZAValebxyCQ9vWLh5SrrjrCpmgzBRtFOT91q1sgp01ayVj2JPaxM1v
21b/mM3isDnY3bI2eFzHnCTLpPD50RNTR3oI3zyTMMIAaDrTy1fT7fRd6LiPhkFpKK9SyczZxncG
HpelrDT/gsJ9SqriTtpT/OJJSywwxr4aaD9baz4UWBfEYHCo0ohXkcauKegwxrOVLg5ZS2Hhb8ro
9zDQX+E5cyu6FlA3BAfmPvEpn8RnvRKtxwY1D+GBcBSRiOX/noTO3Ml0xW03napEOxJMv5g5yYk0
j6xDOhABhetCgEc2QAKC9MRBiGwOQQiDtbIWJYzyNTKZwQuf8sOkDekhyQToA0AYFHZMGkiLaTym
CjGkgCeMOJ2dlK5ewj7p13ZFtWPfaenJm0Bj2vRiEbD3t3YLojhPZXCnkHRdF0k18u/7lgJqjqxx
MqK91Z+EXcd3WmnaR/IqZxno/pGf5borYoRS+PQr6qQP/pTA99aSH0pBQASnKakt3DGPBt3gbSNp
OhBOcTSbBgM3nQdmonXHspabJoZHYmfxTs/GftPUUbJy8mRHtSWu6JoktjViJpoY91aWVWBwKwKN
ymeXGNQQ28SLu3479sMt7qa70AvJwdLst0awzJfISDsdY+teCPPeivtyJtfE20rFWwuYxpl1wi11
3ZcuwWPcs+xoND7UOlq2TBqHlwKZQTmeehah64EhY+6thJZffXBhyNc8ZGktBSSyzL3PrkKnDPeq
SuO7BjuQtInf6VFoHwP7s1MZq9PMgLKPObYCWppUxET8xHn3eZ1tVZu86KoxjwVpCA5jzOrFc1KO
/gmN5i6UXIOxH7nrMAq1HWXVydLUJns3//Ax2WsE7dZ+w83O1M0zi1gufeh7LhIcTWXkJx0HVGUc
yr2Vma/kU9AtScvsJp/gIomIwKNZpPbraqNblBhnAakAXlgEScIt3c/5e9gtpcn3ruXinCclzbkR
tVcFPC0AHzuje2Wu90869o0FpbykwhSkhlGmv7DkfxtA8YsQQJRtN8a2LwdgDKW+baOAKj5CKVUG
55+sRrXUy0OoKvaejv8dKmaakKc13B/4TsWkUeNHwGldpa+DaNUmCopmD23iCZ5VNrPi03Mqwm+R
kefltjBAQeRlazxaLc0O3JIGbrONz9HXbBLDpcDKmO5g/32JAiwGZvJ6FaJ/XgU2J4oVq7qvLjRq
+aORX7lR7Oy+nLE+LsR7uzxACMhxRwcQ5DBh7UGaLvR+0OcKgXCNyJbw/OO/xzBa4AiIk1sL9ZQ2
T6JirNPqoywKa5cT2diQKGq2qd25l1BngUFXMCV/U+lvpW134Jg1gB499viS8fXg98ZDEAj0RGmd
yC7qPMnvk72G6rSUTHJHreA32ZgRneRmy4M27o+jDkeA4DiGVgTp3nRIxrd1t3IbWsYMor53sWqe
AbEEm9DRIKFK+35M4/ixH8uTQdOsl59rDqXd1AL+lkV31eAf7YVF1QHLU0hjcAi2jhpPlVE2y9Ic
PiduV6uk4WntUJHV07S0x1J6hUTWriVtJYhrCfEjvRdH89BWuFmCSlYbp+xvSqHtaSDDysgL13K0
HrUmHIgd5yns/eEZcBOr7Y4vplt4TDMO9sL88NlQ7Qpfe+otoKC6mQcPYdfP1OH0ElMQsYigxuDq
SaHWtdbNGXiLJL0+HjxSrdnMrHaanDVCRmN0OmW32tfkgwdIgiBWq1/AY34lgKvpVjOeeHfjQjmk
RqN/qtqjICLhdKYMiMtbAp5l4ubWBXF0GXnm8/Y5ZmnRkWIpalQRZ8NzpFrH3TisYUjACpbwigK/
/54KOBUqhMVI6cC0HCpBIyD4OzQjLlF+NYOyeWillWseqezkR+Lo1W6U2j6Q1HWFlIPtWL9S3RDK
etXj78YkHN8FQ3TA6pstfVP7MSfOzDGNvL2ssXRoloffH0EsbKAjxHLapMFYbDIuoiurTLM1ihNm
XLtPWHSCs6gT5+gxiN9TPnGuk37+qbaPEySxdoigAjVRvkRbY6TztA2PB7E0FD1QlqTR3PNqrNPG
ePXZDmy9kKlpGn18eXC+C0FyHzJ2uGodRlsr1PqLyLubNfqvcZ9y/kUPSTE4+zCM2TbPK7VJs81D
XvB1DLt7iVS66SS90QVQtM7r6l1lhhHUWmj+5NHZRUSw5vA/LDAEEGqVrP70sN3EYtjGDcvAUZ80
Jpw6XZOvDJeOtInLVuDCSUg8pdTeHzIjxk/TT/e6AJqWWQKOrE8/luev3LQrbgTGgzKiJ0Z/kp1j
32G5XbBXUAc8x3SJsjL0WvYUcY88ps6xgX1B8TahuCgjE2czA4VGfW/4NbWzZfM89Gx89Rw/PFgI
Yx0HUHuGlIJaCm3CjcwprKq5T55UZdxGYBdokjB1zSE6pVV27YkHrE2hJeswJUxNaqS65l3xgnfI
WSndMW5lay8aErurModNUBrJuGXD5ge1fWypJsO6MS1gYRwEwAgMtuYmIEF0Ej40Q8DUUY7fMkvv
NW40K6gShN2hGWg5BbZB+6zNW1eKuL94ckIh12eBtzYws/m//iCxDWtFsGOLtOwmYI6Qw/62Ffuf
/2APln/GI77KamziMGr/6V//dftTzmEJ+b/mz/q/f+ofP+dfVw//9vgvv2XzL+eHzeM//8l/+ET+
+r9/+TmN8Q//sv4zmXGvfprx9iNV1v41t/H/+sG/5zsex4p8x1epinb+26AJFn/Ndxg629H/Ohdy
Ux/F98d/+oS/BUJM/Q/Pd3Tfx6iMgCRcTDP9j2z/9/8wvD+wIrlU/ZjcgvF+sEL8exxEE3/otkHs
g4gVH/bM+WN/z4Noxh+eZQhqdjyHzaPvCve/EwgRujP71P7D1uOJ+ZszMUiya8WZ+p98qXYbmr6w
WJWnwH5qg7oGTsg71/9sG1vQijoVazmBXdbTadvZfb8q2cr6fvBAXOBEg1m5hxlrLeryJfCrhoA+
ltbGAXPdhQlQO4uYvtdcIwX3NAxZ5LBtZUmrjBP7cZ6VcfImtZGIab7z5udD6rewjmuKK7OglXcG
0p0fpUdX674oBtU2gaO+Uwc2WuERqJWBb5wIgm1crSd7iWArRIKjgJaJN5p2IiM4gFs82QYWTxAx
5bLFPBFS7yssCGKFgWoVDe7KJk6tLNzQvYweB5dlxtBh1Exl+QSp6qGt2gfBlMh08lgqNoy2J390
4wlADCVmZrAuhPzqRUV6ZgASCAqL1VMo6fueJmDv2DndMDiWM4vIam5RFO0is6Mg19c+pds9QFwQ
BAR9f5mNLRQ1+x7L4iIH37zIxjK8M2O3XQ1xzzIkrFsGvDi7x5cRYb0vU1ARkutKe59Sv1GN5o83
3+cdKwRxpwOimLSICKEB1jGuEygS8UMXI7TO7uKA3nORExpuDJMlFBvQAOIfPpgSMgCTCQCPhfCr
rcXDc1EMjDEUR3NNeauohl/UgiscVg+cp+m7ZdHsnLBgXUOC415cFxiEqKwaIpUs06FuiaaF4EJH
dQVh/dE3dg4EvtzX5Xh08wLYhIdKSF4JHSEFqVI7+3JI9kVLRYQfEWXvG1pCwzElb940oJdJTIaf
sFh0cppJvBS8DKlgY+sKrT/InfHM+EpsXUefcRg2dKvZ9g30VKWwXo47ywixEsXDcxZxsNIBNIrk
IfPqje1ATZ6sJ7vB6JioqroGOW68BhcVrQXexsFWxIMfp5vLuso2BTcvnlrjpAcrygqwk80vEXLY
Iim3oNBfCKFSBFLvPd04I1LcN4q1GvWJGdUwCg5ERlGgp7j4gAw92uyvt6DaNjJm3x375i7uQrnF
lPeKTDSdBZ0fTvqD629aZuo1yDtjq1ei26qaVGCSuQAhGP9dM/R25FU3WTR1CDLAUwAfTdTkWLb4
FSqMFlOXfUNZeY286RUb6wqn57TuJLsX4v0Lyp2ReLwLuXfpmhkb6+wiB9ToQH/yptwBnxByvySd
NHUUBvTBTnL1xbwYFexz4OfOaLsM+aTX+/s0IU8ju3wrVEfm0xrv6hooZ+5KZ9/B+7ezD99Zt1F3
p/SOfquJmAsShlPBNJoAU9G7am6ysIHoo8lxkTPIOdXIXGaYIRYvlHNrmA72UL5jlmDagcTNgl47
arkGQLQbLmLuF4ZE/VMb5Ejz2Di6U/louK1cOV2V75lyH+ruB2vSr5prBF2+BD4B63WI5HPHHXLR
0iCTN8WDICawapv215zY7DHJneD2zNubVztie9jpXrRvpL1XiHsPorMh+ZVPg5a8F2G1a9Hox8IA
ooyhEZfSQ9C+VWZC6W+PSGsobWkORFOMyDkXtLrY2bMNcGo9Kc45S8boxj4TZ5mXWz3sLeaVJEG9
wXIgrSsL/9ekoRNjsvInFP2tMIOtZ7InbCyiVS40g7LXTiWLeOiEQHbBFWDGJCnMcopUv3tsAwyZ
se+9xJangL6NAkqyvQyN6Nr7/anQifqjx76AQKRZJ3XKnU+D21KU3knPWF4LRuPmpQemf6msD8q0
1Uk3LIgjHqiQpEmHbRHD8+eKnh/A1YGRpOWTUia82827FiJas/XbpByOGNug+JZtffZSY9/ghMkL
dcPl9kIJQlLjijY131iyH6c4XdTEt8z+5H9lCYch4X0iK57+VER3+MZ5+Rp6sn8XQysW6Wiy2tQO
4HK3HT7kRdsF3BuGT8iFX7KWB8g6M/uk2EpSvbE2RSvJUp7dhQMFxBT0GNUTdCE4QyisSw94+DKj
WAaLHtld3ZoPwgcGS7EJwv6eIjT77ETjlwW0IEDsppdnehjJDy9zrtdrw1X7pCy2TKxXdMmbVE6w
6fPn2pHfo+4OV5fmmTNrmHEZyT5cE8ssjrbl7pLYN15wZVsbrefFm8l2Qpjkr20Bqs4rHViKvt0B
PwZfVHEcViZzLg7GnW4X8tIHQNSimc/jey2XJPsl6I1hFykKdxrujcQI79yARj5iTdmCtGS95g+m
SyeTMeH6Ru4TSC+bxOuhhujUcVP3GJfum2pcgcbYM+nm9g2R4W3wOGInuwMmr3CjOt1+tKaSN3pz
dHU4fnCSXnKDhWRhNRxVAvap4+7EhFhryXRj5s2LKlmSD0GhHyc7HZbCPdh5oa1jpGypFT8qAgJJ
XRq11zZphjR+sIBhb6zhvlJYXCrdJzkZXTKYAYvIL15xUWicm20BgZT84FR08JdVs2NTuacQGxXa
KblYTbepuxNQzWeXhb4KkN+0ho/am4xoC5SWGJBMkYiNTpEfJSXVoRF+RJH8aYovYWk+JNJfVnV1
F+usTakCzoPsASbMOuIhx3NWfx3j8Seusq1nZReMqFeKj3GajzrSFmTu3sByGqaf3HAeaW2gtw2/
Kl513rut/GZaI0bbQIoykGJoSG7uWYEP8/rwhb6aaAkX95rb/VecaW/gd+QKtIla6cLkmQFkA4Gx
hvfn53NebmsPk04DCOcq/QhIRbzoDd3Fh8UItRD2dMJeYi106f3ETFllUL6m9hNZzE1e+7TUeka9
DwccR1kDCyjiVa7Tv7DOeaOmNNZIz3zN/eAaSMujYDY5lxJwd+jWn0RMysFyN+XU3eqipSu48eAy
geCfMMvUGs1oTBqLvtGuUT3eqmpW1EuXnVKuvmpndNBouGcCqagXzZh8DmX52Xd716y+e6a6BTvO
s+8xeWUZMB/b057Muvxiwg0wxNEaRYGgjkZGuMUPrWyNtwORlsUTZFUeSD3jS5o8Igffj4CWwsjc
pWP+wXeBA6gpnpLiEAj7Mas5KpPUIXuqeftRgX3QdRMgr/fpj84llyZ9u+WbaxW7pioeYs055kZs
PxNzeGEFEANod76MHOy7LL0S2BLtWF2f/GjedGKEavZODKEIEkq7SGOVLCxa5TlyQNBSptkKLb5m
oDZFEQPemNi7K1pALLUa9fgtxbh6KDT9oKdgSyVZAXZU8a33wL+nhf7GiorqSCN/EmOUrxxVGsfB
pEWnoMnKnH56czj344OmrZUrs7uxYQ6LOm628GJh1tf9a6fCp5Jp1jG6m4GrY6nRVSfzmO7Rzs23
dc6ykiVh4fjpgYoavjzAGsxfsE7xdX2gYbiYeVIm+6qdNr3LurmldbDtqwMewmLTudmvFvkZ0Sff
5ZfNEy+owXp27L1HunFifNU8A6DBeQSd8GBSXqDjS2x7tfUrxVykJqYh7WI3/Iwig68LzNoVuQ0a
MWGmcKLdVMVQMGSR0AEbxxcn5sJTlMQQlGU0S9+ln9cca8G2HuaKR0B8Q00l5PvJBo3UU0dTmOMm
lMFvIqt9aTqIQq7+HKdjcD/A9eLUCayofSlq4u4wvpaOm9Qby8DdJypgoLkOUUdhCV0NrlEB4tKO
QQ/T0FS82EFsyRPlyG8NKeWymSB1FOo7md4AdxRj9t7k4hZELEPAk7HrZN2jEJlEpyMaIVOFJKo2
7C9cmLJokxxuyN7RWRg52D6O8u3YOP6mi3VnyVcbzwNQ3bvKwPBgYVbCopGxDna6EGhTI4hLF1gz
BLGJGd85daY4Ip8HqxLC7dLvKgO7JlIENLp1U/fnUTd/he4lN6+gxDYGG7ZoAuuHMlL6CHglX/W0
/prKAfiYxSs6SiOx0jv8MnxnNNpq2larTWuPZ4CcfCC7Q5uhQGnSzl8csj3UI+ftlnXMShuUT37q
wI0GJdaX6O6RiTXU9GldZHWGvIUv3NSDm6kNb0FsDyvO1ozlcVGdYoYD4dO5inNYtBHLZbQWX1T5
Nr92vR+Dt3S/WN/HsNKQc0KF0UqfhR0KDynN0moOBht5rCG/jUs3Lo0HyoM/EaBprSPNtwspFPQ5
yFz9nrIPnrj4Awm4Gs+k/dcq8GkKLreiKIZHQmEEI5MtSzT4V97EVjjPN03P04/WaHZN+YwCnE7c
WpFgg5gzV/9K6AU3hwSvGs8yErPpMipWYyIwvDN4ravekhsywAQXqWyMeHDjhL7kqZ1sNTcCKZ42
xH2H5tapPlzaAODM9p0njXFU8yARYHU4mdnRTGKTUqCC6gRqqcAILFDurp2XFOskKvsdoNJ7M5jm
aTJ2sOeUL3yzBtkqzVz0KZhiT+MXlt0Ho3nuem83DnSF8nJcuIGCUZJQEWUXZ98Zxptec48p8DgI
x788WBYI1GhInkkJEolmFTgY4CEdUAtWm0GRobrdrkxiLIjdXkFnIy+e9WRbPM5ckKNtdRfYZE2T
IaLyrbyJimtIE9A7Dy1m4ytmHh/wZc6LYI0nDRIUzhAKxvQiOBM/uzRJDUqGO+44pU99h9OwBHG0
8PLfIO3pkHFusBhollXGBjQ0TVgsNxDj+pVwiWzQegKvpzsOIOR4m2FgxgWRsGtaxJP3OPHEY3Nh
uAsBC3dlse/CoJBztrtsCUquNYKrtokfv6DG9Nrp7pEkpHkMxPTRG93PAPuLo46WIFLt376S7tZo
LCjBTnGdmE40h/teWHaPtoFJWlSr3Ks/ZDw8mBPoV4Ks1K3wUGmN+iLTqMGjAzQIqqsx1YzfQTuD
CjF9mDxYMlp216IO31WKPUtzL323zPeVWapzboNQnIZwU5ofThxeKLfnwStIYmkivevK7D1lLHMh
7K1ajgeWmZwr7JsyOCdb9javTYqN2re+/pTf/r8QaQhCJP+1EPnwU/yEH9k/KJHzZ/w7mkb8YZJ8
JP5u6CY+NBMh8G9SpCbcP2wTuzVZH5eItDXHIv8dTeP84fjCIaQLl4bQg0kS4u9SJNQaU3eNmUrj
uLNaafy3lMh/jqSY+Mps3MVAWHCPeM4/BT6kqMFLdNq9LcrqToj4aag19JQe7GYPj2Iddb25qHtr
11pVsEsFd49aZNyeE1ucZteqb2dsSReDaVnHgI6VRSJdsfnLT/T6N1n0r6AYglz8LP6il9oz/sJG
kzUQTHUXsXL++F+iM1of1ClvoVM0aCwUJK2s9OWmdfJGf592VnXy6WdMGj7EsirUmPcNqK8erOkH
RilKT2MvwFxrPgpFmoAG8O9MOeGmzown3sFPMVXOVKdmsOBz5mcc7Ubt/TpNdu0yINK+DzreijAK
DzaAespdM9Zdj1bWvuVNvCP/ItbcvSEh5smxD1O8Dy6dH9SHmjrVCv5UWOtgLnQpnvwOZoxjNJcS
E/K2nMxi3pxswJDIrXTwUAZxekyqfEdgNzzEJCJQMzBpdJnezVXvlEJdw55Qgk4dYWpnfDcWBBMy
t6vi3Jn9bepLHrEwg/ZJpFBFoWGvyV184xAwTrjgmwVbLSwKpWOsMm+6B8t4D4+oAATbf2fO0J5M
RgfijDVMZlQemlHxSCknP4vBWisCm6u+x/YRR807q7z7aaSokWTI1rQYJbzSZ+PsCeco9N8m+wjB
ffPoBNVlpBhbK6yGAYbtRWeEKIbGcIn6NN+6Uh8Of/7Dmcsbe82nxqAkPz6hgwatYiEf+O5dG/mv
qWuzZQJbbBbU0Od2uOb2COdW1asYh0U/8UTK+xInYui8xq6K5hfJF20/a73nWRBa6QZgHeZGOt3s
SuIEJUGZW9rBy3kJWFrPo6usv+vAZcwwNok0Nw3UGvD3HbdZPNVjPL2bWbmjnTOWtC8KijF6RZ9W
IqNPpyrMtTWpYtUTM+wzGk0FzXBVs2MYxZetfoXd/YQWwzJQS0LKs33WvdMacpZJW1z2+iB32Eic
tUrGz7glG1uwpa4Sa0nl0HvJXhhEAc7Z0XNRYShjJpawkb1/NahTzIGCtMaMnh/qJ6L3XV16O53s
OOEFEPYJLv/JNrZQfjKuL+6MjCgZFyTWkamJmjtSE1tXYc1JDUTxkHkWgfk5UuwP4/Axyl1zGRhk
OkrWf8X4ZOXgzYdB7bjRdAvXb14MgHBN2ZELZv4hQP8yCG6zTbEvcGoy3HOnhpwJMTlsFuWfrdA6
m1EXXaEGh2fEh7bjYmlOGR+u/A8unRpyX//AecD1I4nW9FKhbamXmjj5ouDSunVRWAjMF8tURK8p
AE5UBTiYo3YkAXFHuBR7Sv9TjsPNCCm9q4TEvNvezvOLQOAhGFPuMylMz2ysP12SB/lY0wChgoYr
CmXRpHJ/o2zYOMw6a4/On1i45MWB74i4RAFRw4b9Lvy65Mw1wFlEQfaT00xPO51zNt1PHchpKMT7
4OufeL4RN8YsZZlDZrprYWtpY2msZdodjOzTiXGzeaxnSoW5MyruvKC52U+xifjCePDrIESSEXwx
xPCCRemxTdnOgFpSOGxa6m2Wlq/f4oZmgrKp1zqWCUpUmdT04dTb8ol9c7JQMnkD+opsEMQYucVm
1IFUFx3vMYioXH35a1KD9nisdQuCEN6maxNuKyz089Y52T2xzyYf+DnstIDjoVMTLibLf6ix3XY2
jNouxTpNCcCyh0a6h/JMSi+j8acmh1wZEe1AbnruMuc7yu79nsU7mbHnonLp2esI76Yh0bhajozK
CI+U/b1ZFRJMp36x51XbMgN2o5OYcROLtXDVbn2waMvMUfnKzSn6NNNLINtTWft7nHWMqd2aGbnc
gQfLuPGJjXTpfoDLSidBsKzm+R9wtLeKyn2WpbN9kuhpRLXY0EuXTJlF69eEiSeYSa6W+1JY6UHV
6T1l0yCJSyLJPQUJiicBld90jK8BBF8C0jeHIaBABM9/ywsqcOe2iFx/tcK975GMkVLDCq29G76j
riFerKzyXWjxniA4ixDrmJVc0zT9o/qE0vBxQwWRw4LJzze6i1sQZdha9nb2Zdg6CJ3BPtXhlawU
vZVl8WFbdnIo9fCb2wipPIShMu4vlNVaBMx345wRj/MSv3yEx3v88Cy3hpBEQt3j7134nqtoVUED
bfLwB4ziNqBQaYkek1FrnSG9roH6ijOa7AogsAVJliqcuj+2AGFWY2CxQZBsCTRjnzb+LeihIafs
ecps41BoQ307tuV5k9aMIOg9djuxF/rLqMO21PXjlVHiNHRxx0ERqE3fNWeuRdS1kq09uMaTr6no
aNTs9aa0FRQr4Oxx/GJLzqdoGcdrhxXoFDbJNi2MVTzby+fNmnL3PtykjQIpwZsLF4yQZCV97HVW
xeoBmTZf2CHuDPhZyVKfgmhn8tBYeHgWyN3t+8FMr1VrBdjx4GYipD50lUPgeaR9J2hw6oRAlgIp
5YVGuHKtyuCbwG9IkNlbQx4Onsxi2BEZFSXgcPpfrU3j+iNtWlwhFBYIe2JpkEg4MigwxsXJuX9O
+TvkqqvrRi9BQutAYRcvqgdGQ5PLCuKKWOL4I6mhQqoKinxuzYWzXU62h3Vaex3dEteWwbXInd1R
Nm8cHUoFxn6yQgk6mtVTWeJoyfNU1s9pYtG3DKs6NXqFfDXcMq/Pdl5pR0v0E7FyMGbPnCx5dNBO
72D/fTb13AvvOohwVvKMMxNFIit+tFFMp1Eax66dkg0NBttYK+xTjvWSNSQdlYGxomAPgzch2JEn
+22q65D1Wd2TTTH3hBmsXep5u8YSCbezK1Oc5FbDP5LS5iLvgxeIh0vXcxe3O4AAoVN/e6iYXaau
tXey/f6ztdztiLGsUPM3pHZBYfnbII4Xf74nlY9UkTcj00hL6Z2vkUpottiNtl47fMJLpepI50Y6
/MIp2NnuQSXczXVg6n36bNjampaEbel71Kz4R7pDf30bLhnN02Qip8c4yD+0yrk4Q8e1D/gY9Y3r
3tLpcBuN10b3GCdoq8v1etx5lJctjJq31OiZD5axJTChM7MGDwmbNo6BYiFhIbMuToZarYMRLJFR
2VcFfeJK0SENwGsCYjyvW0h9g34IzeguxH2+qnPoyyI6TxOfDMrEJrJAOiYb6g1Y4H6hg9xeG0Z+
yegbMkuP8s98+NCG3F9YKrvajXk/OLmGRbUnAAD5PlLyNSV963m/rhvmh0T9lLguFzoZlMXkExhU
ecSGz3QfnQOS2MV26hdW6c/tIA8977t9MDlfQKdPbCtZWZsQDaYmPRkEXHDPc+Ho5S/lWF3X0djZ
7TA4gSGYnHBd5c63yf5jKrVz6aXtYqDjZNkDaKeoPbz2IQ+ZARmKHWFzbyr5EMeJgSrsAFROsYvh
07p4g0M1Km6KUBQK1TOxVk5voodj7Vxk8ohcMJ6MxvucdeANVC3u8D67sT6wqoeKBSnPk0UIOYv6
7fCTZCRVy6Y6VYQzTg6WxZi/djnGbMBo/uVleK6BWkIXsDU8n846k6wo4tD/iHUQGb71PmYwJsA0
9czUYA86f4qWNlwLWhvHRVBnPNBqp9zrOPM3ZRncQbJBqZqXEyEOsvVEXIOhlDxyHkTlLort+UAr
lnFHc2JC7dcq5rdSOtbZjJMHCkoIqUvvDXMK5ehTucWZAvEAbaDIMMbpkYdGZ7TGqkD73hIrNo3q
qxwGa1fG3rjxYpb0MRzStCj4AUnMhNWBiAihQwkxPDAChrCQtpwAdl0kAf0OWf/Brpkqe04BXrtf
HPoWdEmdJ3EXrs2ge2ULPC7//M8wWr8jjYKpKr0Al0i23DdctDLvM6HUFrJOTjvf8BuSRyECsW84
99njH0pYgQsdEAqlCOSUu6TUKMby27Vt3fCc0L9XzcYKmdxrWcCYqM3LsOxxLC0q44CyboRX0IpG
YG0VRHKiaiaMt7nyIajF6RcADCrRWed6sOid7FDVtvcCt20V6xWBS4qXOkPES9YuwezRcHlb0qE9
SWcLxh7TaAY3MiZPwfojlphdsTz+NL7c0dkKU94PEDGzZMsGm/bmjvgH99Al4K5spXEswqHmD1HY
YB+FAyUt8PBpy3cXBs/RQ2HNfJTfbArRPcV7VvGnuCQcuolaPlW4yT4J3CeRk4XsAjfYusPJGjGh
Ncx7QgZ7qYU1gXYll0mib9pKvwyJHM8sJLWoqlcVkfTliO5KFyc/goKqxcB9JrXMafZ/eDqP5ciR
LYl+EcwQCMhtap1USRZrA6tiNaF1ICC+fg44Y7Ph62fdJcgEQvh1P06fLPbfKA1vZsrcnF7k4hGX
I/eEWIlj1znryU7cd2rBy5kSih7QEo919Rk0TXFrR+68VgT8gzDyTkTEFY1Mpa9T/N2NEJfJBwR2
d8fMvqocLDqjsNhy9G9/gIgrJ6AMOvlgm4Z+U6J2TgUTlfKt5oVbjxUOGM0QZIvoOl7ZALOTm4fk
sKZyBm1NQnRQ8kuQq6Z+MfmA3fpWGn+yhtN4UTXfNZ759Rgbzy6c8Yg8whIiB93DrGjVxBzSCpr/
6JBoQV+mFap7q4K123yruilPjpc/7JlDLhUPAwfW7KrqGuhDx6RHHuq8nFaVYMoRUifMUKXFSShp
rQ5GTRQjOpV+MlFSkr3ANwO9S61sTD/O3mGx5Qfqn1oZnSOP4TunIL7r1HpUKqRyMqU5CBcMSgfO
VJBKaJ4OMw/NtZ9FbtpGD1bV8bk1lhOcp1Gou1c71b9JQW660bX2nUi/LQyKgUH7TUSuJ/E/kXI3
U+0Md64sF2ti+uLQOcQr8wl/m4EBFq21q8RSDGMdsYVEGDSdE33l3sVnya8ARVFxneD/dw4L1yJ0
2h0dbRy5qg/Sy8M+rst7ZUVyBTZpulqWRXcdfh5VEgSNjN+ZUW7LIoFAZ/nTPjBSLhqQU7g8le06
gzOLAVRviV7t7SCb+JQMEDST1ZCES+DwegLdQ31h9znzSPxnwBaXM0vrIFtu8l26DU3+6JD9Y9c6
plqZggPSpOkYbumMKNNEPafLc0kXGlc9CqMIw6WcdYzeec+agh+kP1Ou4zDNja0a2R06kkuug64c
uWZx2sP8e06LQSxgXPKB9bz1W+L1Rcj0gjWR8wW2K2gBqyE14q0aGbN1dCezDjfFyuXIww3f+4cY
8oQ36Z+XexiF47k/1kAjst4+jXoAguwktypjI1RxcZ0JWHH0Lt/RvSQun2HVhxw6aCDBLODpdKUx
66+8IvutVPBdlAWBIw6voJXeq1Y/GBndgVLzn6niPkNVgOb+heHV2RR5uDFKUnMBDrwuoV/MsJPf
lSzfmYfRc4JBB+cDnexZnxxbz2+4mTEALhlHbhM/O1eEKKknAoPi4QG6MKj+G3ok5kpDbwBjsxS4
03/KpEVidEcXj3R2wPrxD0scqJUMGpGTk/veNsEmg3jQteO8zdPwHKCXaTs9GEm4LmV2sjP60Fy2
Q5G721nxHsRKfymHy9y8+LKlbuELVPg3bB3tPTxlIeswYGxadlvD6VaTpCiZtfOpy2iQN7EIAA0Y
D1Yw3bhHtUVhbFN2Yn/IjqIxdsTIvonYQ9Xm1LLXUBRWwSC/6yaEvSBs6mU8WEhssis9OCiIWbBS
LZF6oppg72kjKyE0r5xG38vmr1Lqn+0T1LY4UUZm1XL9G2gX5uemnHtYJ5fUAnIft6/sTvqNgqs4
6nEyZ/5brC2ACo3D2IMYhSOHV58+BeTSbE1EeaCBRLxUsFMwo3I09IO/VZLxHATkyuI4Aus9Reew
8zDeWERTwThQzeht2N3Zp2v4o0Q3fHxd9c+sK9+YLqpbK8anp8kh7ygcZwnd8xyQGKBSPO33lLS1
2PLQLxKAtWNwGzySBTHNy1vQTm/FHDcH27MupJne7PjARJpdooLxAdnnk5xzdZiW1o0evxdhgwov
VMswaMrbdZGL+TB67R7jURK577VdUzInLCJBXnQae7uhmJBGo2T+LkdRYaezP2CDGfukKT+EEodZ
YP7Rztl2uQIQuT+HBT4YNQBCHTXV1TNTOIv4Bv0roQFCPJyD7VAj5OFs/DacM4jAZ9KrM+F46gLi
pIi3yMlkuHrMMTnKYb8w2LR7jCdoQkNYkJd1sY20PWpwYLG115ZNCVK3m7r87nSW2hkNUQqaeVaT
JxZO8qVV6UYJ5yOmKdblbOzw8ycEP/5RhB64DVoR10Tub5Yr7+SXuGvlb6Fl/6bJmzhS7HwYjbdy
h+hvlMGrCaFkRrbNMRTwlqIT3coH9mcYYaXAyze7x0D6MUa74OG62Uvq87oAdGsZi/GR2cTGqt1s
x1ei58A2whwSM6crFTKHTcJ/Ljlhn22nZ9+upc8AlM+isPiki8neZrN8MhOTg5ofrKjYoPRHY6A3
ivyWFKDlcRlxtU7++BAFGoHyQ1Ry3EYhiarUmE4G7nu//ZqM8tk0ABdJJb/tXgKe7v6wkYtLMzWf
dhe8OIG94RY3rjt8mTDICMMGrsGHpFGwCkVh6H8WtNaVlY2PuWCOj6nvvhQGlwVRYdmhhUWu45Km
js8t9IJ7jM0gMH57oq6eIs8jX8YSkLePFpcdlhOu3OCEK/jRmTgXMpiwP70wKgg2ZmvKzTizlOkB
64Vt2EeO9hR45NzjrTw6JF71y53xOUsHVTGLsm3a2X8aBrfSTB+h5j5hlP5XlXu/i0kACF70KKfE
krSV85sWhMbmj8DAxEBTFc2tMw9PL2fU0tDVhA8wLLXRJ6oIvIOavE8LFlUL9rCUXOE0k/7tHEg7
Ydu+A4FExA2LfZTTNNXKwHpWxbefBrfJI4djjYibI6ZOdHTazEKxx7BhMufmKZf4naDQLY43KgT3
gXVv3dw4lbRAmrN+hKNjvCDEjqmPs8eUaJdjfO8ZaSC3I4oxH6/G5IPmVXedmg1zXCPf80aeEipr
tgA8ayfTFG0ylk60wGRNx5y2g7NNMJcLeeAeizb6FbrWbWxkv/Es5BOSQMaYeRuRyCu2+K9isrhW
Khe/8KxPbk9OypDVtcz7Fz2Qi4Q9V69dy/wLTyulLbk84rWFujvdhEVBGYInZsgt1b2Q+efpzbKb
59nKosNolqyQtf/WdWnCeJe7SEUULyokjgICIaUMDh5HFEstzUSBBn0w8n5bLmHb4i8T/mhPF9M9
8/ayjp8Ru+e11nmzVhwOE+Dg5yjOk2sRNO8iN25Bj0CjAxZwF6qzLopbHlbeDdWW6b07cNHEVDH2
zZ80Z07SJm8tVCYutIy0W8u6p6ZXbz0XBDS0rl2Q11gUHKKdPoaefpbnNoljaqMrtSJh961rhJQJ
43JjVbvO8Nid+8U+5uHJqUbH3FSDhDuQy1vYRyl7JnaEPk4ubTR/TbiXt6Wd/7GGosHQwxsVhIfU
1N+stn5BmplqQ3iFhZ0cqq5pcUkOSIPhPomI3sIpyowvjQkONR/xZCIix/ZWH4e2pP/MxGgJ77WZ
801cy7PQeNnSOvzom0uUOnLlVRA0Zt9ZFeV0BZikNrljdBtmIBappfmVwNBXWoltNMbqmJNpUwDu
eAcOonf73aTk3U9pY+LS9RobEEsDwzvMlGn2WfcVz8M11+ligOU0q1R0THK9kz4fWUpMIqu7D1IR
a9i66GpMzYCNIST243Nmy3o9mgt1sfvHGAsP1mwM+1Zl2TrrUPYLUKN52m5ixyKBXVnw4mS48ZZO
VWxjiM4y3RkVjaL0mlG0KDiJTlYe7ry6bgmb9/9YICpoxsQTFDc/PImXqSxfbBFiOU+TcdXZvb6P
ebWvzKV/eOQ1Nrzxq/FHhoKuM4Eus79cZYgTjoitSROpr5LkNYASCRdI7ILqn5lzQio4ieDzQeNz
7ffwkJQ5RBAETJ7x4St6QnUSBDGp+/MM9raA5BUnzxyzuJ/eBnd4azp6cltsdJgRWmazJtDXXL53
1NbqbjBONF6DysOiFkNZEN0GhfpFtrRBhuJfVVKEOMNnrJ0UhTwbGP/JZ6vjlJvAsI3d3ttpvLt0
lbyTF+PyMNtpckmw5W8tDJfcPMfoXLCvAGQAFSzSWJ6x1lvnxASB1gpM2KTnTxFRCK4w5HXuBUr0
PYrKjQ6K9uqOYXXQ1tVNEBu6YB7fKIUMnjIz2LH2Tm8BpKenMM7JTE+rzuiHxwzC5l6l9u+UCuGP
iFWTmhCyeCg+xs4ruupzzDHG1M70h5RniHPKpP6qjMSL8NUX3CrDE8z5oFxV1J1RVkkC1FEY5sIB
Lxm6SPu37PE5NvdY2/qZPvbpif68rzB2vV+y1DaZX6KSNdL32rXNBnzYwQ4L79PR7rRHpKMMRDbx
I/UKYn57mr/cv4aPIOPVZXF1BFE9xhRQvz06V0zoyXszeclKr/uGO/o5QKT7IP48bywZ2kd8/K9B
boYH0ZQNyfmEiBKfw9Ym9P3WxN5STe8MCBpQb5ikYJoaZ+tdEfL3IvsD6dS+D1VNIblBl3TDXE17
kILTvnewVdvFIdOtQ5S7zhGXhm7ja6P8kC0OwCkLELmt/J81RM2DRvFpY+QDqyr+9YdJqec2TYe9
X6eg0ZwheBHAh15ksVe2H/DdtMmWxdHYeoAMtuBXop3vONVrwca4J4EAuL3Nv8oobg92YdyDDq2c
aRpFs/hwfLB+BPpP/eTrEzBMmPTh1VMz7jBBOe+sxd6cpTxSjAxi0hy59/q4ePhfJtbHgWP+cweG
jBQnHricktxXx/8WkFrWpcJepJ30uZK+IqEq/sD3IcdFw8ceo1hDEoGdGZYxjL6GEVLhfsgZ+EVm
ZN9o+sHKrZbBKffurWrr/ewaa8DfZN19/1UM3B9E4x17MyH8aWJwbUipr3nQkzhZ0sr+qbAM84it
y154ki6tzsI/1Z6/nGb7137xP9ci3Zgce460tc5bwHN/Ipd7l7Kr/KWsM/g2ny2Msjd8zu6ulyAE
I65NcURvXOeAUDSJNjijim5BXD14aqt9ph30bR5yMgmdAueg9CbrTQip9rDFoXi1uDldAONMmz6c
T6mS9fukUUJop53iFrdizT2dXHH5NMruX9NFoBrYP4YsbnZNYyAdldRB2nN6IbNt94MDS2LQe4dF
NfeJmqr+mll8M6SCH60PujFNmqth6wvpq2Gd1uPDwn+xIxDosszbv5ws3Lnc6PaFPT+CUE57MU8P
j9vsGvNisFdZXm6tHMChl3ObohYl/eSeXbXFrYMe8zX5v20TOQmsUXrMpuYh+5IMXghsVnsgjpQ4
D2OIry/hSEBda/A66B16SrubZBeu/JwOY+xcrzOSdlu7MVT7aNgL232r29HcUwj3Ww6iu7EcMLbK
3RKkZZBd8oFphtEEkEsjLc8ujTW71Dxx4/jsFnCjTZ3LvkiTJ2toLkkigi0zj2QtC/fieTnTl3pJ
hA1cBXtFS6E3gy2Tgp+ET6SI73E7IIpyRajRUTClIRdJIsu0BDp5CSYpqeKD1QE1kJoUYCYN5jKc
dLg+QWjEb8d8Hu4Wic7tDL9xuwzpBT2uWzL2xbYfOxQASuZdK91WroqupQU+o2b6b3TjvRScZN3e
fKG/uDxOHHySMqbXOKXSmLY8howaBwUnLEa8L8TgkATH/jMfa5oKCvOJJZnsUebf5UJ66xEcna73
Dw3pL3CCvbwWJVu/XLrMNcnyrkv4r5Yvsad8QIV+OZKu6l6YIfIRkpda1aqqN52OqhNXJ2MHt/fS
LP8v9WX5v18E018S/gZvn2ENDzOar66/tK0rMbSnKiRW0hlcewJqc/GZr4ENWby9qgGwjdklMv+T
okhQMRgtZuHRpmL2NI9tDdcLr2RFpzrHQt85JfPsnLwUlUJJnua+cdqTw/CIgf8Uv1sZedHc6BQL
1fLn/vzhQ1S1J9PXe5/5Nq/JEiCT4dl2Ku/EnPxP0MDPqZ2/yqUlOCiHoz0Hh44W4cM4wRGKDeJR
gwGWMSmGmMiIBxW/8M5FOPMNs8fATVH1wTRFxI4Dj6rX+a0RVnUMmbnCw4ivmQf2vzaba6/qfp9D
snu25EBf57Q1cpbqbuqHbdub74R/65NQNdZVSCwd16AGWXEV4fYqpnBLnCAm+GQNh94vzEfhXBsO
L6h70DFjxr6sctMbf9WdTabymDgp3mSDAS4dhtaOqoRvFbIUolbbz+RuP+rCeq2i1rhLBM33gBG9
Th6OMIpD5wZ/QMYz2MkTaFPVGtTwKa7S+Wo6GmT20L3Q84CnOBJo5cVynI0ec8kyTtwTA3XhvXu+
zQ42DY8ENMg6rFCLvKDHWYKnrJ1zApAu85s2s68ozdPebOdP6sy42ImmOTIeUczwoBfkqVVvLadx
tpYNywsNZ1gC/L3tZBBAHJ+KTf8l4Ud2RuFjhPfXqWAJSGg3CjxT6Fvjxi2xx2o4VVevNr+DGhfg
0mVq+IcuyBhicgvg73ebilSB1Ek55RtqhbE7PAV0za/o2cPV3AxvvZTpxs4y+zjE8ZPd0ram0NWJ
8qwdZZN7zUJ2XRMLF2CAvdWgkc2IOntnKiTpByAKlg0GTsvoYkApLEK5wCoQ1imHa8+aqccur0Kx
UZMwQEV2NowZX2O7iQ7a8eajW0hKpUIMO4KeYGSB0j+UNlwHNxHhySUWbREh3hC5bPehCPYTXTNP
1osdVjz6lfNfTekHKUwsxkyF4qcmsskdWHBd0yhAZu4JIkK4SleNEsUOfK29td0zIJr/JknWQbeK
HY0jSMnI49mopkuU581N82ytIAEdgthE5nSTZzoXngR+7R15WnHPqZRN08MkRHQiSEGdfFelmz6F
comH7ETKDbIXvSScidAAIJOJrWWEJrqbb6yr0EZ9wrYvJLtT1rovCTrjeirio89PfGeBGLoOjVOQ
fzmaEztqrXv5NGFycho1rZ2Y+FtBF8BSHH4U2sdj8GNQHnmovGXcaI4hbdYOM7JM7rwRSxnwPOzb
9UM7PjnWKDwMkRMeXcdB2vHd8ARA6wsVizZQv0KVDbnF25RMUKPQAsx7twBd+3mVX7vkEVLvJ6jx
E755C5/KcIFa3qzRpd90Ebz8tr1NOVZ72wSVg7Hfwd1pxXtVVAVHJO+9y5W96haSJP19zk4t2cZJ
pVRi5OnvMWK9pY0ewkTEsJp0mooj7q7CAUC09MbE5JpWpqYJxrDdoydaxdjDT3bmCFwmkcQRPWbf
i/lRlg3phcmgKsE626Zb7OLuhluhPZXxTLVSOEMmoSLZrZ693PwLxU9dkjHaB6aP1y4eTSDe7hZb
sEMP1vSSG9zsitTMd6noymtZy63h5h8VP/qNGf6zOzEeAokgwgS+ulaqZ4Gr1F1zCwbo18V7J0nA
b039Dmi6dat7DgkUUe/KwPrOXcgACfyoQ9b4e6smol+b5tHKgCOWgzfxe9aAlBcGjwf+tCLKSbL2
EMZzfZQteqLJGG8d8MlzYMRH0xHD7UwBiWbuEcDdet3hI4deEBVYO9UNngE2SIwhABs974HCjQDk
lTBCtHEYLHO574N77OmerojXrr3UNC6dcF6qgquhKLiVSN+HWlg962bAq+amDMAZ0Pkk9VYpP4Zj
A7/LCsprNo7x+wuhvgLDjMMjZaIdJRpGiQeShmKGr0x3pHjDnk8amafDBmZPNcPEMbqH3vhXWw8f
mNnK8U2HXd/ottwzuH1a8VdsBenfyMZWymbXXdrGfhsYIbBMmDXF1u1b0rLA+gPxmrED1Vk19pHB
JqPFKdzwEpKWM2KxmqPCvXJsZ5Q0glZx+ndZqssc9XvXadmM7fS3Z5BoDYCitREabZN81+MEzbWL
iBIkTPY5mpzCunwQ5oPl24BEjNgIE2Z5qDzcEXxzPpqMyfc6sT8SyWzJotoqrRIGZJn/i0op8Tr2
CJwt59TU0qgCZGLXEzHGfRpUz0Hv3CtGDHvYq/59mlTNUpH+cpRKd2a7aE5s/+CkJTh6gFRO99Lb
MQu1l5NzIJSX2Uv8POaDdYxoYxXY7NyE7XXon8ktiqPujD+ET6Gdui11z0v31lj1nKG42kW8LQ7m
yDZlVjaH1Xuj5/qa+vGtLBhXuaPnrA2j0psEVHe9REnZNMzOOUeJ5lfPMDO7+ZfnAQlOMvkKS9jc
2QpbVSqeWx90oJqSf6NxMeN5vBkuK4ta/hIswfNZlClTGGEdvbzAUrZ8mXHCjIeff3ShHIQN/QUF
10PkztxY95xmDj/wYJe/KnTSluQoSztIGZhSa2H8opp0m2BumPLoK/SbcG23BjRJFkEclt6TEec1
t4kP3eIkdf8mY/sZdnI6OWb/f19wnWiypWpgvfdbEmp8BpCK4FMDudl6liYKKAIOFsuXqim6U0hC
nFI3Cr+trFjVW/Lk1CLL+I5q/waeLt43Tb32c4MZrGG2p58vP78cFWAZfQ0jcw7+hdF07cn////k
5/9W1Yxgm0Q7ufSHJk3wguuMORZakxF8CAoWUIah+fBd8PGMxe8eEjrpIkpupvnidPqPR26dTal4
BMUEJAqetx06M9tfw2jZ4kiRfEn0z9zFBRQZa2tMyAjZ737PlYKMtCzJARZ4Hq2YzKwV/5rIxazc
pFdHXz9JW867PB9aDiN1g70jR58p2/wi7ZL+Eg+fnfSvsmewF9Ul29Y0/2V2An7ax1OBXKF23sB+
6Xd5tQ1lywCra96MgJyek48eL5p9AzSsz+Rvhp3sK3pAKw+fjRwxN7Geb1rKXoOh7Pdl/xnKgRO/
S+JfafQeT8KLGAxOPqFzZUr61DV65xbftRyZFXcV8Cid0lEGwdzXKT0VffufZgIRELqYuTPsS6Gf
Y9NZ9TxRp8oe+03lltC1qMsRFsVWbg54tPbEN12s0SH020stYVRMTmCcqLLTAReV0CJyxurGCY5s
71pYluBmMNk75mzu2o+cm9NyeR04UBPn26RFNG9IVL3PXYAdnKnBNlxP6yL2P5varR6poJ2IkxDl
TsBVKZdsHmElsU81mYPMMBrcXerwRY14BdyWmLs6d5SWbo2s/lVCmFyZtOcsrNb9lNT21amfnTEt
9hh1HmWCeJmRJSEnDWYrMiXKp/cIc+vXpJ+gCTMnrdP+2Q7SEMoIHidu/n9EIbqXLEf/6OsTlZrR
vs2Gl1gq6AKA68SCGs4N4zPO02k1WiyOFub8Y1EU34tgwvBu2QSnflPyNnDjzPp1lJZq0w/zUw9x
Yg2ty0Q90M2lrAxcEVAVzMVHk3olfMFA0WOu66eWv8+tgdLrUKLsOjifZ5MFzm7XSnTFLmpx0U/Z
cDMs9lOCc0guUBoj3j9sw78i2r12nT0IRnbTu+oNeaJ+hbokOztOeluX51qhfAYiuTcpu4xn27he
iCFrUK8r1aXRJvVrvoXCWDsVTLNo5HKXxZO/YRgGKB/lccoi0hIJO+xQRZxYwNp24TICIQlca6Rt
jZkdTyKfVQ1Yp+qNfT7RslG3Ez2p4Gm4cvNbLd8wsWI8kTZgXcLtSFHZi91ye081flQTOv3TGBWf
M16KLps+yCpUWTuhcILlQZPCipqetEt4PsEOsrK0cUXyjveBHP8x1wTbHv4zzW7acBJvNn6iDlVt
nXJBFyF6Pr+Pde8HkCNkrZ6xEv91G3h3MvNIEkBsLWPjyarBH0A7ICFQ/KmARZ6KhtJhpIWsKq1D
pWl2wSj+QWd0xiU1+pv3HtUbSwdSBcJgXbvZs8mJboXpsLx6MZRzY/itNfkhs2ffw/XuGkEFmIkU
IyrHBu8wDQDDcoP1sVDRCgdq3j5Sm/VKEnFLzQk+mJFwnxF4T9JEwM3yrjlXk1evEioZOGt+zoxk
Vm0yMnKi9wyJuvglBzS6QNyLEbYGGcJL7BC5mAyDqHegUrCR/cUdebCAqh0mL6SZkunODnmaZNGo
nuG+XwMkKO6XamkKCkZUw2FD9iw/xlzXkgCHmEoMc1daejcwCdTBn9AueSF6TCgJnTd5m+MYm4EN
ekSXshD/kQ7+s3veaG2OZ8KWNVrUYN98zmaENfLvkR7sPVMGmuEofiPZysUzcdBEqrS/L1ehuKRt
CWpKRWnaLvFTuWMpY58LXei2mSip9Nz8/Cor5jvKYUnTHA5BRnCV8hIPPZGnuhMDJ750vsuy/G3M
pJkqi/M4JxabCR9CseoLkAVeP21QFTZY94Ndr3gBcFvTE06ocnZDfLjuL0JQzSlzOrH2NNHPbo77
NXGso9tQ+UXKgv7Bgp6VKArXuVH8FraC6YPLd026vzJg0OxHWska/Pqi5BprKnAkGXfTVYvwRKkC
TussHKNLFb84GugptjK1Jktb78pevho6eikHmrAYlu3wLuoRCQiv6KHHNgAxG1HD65n61hC5Bgtr
8ggflYJlktxM3kic0wnvUYtRVfK5wvC+ycQEesYuQXYpCJM9l4JBsgxOv2IjI1jAlHfrVHidl16/
LOJfp1ZJuQRVPcToQT40p9Yw5HEYIuD4U/RSR68TgAgRsb8TNM5f0LiowoAccAGi0F6geh9bYX1I
WXILx4WLlPRflRsgyCayVYCa4lVnmvExZ4irhwzGp5JINC1wuTAM9wzUvvzW5NWjl2MHHAkfk5E+
07hkMmumz1o2mDd9tPI4lq8JOWZpWk/8WdLNxkvdgwQxB6qhu7lc4VSrzoHwn3EutUc4UQxpVfRi
NcQRfFSitVdBvWwWJ2YSReIYJxPWx7Q/OzN9q0ma/rOjquReGu5+lMg4VoprnXw2i+VOnTPeDWvB
GS8pt/5UfsnWferRR+FM0OIxUSpZ9s7rYMXMS9tij5g/Xjuru1qF/QGIJjpUgMCN2prIP4j7EvZy
XbD5gNfezJCxtT9lj4hiPq5nbDUU1oOAXwCcA/dokZKYKDKz3hYJkEtG09SnZFCCKezDgrMzgljz
XOFNbQznTdpesrHCAIA71inTdeanWFCohP/70kj2OP6O0amJc5trNQhpnkklzXY7xMiMp450/Tmo
k0PYlvLJNk3OO9afKCduL0M8aiMMuirUyOdhsoMhHWx4Zisk6PYuvODVtyYwu3re8Qp5UHx4tiYj
fgBx0SdEXDSBgs0xOsIsynse4nrpqvMTecZzDlfcZcnMUhQbj4s4DxCjFc/tuISYUJEC2/vGoDhT
plXyOFGuMlaSvkL9TR1HdaFXAjxlnLziKvkM66o/iGo76QI8tW8i8cGA2GPxWDckADAw0NUUcSbL
w5mIUU4ETCwbz9RoIDwRC2RSI0amWUTrAy11PactJt/oijX7clobrEWSRN60gDbpvZgxf3lOzRnA
HAKu9i6vUICba66R7wiNY0orGn9rdoKQRCVi3gTeLCfEdGkvCsXMBgvTDd54O+hr7T5P7AA7O2Hh
s0ehOL3LaJ0P86cyIEuEIn+yUmgWQwI1Rd4cxysuQXvhXgG6DYtTCQRvXwfjYyJuuQkimZwgQb27
E5PbzvUkZKG2flPmtc4OtYirq4m1AnFbZjswmzcNjhOFF72N020FuRv0+ZzatGdXkFYsxxqfDYOR
7Jis6sbwufqB61bJfIUaZBEXLdMdTTN7Y3B/mz4NHqpoPlssKeeSvEqIv41TxNEZhLuOmt+wgaAH
eM5/eaDcVVXk/Yaopw3eFmC0WVYXPEYo8sSocXtmxaZpqoaO0NoFvc6zi6H1XkUGopHVvoF6ptKP
aVx7zvJxWFVUTmwDMqZBm6XHxrSarXBPVCVysKpVcNIT59dMTr+I9bXP2nDuc+aF6544Ph7G9KyW
0wamJGZ6EW9lP+MvYVeFAwJ7SEYObSrIMQzvOVTHNtWUsWz3lcT+k8ie5bcF7EWWWjgQcWfTX8b2
DghkW0KiJ0obzQCkQ0t3+5ghM47S12LpuugovSgYTx/NpQdjoBAD4SZCK6EjowxBYkXqF8hgbOGq
XCwV/JxUXBI1CXtI7vts6dwA5GRvPWo4YMHCiMepE80BfknlEazggMMWT4mHGHR+/vknaWPSZucB
hcZz1Sy1Rsl0c1n7N2WEUlnTeXLFskxN2XRLnCSmti54StWpEcmwD7sLoSd2R1edsVu5D5KR/jqm
zYuqxeAwzAG9JGVm0qb8X5YTSpiX7pIg8j6inzYTak1sc852jijfhu+O0fV+nPRjYg/dtBajXbcP
vqqkyZnEQ4KukyeX8hSnQBqsGCwjgsQQ1cUTqnV4ptYtfnZUax5dalhq6ljmRgw7N/bQFerhbJa5
yVEZc2G89LjkFLrAsjGO8U/HC2Uvjayfh4EI4wx4b0AX2WCG+1s67q6jTXPrLp0xMOzy64SDGr8B
uhNxH8SqmJYZRribMjSDqxSXHqz0E+ndd06wEs+D/ytBU8FuiLs3jYyndJQtsHt5d0N7vuPBRygL
o4i4N7RtLvkv8Txx1VHhrzZbXoTOplQhCx4Z/D+zi0FcerDHOQjcDNW+L/ht2R5nz3xzaLiWkWvf
hmHRQPFC7o0s5hsWiYu5hDW3SapdDI0cyPH8QaeiuKLo4pEmRuTRTXbqMlVvNUNXkKAtLtbM3Ftz
Yb4woz0PiCcnPwqviwRtsCt8lkp4m6Zlc6eEgHJFZRmvo2UlKOIs4fj4d/ySzaS9N40vagsLhyZV
WqPIDxQnlTk3JnnYzuk4woXysdBnZsIHF48XSTn8AtBLn50cyRr7znuxVCblS3mSXmqUuDJmkIGo
VsoZ0GWuZZ0Kt3h1a3nr3OeILqZq8F/Jmijeer1UNc1LaVOw1DfZ09LkNLc1VKWOcqfuz88IMFla
ofRPA9SwlEGN88xgc+mH+vk3P19Ca6mPokcqi9CfxqVaqv1pmfr5xxS6H6R5ghfWTx9VvlRTjR2L
bOr9cZriMWAtPfUpB26sn7TeLL/+53f6+ZIsv2dJA1axVGFlifpsy5iMURGeRmt6HpG6cLKniJkG
VVr1bB2C1H5phjFA0+AzXE3IAhyTZEDku3mVrjkQtS97htzLT5w2wzO+Ang7XPxgav+Z6PWaaXkg
6Ws/SrzI5pZwKM+odg/lIjT9fBm8nt/65x+zaRnbVeeCR5Lhu47m/2HvTHYrR7Yr+iuG5yyQDLYG
PLl9L+le9RNCKWWybyLY8+u9qHLB9RLGe/DcgxSQaqkrMuLEOXuvffx+Aw+ZFRmdALlxdMIc9Ro5
CJtqo2mPo8JBw0rEGoOC6aiLCsdb0uzLKN7qaZYsgg65oERUZbmKsoL+f68jnTNISBStmq1t0KIt
d6rpaMNfc6uDrNyntoMqWgzE7EzdLphgFpTSNTehHm1Tf4rX6NBOVYrLXUvgTekliEciae+4i15R
CNwPnHiXEKauwUjiXlVbm1qPNzXhLNQY3i5lT10A983pcMBfRJzgLV2MhTSdfsKUfXR0qzsgqVyM
Cl+kh/uHGdiqiYvdGCPWI5hvMGmcji0AyMnAGEgxypkrogRcYBXBWqqqeG1KBlFphTWhkxVGhd49
EjQ+yGvsB8iumXfXnbZPhixbVjyFyxii55ZskSfIk2qd4H/jPPc0uR4auvQxj7O3tKK1FxdwK+Jk
1XcR9pA+OXJtjyw+ONCy17LB1TpGlJTZfGr0Mz7P4DDro3V10fdGRqAzvp68ddVxIhBTtW5t4BOD
PZHQIl4tQH00tbuTzVa7kbpNpo+lP8OjEossaoq1pMVcRfjLmBM92JmL2hayp6c+lKucVQ/GFf2b
fj9NwROkwW2ai2rHiUxR53SY3xOEX0gdXhmBd0zbwm3SMzmJXVIxdER7lsxXwcRMwuqh/5KzmnSQ
d0uvevKj+BMTx5dlNzhr2fEVPgLDjoj/A19QI0lYK5BVdAUZfpteubeH4hF+YrkuvdA5EDL0GCpo
gEz4kchUWYMcdTmmzM/Kqgz3OdIMA48E4hf62+3AZJ+hkjbVJ4NR8GaW9WxVGB4CZ6It3UH9iiL2
mwVNblyeTv3UEOG500yJtxpEmyW053xipxwzPrcLxZcWaf7O6lJ8KkFz0luwu0NQb6WpKE/A/5KT
CBTSeShCL9jrubx3XDyFWO2zna0Qa6C6XlaQZhXp4GGYXAaz59XtmUp/I1n+H/djGqBl/gnuB3+e
+vi3009c9P/I/OHL/mL+6H+Y4MLFjPb2PcMXkMz/Yv4I6D0Wqd667lssD3MA9V/MH6BBddk20X/+
u/OHb5o6bB/cPTPHXHj/J8bPHIv8P6xx27V8fp6wDa4HoahvzQygv7FzZGBHyjS8vUlr99aVdGgF
N70TjOkc0rAiFpN81GASlN7aPm2RcjQ/XFyaq642OIy7VxIv88Puby/b/8L0mV/W36/K5GXg8lzT
MSxrJqT/7apsg56ryvu9O9T5XqCnMOMIBa3W3GXkwS750n4RewPNBbLPFyam+eUYonAntuHVxbnx
5w39OfxH+LP8X67HNH67HptLgYSkm/CaLP7Nr+LfrsfwCLaaiDFpATPAtFH3oQ4QISS/yQG2RaaI
tpxo6pvofhYTR7mNZp5YU/y1FSbDueysK/IycmNt8P+GrPHoWcUvNqG7LtSHp9g0/tUF/55lbuvw
xDBxkyhugxL35yzvv10w48hIeBMu+fkUnzv2Oc5auQ4ayaE3C8/SjfCIZThH0AWSkFVS4zcDC1tL
q1LRF0OjfPC76RznPnLDORcrrsgxKGiwd652/8//3L9Hd88XizMRHSU3vsGr/I8X25RayXgKP3Y6
pw1xZExTLLZduDgIAwV0GIfBahhe//kPNebv+vc7//unOqZBkrlB3rr+2z1mTD2Pp23svNZlcIje
UMpAAnOmuxfps0xdNh+VTruRvOJil/TeHcUDw3h/9S8uRPx+t9sM9A3TN3XSAzx3zg/4hz/WNApT
U1Oxk5mLZjme+n3h01oEyrm3AW5uzdq+LwpHI0+PNx1qE73GTVQkLTzkUO+2dVRd+MZrJt8GjVWC
yCMd2ofrkzs8aFgpmIx7yJdcx0Gza2C2rAkzXmQoMJelVcRADZwLcWvlJZ9FRX6xB9HQrzVh0z7u
lUkgtnZNYWPU9eg9+xoSbcN4LlFHbPExTxeQsLnfOsu8xI3t597ao4Q3MxwA4Le/cEGrU4z6r55H
Cjkgx6U3OemWI8h7wDGQZMLw0luqPVALNdva8949QRYlYSh0VL1mQ6NlY/CzYDF+dimIXCqqfaYP
EaofDSedfiQ6Wz/RuCxpxqOq7k38jPTVtqMLFNEWlrnUkfYsMaGiV/IIA/Wcbpi1tNFBM5uv1P2s
/ay/OgQRbQzTuedH/0qUvBNGddViktjoGnX7gfSEGIpxH/ZX+DaQB2cgIjYFOMnCfG2wm+6E0Ud3
9K0whiEOonDQ9XMLxjYP0+AuC1reNAad6cFiHl5NjFoBRe9i2Vr3DGPEdjRROVDcq3tjdgYG5bU3
B8DSUxOvGIoFDNVg6ndhOj20qVpX1L8c9DrnYCotX6HvisAbV8apMpDVZz0QDGoFWkk+KA8e7MO/
uHe53N8fIzLGeYZm7porHN/57TGyAseyoD9uDeg6nPkgYvdpezSDvFm6pj8785p7SYrfFscxoquk
Q232BdQKD6Nd0R2yQYpEwj8mqrsCeaw2QYQDUnnVjYnweQam2ahAac4lX3VmTVvPmfFN/rLsPuCQ
YhFNJA3jnGZdgm8si9vDABuYcCBUw0eW9UMw1YQ0l90tqaZfbrTiAD+bD8s5+Pk5bSXm9ZbXnA0n
WMdV/0raAZCpGlpiwc2vo3oBxt9V9WtR+C1egeFSFIQtRBiXQEZWbpXSmqWDpUG6s4oUM6zv/Twn
jh/CwIzJ67YZqYqcnAabg49ff5o6sDi/mBjsVdg4OaQzQsff2WaMTbXP3NFvrXhvYvkeq8eBfRl/
bnzXDv1OA5gkDPhuBBkt+szaOnKePJDluM0euRD0pYwLvSJ9suuKKWJOqTjpzi3XzDOPL+Dunnyu
fCAACZtL7vpfpQWP07OhiQs0aiYA+0UUlyd7hNmrh4SM9hM9Xv3m6TgzPcacmnOuIVVCasOihwYG
FSqHJyyVOxMLRqR3T1LSVCe0Icb5KiF7AUibxmqttJIOAsFWuY1TpnGSk+cy9489f8/ZyCx07Dal
vgNuezDUWSkNL9povE6pTgb7tCe7tl57KdvWEEe7hFjOXksIMZuyeuNV1g8g8DSEIqbsESy1fNZ2
B2cxCc4C7nRpNB0nKdxZ1ZHPafbO3rRrZp3Jo5TZe+eydvnl+JoaQbEWbvErIIOYWzNOyMzQQZ0i
JpVtCefFQ2VM68FMbzTdUjAs4VeCUK0BoxsTb03xhFshlszhkfUS9A4We9t2H1HPEjCmAJZHi4GT
pXMLTiEju9B7Jp6sSOcG3WjECL2QMVYSF5OnQbYy+TuXI8vDGG7HUfvJAPkmIoJXiY1DjQMsXOjP
tqg5b/nVeMmAx6kacTujtSpgDE8Jd9Ai9Taj7BdOyA9Aeoep/OR5Oj/czBmAxURfo/YcW24pV5kb
0xXxQhUmPxlfCnz+Dp+m7tGoFvphsKm5bJDbXscoEn75gAKB4TH3TW8TmejrzOpJ0OCEBoODiAqL
homvBL+rnBCcWSjuA1TtK0IoOQ1Z2sawjC9EYJzvZXRva1j389xipa7HLYxb+7XG9YTMynlG5SdP
XjiscgIVl22rkP2M1kjwqOTGgNeqo9M/Zf45EuUvAMM6eioykeu7pCQrOc9ybWum43PpBMhoDFaO
HHwW29GmMZOXCFDNwgZggiR3+DCIUo17o9xYGUVu2+o3w5XAisfhRthetazECU+vuWWstItRsa+V
Eb9P49dcYe+cmgoGDMsshZuBFyn+WrZG4I4Y52+D40wLJxnvhJXFR+KOk1WV9m9p05swOdpuPUxk
nwpQzKea+K9T5sa/EssKt5PtEjHtuNuUUDDB3noeBNefesFzZnc8eZ6/btxh76Y9q1xsE82MI8Tt
tAWRRQGddVoRqYsEsijE2VH6Gm0WxsBBgg8ujW5lGYCqh4kkyBYrq9176IBrsWxV4K2NqX3RQ23C
oCggjxnRxUrEg9EzZtYtDZmLnG2nbXFEP3zrXd6j5Q31cWESj2URFpkG6NFh0bwlYInxXMXvDhPv
pRmi33FgSDohdfGY/vDh5+Lyn7XEw2sWkqeq6fE5jHHxsnUz79KqzaSLiNF/tswk516kY7TaUOoQ
F4aafZnnHeHcGH5wTfP79WjlAzDQbUJ3Cdo16KICt0kjzlnBC0Z74GqVtJsCl9UxpfUc5qZ7gl4H
AG7y70UDfzoHdNKxQS9c0/zyWuC62ci8IkWn4dcRtC6wFmQLsDL7zYKMPrGMp4RNgWdAja8zW8OM
k2Oceb8ctgHGfAe7gAtjRb8E91I2zOuiKZgpSw9Jlp5dXNAKSoYmTCB18J2M2ONyi/EDc3t7sowR
0WSwoh90l4fyqZXGvU1E9LKyPxxYnItsEJglkTMvqHBJGza7Z8dofozKfq0Q13WlesoNqz+EVleh
EnjXlyKTJqCv7AobUGygNbcxlnbzHiFPsQgo58YuJfq6o+VsNbPtFPZEkJDeHDvgWtjGF6KevRT+
U2bh8qbn529z+TnoJr55uxcrfyhphJBHgsR7l6vqhwjkzwRsPX3ktcjpFGmoEvUwO2Hvh39X2RtP
ybcCn2SMVndpGT3jK8KPobrkKMRQIVk0zgCAz4lS9YvZmTr3n8wI1nPPXUVAgI00gmoE9lR3AX/T
rIxBDmt3xOHoSdgNeE3CbZ0zy9N0DOFEtKLKI3Q4wfFMuh4tlrbAgzO9qgl9qR8jeKwG8xaENnp6
FdK8E69FRX6oM45EIJE1sy4aBYTSr9ayHYqlrbJ22XTEI5v5+Fh2RHOiEqtoY5ZPPrpcdJkQsEPk
MlHo0tFri3U3D5M1UliYBoHJpEfVWrfcz65ag2mxUnc4bX6MMUtXWmFZQXO3tQoszE5vXGOkNgOk
BFbqFZRcF2mFuWpHAHaC4gKYXPWgZ3mF+8s7OuZonUcXWzjUx26T59QKIcGTC4fogWVv5a9p4WVH
RiLz7aiBoSZppYhTzKxu90ZasrNV4j6shv4SpimESlZohq7QyH1YeuYrrlK5NBOmT12fvcWhGDYN
AYBdTWpvYKzzcniQfUt2ajBuBOgrRyccqRiguyEiz6qOaOcKdywy1/rETv8Q192vOMHqmXuT3BCt
7iPv3KIwYYQH7w0tMAnsLFRnrd8Ar6iWnZN42xGgIxmD5munCGvRcpgi3dAcbGNUDGTCQ6iPZ7dH
JMxoiIhCOnTFNCy5989JE/6C7qatGqRadN+0RVswX6Q7sqp79x7yC9vPnSG5vcIo/SUNrV91Xrsd
CX/B4f1ltdQI9Pyp8sL+w+mtZmGFP/3OJn1aJb9wLR/o7gRL22Be3fiC48VEgmzISjuLv0yh31h1
+4Nsvhga7byOW53ZvLXxuMgciMty4OcVxKVbrw3bNh3M/BxWaFztUF5CBOWmb5jkJE/RXhjyuQB7
Y5oUDhZIpXRaqqZlIuuiftHUs8yjaD2e0fAZp0H6EAEDktns6bPIh7ManGPrMrp1dLMmnQfipZio
zvPMW2aKSS9yg3PUKPoZpJX7YSu3rABzzktW71IiY8pRuZtCA1CAwY+cNFFdufKGTjzLiFZ9IZ3v
bhbxTqsaoxIQxuloj6F1UKMbHxytQjZZ0guPQ616nPrm8jh52c6dXOsaTxphPEX6mdXpQasNulON
hJ5aakcLfy9d6pITSNLuKHjivUshhh43JjXH1so14Uxo/ihpgMGuE7JQtiQrxeuoMG5ocrWoPnTS
RkrbKw7ROrG2fQR1Qsb+zqMfAteqJIinUoBrlFXJg2P31d6ufzaV6A762HYH7sDPjNkiXpSQoMlC
P9TzGyS1L15JlFetq8e8D+5botQQ61QtILiQRZgO5CGt0RdTVxG94Rj9Qc1vZFb7Kz9VnCAMe1Gr
Vh4M3Q6WwxxZ4gv0MTSlD7ptQ7zy8ePBCY3W3/+FGpTsrbg9lkUcr0J0oEszwFRGwo9OgIiQW9Od
tk0WMOwYynUXc97I9Okj4GbDBlkNO5hRBnsBvoXa7zBr8r8clAZlrmfRfwBVoxn2sIuJaMHc9cvy
ZLxyfeve75ptY5bWPYvItIEugi9dA/QCqbJMSFb1uhzJb8FfovaRlA4JjM3aaPujjVtilRj5o1ZH
qAb6gl0XWxciuWXahZe6jXgt7Nq7fL8JR/8xsotVxfRSa5phO2hlfvl+M5nxrcsiReiqToZy8uQk
lntGELcQzioXuTjmmjbuugyEjSa4t+sABmx8dS2WrDRTX61BoB5DoQNyiDTQtAeO7qmRn6PBe+t6
tW80cQ/67yqAY7KmnzHGNUSyjl9wPfguON9jGVPfT86qQyK/mdyIINoxXQ1eW5GVsQ8SWvJTGK1V
El0wzd45HHSQRWJbnMgmz2ou1SBzDmMt0pQBC7JdMaZfq7A4GTQoyAJgmscqMtTv6HWPWEMYwI3d
pkqzcTM5/o4daxm48Af8ACmaVyjSuXBhOHq3rnNJ0rG7tyhDdN94CWNqFxJPkeTPrIW5/1GwiDmU
1W5k3FMmbrTOeEileT8M+W3yvDuLTGuARPJHNUbvkY7QuGk+daT5yxZTdpWTGmRk3iX06dP4g7tr
AEwvPBM4mKcS+kUmQeIj5bxtEueHGuoM3Wxmo52waMF89O6GQj76Eh0v+qlc9T+yobAB6rTI2MqT
NPQnV+oQK5qLA8BoIcqWp6MtN0DDXkUzcZ+wtBIEAjSuGZ0n33z13GLfziE+mNUG1zkr3wmXZBbt
aNUyHtWoaPqK7El85/zxhpuw/Ffcra96YjwbHlxEiR4ekCnwH1qDUCZtHe0ysvKFazCaI+1kh8Ye
T52v3+h7IjTWjQ1HcpKfU+6eBB3QKgqrN7KpHy0n8ZdtDmUjToyvQJc/IsKJGZa9EjALxLqx8Er6
NHMIlMmG+sGSPL1qRI5moJqeceakWeJOPMNv8Ra2JOebAHOgsUlEwYw7ezISmL/GueuqK64P8LKB
eq+c11Lz7ZVo3OswwjEibgSwIrZbr8Lq5cM6p2t89rRN0xnrhu+xRzjpcLwOrnXgPpTesNGtaoe8
Mzj2o+IxjCdS7intjVob1iajv4AeEKLe8iGGZSisFFubiVx4isz8FKiy37a592HCxa2GsFlZCWEi
dW8AIcFfQYj7voepDtKO1kKOT2xFVYWnkqPZwutb75wT2suJCRGxVD9oAnkLmqIjEk3rvZsJ8l6Q
KOrB+JDn0/tQx6j6OsxTYdNT1lsPwIpRVzQhQU4R8k4bjCVPufU+FSnrwFRaT6V8MmSmH9zeVGui
JomLg4hsWcxhpQo//dK1nuqWmXpqLVFmOhhdiCcPG/cW9ualqVuYRJyL2+KNSL2SjB/tqUlZWDVV
p8tkmiF/4dqtYoOyhdAcORVXHOH2Kqvn0p9du1dzor29lkWHQ0Mwy08jTvqAAld1pfnrXBHXlWaV
nFtOy3mFhglB2QtNxFvoasQS68ircrXkvuoSHKXcPELjrqAruxaN2Z/yIygZ4AEJaX52D2VqEmAE
/KKod3Vr/1R6Xezr1D5GoNm2PtlC2wTczs6vsX2ZvQUhPxjDncC1GymB4k/xBFgFk/ayUA91AGpE
NO2djEmaL8P0q67xuD+VJohCSZaJUwbrvmyHlSudCrGvvAZJteXXF1uHV2obJShDI1JveKBwBVVC
z9eMqNSC2XS6p5803E8l0wID9PXaojz9Dk9nUZsbc/anG4Zi3WlmOAuOUZ9ydBAWKewIkT/9FJOi
UWe4jbtyhQhM1YA9aZynOiQG0SHi6tu7pAFwTFAZfozqhB6QwwBqI1Ml8TmunXXbNOXR6+9bqtWL
xnFh6DV5IhC1b10wMZCmm15y32aE5Xr4W8gkm8qNDIKBOD0Qdz25ekkDJnKC37/rFElRIg2Ts5+U
P1PfWItZ1W32LB3olTHwyPTqN5wVQMFuGZ+XK3fkAUbg208oeqy2fSlcWNdh4LOBOcEqHDp7ZRPS
RBB19xiSHbP2a/M1zzob+XdzzmX9WTX8rmEwq445kNOaoZ9epEABgOBw0EOmUcjBhrIa7LTKuI61
nt2aIP+Bey5dDyP6wUof0wP0qtuoecOBafpL1M1xY6PIdgoaGQDKfTqkx9FiGjHlRnlsHe/dzNSz
2eNK9QprWKcQC9axhZrBqfVx43bDSwODfE1YVXcwOT8tWt27j3TMrk2QvYXwArauJiGpsjlvtLri
8qVVLrXS24J4EofeLB9C04a5woO9HjMSBLQ2/dCE6HiNU3cnNLPbI12MFgbmRNIS2ottgY2BJ/8Q
BRpdQ3Xy+sne2f3Bj7LugpZ2gxPwm1vAdjNuWmpnU2T+0bFDztBe5J9pitTHsfAvKp3eugqdXbLK
4krf9vBC74DWIEkGwwjLZij3pslATbDLY4GkuBaJiJZWIg+e06hdpuOfUq35LC1yrLwuJrMVUPA4
8LsVthme/V+dvAyxx39dCfeCvNZ2vls0PPZ8e4LaNIms2kqQyhm7vLLkPV1nDTvEemCC6oV0BWqn
8zadjtafdsizRo29xUFDsVGY5s6xeDBlo7otTuGNHg7+oRpUc5UdXUPE//UmckbAlrOCNpvDFmiw
J5GJZ92bfoZ1G2yLaiSJvecImnDg2A4VBzQ43IRNmAQSR/hi2HvBRfoxKI7Bs5yHCKgV44PqQSWd
Wk3AM2VBTizSGQtS0oZ4LLmXiQBc40ZfKWHB7xOqx0U9gBTXgTDpAc4Bt+YkAm3wQE+xhYNy/BnI
2iNQMnSOaafRjGqBrKrcuLckan4r8Dd6i6/HY1IjFPuTR/jrhgx3OpUYXrd5+jZGCN+LkaVDdETc
zaLNlp0FGfqyByXHq9Y7mwjP49C3JkMJJZmSl2jSSci0FRo3OXmXDhrX4nv4EzeXImmmddoH08bw
OKeAhcCDhOBvv8ut7eCoavNtB6hj5gYIezjYofqf81o2FUG8NM8OXa/xJhYX3R/y3ZxUxoPaPFna
/ZiV1pL+WXTVVRlvyGJY0qUDZqOJmnyNSu18Szvj6Oa89dERrHdqZXcUY9Tf1fUVc8dVJsW7B4l/
pRpq+5JtOY/Ap7TIjS02+TplTuo5exDTBLd1hrMbwv7tTw9cpIstRNRm4WvrFBDQDs4uxkajY2Bf
WMYKAeNwawuTNOEIqZnUvWtdZT9DVoe9TtGAq1s0G4dQrJWvRc6ujWSzSnWdg0SrYZD8lfRTc6Wc
B/2q1frSqXzGgLhzW28AaOe5QOQGTCxDeax0d7g0mZ9uWewgvoAfczpA4JEdWo9hPax0hVwLpSYr
8QxnRJsIC6rAEKdP/AGy4UT29rR3xfjZO4xMYBzqyHm01cgyvx+cik4TJpkjhA5/3qG0S9SNtBVr
/yMXsX7rnvilQWaD08rxSEy+a2xbjxI4r++tKq7fgJpiMgXLGoxFhSGwIsNQhu6u1fzmlubh0daC
7eC59Z1VDyd3QDXV2dJfO2SVLRq6VDyMTxyOIBJ86JKGX2iN/UnvJJgmtOYOfJO2c74CEw9KZROA
UxIQsMd7wFgVubbOtIMuSiNOtbnWyIJcpY6bIZeGBpP5u0LDE551DCUKhMiXvPtZm3n9FNqKZlaS
nWDTgemHMpqX2pdnTfG5RA6t9ymPgQN5Fqgym9DJ0EtcJpmSD61vfQ2K3NXW6OUaPz2dm6EHSjGx
MahETx6hvjBIulL3aItaTOveDCWbgbgpcNQNgSPLLoNfIvSw2XU5jGdx5P5A7k2UA6F8hEwFRDTC
KtfWhV4cmtar1jTINPKsCVDlSO4eZO4QTsPhzwERvwjrmh2c5CiqNKBfya6YXH5TE1GnGsdVkad0
N/iuEo59QNikqzfrUNfLY1J28YYcpSAly3nMveaUjnaGo9HL7qWCNjomwzHLAo/YdvbAEUJQnE/N
1gyLF8HxblE1RcrIXF9bCElZ81Jy/qT+XsN4fFL0Dimj5K84zRlaewLWBW24aWjY8IqK6VenAiqu
+hOCB4nCgUVFNWlbC2HxPiLoe9M6hrnVhoJph9VrK9ea+6Rm5wCNopEZx1N+jybchEfYmmcw3+zy
3Fknu+l/JGDVwDSDIE0BZNQw82FVsItUmGsx2ey1trpLcUoS22kDgI8Y+khIaqee6SUHJ20fg7eA
q+VcZak/E56U3qXBoc33QWRrW6gBV2JegSd0FGBjgGxZ9fJuxIK6qg1zWgVZiM9Vt7xtaqf2fZlq
4mLW/ZLAyGll1KrYeBhMrkMi++uID42QAnVXKUHwRcfk34608NBb7txcSo2rnN9o6YC8M4/ZO+b/
MiQjOoOAQ9ufCFsIwnFa1xHLa0S1c44mdYnrvL/Vu6mt6cF5qXEz5lmQHwMa/H5fa4IxGEcQJMz/
uVpHDI9pGhf3ej8CSlLDI+kqhI4aZrX0V1kouhdhO92lmymj4VR1L4btO+iGuervj+azpMZTJUVS
DJSrC2JzF/r+LdBAb9ec42qpv1h9jgpkbo7KMn/I0QqPYLcUzAIxZtYD2glODlbCylbuRKnFxB1L
Vlp9On6P+/9f2IcK6G/Ch9VH8/FvP4smbsbLR/7zP//9VuYfWfybpo+v+FPTZxt/WIZwTNcxLZRp
HPP/kvRZ+h8+A1WTeGH3+0NokP5S9Bl8iC6Ez2jHpBHn8O3+W+GnGX84Du9DxYZoZ5ajuP8XiZ8Q
5ixP+x+pk2dgccFZBOzWoNFFUB6aw7+rwcDxGV5rIR7IHMbToz0lsLnr6r0LXVr3nubd6V1T39kN
uobvD3DVTMqCsrw0okxgQWDU/f6AXegjTbjAPCmiCK5up57axqne4e6jn4q1RYdO8DC5vfeEtHBj
xrn25gAi2mDABmBG5M0bU5aMgc6bHWrmrpKI5L7fnYbjXhAlejOskOExPE6uON1afR8/1br2noRF
8Eme312a29FLjP110yn0t1mL7MGd0uCpzCh9+xHTQW1Ya5PeccFMeT3lbXrV22E4pYrsXqdZG+lY
vBMRZ6zoNHZAowJ7XTZIQ8jy05b0dWv6s6NzlxqiPyQCpo9N/fRcaMEtNZrky5bJo+Xj2sr41Q+0
pbF51TTD0RC5h65A+UCLMoJbO+V0CekitLirCAlPz6IYjnqeiM/EmLsXImxuJI+pneob8m2sPLgZ
Hbo3y0vNzyoKL2wQ1Yum4nzjSaM7VEzd7juRwxwLt0HruD+gICvSs34S5kWnJxbRE47V2UKLwceF
EnRGtQOABdvss1dML9+fGwbtGlRA/2F7sEbiWu/v04RKTgsFe6sY4gc1thcjs8kyM8bwIGQ67Lse
gKHlNdk6hy+8bZNgfJ4KA4QO6ryD5uXPXqPGo6+cdoX0wnzQ06JdTyBu7oaYJCetAgBZDJq1jb0s
Zw9IU9Jv/fHgqG7inMd/vz/AemZtJ930z42VDJuihwMp8SoTblRx2k0MeAeJZt9q2B3LoVfRcylq
d9EPnnq1eyD15Bc6ut2/0N7Wlwj+66tT2c66yJgPdZUG6Tuf0kOsWfkJpIS2Me22vm9Qsq8qXqon
/rbsqIllvme1+9BXpfcr0F54xGFFOx05Sobjfraj+6sfnfCVRJGOzXl0rhwjCfEq1qWIMrDmDt6i
NjGPiOKTw4QZfw+82cEC3nsbS0qfFIcRq7HfqZvFxr9EeZNx7g0V0JlRfnRYfDAUOz97LVslRGDE
nOxOGWTTaNESCGHafffpDmR41V76xqGGohAOyZOpilnxX44PRke1WNLhveAGYPOFtVg73M7l0LSb
2B6bB+kLquoaEVTWk44p7VT88NW0r20BeNd3d25pc/xy0uY+C0L/XY7w7yrdi5/SWf9bDoJQMdup
toS3mUciFMSBo3SyU6IljpET9XoE23PRB9RICWCNsrblZ5PHBzyVwQts93Rjlvis7Wi+42Y5XScl
n6Fbm1zrwzdPgbDC9zX/anQfEfB7h9QAFY2IUV7a1BTrorfLK/QUeynS0np2Kkl7PrPFRynEBUMm
QOaieSVbBcM1gT5s8459JR1v1p75P7JEui996LhL2YvswdQyOhZloB/BA1bHFBDCFoGTuA8sL1oJ
apUXxgu/GvKTfubtTNJ1GSpMhbdPRkHdb02EkuRSfwSBylNiq+7iYBrcCY9gB2khqrHqwr93LDzp
ypZIDquZTu/3H70rJIkNcjwDybcwsUEtDwxDvvuGga/bdT7tnLE0tYbzQKlZ7kMSfbadWUVPXmW8
67hhTgxGGiaZLmaZMQofYFB7Z/gaGY+AOb5PCsBqhL3gIUw6l+4PyqvfPmDQCPjzKxI9nf78CrMq
3xqMxocy4cq7Sv2IDS15M9ywXYdh6sEJbtI3h8S40ovDF1tErAB6DXajddM3TZESLUYyPDTDqh5F
Ne2/349wguRO8qQ2399tGIezH34UiV9cdK+2bkUVeigZh3FjIEG7Ya71T1Yo3r4/aM6fUQFNozHi
X74/QXouXo6GG0Wrml+jSxJow6yI3oBn36kGsuPoNvzj/YNC4GxYnUQZyn/FoE5NmLY3wrna/WD7
z76O7IogMu3FRibGgyK0TRXAFI9StsCqNcu7OIzTp4p2VG15BYeVgUL9+yvgoXIgCQog5PM36OF9
24OO7lAN5r01VC/f7277KtimjcUcfP6snHbFAlhNfm5dCff2+fun0QKlKVlwo2ZFbixlSHe6le0L
5mDtyuEYVpoM/4urM1tuVNm26BcRQd+8WlZndZYbuXkh7HKZHjJJIIGvv0Pa59x9474QBqtslwTZ
rDXnmGjMrterUjwW9IBeAlAtQ9wGZICp6BATQLTyzbp69Ah4WsJWM6kHI4K1Y1O8jil5kRgoV0WU
FB+JeTIZrn7Mil4IvlDvkfxOb5siPlzlYyNeu7D77IGofshkenpPp7G79I2vnsoCUhnK3Qv9BPeI
uPHcTN7OM8kZLYzReoT9DcJARyQ40BS6Q6mYXBJ26PdhUlongNAEMDA28OJQo2xp1UpWdv00RdR8
C6fJPvI8u1COopSejfNLZz46hpn/FQMDVtAMxWsdNnppGlOJUpSCWEMLfs1iyDiHtlEtvIGgNVW5
mxljL1gXsbVRD36hbWkAXvogIJEYbbFQQ3ESvveSJ7CVi3jwLr0gZjwXXvDuBfR6h8FMvqTjvXe+
En+oRR1TNcGqr0Nvh5XnnpLICAxkmJlEmOYTCO4HDyMjdtZIfYb0nnFLGH/SK6fZ0SPNmNkA2ccU
oII2ImuiG7dTOxrbKnS7HQaBepOgMDvoiHqudEf3hO1bLhtdV08NcblkDCcBhn4XMvDQWW/lbebg
4/1UJfOgK8I/7PRIeWwgy6DTRvCEroTYkyW6IpHdzUyoNu6fBcWX4snz7Y1BjNdfAIB0uTv1F2XV
DqhH8GOjFEDBqX6I6zrVNj93KsZzTUDrn6kyn+eoir5j33glZ7P79o0BKk8Vf5HV+TVZ0/A1eNaf
KqmSL7Acv1ahxs864smUo5191jnpA6HQ807giFtojOH32Si7fRR60yluJeXoYh6/ZWRuPb9t3xiI
CP6yWbH5vQVs3KlP9JQwoxYyfbalOdLE7Jq3wkVMiCU1/oIOdnQACCeE9VyLvWGR0YFxUJoxswpl
PwdV733Ci0cs5vb1hX034WnkKD25E9DGxO/A9/h5uukcSCAxq6AiUOqBkFbSrsc63sMPCleViLyT
CZ8CrrRvPNFQI6GnVclTklMTucp3nVz1f8f2XCU6++kLNFqIbdonRlzCuAp24Kn2+iWfxPAWz7Xm
zs9v7PPhzQwrIG+u9dSSU/TUunJ7e1Vb9MVOmShHb6e9SdeNQqa3vp1yf1RIc0d5vJ0SOiZ5n96G
ujeQLpPwwnKBhC8xPGuUQytuoGRd+0P7PqIUDbwJ4VftTU+OnR9vl1OfKiOuWwoWrEvegT0jfCuL
CQxleexQzxxkK4f7nGyWj8JOtgmj/A+8jHeU7cXF9AeDMDUP//f/vpTFjlyCZTK3qWhWeh7Tn87A
LjqozGCQ8uWmMZjopdeX1H9Is7i9JJThypyc+QM3OiNdYs77QGKvGak5gusNoBsD4rm9NBkRyZYW
dVBNov0mIQhjPVSqeNHlFdMHFTaoo0ueRXj/B0rCrCujiwXTZBkFV0gVRIcFfLf600wPzN/lx1xN
08YA+7u6XUbpzwwfTZckaYuHuM6S5T/XZxbOPb/HimWw62vX+OfHwIr/ckYrOM9NQdVFIZumhlZ/
BklORg7iw9PcwDCCUtMxoTirSRj+U+LbziaXU3tP2b+58NNYO9owd0C/iQsybbAfFopfG+bBZWTj
tSAEV5HakvwoM6gOGWuFZda5I0GBCjLhELLuxSWJOLVULwjqk7MfFSsntqYH4kRaCkmZfJywbBxN
4phvZ2gnG0rn/r6Pg3ofobPbtmiPdVH0x1b3/VEhCj/mRFahtKQSdL0eCbUI6UY9ijIbVq6WwMP4
6J9uh4bqLnFd9WPuglLIWj3z9tmkyEpWuvXYFs/hYOTPVxWX5cv48XZmeS5sPAngKkrsdJUQu7Aa
K0hLpiBFz5Jp9IbpuFwU0jF2MfPg20jolKnm7NKk+hkN6bSZBYpyrzfCD6BA9p0lrPEYtxUuEKP5
rloEHTmui3sabzFLUmvY9COr3IxOvqnL/KNKjG5Dgh0MfUJLPwK7ey8zoztnFQy3KYgAqlxfluue
cQCq0BoS58aVvfFkXPGggxH7P6G8zGUn/sCuRNiYFuZj2/UN4oHeXjcxmnGv7t1NbA6729+DeMlb
6rIMNiDDhg8aRbfLQ++qDRqbEu1cHn7QgNngVa9fpUJ+oNqEZonVosm+7tAsM+u3rQ0DCDf+BNU5
mIFMWABFPdGsgQeTgcuM/TCQ2wq+Y7rCiq64xtwlyjn2nWMzps0nErVTlWXRc5QG8a6lIkuYIwkt
mJTQCLkh8RHxODDmuFIfQrdslypsh6VhEnHKn1/vWq8/4tH1TzCnnH3TlYfMZRsiutLfjdKKdiCl
mPrroXn2c4ZHuowEMAFTRiYefQsCyd4jwysXiAVdaPNhtvSjtD2VMp3Xmq6X7ZKfgX+7//BcULPS
fffphG4nvgfVBHhIaZbu0SfmKQZHDYGpf0qgN/xSxnxCEtRuNfC1pY61f8ysZBm5meSG5wwL57Dt
fJwdUW6zv3PZq0OIQdUrjW0TRfazlX0xpKYHaLE+Bb7E+xjsIUe2qg1eDvKg8sge8BEkHvqcAAOH
hJjT4HTPZAUQIFrwTN8GWXskB9wSmrD2mSjsmWRnqkO/0RU/Io3iazBm0loDBbGaW2yl5mTrOKb1
Z2TLQTsEXfAQDeD403KXd/o1NRBckhwhDnM97APk3qk95Q9urFPO6ObYJbnis/Ashn6ylxvXnd7V
BMhV0gjPQvvLHYnau37RMZmHdeWcBJtOaj/Z0tPx9G3YRLcQy6uPNd2rVVAH303KFOSyqH8IEj3u
Ekr/axzy+WNTo5CUaHgn06ShRZrZyTRxoQ2+D/4EcMxYhw9mqvOdmYmvnKQcoBNR+Vjjxvun7jQl
5JO2/KLDKJCuswqjZ2wy7Se22DYU4mG8hUhDDbXyCz29WSECBAHYa3871fl4VzcZyukgiU8ibj5v
l3vpzfj/EoP2R3dxS/g/VujXT3HSJw+lP+li09j+feDpiASrnA4lq3EfpDLyCuz9+zEdhn3JMn1/
O/33QEoL363Gb0Cv2doI2h8fBTB8Lt88F5MfQGGJD5bfm2eM3+Y5QRTxEOfQEbLQy4/SqbhPUDIj
zA0OafQpyKbb304crYaVMQFHL6PaP5tL37Od8+3rZCokUjYWe2Ky07Ndt+m5sPJy4beSSbb186OC
G3Z0Bi9YC68Ezm+os20Z6nkoamcfIZVewOJKPsXVrQKfqFrnCIvucKt4j55OC8ZL8v6U9B4xKFOg
1yBLVImPo6iaGZ18CCmza4lH8cd5/8815ux7B5EtPoKiO5jc/FALaSL3XYA5Swf72pHBGQlryaNL
UriBeAv4gG0nu3aK32LXU4CeU4U3Mvfug7B3LmGA6iWIgxLQeEhz3sG/b8f2ioZ3eTHC7DkFGl2x
anqiErqC8K2eqhaqsTNHAl49p9E1qBb0C9lREaFIXa70O8R8TclD0zvqh+gz0lN2QBf3abYfdUZr
C8ORFaurFzaxT7bTQBoO01cSkss7tF9XABHhZ1fhaGRKRU3QQglHxnZJ9+suUIQW9hpUXWQvPEhU
x8JtmhMckfpkQJDY5rP+Eq1xCIXajclkr9iRBPRLG71X8Tgu6b9uIB/iyBl7axvMBoquUb4aRrKv
w3DaE8vtH4DP8PClOb3ZXBToVoCEDF6yp3l6aOkhb25n/x5cOdbLBKQCq1GsG9gQOLROvYOXlGDy
YLq0vTY6dbPSR1LPAQXb0Skb0xe2Pf5hcgOSgo1A3Vvcaa9azOYDGwVkaIBFVw1d0DvPEqy2rgdU
KmKHu5okqw5f4kDp/cmfabMDp47XVd13T4XE70ak6LoBErvLjKCDKiVDvdR5rhaA8qE7FCwURtNy
X4hUTzcUAJaujX/l9meK61/n1dV/ZiUCd8GZWsCgciRGH2aXvI0uinvpIcH0miTEZ8L1hKXboofX
sS1H1J0Y/46xwt7GI2R/W9h8RMBeLzV+S88lWhMsCxEMAym0HcIPleP/mWLcMD3JmFcI80tJn3UR
ofxF/6+YHFFurACFFCf84jCDK3XAh1Cs3DgN7hszh9c4TNa9SSsIfhKDWpWgXqh9G47N9TB7kDJT
cEYPHs3vVUkBYiXbaH5rmPHu5nFUB2fAaxry3IHCUPOhyIhxDdloonXg9HYAtstOAc7dxrq+2OxQ
jaBhmN9CeMVV6XebxAIjiBufP3vspq0yq+51cEK8FnjbyVX01KuBZn4Z0ttSJXJRI3WZRDBDYJYh
zvdesz5YzUmwJ4Iv/fRDSNIyN+pNbTkf9Bzi4+0wC7JHZWt/KxbQ95W069dxvCJdg4GdKe/aTo5G
vKDldlHDbP/pRoqecsAog7l5qmTxnNo0gT3AsyRUBcdxnKtLXxU7iijyfDuTQwQ8bkhQi/t4mZr+
5ITDoW0aaoGN+5f+fcwz3HlrNVQmeXaG2naUQH1p5EilUqSaVhL5QFtwDqbmQPydHKaFsC0UNFf4
YpOu9PXh9MK+qTgmBUhVhXZyylln4DP8GkgJO9Bw6t7sP1lkFm9yduJjX8a/CVa1XWNHv9KTRGsV
LhlTHv3hBxQNhEl1qMHd5jEAvp9Zzi4eq0vr4MDDqujusn6dyhBx0mCxxaitaX/VW/t4rY7+tUlL
SM+wQpf/2/p6IhUbnZv0NT6C6E802iPMj3m42CPRtiYuyv3tdHDtC9kBauk2PC1bB4nyW12g50G2
evADU90JPslDhyLykOF0bGKb/+jgova8WUhu34hicGFAbZe3SzZWBHxWkbcya+TSc9Mq7o2gAiI7
G2cB3m095RLib2/6QLF9oi9MoS6wVNrXOhnGRx92UNIl7Wvk0zzXnklQkQAbzudeEFZVIoi4HnJb
q1NbwNu6fSPOkDI3Izwd0cmSJVJpkZY4YVLRWDsxmluEIPfZPp2LjDD2wl3nFcqyIFb525zpX08g
V7hpxNuq2ZvSwwLrD/85JNdron60Jmi6eUM54brzDpsrmeij8q+xrEpPy7nMsFHN5e8sgHR5UW6R
mmKROmN17sYI0vyUGN58T6SHvjiEYLE/Zd0fTEBigINCsLDYTzHeF/0ed1t2h63HXnVV8ZpjblgX
AXE79JbN+zmh1WRq47ftWmvX1X/dispEDOFggRiOTn0o4lWPjGOHkzPatWZHuialhdslqNhrSUVr
MRH8uuzxumaLaaDrhSiMTpiZsLogOP4+DHzwV8gmtjaQwNfb6Ri+JENmP9DJy56l1b+D7c++aK+J
BZbm8GAPIn/UOI7C3NzF8/jcjk28bntIOLeDSy2zx6VUvJUzgglXU1gjCzN6qKIkfCImQu6tyXyf
hQ8o2wqw93s8Ikhe1EsiEvXZxF+2+sekCHAdKNWznX/K1OqRNnvu8zx6J7bCG8cR0Rc6OXRYeCMN
dNzrIAJnHXUBcb7MI8SKjPPxdvBTK9zPbXCnNFnLJJVMOznR9wrS3n/EtN3C9wOtVtmhJldEzy9x
Bho5iBHOagaz3WQzwaTyKHIBM880vQ0gJyps0Wvl5f2zAT5XOmZzsdtYw6CTp9yhak0n/8NTDgzy
Kr+G/3X1JRwpnTtI9O5o5NYX36Me7dtsq12bVMbKcRAT6BhatUH2x64ex0VZO/oQ0PZbtVh3kOQm
8tXs+03AXHS+nXHbP7X+qDBmOfCcCShhiMd8MSJNlvdWgTkdLD+ZKLi0lv4Y1QfKO2KXEz+PDBaN
n0x2JHG0FxXTGlW9ePOHN+GhMSqtvD1UjicPcrLrg1rdvr5dbXNr7essR5voJgTGw1Ibsr7g30cl
W/NiQUga/1NSDZDY4cNDHWFtoiCC9GjG7ru4qs+Vh2ze6bB3DXZMmbhosuXMO7QSEQLKsJu/oACn
SzdCmmHGAmdePMM0Mep9H2HnaJJuRWEk21VmuhRTgY65dtuzmTX1qp1cYiPLCMV/mLw0bQygQO/a
qs1OiQ9JO/Y4tI6zRojv71wyFju4TbCAA/M0dNAXWozQydUwvoINkSzosPiLQPmUqyu/eYtG+BnK
jKrVFOEaqVUKxbj85zgzA0k1j6CLh2EnW6HRDY79c+kI6y4oGvMPDx6RilH5a8iJgZm4hyCjVOco
Gpwpn/uDB1rgBf6KdQt3XNfBvSDt5ERZ1j/FRcki0QzWbVW9e6mKPtBu2bi0aHRSmG5eRGruycb5
FmE0bNJqJIR4pl1j1c2lMwkHiNTw5F89rsnOGP10V0qWhlJlBKCUSZlsLTHXZGyH9Y5q9XdFL3JD
ndAj48PL1ENnh4+dLyt4E/89WODQFWV9055JAu3+70FcT1U87WUHpcPFbQy+jiD72QVgb7K0Cdsg
27Rj6z1TMrAfGjZaYLkM9zmHrbsxB6JOQmf6Uo7V/vWuht4refJuDMOVErr948DBIz3MsC5ZTC4d
9TPzQdjOoejt+ExWZI9HAhFw5UcZeXOIP0rS4PDaFV+jYFSXljktFSXz7VR2L4wAzqdNKeBqMJD7
gcL5kwyLz76L7c/Q41nMCys7hGMwn6fW/GWBR7VNq1cf1lgRDNNnkMGpr1LVfSRXSnraj+KdeiHy
vdwp3xjbkkVqTPkl7qp24achSWxTXG5EUn25JIz+WGS59apRn0ZJWpOVdNYRk6D9QIt7XM1sQl50
xn8fUE32LeHBOlGysuepfZu8WG7myEaiOjUNUYO7rpyaL+J8rshZjH8VQzk5kph5+iLfQE2fMAxb
5fOQz3TlANANs5q2ZUSe1BhgiEm78C1qDWvnNZhzzTkz18TVqMWtPFhEmDmufHdviW4gxM+TTY9s
h2ApB9m0b4PGOBSYnLDp0MxQNQtPi2htEXjDJae2dm+PBMpH0vLXk2EvrYqkdhCV7hM2X2vbmEG7
Erndv4PSWVGEFjuL2tpCNa63N/3C20sbinjvBdOrn+n7drKN92nOx42gZLmknWS8q7n9DkdwOiaL
uEdn9j9vl1ntO0ufz3njdkXywX9jmcvMRNqSeTjwzWIBVNKAJx1Ni3Gg59N2Q3xxUxz1159K36Xa
pnVbLG+/kwoIzUdJIGSE4P8cu7+mSRJYKQjrZuG3rrMxu6+1ctZRSH7yVSKDNG89059d0FhWh5nN
10NUlL+UChgubLP6qEbzuiH+Avnbn9zCNpZsQ7qdRv12l2duuIyFtxUhCz18fH7UTXtKwBJvPGoS
y6MMNVJa3mYikyhF6xySCCFJ3NzJuo3oTBeCiOUpDR/c0i8X2sNtYyeu8ZyqPwRVuBsq5SGeNbf8
MBwfBkmh80d2bvqutog3oK1dba8lnmyM57WdwXKmWt782EPNBAqi575D5Ap9Pj7XqXMUU+VBglH+
/egf63ai7umSsNwDvwMEjQNatNtkiE/kge7Lfo6XXilmQnlFd0q6yVxIN/tsRDXgdZZr9HL2U98L
sSH/GIJt4varGE7M/YyM/xRjG2astHME79MWiF/3dDvk2lHkHkRgygPoYtPgiGPXcfNjL5M7S/bi
Lre43fLZ+WGbTO+zlhsd45tLRwf5uTTejLQzyT/CLdih7VsZWw+28rHMe71Wceju9XeWz9WDZvQy
MgoHKjyz6auxUzQ+bxCByk5qVWv0Im9xYHlPPenmT/FsYOLgpt3kfKBP8wgESFi9BPZi7dOk+L1d
Dq+vt80/NKKeLa3v5xRZr0fFaMniKqPBWP91OiDHKLY2eWK9astbFhUISjeKfzy7PydyhrMgIrLt
9dXO4w022Bfy7pFV5QeCbiaScAPkhn1hXWbCQtgg8qf6szo0FdYfs06/ao+/Dc9du+ySjEDtwiZl
mTl26WS1e/Cuh9tXjE74vjEysi0gCG9Uwr5PZrM7psVEAgKLhgUFU3bjkbkee+O3QvICiSP/CnNK
+4Vlr7KRiU5bKVpIMdILanjvkhj0VCLUsY3MkXpuvBVlPd673CAEwMrjbNs5OXvBnXRQnpcg7pai
H4vneHjUMOXJQYOMblb2Y0rt+K2IVr4LWSBrxXzyQ/GD8f5Ds4Z8qKZBb9n2tIsovJJrh30yzMGa
JiFk1QLPc9BA7PceO7ir0K3A2ifUyNTVB8xCHxYCuva1W7Rfs0e2mEuyZk9CqZ7ooHk1FAWZss2U
Qfg8YIJmORaxLYzAomslF22dNRcFtBoGQyaOKh3fCQXuij5YFDpIX3DoWgufmNd92FdXamVQk/sW
z5dW4BHuycR5b8cCloeXlFsX79iKLQVTIKB0oFf+HsJnfkf+XV1K1lDGY50CML5Dm0xBlxTShOgB
KibtO+2fr7oeNoJdEqgiCFNw4ppHaZG85h50HBBxMUwPRidIRgGhfG8F+omdRLhNinI4Z9dDiTwt
qBsSXkKWoW3jp9Fd17SH2hnfslBBcNpEBhmbY2C9mEYRniuDACWdWNNqCCNA/S7ufsceHmN6GOvY
BxdC7wr/tg7PLjWws/AhFnJ/fNIjkXcJCYNnnaT5mR0Y+wjti7tK83nMGvV6zB436F13xStMgl/9
00Sx/96PchjOo/NaOI7aqUHUgL9Na2nye+9vp7DnnUdJ6bljMeqpqbu/yhEYXLrZhZjaRCvHfp5c
aa7A28AiKUj4xM5z7jf0lrw7006Kje0G4eEadgRbuTwn4go7dbKW3UpfnIdcjuvWuSKlhA8vsDM1
CG24c1IX9KYCCXfCsI+zO/7IeCgfaB3NpOuEmlANrz37DuR0S3b8o8QgzhAI1HlsoNTrgQFe24S5
EIQIhpq9/Tnor/DWqFUEAIgNfHFN9AzGtRSLMX/IbADIIqJS0M2oRy1OplvIs/BcuaSL4N/fTm+v
7fMAodY2D8giEpWWZ8OJfHRfpMaVOr9PrbS+CxySTJquUHixWr2aaSHhlDSPtQjjozvNC3SK5dmX
BLfrwT/RXRoPgPAOuaiQshA3TcXvzyhyf1viBzoGLXS6oLHOKe7Wc9j47k6jbu/bce/f3pKUsWpr
uvLLVHzWQ8OOF0dKtukSTHk0V9Bt8ekJgjHQjecXFfbTLtW23lBMwdrUFQa9OQ7QV+p9N7ZHnbXx
HtHnRrrF36EGWBCPkHqDqPGvI16DDXjV5vExdEoLA4873cVN0pzTqspO6QykKzTr8z9+hPgv9IFu
7Tf5ThRFt+/hzwwuaDx2IDAZisY716Mp+VHZIo//WkMyPPphhIwz5s13cq1QoF8HoYlEIUS35+zK
VVZGH25vhPO2+B5a22OZAJedpS5qB2vjsrK5Uk7eySniKQ3qNXK8+BxgAsK11NRrdzBtVInbqHLm
PVkdewzPpHdOk37Q4K2Wyov/+IWLLA/eAYaIQzba/rnIQzrOtsLeVWTB+XZN2jFQhVCt28F17oJW
ffemtB9uz+rsedeoKIwMt1P7+uhWck1FknzYHmV8zeczRNnjoNmhdM0QbabrSFANPAQD+8onT49E
J4FcT6Sgs/pcIoc0mqj5LGP3J8E+/hWO0WsX9foP4JUjOZzVXw9nTZc18a9D7guBJXaKAJDyj9Mg
GHXfw1iE+Z1nn1thKi5bRMKbckI8WJBCNSAWqSAY2lGc/dRZ/hxNXv/NYIiByvM/LV1jIZm85oP5
jEAQr3XfinnAkhyH4uLEBtncYRm+5EYFI8np9HM2UjTPuYeeICjwlGWAhhrhm8t50vaJYIJ2hVZA
EwRw1btUaXcgfCpchxKrRVShCbCJtNoZhGFt2ZLJhwgqI70+T5GTO4y72Jz1ps3lvHcD11p3MEIP
7hSHK98r/KOHGHmFZN04JawauPnD+uxr9JVuHemnjsRNJtEieG69zFkEuqlfoxq/eZ0pCwUxUmvb
NYt3I2cGQ39ofUR04e6E7OqvQaMMxEb0HSf12Wzl+DN2dPXMsP4d/GLld0lKf6uk8C4qus1ZuMkj
n/c9nZe8K0xFVQx0ANQRNrzaXHq1HH7Jcnpw1Oj+DI14FFOb/SkK4w10Xv/lXxmPbWcGHz4WOv6E
FGmKQXU4wBJ8oZZeUss2ccWhOOLjZLcPZvYaZT/YTy0V1fsuDdUZQpxadtNYPuKhzFbYL4yjnRMr
1SFDOXg4qddGe61Cu4baGAwmOwAKzRZzok1TqEIu1Zcu/sCm3I383s1MbNEe/pux1oRHH2YHPdpk
eO1RpnWP8rcfT3nNZiPFs/pYCCdb9gR4PGFQHgATtvJZpfCrOtuyXxyn7Ei+M7JLJYG8KD+d3hwX
5BbjbfrRX9VTAcrPTyHnb7PEl9t0+Yt0kGgJRWqq20x/Nf1YkQrKy0FMYlvg52ivprd/3neChVgn
oBdFKMX9wKoeWvjISEl9E87vUIbdXydxDqmboVe3g5fMl9m35rkigWz4nAxag3LS0bs7U/RqrKB7
cxPbuCuCKH7tBegvSxjji56ouCtzqp7tocBWOuTR2cYqtgSXbT4q2LTLGoDJqYemtOpBJxxNPAdr
BVzlYEryZpo8zvayZKsEoy7bKSafLa36/AF7r/dAybvaTlni7SQqpE1TobJuZa7Xkn7QoTVmhxWX
k50ihuOVJvvxEcWzXFbC12d6+jYxEWiCI61g+8xF+YLCbqYrBZUXAkS+oGBgXFx2nXcydIZ3OyTb
SnpD8jlxWyehNX/lSfkGFLT+4xvzqVEwFV1pg673zF9zrpcxpg+0Z/WVsNQ0Of3lxT9vf+RTdoqv
YjiL2T7oAlRqzIzaibNfthW73tfqp+2iM5Z8+7tx448A7fVXa5CtMqWW/mhtOG06VAnVHjQTeMj1
pYpQNnZa5K9QKUATAKR59tB63DP44O9syXdKRzI1mXbGpauRIgQhCWBDWTwMqZHuhrxLd31m/+cr
r+uo7QIyJuTyv9duX/kqrJq7f1+trt/+P9/59+XECuI9+/eV/+/XKIo0q9m1zv/8xH//3e11t9O4
IoqVDhExEUWR7mQ9JTuMFv85BP/7VZWTxg7bCMGkYFIeneZY9pSfIJPsHHrLp9K01D7R7up2hr7Y
J42lq+pdGc57UHT9aUaSeywndjRRcCr7BrNCzr3d51NATFmGnFngzb1WcpL17WKY7QkXYi9MzNdD
l8Y/KatY8mByozzKEZggRe27ujUrptVGnMuwcJiWGzbprdj4DuAvrzSCs0sw6IjCeGl3HpoTNmhp
LV7NoPb3WmAUuZ0iIvSPkKVebjVdqPxqz50dH6uwfYOOEr4WbgAcZ9Q/QC5zwuFnteugem47qYGQ
tbJ9CwXWERMddmcV1dZKevNdDiTXuDaWa236G6V5rvy6IMduIpTFaaXzwNSxtFNv+q0gbdFCVw4K
OWFjBsCINy+xzd/5XRog5WT8pvX5PiLHVqQxd2G+DuTY7nympKN8JLIOOzBZanfq+vqmHejWBK+o
qKAlsHrcWGyG2Dh2u0HlPwmiBbdHnktiQI8PAOeJoWHGhDJiFTzaxTL2Urmw6ipDcFUe4fdER/c6
7NtTUm+alsGGtSbRswnhuEOQGcvMBpHQDBZtZ1F4iwaShAFwC1kGDBnyksYebmg7TPnShvrw4JRX
7OcwkDI2KgT69TGDwL/qvW/LGI6FTp6TMgWrO0V4M6mBmWlFcD0Cv6VlnT3qB09Z8F2zjlkK8q6W
1PuspwQaE7245G3263pBp/0N/RWAIN9LedCadypOVNB0Le/VCLrTYbmaDRMGJ1HPRE7k4CExu1ul
aBbJACIkzdR+soJ3P1bemqDuqrBDakv0Tto60Psh0sFSooq+q8dSgogTybLuq3pTUKXpp7TaDbOs
dlb4JopcPHioYKFnQcsbJxAC0u0c9uIDeLx4mjf5NfykooTfex3ZexHdYnB9rKIUP5O4JFd7aN8K
YhUdqT/FWODLlMO7pUmwKF6DzNd/yxnsdKr0ZzGrbpXA3likuHaAfgM1S6n3koIxLOdRPzvi2VRW
dMJDMq+0B7KgAuzsm5Awm75ygUVs/aT/rGdNBV05L6X4jTP3M+gg4jjB7K9l3T+gPV0Wc70Vfd+8
uc4w3FdmAwRNTk9IaCxCycTS8BVytb746No2xAtNPILZS24zcAFVkFQ8j4R6JJ7XfPdFsHJwYlbe
XD3xgKgHw706NF7MOXbeRiLpNLrQgObIt+sT7RBOTXIUKYoex6SJjAKo/baTaAmZVb2XGhps3NVr
ndn9RmdoGGOYmUM3h5+JhL4NNGa+xz5e3cW1aT75ENkF6VhR7nVfDazTO4GS+NFlI7sPaxYNfTwF
W4ot1nI0jQdTuMar05oGQulYrrRCHiv8u5FFD5UVKFVmr07gD4dthsfmFcb68fa9jOzURd1KcYCk
Vj/2HQVG2b40xHF/NCV7LBkM3tlpC8zvUSfv7QlMel216wISLUl/LLi88g8CtvmzdAhW7wsy5XUc
fsxGv01dmmmi+B/2zmy3bqTL0q9S6HsanCMIVBXQJM+oeZZ1Q2iwOc8z36afpV+sP8rOSsvOP115
2UAhAUFODUfnnCBjx95rfSs272b7NUTFzznM2ia8M/ibqD50mjVfWf0nkaYFrxLtfxtmHQVezQZA
Ila9brhdVN3LwZ5f1+Kk7ZWS1mDXXAonvlhsqhNnSe8mwgNfwiJ/cVppPYUTZb6V0QCTJuyifIRO
jpomP75/Nlqo3iU5X7To16/8+eGn7/np5374kfdf8eeXtSYNdwg+zzpRhxyeQcDRTCGLev0wmj0w
3D///f6Z0Yfl8f0zeGez3m1SCdzCgSyQY4+v56NuhCf2DB29NrL5OKy4lZS8Ap+Q8AZODqy6rq8b
1euGDlCTGkbecN1khnqiBlCVZqsC1pLRlJpvzGyhprYX2HXhHPMRTG99rJLuFUJ0B9elBEvSrNhe
q28aYIHrp4WikWK0fvbzV3rL+ovv/+H/fvtUn5WbStfqbSCG6UiQ8XQMJdGTKk+p6k3us/ZQHd8/
I9iYv+cv/t+f30LZu+H4V++r9bVpG+B8y1y3bp8hnlAH9goKoxl2mlVCUDXWD9/+rTpqA/gxaY5K
lq5UnhlEjBmOL0z66uOILD1ztffX5v1/FJrO8cogtTIMDloRdvQDjfYoEyvy1STKuaTTgzliKI/G
HtcKv/z9wZZ5DeNeoKeKoLPO3pdHtQL63j8rqdkIKHIJjq5OeAf8YkiNbYtO1jG5ToSVfHuV3l8q
bX2puquRRh4bEjFJjkZIYrmJ0omULLNcjgsIO5RXApaPmGcPAlB3lK2g5ACSA3nLAXCgjBvRplcT
fDtPEKEBqYJpmz4wd7ORQe2BoXIKqrOTstXHTSyYgcWJ6hxLsZNiolMaqZDIQCnh1OHD+2fdVHBo
DGcw9txqo3Dsj8T9mRkpzXz6/j+7cA72dXklSCo1UXm/Yd3EVNoPL72lxBtNqQVFBLE4Tpnne70W
aPJltZ9MZ3k2EvF5UbU7OIwosMoxPp2VNNuoJN58HgyxtVDOvUJxbZnpJ9O1tgoHJnsfqtLeaFEq
rhqDxldDhi8ZAwwEYZzZFtBMHDloi0dC+GIzmR8NLTssU5771ayopwBIOPsrBD+xbMHJ13lwlnKm
IGPACF97BAZdYD5bGom8dB7dVLHDsz6PYTWPzNDjbCIPLxW4lcg5Yu5L3LjZ+tLKm8+1BDiSKnp9
5mAXuNBgVXoLfoNwrKfPWRX68h2QKQfnAuvgrokBBok43iDoa8G3jPdpgiNlMoN9NjdnHUJ8bxRJ
/dpYUGAY+zkEMFDv6JhSEPNs1Hwg5mtdse/Lljm//BZb8T8sABwUf8sCeH75CAJYv/17uI9tfNIp
ljH2mxLEqrpSBb6H+6xfsqRmC91GM4VcgBCQP1AA4pNtqYZkbCNsSzNs8j++owA0vsQvtFRNGvA8
Tdv5JyQAcw0S+ZMDgPASBoBUdU3VEYw44AA+cgA6+BBmHpGlzBI1gCkuUr9sjOE6MCllSDlwhkcr
xxhIrPpRWume1nJdXAkSSM2I5O9OvzAwpRuI7bss3Ufxi1k8YKHbs3bdUW2unRUYbcF8NJbkqGjh
aTazAGW6Z/DIbddu3IDmVmraBAw/qgqV1Nwd7ES9iBB3qVPz4gQ0jsnVqzJoidbeNPprYDs0ZE2u
tn/Osjh/Hrov9b+va/4VWSl1d9T9579/+Jd/879v/+1r2fzb2c329ufv/PCD7X++f5lEoZUf8eEf
m3eWxFX/pZmvv7R99u1Bvn/nf/eL34kUt3MFkeK17MFJ89tCVCsfs6agT/xNRFX/9n//z68/8G39
GvIT5g8JE8iyLE2QZvDH8tW1T3LNE5IWa5c4XZ2V9X316vonHa2eo6LkR/atCRgX31ev/GSzHZFq
IwzDZhXz+95f3T9Dl3jN/mUI0wqp+HPxCoPsJR5IJ47XdBD/vUMufog0osle50bClBFthHNPKwvZ
oAy4Vv/r1bj89uv+jRPOZck5siVN65cHETD6HUJ4yMIy0Vp9vEJQXShygWDDKGHsNg6jr42gV+Iv
K3OvjNLx7R8+Hi+ngy5MtbnsLefnx5NOZONeTiHJiBDEjCiYrtAUfV0l0f5YtunvUo8+xrXwKpIs
hhSQt9DUJZrlNRXph1dRVbqA4cAapBxSE9JJPRs07cDbDn6ryVt4W3rqWnlibRwEWK6Doe/bhfcv
38c1EObD+8hfIKTBCuPIYnOj/PgXoG3ScE6jdENtssX25fhlBoXJAkP8mxSsj7e79+dqSk0Y0nR0
qVrauqJ+eK56O05ll8OtkPaYExwK3LqtdEDqGljZpHQLKOD/9O20eU2JZePch67p5zUqAw3OxORA
/5bpzjD7z1LXZq+2sZ/ojPZ+80r+ckWYPJplqKxTKSTX5cfnByFqtuqSJhI8WkiBirDvDW7j7W8e
5i/eMMtS2bMcGxc3T+zjwxiz2apBy+HRmehyVYWFTJuOJ86zPN38/ev3MQns/R2z2eckeViaLVEQ
fHyoEn2ikxaa7TbYJpq4x/5moDEJVkH2Kl8Rfo7yTiqAlf/+gf9iqXx44J+ue7SUymwnGQ9cgQ3R
2/bKTvVtEWG3jsjvWGih/eYRuZf+fBnYmkaxIVTbtNjiPz5VozKqwVBwHKEkR5ruwCKtBuWOvNfz
wA5ir0S8GGKl+/vn+RdLhoJCcK+mDpCO8dOjDmnCBZ3QUII+VJyVSWvfhuj8ld88ud89zJp49sOV
l9mkUWNnwuiMTPckEbb5bLa4vH5zgf+6MgXgJFOgDzJUKq6fng1y+mntXznuWK0R8qoxdGQAqnAZ
3Unv29H/+xfv19XJnsh/usU2ZP5ydc/lgk6gMC23mNPecQvdsUKP4TWhLWTWJF5VT+EBUxVimrBv
v9ad7vzmCb9fax9vnh//hPVP/OGFpUAMqd9U2zVQUXnj3D8wi00IBrHMg+wzeulZ+KyP2OScZNdp
021vQwkMGvMzsF16L/iYf/Oi6L/uKA4XLnILYeqmJpx1of/wJ2F105VBR9TEOXjFtuvqI9IWasA8
7nZF0ODc7YF5V33cnthqUm76KU/P2hwdwhKqZO4SII+anlNrquDnTCMc+mkT4/+lKt510GZPCkdR
6t8s0V+v+PXPlpbtGEKT1prD+eOfHcd91VndZMFwS08ZKuPAmBsY0+kuIhIep1V8/ferhw2WX/nx
zeM1IkTXotyHaboeHH58yMJyclXrjds6kBaNhs7Js6X3SsVyjLcprguJHiMobdilRqsnB6yKKarO
0okHgyy4mWZsjTKqTKrnpYFqoB1NOC7d+TLi70dwmKQMCG3YKBJ1i1Vjzku4CwSBm+qNpVxx/1s6
8ixsPDntxuZ+NxnI6KPAQvDTCXGIooGgQCI/82wWMAbztPPKCgkOzXFFzhNBQRNzOMXPAAsbeAM1
BaEjAd2NaaB5g4bDMDOYhHldTHaWq34jew67O0i52nKsliyzpuulxXQa+0s6qmHtlil6cbmLjT6w
iUnvUTBicl6kpfvcjgm+8Dsgn4PKmSGMmj2Gh8J8nfBShBVKgahi5c9BIL9UZtgwubcr9OMQO80M
mBf5PvZSbNORkeNVRh3QkzYn4L5EfjcQO3dm25Ude3GQhhpoklFNEQqPipnejR0cc1AwOnwoN0bZ
Jo5y6lTrDW88T9WUaorlj2CnSDARwtLtRC68yMh40zO1MzEvxFqNcaseQ6F+iVAipuclPpv4ITeg
Yz9YNmbGLY3esA5dfDtJe8hyeC1vZV+lmMam3KjVxyljcpj56kREGfGNagXl0A2SsVnlzs0orTNl
UgwIzzbIsPwpskylOyjouc3XZuohb6HYzRwWeEpeFjL0cAyXTuNfzDofNbOwcOPNMOeZqcvVMkEK
/YD6QosnRzxMSCawrsyUSLc6iUyI/uB1lAUnvzmaLRiLsZKiaBMVT6lGhxXRPC/NYQpw9+GdxA9f
0R8uwIn2AQT+bOIGUkI8i7k3pfpEqe+SgjXqJzYy/uQ6mFRBxA4GiFk/6RhDqBuK+7R4UHRdQOcc
VGJYNhxRcNv05ZRZm2BJegXmWaI8QgiK3MThhLd1tF6U+0ivWtIw2qZbTsKIDhKqir7A+ZHEmCoJ
yZnHMLztBrUNgAlETgCsGCPPCL5f1mP95ixWkhPLTr5j+kVGhewblmUiy2cn6ucQFXds98/g1iQa
OU1j5sDUoE4y461NlaXaRjHCBBJIMrN9WdShGA+TOtcBeIREiBMrVDvxHJpaiHZrhqzEmD/RSC9s
M7QG+EGKHuOaQsoa7OGyaahTA9LmXUczbeOzFUUQZIkyIk9vNl052xXaeIr9uHyKFRS3+QFrm0m5
yB3NmOPIi+IoLvxMjAtInNzuFGllj4hsU7RaXojUMFJv9KJGomac0IsnIgNrBn1M3SNhT2U4N1WV
Gn4WzSCDUz1StO7GxAOEdUUzGBB/KYwhwQaD7L21zkWihqvEPV3TyNV8BG4ftNq2n2k9nhSiNerL
KM6G/FWvleBQonGM90STliYm8RF/r9sQGDaQWNOX/VAhJshKuFqKPS+T6uZOCb+GIU1brdacsCFY
itHbXA9PU5T05QW3X6cSXmHYA1FLbZqQg1YEYRuQ49KO6nCr4f/bdaimmysBQI/Mr3SMeCZJrejL
Wx5YaUyULxMceWGBauifFKxY3eLnaFmS2yWsmzHwlryC+uAPMJKiZF/mWkSqVMMQHoGm08/6gwgl
3ZCkmzEeu5UKu+jcxFMQPbKwdXPHuUR+QZTPSQxlAN6p04m3O0i+0Tr/wUGL7YaAaYc601a1nzdm
nNVTNziB5c7dpB6ytK/Qgyk5GVvd704ivxZi60OxleoqPgjKo48721zPtpbKAgKCUeNkTU1IiQzT
N5Ln/vnvt9F1k/x5E127ZZx6DEqxn58VWu5VEEIFNJKitYoT0kOSRvb27x/lr6oDQQiTDTrDsN87
IT9u1dNCteRQNrhKT4BcarxWQHBQbCMqLOtVDCx+82b93HigvcHipBDWxHqc+7kcEV2DmqRZDDTC
XVaC4C47Lmujjioucq3oR6W7jL5d3u/P9B/1cf8bfbDdl3Jlobb/P7TABMeN/2r6/AJzBTXwvDyX
H5pm60/80cOla2U4xN2YDlsSZhdK7D96uM4nzdZs+qfUjFwCf/Rv9U8GJylQrip9Ln6Qtuof/Vso
r0KQI81xgQuEvus/6YDpzscTyEqJhe5Kr4hGG0cQDnEfrzPqqimxA6H7TgR/hpxEdK7XiBLAmTHP
6EKI8XB2QojmYbHywSgVUFemw3AGsmaOd3goHvVR4vkktlwkZnzNXTUz8Nz1CyZ7+jWnuKjJTiHv
L5Lhc9UHDU5gPUPYkfRuQKTdAgKNKFO0p4EJD0QUtB4genALnZXJnW3wVdK+xIl1qyb2eWev3zOl
bzRjnqRARr3NepV+64NpTfdTsgDWV1cLY0WYCq7YTfdAvY//BTggJPh9bHJBOM5WTsFdxqDHpR1C
qIPBhjw0y0m+GGBWgmkXI9jg7AHPvV/SpyUqb9KEFIuQ3ZGEZbuCVBLkOAmOvVrtk36YzqeKg9Es
htCbC3KaE6fbxm1IPUgdsbPsI3zYaqNCuvXjzVy1n4mqrAkEqB8r7qFunePQRSLHQNMKkeStmVsm
VTuxsyQfaCelhSVDh8nFbQppK+yTrxjUDsrUtRtmoYlfjxEqGQE5F9pR2EHc7ETS+uh+u5My1G8t
/bnRzhhsDwfbgfTdEpM1Z7BuGgwYqEfHp9mEqtdAU9AA4y4LGmMBKqrl9kgCVQTHLlLpkhpXeTOq
rpgauUt0FP2Ixjien3PAWLYGIBdPMS18mgxxCWk4M8flvtVTc9tZvOkTrpwpvKjskjyk5K0W5l4S
zIzR4ZgH8BDl3Axuta46XR5RMmFWKZhOJ9YT5uhTo+2JE2OSaFjbM6+ifvJDh7toGeBejaITRRAB
KvUrxaRMRHnptZZ22agZqiz0EUMfi02crKGPWXnZk+zX6bdwUhjqmisHvSNuIbRKLxbhqYyLr/SM
yZ/2x0IwtSiVW6Hp5xDV0f90wb5wQHkhvNCcZ+h7kTsWWMtQu5CCOEHCFK+5RnYWCLS6VfEdFlbC
xQAzrhMstE7YRzhKL0kb3E4pv16PmHKy0u/LBhuE6tySzvBY0UpJioKTgI6Gq8teFhN5A5HurTtU
01Erc5zJ9laL1XuYFWdzK7YlG2bZdVdGC3TSSOUtMzw3GZSOmbwJEzh9Ewrbd0Rmj8vwqHXbgmU0
k75gZaeUKLRvz7oYT6ylITotlytnwvUzh/Gt0y3NAS3RUxzokx+YBA6G8tAoWrWxOtj+ebeyrSbl
uUTla8ND8DWHS6ZpSYlIwpOkzZ8W07iKZXQzo5oi/NHA1yq9XvhoMcZJfFHs8qnWbPxwlf6KZGAb
6FA7RvM0SoerobfAoyZEzZKmlwqAhA6YnWhTVunTXBWqn6PfjmtWc1kvuyYi5seQ46Hs7cdEqW+M
keUr4voGdd5K8dk0BAt54wN+J+03XQDtY/fi2x3V1Czu2msnianHxzuqMZjmSMArFjUKF1ULERJI
wNFJ+GWakSuL4LbV0tOigi8faNP/8NShg7z9x//SDSrAf70F32J9+LD/rt/+bf9l0KQyIV1HMLwd
cu2RfN991U80Ltn5VHZRiiRaN+yOf2zB2ifNkNjEIeJSGWrrxvl9C7Y/ra14ql+hCsgzvMv/ZAtm
515r2R8KUJ22kUWvkWEsw1RqtbUW/qHf1TapVhn519mzizi6Hpwuul6QgowKekYsYYqH6Lj0e/xP
fgNljExLAlhoBCMn0OrmOoqAs9FmGvZCCdOtk3ET1BTbvCggV5zT7sK/NxgXBqhi9E4pPg0N0Wi5
GA/RLKxdjM4dhgQy/XAmmFujwHYHjVToABVPDkftOKbW0TQQCOpJVXMgJvyVAyMd9X4lrsRHEm6x
U2QcbzGc+rSakOlFsJhnDCJFaR2GOTp1ytbaDHVyrZhV7U1xchsH8eDlBFY2ZDz0Y6quFcGTTcvA
laVTuSiuECw0JYfFwNnjhDvISnzN0XOMQJPOJjIJUesb1qYvU1r6ABSoTu51HL+HvMt2TKK9ekqn
DYog6HOIJJO0YOsoN0hWB9BFMvMGxcvKvR1G+GhpYW+WEB/2cmGUBj7cKCavxo7fFFmfPFlK+sIJ
Fl0LZ383i8SjAYbTxty5KUpmMZ2sj+2ISwCAcIDYLJp9bOXPKpC2cu0Shc6BbMrLca73ffQ1IpHR
Bm8zOepNr9n3g5wf5wIn59ydwAxBOD9Xx7lIWreMkDpGiPUXQ95bykhgTp5eFVQcTXHH6fsuntVL
0Po+fgmSdeJ89IjaGD01DsiUc2dneeSgexFNzr6n5eLr8UQwEU86Qj46T6wiNEuxxANATO0OF+41
wXlrvEd1ETjLpY4NyIIf4PYEoIIGgApZB4e85xiTkvPlSx1tvw50h631StTGRsbJ1wwsEvyG8jBN
xfNyGk0KtopSNl5KvHBpMWmR/WtUwWETAVi1/M5RkuUgpfEWzerZkMuW2kQl1UR3PucrtKmjzoly
BdQ37Sohqb+S+iJes1KSgDGYZXkyzy7NVLt0iNDwyPJ7mxPFEznS+mjMcDAXX0sjQSuw0Alu6vhr
0ynbvLTvktG6783I9Klv8SYR6Pi8dsf8mtrGmuNr0m3WCFIiQ5JFPdENagVdmW8cKMPjMlzDgOKX
t/1LpF8Svq65rRlAFcBe6+l2el0KO/cedPqDQHnW0PoQz/KIqkyP4pN1gugjLbonO5Pyt+lvs4l3
Poy7K4LRScS1IZwrNNsGmWy1ZiYNtCOVQHLatoi7hZ3gN8V82caBHxmoq0Kaapum0k7rqU/w7WHT
7JzGt5AwwWnv1tsJ3UhcIceqkiQmajdGbN8ndpohCW13WLecfUqow9Za2mYTkuR0FK0CEWD97M9/
UmqB4JvtE7UciuO8ftC0/PtnlnWqGHRmO8SpXFaAxVRfnwKbaFtcKEd9/VCVobmrGU3jGrWO4AAJ
woFZ6C70M0/fP9Shg6EIR48XVOc1mnu1/lzVFMaRXO5SorYS3hHYCr3iN/pG0CzEXn9i9srowTaz
9rOe7SyMUH5kTjV+tjViOBIjbowxBp+vMwxAPu3qWJHoXZrWCYub6mvSzF2fo2Rr9D45BhqwCCc5
Acadnrx/NnKs+P4ZwTE9/X+3LkroOVr7OKZh6xvdQMhoTrLXaGfnmOUjIrNh5RYGfWhsMBwbgugE
r0bmt7IMPU6FXLGZjuwFFef7h2myX8ahQzC3CjAp4kkOyGXio0ocjpO2aK4tGvj9EfrPTDX2SpYs
vlLiBaFbV8FiTUkcVUq7PJqiQnOtOajJAV9sCpOIqohBfIoDoHXsGVkhNDM9jzwKSuGpOHqUVSld
V3gHNX0N7NThVpb4szjDnLPUNjVmU9quk7JtFEh+Yiwe4l5+rqAGIB8N3IRzVAf6cFtlty2LCPwR
UMcgwhDZNw9jWkzHiDwQ9hRf14cVplknR/0ujlvLtyE/efOs7Rzbavc5omzoyngTEUD2YK2rGy0h
4A6yIQR16VxZsOhOIAtcJIOsd7zKOHLbpQBXi/Q8HOjlNujMmTyPxz4xTnHldTsLbBGFuXioNTrp
qibao4nLsPCLBj95GlemNyzkPqr4Spu4PoS1jkopra/DzqmhXHMtN539whumkNlAs1nMLYdjVHr6
hGe90cXVTF7QlE03KBP728S+qG0LAp8ltnmiGD757RHcJC+rxmdM/5M/IYq+lzkTq0Dn5WUC49XL
hAmjl64dynmrj8a4L1MoAq3VmKvsPt+aVqcDWArZEjK2qaGqXxAlPCxwoT2LZiYnw5jAzsJaNkEe
bCdr4Smp8gUxJrcOcgv9kXBlgGBYf4sqm88tp7jIpu5sBgK/QUl8i6t38YTZNN4yXRomeF383GhB
OeBPCOnXELYWRKGybELFis6kVoL2rXLexLZ+WiruzzYKA7dXwhPNDqaN3Q47VRtd1N/ESC93CcyP
rQjnGstsatzE6Ekbp+t9OxrB6VRCucYQiHWiJoxRpCxZWfgEJJHuqCepv/SEYRtOtRr91U0ncF2i
PZ7O8oIpFTvZACVRYjxwBFtJme3IRLSpYOzCG6Ih9I0wM8m9Siy3ytVjHREqwg27vYzVjNgv5ne7
GJcXtNG3ziFGUsZdsgXB91jh0zrRLb2CwRxv8qEtT7suOAx6PZ004KsYTnL61+egOe+jt8QsJcKC
BevIms8VQnlZiWampyvKzbL01ZUms/labdMz0JbJo5qAitSMAS9FlQVnHBkxsETRHYrYmKHBDPUB
R8FDnJB+lszmth6IdUR1lW3act2TQNu5GCVPiKM6sfFGegOGzk1DLzkFwlTkunBTs5+3REEDa45D
YpgJdF0MZ2crLPcUma2PS9Q4t2NQy0NrTS9qEG0RKXQ7xepbbIyEeEmnanzchcyhotQEKzfu0z68
jrr8q6nGw00aVvAJeRevq4KlyfQEAWmVL5uudiB/p4VK5sh4TPtuW83YNtPU7EjvBvrRxfXomqT7
ek6ZnVZj3J3GhrjL86bfOYBlT825uisrVBuadaWR8QbnRkqKAUAqNVRftzJHJi4okr22J7UNr9qw
od1rsLdYixd1Jbni1wxLyRSlsd4o3QnMtrX9P3bbWY0/G1Gw7KeM+I0IdOXOIHwXokn5VNT26CNv
UGAmVpVfFptkaZqHLok+M19sr4lA12BgpaSBJctG7TJ90xf1M0QF7WwqyJEuKnXbDtnXHMqnq/eY
HBLyCGgMgc73MlxTqzm4RFCdo0YxjVct2Fq6QpYKIZHE3BA+Cz9Tx/Lo2gqgbnArimd1RYi6WB88
ZkJjPBxNNjW3NvrJE7XjcMtrSfvQW9deTKDL2bDsVevKZNxVyRzOXNQ33qT07dHQ49KzzYEdUTj4
ZoNFbJaId0bPgK6iS5q4cpA35anlAxO5tUvivZkxXgwDXBheZPWYTJPYALwGdtCCLaj002Je1J3V
W49OCVBRgmlPbCQoyZpRkOhbmGdu5UAaswDQoSpOu00sCRmpulDf53l4P0ODDYlrcpf4czTITQEI
0esjCsLiNqmkdmkaKdTrO/gWHuVncVhKozgPgSWcG/VMX4J2A6xEw0fKTfIugUTI++DbDfDnpAF1
IjGqlwoRzvn7B8VOTh2dfO7FmTwFDPVEZi7AarsjT85pSP5Vh3TfQYY+b3QMT6NREwWVTt7UzKXq
hmrrr5KpvWjya31uok2nT58Tpb9IW253DIy4ARb2uT7wXkr6m1uQBUCB4UNt1FHTzmcUrieDNm51
mb80ZULjtZpeS2Q8gNBaGkxN56X097hasPhXExmnS0hZKPIO8mIzzqca6AdQUUBvxjE/zmm+TeLq
LTLk5ErFfpxCmxyDiRsDKCDmDAlxb9qG0dpXEzuwZhvcTvqV2NNm1zjoRvIrSfPCveUNdT8e4VHe
m2qdeAxfZz+zw33bj2Ir22nTanAbGxkfF+QHbmSvrSqVMZaqDr5kHgwwkZ/DdEhzEuwy4Xom+dd8
qOKFK4Ma0QJ0XBTCa+RkutMs7nOZXwIYUDR5oy6QMdtFvY9CaC6kz6zFS5TjZqmybcOl4WEvgpQ1
Eq9SOxQAmGE2jS1PDBFsSZMYArU4D4Lius31Yd+Bx3DKiyJTjG0WVtf6YFHZgHHklmTp9OZuizzb
J1lcbEvKTyUnJ5Heoi9E/yWtxwezMh5jG8wb3YS7YtIetWQ8NtnoRQFtTRN6DCimEbNfGbVeiqYb
yzm8wp4jOwhP9v7iBo665NBZdeWdatESL6cGQ1gqcHtn9kFfDIquBBDorBSPAUYvN0/0L0vWxz5U
qhfqmN4vOiJp2Iw3kYPWobKC2yyaDlqTKLvA4cycw5AFAyC3oVEKL+SuIBaEl9Mwzb7BWQm/7pMk
7vC6KYKOMBPSF2d+5ayNld8sKketFfwxTqeRDNQtE9u73qpeoJXEh+TMAp3kOv16pE6VbjM2y7Sb
8Z+4cSEeoePeK004+WUHINza2Pl6YY5yz3jysXDmfTcnr2JkFlr2YJKV8dbACayucbwFJ949DM+X
RQQ32cizwNxlK/mFpSmpZ1Z6jfGh3WVzcj61xgVJrTsniDaN8nXIYe4gCGMnyJXnBrkEJnvDK0f9
TmK6ft8eoug5sZp9Xte9B05kGAX4joyAHaYXOCHNUypMCnTyFycsI6eEAT8wRDjNMRN5sFgmN82X
CxFxagud6KGpwpIijTJrRZyYufZkjNWeGXDnJtLaSZjNRgggbW4e81Bsx0GUm6xtnpbcBA7WXMVh
s9EbnT8aCnavDkD7ldP8QdzAXqUkGWE8p+VEN0JSW1qUSHPcXEQm5ArHWZ/ysBV5buy1nnVaYYMM
SvXaKkfI2zOHSFHdBSwYfyR4WC9JlYf962alsytWMAw+L19pKv2IZmeJIo0hBKXXnPd+Qi0qBjfG
gO8htAm8jsw1laLEC9fNKaCZrCzxqYHhbTOR3E4kRvsQZJF9aM51k602XBbhRTn6oP4CFMRFB16P
0zRh2NaET2Sho+Irs9gGRKRuDbV9G2zsTDE3+QBK9MYUk9zmUXENcnIXLaZPfDCIbeMkiuqXBqud
rUp+N1Pi7Whqrg4HfTvY6o3s4wdp5HvsM7Or7p3c2iB3gqEyaFD/Il4f00oVtJaMY8yUndUOK8h/
ta84Zg6lKGbWQNAPoqMtYAA81PgJJDJeZmaOD6eJFalWHhpOLWXXktELWhL82XR4hhITaEG/YD+I
8FItrsAXnye9NvpGnoHFKuCpNWbYbqzxLiH2AD1LvKks3MZ1o0FStkcXoeGpGWUHbrnbcAlulEK9
USv7shvnt1TJKLPD+hC0yoGuXOVjh3+AQ/OI443MtIKjXxBxL5huKa0ACkVZy5UX3Yc9V2Yh55sy
MLZG/Gbk6hNaCELXypE3XDYXHcsa95mbl+0XE+6Aa2T245x+NuHxF13xudODOyXLQYTG9WuoWzcq
Oe5uPA6XiGVfBdEpVQ7Sc6wmf2xI3Q310yCj2J5y9cVczAYHMXfOivWt12m4LdIMCGwUXZKl4E2F
fpdzZ9kZoCeXNDqul0YTQ1FKu+DWzqt9GBIruDSXRq1xOHec2O+R9kA6CF6yYLjS+xFtF3WGIEx9
1LVLzAw+MdxPZWhALbOMSwT2T2mWPgmDacGwpgHGdwv3g6UG6x2lJE9POoVXY96MFBB0WTjw5+GO
sV+ANN0uvbELLxcdDhZgnxeYC49DaL1aMS2selG3SY9apCXaaDOOKYZD6wZ6wI1JSmqs0cbpSuMl
z/rLzJFnfUcOwRwvb6i2YaN1BF9FWnJXNhrNRQEXqw9DRp7AuDhJ3qaOcrdYSBt7wmldrecy0fvj
GKuEuSvdUeVl2zKg2We0TT1ngH8/dNyvFwBwlALVHiN76qGLSTcaMsiox5c+znuZy4cOy6JvBamX
CG41XUWZMHB6pXJ1rUORthVA2QuzZKqj6LRQZJ6cQDlDD8a0bmawowMlgkR41vfazWKbbE3xXTUP
PQHpwD9iEAXBSMQyGqN9m8cWcyWilQHsnSacrnal2vlRkD7GEGVhkwaeE1XGjupiVwoLpvzcX9Bf
WE4NzfSLOZ68iAA4TD0GLd0+vLPZMAlT1jl5Vl97Z/GzjutzSpqM45I6+hrrMZinZyGikdsB3ISZ
2L8whJUQJD6GxrVsd5GeAS1afdmij2wfbZ/YN6a6NelzxEvRnMZUdh4z3H6XD85503IJ8+orxB4d
ejW8Ie2kbHC+TkEFeM4gppLeVBab54NuECKhkUeT9uZ1Vd9XA4csre88JT1wUPx/7J1JctzItqa3
cjeANEfnAKbRN2Qwggx2msBEiULfA45mRzWoDdT0bqw+hPLlzVTVzbI7LLM3SGWmRJEIAO5+zn/+
ZsJr6742rPEOmdNXo1DkT44mcm8P8xRdC1dRD6OZj32Xd8j3kt4ics/jyZCD4q78vP7aemNwLmT5
DqvooEbz+1xMr/OpuRPZfRCOtN+1QsAO+uJOCwSX8aZnAjd6JBcwnE25h/5uGKMn1ucT/fOXCG/9
hSInzNQwQWgGfat14LZJ+mTCWCNTsX+UWhptY8I1NE3eoRynsek8TLTD+TFRnU2uw2jcEHcRBMQm
t190fNdhJV2iSZ5pKI/VFLerLhG0I/CkYmv84P4mOOQOwyJrge2JaeBwqADZpYeRFTeTPr/X8O8O
9asZWrCYHEypoOnLZemJBy9eMUA4xEzyAQrdZMnQ4sPLs7c4q94skgLhtXizuwSazNKFlZfyqhjY
nOxnDwx3qI1dhEPWkovbQW311w3upERtZ1+HwnnHrG7vWFrN6pj0F1VOCyW7HEws+kLefc88O4Do
rOkjrHDgcpmGX92i9ZaEMX5XvNL4xzzkRRDgLv2SB0zo89xmgmzaC/8ife8SuOV7WxEk39vRUgum
J8yfOU4e64RKrk6Lkwyb6pBY81C+VytCauPlgPNfGMRfSYjqHrpxzhSHfa4VuOoQhLUPNEwBfaKC
AdGDdu23DJXH+MXu42DbNuq+ZJnd0RzxXtAbj2IlsOFfD5ZGRp9Zvo3Moe5arz/Opm667b8A9O9H
O7qWFaHzZtTisU79vXC0sIJSO7zN5zUMpnOS6nh24ES0mFp72WbwzQbLukDAq/bSDZd+NGbbSZr1
wry0BPhUvORrrc6rZS9AgFIiuSBqipVS8DBCqGarBJhoonHBTyLAsEZmyQb64bEOLHsJj47wQJwa
mkrb0fk7GeRDv2Fl6yBHiwQvdEv2PvzZ0FnCan7FaAG/HQbLmnqdoNKbQ2hc4mTrwqFdtDKHbNLo
Z92MvQURpRgQGv2PDA9OpVKS2V06yj4w9W1lBbtSb2yozep7XhfP2LRRpWfVYwstoYeQfoeia6XD
edlGOrtlZoargXSaexZrjFn9fd/oLkEic/ERQVhQBCgSjsIRXJo0s3391SFg5D4JBAb/3ZuW6dpu
skRMWM5A0BKuJo2GTT0hZzBUqw8tN7KlJmw4suoKiTVcoI/7RjBDwhBHHXP0FosJyvGUsDkKl/0B
5SeqNgLnpTvRWcXFMz6v1ylHBe3wzLrJvZ9FmI5GB0fSo1jaPrwPGLiHZPAKDNkDe6v8lHOianEN
wcjKs+iGDB9r9rIct3Jk9NAPcOYyy1sR4MSpmC1b/GQdUNtOAIIbiOS3WSxIu5kUTsrEXR5S+AlO
3LunyWerT8Pu2dZwlwom/OOq+Xedcgm5lTSAmA0ZQ641YdgHVbKTcYiQ2DyZy0l0UGQ/MT6ccszp
8Vu59DUMg3ncrkUGMWbl1zI0SciaksfK5lWVgdAWFL7jsnWKuxoOOFETOqwZ1lCHF+EMgEzoDdiy
im9qzMR9cXSo9NfpgKUf1kl34M7YhRQ02lPtxWs6YDxGk+4H3Ndiw4bxtU8aY2c6TMOIJabvlnMa
RVjah252ooAWtc6T0D4UJZkfiVVtlD2ySBsr4qiL2j2yBW9TBw38RpBv3IunfQbVetnXCUznnJz2
UvMPVTExyy00LAm9jW+B4A2m06+rMNMXoaPCrad47IBnTzgN+nd6PzyqhKWc5t2HWWqnhI4k9SFd
OHHOqxazNAecQJCTwhJEKEtd6mBcWnbJ1wAbcmDL4os529eh/tmOZoznr4PzYjubkuIIvM3Q4y3w
StsZLedWrjfLfKzopRqDogwkFYmZjwKxvzMa89Mc9S9gZHSQNscjF0+HPPTFJq3oqMw0oOm3hzcn
py8Q5RecD86MlVYE9RgAlrl3LFxxl0JIUv7OKtOPUsj7oXI4sCFRlUbyPBX0LWFJatdkPdKzPQ7N
9ETEzdKomsfJZwcsMDvNtuSSrG9BCyWe8CsRNm9YjzymlMO4RkmIKaO4hkN3JFkFTKF1YULPOBWT
FThqbJ7BWesye8crf7A4RNaROTQrg8MtMCl74oAYP0Ni2148z7Zsy4xNEQinhz5X50ssH58yFj0+
TDBCen8Bb9jn/mIPENk7RmOXvh+YH7EJUG4Vm3LiANSieIsAwV5lefgjIwwhTJP19CPEzok9vQ1x
+4k04HMIDuuI2G5I0vVKyZaocziEi56O03S42xYDRZEbvEsWKSStArn0fNzkLOKDrURwW+Dc4mdK
RVkKFpMTHzmXcQQsjlRu+xqy1tnK5SEKu2wb4KEIxJ/C90nQEqjkAy/ufAnhmu6xG7wldHDCZ6YZ
Zq5gcSXtpxNZA5cERjCQ2D5MwFIJk6FVL02Go5nG8kQlUrZdfnaZLixWA/5bHyBb90nTfw6xL3YS
uvMxw90cHyxZwcAG0CX3lzOukePRxIP2Auq2UtD012ZuW8t6sMK1NKt8bUwj/CV1HaxVKZtx6TIi
3SQq+ZZU0bUWzQt1eb0BjuR1qqjqSiLfVx6ACdSpNlznDj24aii5My+jeZuYu5pGdg8qO+4iHM0r
L/ru9KRpKBvLW9v7RM4/rq2xuZCrsDehDT4RIZX8N9/nv/g+f0u5ffqat8U/rkX2z//xj/Ef5/qf
/zP/FpWff6UA/UHBdX5Dx+DhESuRSMHmwfTgdw6Q5E8MHd2OY5H4g5QKdtB/MYB+c4SAg4v3Arxt
R7f5dr8zgDTxm9BxvsXxwMNByER8bP5HSnRd/Cre5AfZlutaBm2Li0p85un+iQNkuhL/rnkcSY1D
0hOGOjbZdRNswHZ4dlm5rFe1Z6DNW6/GsyR/dQHgeh1jR1D2M+1kJnkxrT5YU1RvjQY2TuwwGKnz
ktzZnAWQqG9Wkd1raZiv6wkR8xDbyy7ABarL3ccS62sw/mkNf2QR6h45dQzxysFeu713IS6q8fM9
CB+El6l/zL29ptxdAms0w+BpRZ5Ui0oH/iADb4zvBrxX2fkY2m4FeVx2PGG5YABdyMB5TfO0JB8Q
LUaP7mcoQfYDwm41m1G+Y4hg44b1cxpkGuTPguwiteIZPpVI6ZemyEEyvVPmyTPGeUDjJQ41FbYl
lQV9cWiSH11Xbcw5pKTOKbe0kUjgkQl6Qh2EA/4nvV+7qm1vP3QQaoMafolVY9xVVc+qZO7fl/Cw
iLH2p+JB0qKgjdwWPVxZGB1f7YphPkmAsCdrPh64dwutcMTQqgkefHYewndnXYRPVUxvDBkCGdgI
HwK38D/R284/2WF/thXQZ+uEP7PGGKHqhs1LywsIpCbcX7R/mIXlpcSrNEteRtLUFxTj6SqiX1hn
qbnBhZ5M+mD8UcSYDYQjjNragSjjj9ylpGTQkbWMgkbtpdRw1SOzC/vonj+bb2qdGNbSw5NzrVxE
O3aonVPLvaPCYiRrVCHsqfY5naBYDE20Jz6aMzqPxnVH5wsuzAh6rcbvzIRfE6e8s+1e2wQ+lcEw
dLui0WlPeU45eU7LtGohSCgmgwLicJQP7spyHKK7Qv3dssiES2tvG0+4lBvuG0MRogTA5HtoyVWn
jKXRBpu2mfHMNj1kMxYCgL/Os5J6JnZIwQYmqPR04fdz+8kkyrob88hakSt/N4puxmCcYtUPA0Kx
vjSWsy+3P/ifGch4offeAmpFzJTN2FfNqLaazitI1IaJN7H65tvDN9CaY06KSSiwHamrL1hNUSbw
2rRN4y9CCGjEzjgPzNTuqduzpeEG2jI04cH3Bf7ukfnFTMYfZRAPW6fbyMkwD2HHGu+qhuQfq2QQ
YYwrFXaPPBLKXma4rqy8tVl+x3rJOxL2HsPSsL/66JSWrRtVpJh0Iw88oACNoh/WzH+aay/VzHpw
R/tS49K49CVvrqHnEGhNlmDSn7jWjnMcbDox1DchWAY9dHQmjkgGzYiBh2RpR8lULQXpWbf3pKvq
ggmJuYxJ/Fi2EXGWeEE9AoetfLep9lozHt0sr3eBxsyL5PjXWJewljHvh97XfhpWG1CdzuuavkLa
uEp3Wae2UojvjShtTGKw303s0l3pTfeoWo10Gcq8APBtEWtzI0OYrActcVOR5kqPAOycQ8dYu4Hx
Jvv8/2HGoM92Nv9iaroCmxJEGch3LPi96JJ+sbsxlavSwH0fshwH5bZlvuYgkHWIoTRX5lhAhk+1
JzYKCi0y5m6L57bs/yNtzb8TziDj+pfnzP9vLjM2B96/p/eiKCzrv5zu89f/7jFj/SYFHQhWJxzV
HKB/HO4mRjKoZ3SEb/zbNnVO8N8Pd9PmdPewR5npvdJmD/3jcDet32wJHxj/GWRuJiyK/4jeqxu/
0nuxYqFL5fvMwnCbAuSvR7uKSP3LiW5fVutQ1lfR6gqvL+g6g+ZeE0Pg3tg/5378EDF3xVsZckNE
M04MngkJJH4bGuMN+nhMAhyMfUHmulEkH/gVf+AEwQSpNe+0uIxX9ofDWS+j8YThzKbOvQVaXDC/
4II4dkeg4xlGsbm4qQicEhWBVmLYqIE5CODOnKtyDM5QGwO0qAWuDRv0Ll4hsAlcklN57skGhB5A
feKX9VIbBDiDrZqVFfJXb4cHiVUw0XJ+CKfSwZMNhfUISyHA6DUVBmBH7V2zAXEQD0yD8aQxb1nH
CEZXls+PDSEn25V6jxXTgAp2IFiCy+c00FfyYVAI4RaEI6gP5DPvDDxFgLmARAi3ZgBkMBmwLdos
25seb5c29thDCt9gatxVu/lbNT35gRhJLP0Ql3VXcQP1KnKWlTVuRnPcRnn/I3bqYMvg5/bB4oy7
oALt1VGGt1BdjYmP0x9lSpZl4VhPOHgfBhtQHjRj5Yu6XNrUBitmBOwGKFro7B8qlJ/LyuAn23rw
aQ86Nnrz9bt1fzcgLKZSiD5u90VInHBLgjt6d06JU/j0GdEOhzqEHwORlgJjQ1zyYce92X0UbOhf
yW/GrZU7qeHnZrWwpxVHbSySgUAJDHE3qsr3egrQUcIAqVzYMoOdr8vJ2Hcp33KAD7qSkDI7P0gh
G1MgcEfmIB73EWfJtarLaV3b6QRYf3IqQ9/cnoSouEDHHZNVImvGv6D2QQDuR5bVJiGNDRzKvI5E
ujLockj5MvKtSmsUI4O2bchmmCmxj6CJqPkZeVI/PE4ZST0x114Cxq5h5H+Z0Unl2vkWi0CwxL42
4RWE1JZWvLu9y8JzToJJb2KFIZD7/PbOFZrMJp7ZWH8y2sXFRp5c1KqWBX4xaQSYwZEsdGxgboug
9cUxGBj9M+HH48NmFUiWoFnrHD/asda5FojLF8eaLgzN3VVaAkl0+ACIuGuYOfHoZYqYurK/pGEA
TqYvaqG/9Ixds6pdzWu1quxTJs2zBrdy/v/Imck5zP/0jhDOkRdsgtmyYoh9Ldrog5Dsldf2lC9y
n8foRTI8VZLpCafpw9BjydpwgQK3DoqyCFG4yTssoflFuMFx8CBg7i1m/T4fKA3ZRPx96qRAOtza
FB67mOQVsly0RKmHKVgBBN2pddfWe4T4/QoFKzU5l4O92qmbro3jRqxMkJR8XrmtvTWlFMt0Xusg
5ZZpIFvzrq7w5rX/OPAE2A3kqhr4jWC2Uyy8hoSWdjjJBsIEuX9oUnlPDS/+Uds4hGJH8EMwQbCy
bHjQKd2B7tlSGrN9zlR3beZAFNLsPjOEETpsDf4mO2UWNc2qsXhnc4pO453QIGfpV/GHjiMtAClc
LqevjiFIflwQMyPZU0UgPjXbecvmj1+S6LeMR0LKuu6T6DCyL5LgNQ/y+9uL0SFeur081OAIpWqW
yvzsimDOYRnSRYqN44LE4EcVSfa4SHvtdfvNxmOf7qvC5RqnSM1la4OKuUJ+gk9mq1nUkNnLUETb
BvXZ1ovafK0HzavZgSBrI4R1HGDe8SGOGeKb+prQGuDAaTglhIWYzVtRIWjHSdjfm7Z3qAfbPNo/
X3e3ld5C1sTuOCTvwrc5p3nibSNtzEjFkgfDYIObuK23XY1VxQ0mPBmMajWa10jqBr3ZgHuyqI61
E34EM+sG1j4Kwvo6KPmaZptw4OM00hRLIjC7FAKaUQXPRowAXQCpawZ/HEfyNHbx9xKeRQdiZJIg
eXucoLzlVsF7rlFzk2XkbkTtHo0QHsV8LEw5T60qaQCgNRKb5YT7II0/fm7q86KGsytCSFPz8enN
9/W2K7KnnIzmhSEErpXQzQauuhq4stulG8jA4tJemhkkEp141AWiaAzLNf2p19S3CRbiSndLWkDy
1SjPsXinpDThSAJSgsUmT5WDwq7216SUcZK4XEfDxeKo7i1hDzSG89XsGAaD8C6JxmNN2YuW4wA2
nnc1c/cKHwHeUlyc+prDG+rLh16MdPhQHW03/pi/pFfhx21pkYLzKkOSBKOQNPvz/MXYKTULFN7w
3ZXcN4F9NXtwWj2CHW/yNpop3bpd8VtyPtEnk//VCOtCwLHwlHO9fV+8qrl9Wfokuq2AMKLPW7du
8JfG+aJSwotUwni8ikl8EzbxnrY8yV7/Vo3MOw2+eL5MBytzOcXnhAecD9kxM+W7VBi8ZWxRHhE6
dTNeR4TD8xfPHx8q8MnTnaueOHuJUX6DzkjNx9rtovKAT1ZxIlHUkaTTIYQJP4YWMEAJPpwNHOmQ
eQI9b9nE0TP2C1ypy4F2uyCMYNY2U8I0I3LU4SJun5E2nUN19t5Ih53rwWHE7wodwGRAoRpf9WT+
KPMvbdJvrEI+yZREHMccvxU1WWMWqsjAJQp0ylEoYN/eMomdP27G9rfl5LsDWIVS87UdSo+JxQjW
rYsr5HxvSXoDyIAynsnR+nrTPzsJNxh7wYPJUMMcoMLMj2m+IZpL62CE6iRGznVBCAijPt5bDHl9
KdJFw/KjDiGOjlSkuvC/M+hgOOOhhcJThHcVCe5QvIFQA3zOB5kZp/eh7M+3h9fVUBlSH4YoBiI/
73VqI6oa8K+YH81YUMIIUa+LKUiXmeIowgWb1k62x9u1TKhkFsAPHx5jk/kJ3WTZ8xl2u46STPVF
KEhkdPk8tyUBQeUwefVe1frOzi2cf835BpX5wyDNn183pPyOJrFAHCMeUuYWdyPABpUmnxOX2RdR
VPdu5B+7oC+xiPYmFC1QiLm6JORLbh/t9omzkXNtshXKFKGz2Pi+FlHSDJnub4vbnF/sCuJWQXBB
mbHcwYbVMv4Bhs4YCm/yrTM/iZ//Ndbe0ujELtPApJmRNqsyuGfnfbh9r2T+WY2WM0OZJe1V05DR
6O1un8MN4ys+Lw+3w3yWdep1p5Ym5UnVO9ltFTRa7y1R4Kz61iqWyuYp1vPeRIoJRYXuX7WkePKE
c+cTU3f7gVbj3bm2c55uS1RCkAp72IlV8TGi43GiwF8VzQOGZJ9J3b2ZUEnp2cnn1JNpkxESt8jI
KIZt+E0RocpYhe3g9tYHhjHnr2z6gluBEk0jJHtx+wsUzNzAuNtro/1hWkwUbhdy+8LbTUcD7i3x
nDfXaXcqLMh488nP+0nlNpZvUIS2XVJOmxYEAfsff6slyVYig9/KuZDCu+pkheyMTZt9NYNXfExg
c7KHztteWWpHYUWPcZVz+o7pR9xxSltEPTimUaBkoeSvxvbecBmpwfT3PdM/JAJEJ0HqBScOoxUZ
tdqOKGpSlyv7GGXMH8rM2ts4jds1Xvemwi2IVBAGS9a4UwLnaCTn29uq9T14U1aE1MYb1kkJbhON
8BOIhOOtGE+ty1gqmOY3dH5zb20ZMWAFxJKfCyuew4VBIygoCxvfg7hY6anwfj4FvVTXoMs283Im
rkYxyo5yCnNS0coOk3zgM0PBvg+w/p//+LZeJz9/ytz8LORY78tib+EMQ6NGVg41zLxFhpp70Ovj
/J/TfAoUM9hVSMbO6sOv2O0wVyT5SNn7eefS4/TVK9qdylLGOzZjZd5lwq2XKXEXWlXBwCUMFtur
hTUEFJ78jda9zpXffLqMc98BQ4Jti8vmfVllZ9fndtzW8G03aN0QR/ciIBVJoK+baW9OjNs8dpjL
1O5hBdoRQThFcA+S527paRGnmBAK+7h/8AuahapC9lZYMflnJgSnUknIbqTjGFmwdid2/SHwv+Im
z57Ux/oi1Y1DlUJpSoT9Y/LcQ0ssXNTz1pN6ANu2O+NZRLb174Xu/JGcenr2c8JxyValQPHnLaHT
+Uk8DO1nXQxA2mD4xNOsE86YbiTDhcxWwqyuSech6fDWIT1anfIV8xZOKtjJbhG+zP8R29HH/O/A
oRLvBVpUqDh4bZGERICCrctrBxtAIrO/vd5hSE2Ms8FQezrV1L1j+c+3peJ3LA3lJi+aF+zHOPyA
kEgly3f26FznB2PNhVA4F/ZJTqvB0qK0xg6A2HampTstZjSuBdb5j0WWNi8FKswG81BimO7nkiD2
mM7JRB5NLpUoagfiE9V+b7CXGCjEIndgOmgFdPnU/Leu1PDlfq7RaFlw9w+z9bx+S0P/3kf7llUr
jq5hM4U0nEfyKs63A3z+Ei3g4vTeTg5wIK/5jGrAG+QX74K28JpO0UdH6zDvBFVJ724GOK7l0Hkn
Mhxxxpl/5u0D/vyrwCUIRUBzDchh1lMujdP8FcYwi21CUjicnNjjubcqXdaV52P8QFSG6i/e3BLP
X8uZPG0UOQGaSQWHIy8nZEG0HqToRRiXNOhznTEXnsO7PXVfbt/fZwMcHQznfbJ6q2ghKm7Vz34i
NHYjfhFr0Ot+o4XDg2Vt3Vq9grrzoHp2tbpyqZJ1+M8YKBh9BCBsEVjHapYp1w1idFfAAS4KBii0
mrUZk79Ls7q8ddmOFM929aDPhcJ8p6fEjJg79o/TXG/MrS0VK6Ej1aLx+vXIqXhrgBsTzYRXXG51
smzY1FM5tWt8gD8YSnxT0V1Z0nnnHo9x/kdfxQ4gEzrHn91vRdquFvgES7FgNJ11RXg5HAygiiAQ
BK3PawjLFhCgeDza+fBgO5gwKPi7u1FwK0MrOcwvbkbTnZePVUs1HXNnXbc6OQQTLTqeQW3Wj+4A
T4AvnBs3kruoPUsgmVtzP4MiTFXXfLzvEBOmze3FvwEnt9btT4Di/2Wg8ss4BQdOm8pAgBYKC3sd
45dxCnEpuoV+3WYzw8HYsn4Y7rICl8isb0nhLzHx/DnB+W8o9wam/nss9/rP/5V/Tn+d1HKzfzdr
0H/DAwG0lrGsPbtJ/wHmOr/ZNw98V1qY189o7r/AXP7MEg6um3DHcGUR/KXfJ7Wm+A1XI5gPPFBb
wnpy/iMwd34J/oX/OwxnTZfKA5TRRojqiF/w/xq2UhhVGcV03JCzY7njERT5LYyCCGcgbQAQfZCx
Ckh/qR8LPF1BKWz3LtSMF45Bc9+UY7H6+/dW/6vfyHxNfGDDZjYBC96iT/8rvGw00STCziwRnLTP
umY695oRxmtb4LVTVKLauiXj2MAdhss0BMa2k8Tn/f01/Lp2dIt5yAxy68Iyxf8xFplCVohomb4F
IYe9SYMl0P8ckxAMTNXooJukwd7Scr7//c/Fn/XXB8Is3+A1sXGEtwHzfzFbkY7ASMXFoMBNzGtR
ztFbcW1sOp3QctpIdZBt9QPmeHZfEDp3yE0NanMFkJsB/x8aGRTPGmPFpV9A8rEqeW/UIdhkD0Gp
ewggX+W4T9wPRjM8dEl6avwwxsPZPBMOM8KW8lAnNRUyYZwrmNRWh8b6njSttUtd8nwrTQJqQVwD
Jy3NnXQzSvdAw1aC7h6f0mzdR5231QutRxzVVjupzJo5bZ1tUDDYL9gn+uxBzrTXX6BjzzTDriRW
gceZO22xCkvxheiPLeK44Tx6ILxxrY4MhYdzZBW7TJ9Q34Tazg++6BXAW1d+9yFtb+0Qufwk48fY
Nd3dmA/Uui8RmOwh8qxHNEg0pYWJJcODqhAeRp2Yq3tSPkF+ggV+q98on5onjBYLgEdMgxwruEfb
H9wbWjAXVd65zQFkkV2uVTZqO4tJIlRTxHyVwJzEmuLwUlFgoirx1UYEY3mF6dYdJt2ai/osePj7
98Szf3lNDOlIkgbwbYfyxP7CBvFndgWJriHVL8dOEMmHshPFydFcCOp6sUJ9N4SCSF6lv+pa/Woy
Ir9EWXrRayajRRQAeocFZUzhY7ChTP4g13DWyLQvjIMjJAwjTEV8/I6qoXNNypAW0sxmtB2/FRGY
8UrDf+8OQVK6Sptuk8N1uwuiTm4F6M4iqVDKMn4HrXTdjRXjziHNC9Ff39IYTxMB4RMrK+KefZAO
H0cCpzDCPcfYlrSqHwDa+BdEoXPQ2+QDwb1zh39au8VShoKhkZoGYTDa5XP+6BCyJIP4UY2XnjiN
XeED6GgtXEcUY7tcNfd4K0zEy77XPMIluU3pTrOD5mLqBfB5XC1bvegvokjeC728REgIt11VrqZG
MY8R8UEEoDFJarprf4SNisjaP+LNdMkZfW+SvDUfW/zLQK1L9z1KugvC/wgVlGetXFNrNvJYjbmP
9rpcecZTVhN08/evgQE/4tcXAe88Q9guGQgmBon2L67shd2MQ2fJb1SJl4j4H1x1xLSSvcu+6NE6
6lg3Z7o5PlqW/gB9Qj5Y29bv8Iqaep29TPcOpWa0C9Nsv7CWNnIQPtPfOQE3zL1VwzYLGd9+iAfz
mGLWsVcxDgqoDlad6qZ975YMRpz+YnnNrkBlDDVPaEccgS9D3JKpqLffJwx7jDjV3rtI3yQdsmIZ
jOJgZWpEBhsYq14V2rZGhSFwfKWrd+ivUuC7vNkFcbor/ZY3WUixwuHUPqTp8wiH5Mm1IXl21nsU
Gf6DCT9oI6O0v4/8YT9huYv6DTq43uWvZtAdHXKSFswU+8usAsFFaVv6Do4+CIdrzxifIBrAGtDI
TpMDLZ6LJjkJwncnSI2NtP2NpviOVdFd7TyTa6t4ITD1kpm+cRwdItzgI63SMfX2pMyNSz1Vw4Pn
yKcCQHidVA5ueS0xcu00Yh5cZP0jJrZHgkhBIKS1CXOSW4yc5ZAbOWEwqQ2TH/fdpTAwUXMyrhJR
Q+j2GMGIrz2S2oUHPRXjpRpzI4rXDH3qgzHIH2wW06app69EYxQbvYx33UB0o/4YS6kdFOdAnTCt
yowSDDx3zzokbKyZN4GAx58MzTtasftAb7X9YHq4R9htuy9Hdz16dzKz7Qe85cTZ8tvqPlP6wU5g
q+eJvjMQtsK3bqIL/hNrhA7bbLj0ZVfc2RjP67FxTqHukvAXJbsG/+QgroEWuNYrwE1yKvvpucmb
6YqdJ6JFdJOGr+A2WdWhAgDlAdnBpkiIqRqDYOtXyaUPFdkHeBrsEgSzVo7YmfKfgVUIyEYc+X5M
Eem48miXHJ12G557YuMX8OyXth3v6Ksx9jenk4midtnAMKsVMK8eeQnyuZF0wH7Y4qiCotXuc/Aa
912ZHIoNTlZ3ldJ3lQ8WZRnovUJLHOHbI6Ropo8yVMVzM9Sgn32qsG5PH4gYqBbC3gTAAYtuiLVj
oTOBiIDY7VTlu1xi4FxWdr4AJ0k3uQtRNk+TY6nB5Y0gHOEkcaitNHlovUl/mMA5zPhST4W+jTvU
KPuKwImTmuJxNSG4XGWQ7s9167+nY8ecSqAsKeZUvyRCwBDVL0jvXIj5n3pRWA+S6YyKQcoqmPFg
5Lh7j3lVbchhB4ZVL7RvcPsBn7ZBbl8iXGpOWtRMuBVeMwEe749evylGn6xRDD60KOGupfEuN0vs
Khz5vbDeUxQs2FOKAZt09nWdvDUueGMosyW11NhnYXDnofjYgCA9JEYVYUkyjUuvNREa4NBkMC3e
h/6n8koi20b3TAk2LBrdj9dWPOdQO0hlWwLEEx2pW8jojkIcw4Um/4HWxz+KNErXKsynQ1ML8WQ1
44s5Bd9AsaH+yv4u0u1+aY/aqwzkMifJyUPczVS1sy8JCWud67pbhTptUXeOvKt7/TX0tfug0YAf
VMf6ouNcDpl30kh0x5skjs+xqV5kXT/BXsOExwvSdWcDrOtYV231Vj6VzlTdTTSGpVOdepOPwzix
PbnsGzpqQ9Pi84faITR5OmWVZgdllP1p1ryREemtsYh/yUcPyxSezqOH0OtBswbWs7bSBL45VpyL
TRsNyM7DLDtPgaM2XgmluupC7dSiKJZGewptBQNYRnvpy2dN9a+NwjDDjkhJ73q1hl+KT0bZ/kDD
45z07KEYG/AVbP8UH207xFQSanglCAsxMIHqmI1iuWNq+rZs4wHal0dalujIndQzWNCpXh1RKWVv
rf05FUn03Dff8qAQCAZ4nQjQyt9IhHk36ti/cxNrFcekW6UyJWB6cjdp4mzHpFBrLPVjaptZQw2y
xEAM7r6pym5dSb0GsMR3PswIllF5c4wDV98RwwuFX6xkmX5xauEvkylEKJrpb11OzJ8KgSYwxPfv
bLiPdW7ma9P0UTsxLt0RYsFZHhsvOTs5BK5sYaP8vlf7GOrzvVEyQcX94ODlAbZp+IhcOhGTgzxq
5mqaclAlQgUigZxDWv5+cGtjb8RmtTBgmJ2Ji1eLyTOZimMfhv5qkhtPQWvM8CgBL0NQFkq5sCps
QBNDq46mUHxHggXxkHTfU7xdGHgkQMElx5/mvU0Bzq1OoZ+07uDHfrlBxqEvOi5yAplnhJ+Gm9rM
Nxgw4NYD/4XQYHg9/ZpDz4vLcxS63cNonohHxiAeq6aVFov8pdTNZ5st6cHF+WKDTUm5EVArrTj9
4rMhbgdLUuFp0xdcTqt7pTcuSwCXOWh04h59zdNolM69UYgfVR5rz1FtGXcuFh9BqD8mWlees/mX
UInvDJBRb46EGoQ4W0JYV9fO097HzvHuNdrhlVOFn0FrVSuVNtlTr+MaX/cT3l4Klzc70zdB0uAr
qIw9MzUszkIPJC/b+AxfNk6VKjyNfAwsRbRFivlKoMvWZ1Zxyia7OBUkGvrT5J2S0vLRS+vyY+yx
OmlK/zPo5cuEtUTRe/oOneB4vP0yTs1G61VzKEMZHWRX3esjEmCLWeaiadx9ChRIqKt8aJTeQWGy
ntNqCDF98lGKQcbP0hAaw9jDSvnf7J3JcqRK12WfiN/AcbqpolP0oSYkZU6wvJn3Ak4PDg48fa3Q
/T+rxqwGNa9JmEJSpqQIcPdzzt5rm7C+5167dxsQJPmS9Neu7fqrB/fvbC9ipy5eRyQcjBd70+rw
QQa5hNiGt2NW4LHhvLKxKwLrpOj8U8NyolwbO1fc/JXy7iwzMeCdFZ/aVi67EI/DKMZx28bVBfP9
+BwIQau8SaojxllAWTqPKOptsGYyIuUOaKkU3vO8/HTmNjhiEpCrSdrEYyfhHwPs66WsLLgrOW8f
uxhDSmiuoEOKj0hy6PkVthzihG01p4XRX2z1xYdq+zO5TOlq6jlAdlZUXoZR76lkOQVYzAdDQjWk
X7OhixwiD/LPh+PAnIlXe2DKEoxt/GqLLOdNFXsjf2rBkT8bdoHbtJeKymmN9iPdosz0D41joflS
Zvzq056wDm7mY+mrYVPgc9+QRJhjCxnGu4gVcQTIRE4BYRaoLdpPNWTzFxN/uSUQItmpVI78iNLs
/ORAORAjvMC4VvWpc3fiZgKQDAE1AbcYdoxOiIrL/7BgIz23p191FYNMzWLFHQpJyEhD6mdDd9UJ
q7tM/fK1A6EYR7lYjaitN6RJ1+cibWpcyuIcpNb8DD172JZN908+6vkonebmFr21c3zMoqPWEK78
7ndGUOqzSZN+G6e84GOKI0jHEV3ZoeZvHH559QNLmVhvMyAlEDrdeu4SZx3Bs7v6cj7G3lx9qrQ+
gPLpzyIGeoiC52D7mc/xm2iPULdfEfEmhxI3FxzqqbWh63jZZ8igUMWVc5cCGMCoH3jBYTkylGUi
5TxGVrGtXlIkRpBIT0xo1M4KE+aYkZO95BmMxi7zXvzl3NfTi7UU4/No5aCgcRLQOpZ/aZ/ZA4yG
eBtDp7sTqPw7SUpkw/O0LYJncHfVGzf5tB4W2r8lt9mJHv52Mn74DMO+PLayPk5ffhJZZ5lF6k3q
Ap1V8epZgdjHbQg4Ou6DQ2VbrMFu9uxZOJspMllmCXfd1lMDdqh1yYFPJEiUeJAXCoY1N2fAoddn
luTUzZlq/eaOVXwMu2K1FGRhI8rkUDe/CT25J6/mfEmzmVNh4Xg7pTKXlgKUU6B1zD0Ill8Bx3D2
6fLpl3F7xJMAA2XYKSsW0MMSmzUuLbE4F3/FaZ1DXbZPrmEQlsQk1Gdc0CBVNfkqAwUov0u/yrp2
eE3n4q2vYCGmSNlpby2IDDz3gHOYIngx5Fq2kbVumnI40SbcyGiofijuIjYik6yV6eUK87i4Nk2x
MM4vr6lhG1/6dQDV6xyPfYLspICTAAx7X4nkN1kx6X5xwo7/Of3bHWf/tQmCXd1zAlSzX27DPMeT
mo3uoZnVKwL+6IAkfd5mCwq4UDfvNdZiu72IMEjPZZF/lMj+yD1f5Kkh2zZGc761LR90h2c9t2as
3lLXPWN5/QxHyz0N2m6OMe5xbJwyfy4HO9yMTnYhPg0yYN7eLVNbx1EEaq0noW4TvBSUCW+hpT+8
NJbI8T0s5Rk6iSlqfmB0twmlIFMB0WK2Ik1Obcd0zm9hQb3oKQO3TPsoT/3s1tpTv3LcHg6lKs+5
i2pEjOXAsKE2u1ApmCw0mpDmrXgB6nQ64J3st3nJUMY4Q7NRQ+DtE1zVZdof0jiSB0vPxJ+HybVd
RHIqq+Wrm73iIpzyt2O31XMbBABr5dKtQwyU1xmh1OaRW4PvI/0tekK+LaJonhQGQOkzSs5GFb7g
FDmZQJanLnLvnPqg5/WcZziMHxuKHfq0zqkHh4vCEplBnneH782pRPyLy68AA92lhyARxa0b5fxS
Myn1cv8POieATA/XdQNt86mzwO7jzsWDnKKKZ21NngqatlrzebKDMazGwgPh4Hm7Ch3HREH6F2Lf
zmEahHT+HaIXpuAMosCEtwZsXkZSUQILSP3dLk2/GaJ53LJtqWOkL2MkxN6nYb0TWYNxkYoCoX3u
3hzVIL8K3R8ZDJ9DFZbc1VSAT13rNOeI3I9r18fzxq85FtqW4YWpUtQsqX4zcvkzMio90cWyEWoO
0LSC+iu2yvilj72tkG6503JM4Og5WB4RXQ115pysobUOiTv8KKpkYlIeMMpfzo3Xqn3cOD91Yl6l
1+dY5cMf1VJ2p3pk2RzmOV07UnGxzoV99vvh70VO2Q5QGUShxV+5xuMIkc/LSePSGNKq2ZvHr1L2
04vTjlsr4RjXmQEEe77YBwxhziqK+/FQZ3b1aahrIIYhf4xpjrh5XR07qSN6Obb3i6bnk9MLpLVp
8172WbDTVp7tglg2XwP5m8EXe5f9W1ips/LKMbjIKvSOgSf9VYgYuVAyfsCZvf1oAjwVav5Rw1X4
6BUUBlUY5wjecYY4Z8Vb99akUfjsJNbCDLbjVyys9FIF6Q4pKEtjP6hjCuGdf+f5J6lH/1Sjd2n8
Z5mI9NIwIFgp6eMox1f93cDaolW0VxlHl43d62KzxIgGCYhdN/BYZ+yXr00hlpVvzRkEsHjagpyL
z3VPYJRIzbXM8+yY8lduuW7g8aK3PTIgjI4tFfo29fKzwAV78aW21zJ02eyzcUdtFaGmoOMjdClI
4NY/YtsdrgtwTiOH7tzTmX/Cx1diyU0b8GLQAmI54RCN0uXWBwgPwgpJtfBn69wN1bgd+7zdgHoM
9wve9afSI6ScRerkG4hVUd8kwMwSqF9BW19H+IyjhZE+XgZrN2r/7IWNdVaT2jcgKk4tLdia9Av0
A7ifGNkWu6I1y6HxtnZfFRvL2LiQLPkR+iMXzxTXt2X6mXQ0VJEYHqGP32cK7LMKNIaQND9Gdms/
hzA9jroMwD8/bv3Qn09jFaKlWEz7Nib5NTPAZxfM159+RVtpJmxtTXZCsSoQym6AMt5KVeC0a7z5
vQNxSuRo1hfqb6pLJtJ2ee1ix39kC4SfGONXlhvTQc5AwNBmWk8h/VSOXdu0yNu3zhbwiUIHIGKA
9ykvTPA5ZPz4IGYsXXSOfaIfH+4HsHrb/OFnxl1x7x2NncXJi2MBBPMp74iWT9OIOt3pYW2Jx686
TGLbeU2J7qP8CczAJ+TyC8VzfGqs4qOMkYS5Pt3fOjolKt7YASY+WHmfuK/u7lJ7K4VuALRi3x0M
GkzAILG/ygGB7O34VWFGByybtq9DTxPaiqHt+aJfd22TfJqoe4HS1+wjbu7jjPUHUd3KVH32YWvz
z9jMlzn1inVwbiw3u3WPhynD5u/GwGYtKz055X4p8/icwSLhBJcPx8lJMUVzj5YTQJxWNF/ugE2w
U573HByJbfPOrVT+uVn+bkExQz9cCKoHqEVrdH7yov6m7DY6jqAFODWcl7jc1N1CM6BGbNwJrM1h
H4nnIE+qawt5LyhKF1F36RxK0X+2I0SFfOJ3HvO6/ggsDMlVD+GEVvKRlWx6rT3/Vs8tVN7E+cmk
Cyap7F5F4SavyIyvNYXCtQumuxwGfRMLwFMCgdHRVPWbt3i/5QRMa/Sz6BQs0E2NU6dIu05swfNh
6OxX4JVwhrz8Hw7s0WsQTFc7X5x3sCctwrw6f/kGSAQk5VkSGEgeLscUdqJ4aGlhLly1NU4nB5vJ
paSPTPIXHXAsjOmz6vGq9hlkh8xt2zdXcC5HYwL1qzjkrsou1uilFznfIEQIxF9psCs9bd+MrPb9
SLSWMwtrLS0zb7zMRsPg1gNSHTp3VUCnG691fdRNM6wcA/RHxbI725HGHwdD7xgOdvDSw9mkHeZr
mjeuPCEvfMurzL8HxB7ubE6hbrxMbCglOMB5jlCUwEMssY8CbHGIWaMeTJzg2FXkmdhDCxVzgJ02
aPlg4YTQGj1U+cpDwGLs4u7odtxnZfpRzCnjWTn565SS7qlxF7Cc0bCj9D2TDLInizzm7rLpCiKr
2+Zo7EfH8p7UkF+IHxgxrqKJZ5k/1zDyWMW8fZQDDphF3mCvx6MuUniALcSdCLvtXvYwLuxu4MgX
3In3pI2edUAg8/iHoeLZJB1ho3n2pMu+OsWL3IwAhVZu17wGsRjWjpP8DEOo7aZgQc5is0/b8jJa
9ikB/dqRHVDBZMN7SWacfTBFhOdYWNBUm2S3LDYAFzkBbqGNcMyy9O9x83gUCZSNKeS1KE753OOj
bOrfSzKfon6XJAUUqxxiTRhdPdgIBB/9LvLUOVslapLcpUHkGaITMUQfqjh9bXz1A29xtgU/OyLi
W0cchtZNBd1nqShJIo4H5Z+4MJx3GHSlWXggIXE1AujYwQClEZoVx847irFYADEh1/QR0608xD0h
PKPlMU5BIRcQF4BpFqdNywC9L/emqg+wQOTPxncTpt3984OskAem3DE/fcTbAeuJG3NM65upDVbg
Znr2SYdpk/m+dA1WTsd0W8h44CiASWUpL7AlrgHDh93E5bVinDQIXt241jQ3RwRRpefso8nC8ZpH
5XNmOOkxGLnS0oAjUffoihnRsQhU6360CE764Q3LAJcr5PswH0P71gFwzohkCHMoMt72ZsysrSPj
T6sVJ5bzP5YDc7BsYQhJq12rQl3azkFCx9GddeRStiY+znH9ZGzcsNNM+qDTzgjwTl33a4hMg402
0lD8LGdb+Nx/bCe8Omz5Tj5sM+rYbTj2zXOKUL9ysnrvhfTX+/pMdqu35qo0RzCFjZXuchbaJw9x
Mtg3BFRZUdBLf4xhe1rrHsGdCI8xjnQgqQqtmcUFzj8tY4i0Ec5ZJ5/lmL8BeXO2TQfdxizDpbEx
t3FYhe/v2xwdGsVwpOK9nuNridJsSLP6Ne3nqxmXddhZ5wkM3XuSbaX23oZ0eS1wpzyNY/Wb9pa9
8lv/h26SdVh7ahfN9JeVpqG2PNVey1QwFB8yUjRzy+A+umyPZcW8iLEC/zdpq9u+cCpeQKKWBgI0
nC4KdlaJZDOAQ5l2f/tadQfVcgtaUS3IZBo7NKwj6Rn2z4dY95iXNpJqgnaWrLy2qfnhVd0OPpq9
hS/4Awy0PMR9cqkH8MVTHW+gWdrPbsjuMbhhsh3hKZWKkS1R0OtFGLxizqy204SdhziKtMvCY9Im
GItacqJ5zWMSFUI2IoLj6r5mGEAa/EOByRCAVvxaJ28qQg5YNOPZn8iXr/wSBWwc1I+qIMZaJuiB
DYSKcEEc2wSPIseS59qav9Lh0XBzpu1ATtMOTTC6uKELVxFN26brjroqhx0jnycvLSYokjYHuxKH
iy6tZZ8N8h8143xzETXeR1q/NmAZx4Efn2E+SjLv6NnDQv+2/WGV5BfMeRw+gd8K1k3aFoelSW7Q
Uu2y2UivfLUhc16c1hUvOaAqz22eyQnV11FHJ0t29h5fMNAUtvN0EnjEVQi3f0zPQ5tWWwNoZ0RA
jqy02FAOMLoG719ztoe5AHSaPRxggjNucUDULJ7vsw6il8exH26Uc7TC/D643ruHUnvPduY/aRdl
rt12Nxt89j40JkBEsLz0S1qdsg5ef52AR+rnS9SI+BH6lL1l8Q6K3bDt1Ss06Gzrk+fSE4nAW44U
IbHXzsRNOUVus++mGtxScpL+VLDmJclr275E0N3RToZvOi+/SqnflkDZUGISxp12scrmAkB0aX7M
aiD7pOB8lUiS2R7vOgrLyvGf+8aEzPXrhWEuUbyufECK037lP2patcmm7B/uPneTW96l477ghkXZ
XerypmaYSZodZ8sINcAnZVPQ99mrryy6Asa/1F3HuZ2uO6SkTq1LwM2bdkhwvdQ62WSeBm8LKIsD
C2GYnh42i+9NO+Xk1Plte5sdRhFNiuMBUD/xF/mhrrlQp0IwAsm6gCNyVa4hVkRPkcXeb3z7HY7I
SRc9uzhEyCdbWi8gs3mVE96KLupW1CAd1X91EFCXmKljBHWITmBBN9u01b+xwYJqC1bqIzDOfKut
9o8pGCEoSJ9kLDxOByMLHBbAKN4HM2kuD+hEE/OqyX7xWFxKsQ5ta59+xrH8AEm2HMDl/1iCEF1E
UK5j0apfjMPp7PkrG7ntClEQXL6yOLOBl0z39E/e94m7KdFnXEOrBzL1RE3Ggh5rQmqocQGxKQEa
OHwgbaaL9XBw2lG+7IMKXYRhz1tZ/dKemb0yh/wrTCb7mQjJVZM03rXKS0mhKfZBXnxWo+3e/EE7
B8jtWJJodo6YcHyWvVWQLH8lub0hRWbYYHn7CB2tuTIhicd28ZeJwQXmcX7IivgxnRUoYR8PNmqJ
Ve0jqNEBI1iLeU5NTbzKpqndOm0PHRfm3Ak92rxJUbURPda8YXqi5VGK5cV3V6SHbQe0/4yvJQKB
QNr7NCR0InYCbpCI9mye5Kd0sEnscV7aPCZGN/Dw8ub6D3t0sWlHSq3I9u+CtOn1gDLwyXqsOcQR
ILQaCRARSr1Ms83Bvge7ZzzQ0WoxmyJQf5LiwQgRNHnyYrlVhMaNHeKYWJB75IbN2oJTPrRvpaWA
a6JTPg1z87usOedgRFEnQi1GZ/pQqMTjhAwJMt42hARN7IE18K2aAUtXyC0ShbegluYURP67YHRY
CgEbzrH1lnDv4MkaE7POSTNahYl7GGE80e2V8XtSkx6Qlb/aoGxfgsaerm3N9g7gof2o0mwj+qDi
YO1VtyHq1cHJa3+VZPHN72r73gXDl07z4g+oh2tRc8rBl4nGAuLsoUGJcPj+6PvBqEoeELIzeGxM
SVbLhJQCyRv0/dHpnomRyc9F26e7VkcWJPQ62Lh0AqgnI1riNEiYR8A/q/0UK0QZH8ZHBk7cVel+
ANV45zuo/er5+v0MBe991nKf0A49mrC07/y4T4Bi4oKXK9mWNeDXtDRAcULpP3TfVr4ZtVM+MzeY
4Wcn40eh0rNNJOZfdQzarM/n9hZEFlKeCVgHIesrplLjX/XjIUMRs5bLJI6NkONNtEY82cKX+7q0
Htl11TXpTXCfmiR9RgTh7PwxT99glR6bPqsOZgSeyzSED1Mn5EPdlpsxoLRaUFqurRZE9VJZYu2T
8DzTXgQXKLzaPQfDeCDfMD9MbnaSkTS3ClzpvomIq0QDGH8OVFErDab0kPYpZzwGvqgToOglD4dK
6nrX1vZ+10WRfKlmQR7aozfU7px8sbwwZh8cOkYkya8ksbiH2fsZDkH6pc0kj3HI/vj9NAtcZ+3N
xKT4due/4rI4ypgSrOvUm+srebP86dPVlvqSEAR2dFSsjXkkXViPn5FZbP7UT8+ET1j3gMaVPary
K1ZOfKjDRK4gzhVfqNWhg+BhOpTLGvBPzWfECm+VuU9BpdH+B9Q8aIm+skCHm55Q5nXzcF0EJFut
tQlfIlt0X3ke31TopK+VOyPe0+qDUl0cVMWhfuKaOILNd2AReRkajXoMviqE7YiJ2DESaho/7S7j
FIhNPbGcMQj3bnCcmo1oCXFeME3dCEvdth4p4+0QegxQasiWOgKInwBKzKfpEnmkU8HM3KEWOzs9
XElkiI/XV7rMC+t2BSICvAGEvmCwu1v0eChzOXKYX8BUV8zXRtoNmWknJgrOdOXCZOy+hA8ZjdhV
dp9uQ+MSVplE18mZ7GNKws2AfQ+PXY4PTtjXUXTQGrkYLGjz+aclOvvagct6Whqd7lKw1jPsoGMy
SnK+UvrMmcir278POMCvhKt0XRcgCiJODSEXjVj30KoQsGoRMbQoo2uKWP8Id/5EMlIZBa+D5dtH
ctvGFXKAaksQaH51Zaefenv5EfoMJyksyJutaL/XBZ3njj056Qh0DRIMeN8PhGeJq+W3byhDh/3U
AkZgLyBVriF6NpnNpY2YD3aqR0vDvDGP3Jo0avRdIQWTE5XlxdS+95xWLS7Hhxxr3HUxwgNMH8vW
nlxxLZaZYtyhxp3rG5LhV62ke/1+WAb/DtGt5DivdlXyyetQXDwV19eQuKJr0TjdWgfW/FTnXJb5
b1ZpfTXvSRD/sygGO6Gt9MFfllfyh8IniYB524ENFYC6L03DcMSqE2dHwme2/xY6/n9rgXjAVf7v
1oI3cHy//jdnweP7/3UWSPFfbujZ0hYh9ZALO+s/DLgHC8YJ4PmAYPt2D6D6/w8mJvgv14kcTDio
/iWgOJTv/3EW8P+hogxtUiIfDoPo/8lZIETwf2JifBwF5FTySxARiUz1ofP/XwhwTNl7rrVYrNCa
sy67+3YJj0NR50hRgE9ra07P1aMcqJv+LNsieXOr4AWh79lPXP8t8l3rpBa469EoN57uwg/lADUp
CTLe1o4MP2YPYpYHHY3kPvQcrgo+RC1/j7kKL6lFeGEEd7hue/Oe4019ZbXeVUN9tZY+eVAV3bOd
RSXZsan3IRccjD7iVNrMPLXNgNod+vcaWe+VxrWLFgZdFrNEuMbKdz/m0v5bMcy9fH/RYoZCs8Bs
vQwFw6RU/w5fc4Vt0/lA2TJePezNYdI5HyXAEzSjgF2+H0DV1EeYtdFOqAnbfS+WD6RmNQk0yHP1
pOwPmyPSKsyC8CAK0OrsAO9V3v3xmDtcpniYPyLL3yqZeq+WWJZ7ok81zKdLGCy/siwpXoRbn2Wj
zUfDCf2ceYwe//vp/LA0cSztBxqTnS+yzWgvGnlwrTcD78PVjVPykfm9FsLodt9/d9ThNdCico91
Q1YRgRLl0YjwrXXy/KanGV9I9Mvx/PLeRY18VV6z87tCfBSOsyKAMTvFAd29QRj7o5nbGpkJwrfv
v5MMIwVoYpCbPtfm2vTO56SRABbpgsFUhfNHW9D6kKmQx++/e5biA6Dwcq0GF6WwcMQ6CezVOJr4
VOdkaUsnvQ/RW+Pa9YeX0EwOsa19P9MKALflP/p89fBJ96r6qFUfnhqvfLCEdfWBPd89UOGVq/7x
lNzUn6QYLmtTB0BcR3QsUwn+gTTRfuOYsvyoHRXRxc3FNjNe8QGYNVJ0ScCXLruA7Ol7qyB3Z942
b6DWzkrTP4vDeeNGZGTY2t8V9FrvrkuPcxaQUr+/IywiB6uuf4vo0W8au6QHHrF2R8T9bnCXmbvE
dL5LE9TJ30/R3VOntMhTq0mX68bzhrtqU9y5QUGzZy7He6NdfSiw5f371I+gQSPd22IkhmdklxoJ
qwxO88D8CeS/vgtpmovI9Y/vZ0sNvUb2zsluUAZmur8X7iReWvAXWZv09673DINvke6IGgq7qrr3
zUdg99FbiSmXAmh+Y4Mo71E3wUhlDPbvM9X/cspYnz1n3ekhv6Mqcp4AuDOgfDwtpzJAxhP6TEGD
/N4EabcxRFRsZgOyxQmyu45zLrUqxDmJQvruQ6/eRzHF7fdXqRT7kw6mt2Ak1s3mwkiawr0GWl0W
+vJ3QmCmt8j98++Xokm/dKSS4eVEFp31ry5DjnfVRXdwFPry/ayhin0aCts6MM7KXuoU30tWt2uY
HNYuYFN99ytr3qYhN1M2GIgSNW9DKaERCmY/L4nv7urcB4IiFZGjUDvfITQ2Lw0/F6wOxAlB3LV0
ftSGO0ss81aFeE592iNNiFGUQBsfWCZ3RNpN0+H7izphHdIRV5X2ybTOPO+9KTqfMIiB4z5fm/Kw
eM8LpS6JGN/Gx7PvT2m4GLoz2YuztPm7T7t45aKP3wtEH+9zVhAzzt+n7NlauUs5vhf8khnV1yFg
sQwX39WrAU/sAJIfhc7wbjSdzbgMzcnvUcK2RXtB9eatOfxwXXRo2p2s8da6G8FMVeNLV1FG6vir
I2cQDAkwiVrJ+2z/bDzT7iLiftY4luU9H1+xsyxgBoy8V8kxGJfwfWhkiyR83gfpZrYyLmeseHex
8qdueh7NFG6MasNt3yhUtelUnnWBDHK07UO6IHCUxOc+NW1U/pO9TlWlX6GYwe6vu11Mi/1gIrs5
fT+khZ0hhYGUPXleeagfpc73R0HIFKXBFExKbnskzbs9fn8E073796OhScTedprV9+dRiRjikbJ1
IEiCKyrDFLZID+g+81NeZ+chMMu+GiTTu5HueZMxkxhMepLyh22QZmLtehGE6R7lFNwH4xjixfYq
m6uXskC/YCyAkKXdOMfvB6Y6NhBF8EA2E6c+SNqXoe/NnjQXtWtp5d5VPP9MAmTzpVd0qPb6q5qD
+jO3RbwZ8GUfCz2jUsEjCwASdTeYYpoc3uPBPOoNOdNifPp+3j7+NGtcdp5HXl/ihBlozVp/okt8
GO9xAZB7nV9phv9tQJEyJf1EeBddRnId6MMaIgHRKbCYa0avWTx8Ds0W0Do8qLkddyged4YmxRX3
/2nsMhsS2wgnK64bWPwTrRN0lYQUmDk7L+R4nfFgNc9VWb9/f0op+ByeIDWofpT1//MBSqRNdqST
buSS0UkQrbVVgf9oTWONRHz3lGWF/Sujn7COIjc7Wizfr1Wd/q1GAYFe98RAxN28S6bIf2oVdHgL
pRNO96E8u34b6bVpAMbQl8hDWZ4zNoI4kycrdqJsBxx7AXmJucqpguLMbGJLflt/ZJ6EKk6g0tj7
rbi7Ghm4k/XuVthkW9MqSZ7j2jsWFYv/Qmn31UInCBHb/4KCaiOkRZiNHMg/RXl69LqGeGgqmnsO
epP3EuqrP9zNogAoOQQ0+Sp5TyuiC2fwJD97W38olM3kKFp/iPnyF3fbtFoeVdp/mi6OWMl8INIz
YiDwCEg96plEGQKETiFZ1w9+QQtxuu+uNQIawJ+4LmqaxuxH9o0m6rLWxdy+T9rkK+SS5tPRB4YT
v9u+C395zP/B6mzsaCx/LSwUNCi9+aqF8feYTlvierP6rXqALWyIo7+56YY8+TVSZJED5YWr2fWY
dFV/MfFazyZ/jpYJkLgkJscMZ38ZwDAk713UY65fHpQHVawkAo0n4/XLxiLfbdWYJiN7jdQPofxd
EtFpqNtY7JaBThnKastTJ6sj1oA1+5j42V+FOyOvphez8sesfHKiHoF47O2V1OWOvOU1PcVgYyFe
fnLaA5MojkNF8SWgixZSFC/Y4VXgkrs9LPXOb8vt3Fj/kFWAUXssXqVwfxZ98k+STffZH4968D/9
zib5vIDdLdHjzZ3kVSquvey2VjacPP+lImCPnt70NqfB71TxjRYOGrJ2inOIxe1An5hBesW7ZS3h
pxk9++qDo20dRsHosbZBzbBuWLoMKw0AIZWWUFgLQsJ0jjikLtemS23aDHl4Y+wIUQ9Aa8xRYMwk
g4UJsKuRDRFlBRIlRAGiF7+M4RzAAaSj3wVCcYFdtRlSSRuQKFTOGGl+QTeY//sRynTIdwrkFXoU
Xp7Iyi8u2fLA75wc5+qDdh8+kg5U1x+gma/jpCe/UXacROb4FnSzObKEbMcJ/5aV9LuAoGJXOha5
PI29bpVyXqQxn+wEDnI/+yH35+7CG6kJb5Tq9O9D1Xw2uUsGYSLqw9zr/374fppUoKZYhZFIenl9
mIh7JDuvCKtDEj/PSAY2UHZIFMH8jTV0gfQ4owcIl+dyWcon1JzISo2zRusFocv+vQRLjM2y+loE
cpa6w3Pd6cs0dXibxDBsMjQDyCVhQ5Xm2fa9k8ld6+y1KfFAJaBF6SRiE+qSyFjak7hInOLU+S/d
sA0GOZ+nFNpF4NcSXguq3W6OcBsENv/vwpYLSBI7ZZwB5GLiHpQ4zJqS1KgME5rqDSllbnaIEuTs
2JjOJH5XT8CdrvVCXpZu9LOZ3eJAhxP5b3sWfQkVo2Y04GvP3qB5Ynyn4+2Syd9p6TAjnqzyEM8X
lXq/GukGB+b/lz6M29cg74+ed4wdBDRJS49HYKG45mhFTK2rfaKAUcdjBOEi7V5y9vr99DBnWlyo
Tz7DiSIZAV82DKVHMJlBj4wRp0O3lhLZA+CPkdgpCrvSZLTgF8AthS65QiWblj3ovVyMtS5Ckq5l
R7MHJ3bcd8mtYCnO5ohuaP/QdCGq/vCYJmvYuDeiI+FcjWy/S/WaVWl+RjZC0GmHh9ZJ2RFSe8Zj
F5uL8IBcWGkQbHu3NmQHI/SbW48UXwGYZ1zqczA6aGh6OyV1CVtTUYhDsjDOD0B+ucE4nLIk+M0Y
wDkueBc2DL5xm5WCQqvs7vrhAfdjCNRzFaV4lmJ5YG8i5TuePrx+dLbu8kiWLmaY0kFTb5zHYRqB
9bPnvOcpoD97Adbn5W+Z1XnPDuYiRjtaom8S+LCZz5E1OxdHN3vc/TPW8w4xj44XxEbjhL/rf7B3
JltuG+2WfZea41/ogRjUhA3YMzOZzHaClbKkQA8EeuDpa0P+V11bt+q67rwmXLJlWUwSQHzNOfsQ
wjMtCxAzEdWm1UI2N01nEpHO7KoFQBeGnbEmoiu8ltH0btQy3k8VGqooDslEY6q2Naa23ftxf2Xn
xKlU6MM2IaTXmSN7NWbzuEYG2x8ouBCKEYoh2CDzEo79gHZA74NK0vsyDl0SGvgpiSyjBxsGvARa
dDSqzL2EOUYsbaq++XP67nd9etDKkrsYkcFOb6XzoIvoI9ZC/CMF16QZWcO2MMgCgTd/jQXRm2lT
RudfL5oa9lFqgYiq7c3stu1RlnmzVgZeI8FU9ljYpRbYqXNtO7Yuq8IK26OI955N95PitF5jIoL+
J/1gqrvoEDEFph0oDuBPnYs92yz49azAhI073lj0DHla3HItvOcczFsxSvydJGzatlRXVMR42DBT
73nMq2Awx7sWYQ9Nqsp75HAlTdY+j0PXHToLeldc+996ZDCVH9K6oHBdDW2+1iF831xtDGIXxa9X
eBdKxPmxUslJxVp5NoSFBKWNGKlMR2xizYVzUQaDTlwrFq3IstV67jv23ml7nSlgEJ5Z04mr9Ffi
rKbr10ThUVBTGbiDpIyEH7YxcuKsibNfmQaLEgK9MGJ72NDM0TkoiqI1ttGfw/LM9Kun1KjE2RHk
z7txGVC+q0sUz1TDpnymjUqeERCtmR77j1EDAtwiq/pY0lEyx0AM+pIPE+pmOrddG2XXEXk7gfTL
W0gOit4cd7BctN1QtXRgVrt4xA5fTohX7MFxA+8JHqTx4FT2swn245Tq/ueozcDYsV4EJvmOp1kv
L0bauI+ZjnG2Sc2DCo8Iu6dn2WoUgmN6nKr6TN4xCpKsLoOuQKk5QYJCbHYoS+hRRcVZ4bNcYR0K
2chZaQOr+SiB8As+Sz+XfvhM3GC11SZaNT785JAY6GXSMMFFVUUnw4K0ho3u0eNTeWQBjRdeRZQk
qHw47aPNENXDFXQRD3FIy6PT6+cIXairz9u4sfXFCLQZfCc9m4Rake5M2O8vIEISN4ExeuqoDTRI
/kwOasq+VzrZsWtFfZU6A/rW9rtA8G5PTf6As0AcvQ51YmnnT3Wm2Y9NN16w95lr3ehyoP7uvmWG
cFEAGKcIGmHGXC/MsFJh8f3pl8awxeb3w9fGTc8q/gTWcW0uwjTJ0KuyWQtCu1g3WRo0elYTKte/
YZg39p7h/GEk3c4qIp5sRfyRj/pjkTcQLfOkBfyDYQ7C0iVPhvo6T1zcpvdEyX9vpfatj0hGG4xR
PnVDeWMctldgxTZjBWB6tAlnhYMCC8k+KyeJufQjn5AilBbpNKEkyDVsRjXQNWf2PCQqIe7MBveB
0r6P8eRfYVj9++VGrs28d2uMSBPphjdbVsZTYz+OOo8cJjFqm3pJfsXOwB3SyORg+fbjonmLEJ2v
EglO0m2iF83MDmaeno16PLjVu9/4Xzx2DICY5Ggm3mNd2u0XKQMhwsBXEsYR3WoPSSF2dWGQSMFi
oMDRZJgn2pgsGI0e6J7XvLCVRAzl4zZr0ffYWFRMlKxHizDZoPPnXb1NWlN7B/qqjW6880Vyb+Ix
yK1YfybTFUmCTwoBSr+fSWm+LpLhQ2XsmYginK6FZJHo00l05Z519S6WSBt0z4ARAggwcCo6jNpI
zlxHg4YuFSQ6qrrCK3dT81wKRD561+hbZll8Uy4VExTTF1Kx8KYO8lOE1rAH3bfSNCRDTlkAlTM/
59BJAIQaOVrDoVyBy9JMspaTvkARN6Nzayk3VUcOfd4320yxfZOqZKDRGjw7LSSaigAj6BMyiV5w
HRRrM+Ro0niYk5yEc42DqO8qkoAr1jpdnf3w3OK5IUaOv2PSl/e5MnOP3NfedlZ0f43wNHb8wwcp
QB44Lh6o4mCY9pMrhosGjIqRaHcQ89o3MdyM2GfctJwAl3bhZrCZQbmwkFcQptn55MVRTba74qLz
j5oHvANuDDmRfNpDJ87VXLhvuXZTc4gLuvd2eta+SzFZ65r98Wbu5/VsGnKHKOh1gOsTWj058skf
M+3XumHnNuNnHVLnzAgYZDnRGbnurhm3ASE1ux/SdwOt7E+OBp0d1tCzwv0XACIMfKv6bCrnlmiF
cdQMQcao/WPQeNQTnojhCeub2c2A232aVJ8/HRvmj8RlMm4N5ygC1xdmfgy2djq6te8cyk6eGksR
XgY4YtBRCmlc92wdjXc9hNES43tZOei4DUiSvu3xkPCd1SQp2PIBvX0ag3VIJQCxqJKfw6S+d63D
1o1wpVUNytRT7YfduTnEzszetDE3HdyUTURBgCYVR/tid53Itl2ZI9Fgs9utK/JWn3W3eIoMozqm
BiOkhgiJwtjX7Ko3v+KpPaN8KyLRbxj4/5GG41XvGH6nysDwPXRBm9fF3k0cQGdAc6YIKq4g5iuK
sseWDN5z5ebH2auOTWGKAw8jnW7ar7iPzMB08Rfj4FrXrDEMy58Prr0XBGWUvaR0JDLGwQ6y9RB5
GGE9n8EzrmGb52+7ZMQe4aLtzwYNCHJhXZDnHfRY+Ss8AqxqBDHTXJlv44Lmpq6TO8aXzzoR5OSD
AH1jitAjDOnrravhIxuz8CmN9n6EacszMZo0PIDzvMCjiA2OUiglvNRKEKM4tx5R3gquC/oFSs1V
oqX7yGrLZzce4NvWubk2Sosw3t5gL93LLcHkD5Wsv4ZEWPBjomsH6ybOquSp0/wfrXK8Y9h7f9Qx
op42C8et9IEasTIiLgAotDPNQebAK5mAFxE/FM0bUHd0CPyXTcX13hYF0c7ajVC/aIMjhNu6Kond
nAEzyLYKTEaUK0TLu8rHpwkBwVubovmyvfp1NPl9kg/NNRAU+Kay3zgoKjf6NDVb7kai7HJ7Dwj1
qwjBDoMzcE6DVUMTcF/aks2Bx/B8baf907yE1vRNeehxKrLi1ZgVPTSFD6tnHvHITN4V5Gm6mtAm
g6j7jltWUEkVQJMgYGs05oieGpyqabrOECIhiiO4JbV5Riq+tO2Yt0bAJ/+oJXHJJAoTR6TdIiF+
gPfiGWFiVpDTdNbQJL3G35Nm4hYrtHzjup22ppPiE51JOjeJd9rbEy6M2MxwoHXrVE7lx1R21hrt
MhofzsY5YgCoGFcxPXDUaWF0tnAYVrEicU2XeISHOYfbSnSMlvqCIeZyr7Vqq1WmPPk4QP3xKDPY
t+OiCUjzO817OVn7sR6IH0YkvJNNJgip50xoJ3ESQzGvujq0VnSObM6JhDUWEWI2uGHQPVdD/cy8
WWdvBbxD+O6hSdxxm4f6pUsZNCTD+Oibj4ZFk62kEoHv45lru9wlPkmLeZ53+R6eO6dHoYjKJllH
RnUVcOgQ6FvOV9dtgomU+JVE8LGDLMbQxS7GjcRDjQIj8jEMKCnr3QziatO3NFhtOpYnd07/sGOP
FDcGQxYSkKCRKLbJPr9RL9aH2G4+60J/RMqmvWRaY14HU3yoNtW4bdBySJbxR8BLlaYPz0U5uLtJ
I0ko7pxVo/nWc5bZ4xPzbCQ409s01kQ9aVa+UbX+YzDkUtUQ0MclgmIGM6u1dSZmxgWThKuIy203
GYqxPYvWssKT5aNbM6kKGzuUgO+xrTcJd23hv8VfCWtJBM+eu2eEy/TSrt9RsMBMhANcWm10khUM
MiecVkKhF3dirGKTjCQu1P4cjvWu1SN7H7LuAZO6sbrsQy77MhWHT57qpgtSeNr/RsO6689fGtHQ
STxYW43BEK0hfva0swJvkBfDFoEdkyfb9eaNmQAGndAnVjJ12D1MR+rMcWtJLiorn7732RL1Hg3n
lqLOx2uO/MUjBLFOtiHaTWmnRDx16uagI9taKeHs8FvfotI4qbxBIxoL/s8lq+pI8fM0ZEShP+K6
dmmEkonE9bTdOb3ZXtI0x+oZAulFeJ8mJjNTjAaPJbrASfteVPZHWU9ndvfMJ9wCZVWIJ38koF7z
UOFktfNJXsjPQpA4GZXmbRpnGAhpC2iHM2hMZnUrvLDZD8torwOKQUP7kSZwd1SfMUTHZIQ9a2Na
Lbb3ZmDg1L8YxHuRMrVQbO0ySDDCrXyah0LudcSoHO8NANiWO2oY1Ha5j/aFU56htyO2jlFhRfG+
bvulOC3lQQcAQ1g8rlo1WcSXCtjCTmW89GGYnOJ+McHMZ9xcBvRvEj6SokBinTjbkERxXK7zrnc0
nlbRKs8YwPrUHZn7UVsMtiVW9qqR4oxOWofZxqIDgrQBHR3AtUCt1SErIslzLyiJV1bkVdRIrbVt
XCwlbaf/zDRK2TA15Q4lKQ9JuXLs+EC8GAm+fPMzIdlscSxSNLhH2R2zgMCd1iCXQAItala3NbJD
vZi3S+Cla2GdB0O0S6B69aIpHlOeSprDkhE9WCPtS+pb+VEouiGC1tccTt5emeo6C0aoHXADX5bh
caubpLe1hQ5oB6cSyzo04FnyUVNQrs2CUoMuImL8gTbKUiE5O1rT7gq27evOtmlYDFD/vfdt1BVQ
Ogjv04ypKRpnrKqpMFmlc+DmY3hPjZMtlPuU9fF1UOVtUDYgA5svy8/wbvOMpRYLH7OhQF+Jx7vS
yiedJeGVILh6VQmU26mgIJ4SZ2PKa0QyyCargOaI2ezPGf9IPG92ryvTvDchSZ2Q6ITjVJ+iXg2i
SCEMEPTQaUa7Egye+phYLna0D6aPe8ykpV45nkTbZIl92nFlpFwNu9HSDj2JZntPafiu3Blbquq2
zLMfRmJ4O5u35nX4DWpU892MGLj0qnxdexb82uFQtok8x1EBA0pzog2J65eq1d7JVGVJPFOcxSmj
fJuc39Ls4FrI+SXPVRJovvZiSIT/kXK+OgrBddiKu5Pa3O5ze+r1wg0mDWffbD8U0Moo6CvSYqNw
4zLxlzV3vtVTwbRCnYU2opscj03kzYDqxvUw4ZFkcIH/hqghBuYwSIgW8KmwwyF7w/+L90FJ/cDG
6KJafiZ3cnbTNEycKTgkY1Jlt5VVB0LVn2hql7tEYJEcmkuSlfVWmvmrHvYlc+xwBTO8OOozza7S
F6qaSu6prvJlNtU+jB43KbW7r1UXNeeP3VtRiEvcWs5+7KrPKJMwouV4E6JojhPuB5lAb66daAQn
EC1HHHwNm7W1i8g4A7ucTZKewEUmOXE3m+DdHIvodpfbyM7NQM6EtOcOscROQryr8kAfdJF/wEHB
WSwZ1WhKMzb6GIwdE9LYT94T27oPKFFofsaR9JMJd3YlbOJIo0dTq8LHjvOWaZJVzuE3w0EjYKEx
xS2dL5R9ulUsEuxVq0XLb+iBBvsGnR46tnL6TDQmVvJbnoLzGZT+4CVDFBSuT7occvezkB1lgg42
DIksGiTTAnnM8g76v/bhCq8JBA84omfsjUne66pj+JaRSHhmp783BeLZjkpuBUOx4Pe0wxQ7U9Cq
icwMvGCe37xKh5Zeg2e1pu7E57Fk7rLrpSSaP1g4yONoZD/TpLOYOVfPozcit9bRfUxV89YR8Q6T
dL6T8g69uG7eZZeClpJHbxrOk8NQ08OQwPEQrkyfkJ/adX4gCvtp0UgOoXnE7otys5bnNuleZnxL
ewlU2TdS6+zVnYURSmpH1wb9BWJBlEb5Qsweg6T8OTPkfbaLbttWNksIlT7rYngDhMb6xy4guvSJ
sZtMPJFsaXfJsijqMdUsizSe4AutSKMboKTcM57Wf3aTvZ1nhb0v4xdRp1Dhwvhu6pWoO0xO1i2H
9tKY22JxzgmrwJ5m8sE5tbPhQXEawpm8o3liKShy2Osp/mb/Kyz4XoYU8Hc5F1gTxRc+deLKhAtC
+mIb9nfNEp+aMDKGjFuYMdTklgXYzf/ZFC27r3T68j3I9WmLJcUNylx9w+7IwtEY7N34IsIygGtp
bsGREiBeq11U65ASQ5rPxv85cswFsy+vbag2FZzs0EUVS2lMgC+zZj9JxSmeaElxH1Q3O4TyWrr5
h4SnxqFFkd+7u57DaJcV5kfl6dNWW4JmpGZ+4gbwdx0Jx/Df2REJ/alOBrKNjTjfaBHD5y5JjLVC
hHoYsF5aZjyt1DwvhpxT2HKTldKdg1SLsOCz8iwXjZyK0mcCOLIDKK74nlTiPdbdBwbP/U3FTkmO
tK9v/Ma7uOxi2A1zSXndlcfKtO7bEPUvtK1HByjGFn7JjgwJ/dgVg3OO7Gc7r6ON57MDg2h46icV
ngaE6zyBCFdVkf7HkCYja1X7CHU8iLraYRupOTsvabaFzfhXZ2JDbiwvaTG6f/6qHWP3EMqSzjXe
g2SodyVXmdGnFrZl8+DUwNQp1QJvESNgYLmIZ0RU+YPhJPaFloKh+vDcCJnTS+OU+v9a1enw/X/+
D9OCMvt/16revwrAkr/JVZc/8m+5qv4v29Z99KCAA3zHAVz978hiU/zLMj0DRDaKVcsW7n+AsMkl
FsSF2AumwgQ8bQoXLeu/BauaYfzLA4LNTB8av74IWv9bLOy/o1R9GNioZmFhk4apu4Zr/YZSFXrE
LgZ5CaZcvHfCUy89ZXJf9eUV71+0VU3r8sBDddDm+hdZCSNFPOlrWZg+hBNhj//7s/s/0NuN5W/7
DzL3n+/GR9rL7tMj+sr+TT2rYOgDLKKUdStGTyn067UUDE0qLXFuiHfvmh87sFvwffj5OpYEl4Id
ym/wabLtVMbFpmP9TtHY1tgciGX7r9+f9Xd1L+9PmDYRlbq/fKEOXuC/q3srt0o1hC6MHjGib1HU
dSsPRSZecPNdmfhPHApPJA1s32jCQrCXK77ILigxnUHCtR5czBbbkbHAGsvVdKG8fO8lw4OEpzJp
gRYq+7L2zqCFor10uwc1RU+Y6jNcpOEPfFti17ORWDUdeH2GW96aKPu1i/X5H35Sk8vot6+CHxUV
s89Pi0/btJff/4uQedBlQvAhNEdcF+Ur/e5lZprzoBtstUTGUF3gjCEcZB5JUtD6R+xcZDNCzt2O
zfw6Mc166F3jW2E2X92MWuvXC4ltOWidGKuI9A7x5FUGxztpAhJJKRPK2Auq2RnXFNTeJpYFMdFj
UwGv7Tx4feQWTFbTXjDREh9Hpp5xlQmni93cyf9DBADY8g4W5CwHVT0B8M1QItjjo9m4P0JiA7uu
u9pIsQBRav6+KVHxdzkHYKEN/jKmOZVWE/35EjHAXCWj7mxs1sjkebpbUHfldoxFuDMjulv6Kf0c
RupYePO4nzLcJqaLgjUKy+99rn2L+TPvRkP+HxwGjyH0vjVrQil6cXUt0A9eVl2jBrYGezDmw/GP
Ypjgt3rE+/gjfqCyNqKgYepwKkec5B2Ev4emS9HVugoufFpuujJVRxD7wyarW9KQlQyPurVWnkm8
oWuy78XOsLKIYQMpNMHtiaNrjj1r5Siqkw5UHacnQJ2KFaD3lRHddgw77GGm4+3c2WjPKQW17Dyd
q9B9c5gnBlmdAPOwSdgppTCeJn04tBitoMa4VOrws3eqLeyruQd9G15QrloI8OCvo1tJHn6J2Cpy
aBAw2THBT/Zbn8IYqty+uVahRQiMAlMVThm53Xac7wze2jQV5o6ppLnBXho/VfGrK5MtRvv2To4A
VaK7LDtiGxJW3n8ljPwQMBc189ZUwzMdXSzb2WlahkXNHVMixZqgUTPmq4wO5zXpmWC6SGlObUQD
jKV+7SfmDkeMsbebtscfWvOJ1pZ/zRv+ABOBdGO42JFmiF0t2JitEqoKLDfMA5elHPOL/kzAEwk0
dttC+T6LWstxngp24/amzjcgn8ePbqCUseS07WsldjMTQnYZBmHW8SEx6+SOgTNeWUahgtFzLlUW
jfcoiRVr8prui+ApmvsWThZpMuvOIDnRBtZ3zgDDZHr34rbGS1Ob8sWDb6pXfr9tmrjdYbu445Gn
XlyMk8ZUz7fW9b9hpQT7Duiflglmd4RTtIsqi5+p8HnEevPW6pRCPzxHTzX7kP/6kWr8PXXA54QD
Juj6gh06Wcxwa357zig1wQ2Gri9ERgxmkc3HWtK72GuegcZttIaZ2QVvWEWjt9d8J9za1Vx9xmQR
ZEEW4cS3bN78YhdHi5DStw+W9WfKB1nL8kf5/3IwYVmxXSIrTBwdPBV/J45XblFa2WLs5E4jI54z
/QjOF3EMKJQcanU6DxPIHHJ7XHpENe7HJA33ANQHOn7POND6f8RkfZ/nMXn5h09wKRX+dmqatGG2
6bm2bjBQEf5vXPyE9iJPUTuvbFuTD5rJPj/uQvHObBuDtT61rwbYzrXOE+Vu6uU2gY1+7EAoEjsV
OlvXDGvM97afou6r99ow38jhMa5+5NcvU7rTwyg/z336zuLcPiaDPR18b1iRAZCR1daOp4SbolGM
o5K8ZA05WfGLJ+L3EELeqkin/OjXBBR6I6M0NobJQUesxK3ePEQ9sW8VxNg9Pr7hXLTGcB5dPNdD
3mGpqpjhAs556+hjv/SZWNSoa0hcrO1uk5RzfRvMCA1wiztdRVp9iy1RPoTo0rLEEqdfL10nw5MM
GWvEC3xDurJ5cp1ntkrVY8G/0BHDP034U4mqzPzXaMFLgb4jRtBh8ei4w6V32duXNg8xZruL8NN2
P50ZS0VKGvyEu/aC+Z02x/w5hrp3GyVA6YoNSIA1sl1PynW2jM3jK4n132Dtmc8zaGarPA1tqv58
6fIoWrWYcQ/x8kOZzTxv/ciIt7ofsU5NKo1JSamOE2S9h1rvUNp040M4N8xaRdezXhJERBADvSpb
X9+H7fwYOul4AfW8pFgV06ntY/fSD4QzJekODnnzhXLuhHCdUWxpfBNCeT/cYvjKs3ZJVXRdplej
fTUwp67p//pDlPKRO2MqN1OOewjE4NVhevPqNmS9O8705BQNj5Ss+WCymwfcuPkT//VdJ1G3ZqeM
oqdhwR5J56q1I/NzNC4br8K6GxF4hXypep2NDB5qNRP4JNUjApLV3H46dj8Fs+EiSx1Efnd4oLEf
QJo8W41ztPK63Rei7i//cEf9XhQTOSCE6bis3bEWGb+buIg8iExsQIDC6f9XtduIO3DGx1CPooPP
6REUjVEc2LXWO6xoJSMQo760bI3v6fDozeL9H96PuQSg/LUuNk3XWBoJ3s+vJ9HyEP1LMZa0ZFVx
fiFCB+If5ggLrUkoOkcj/6wMA08B4NG6qL60mFJRb5F1OlmQe9JhqFwbO0RX6s6o+9nScAaIHiN6
lqnoPhNYsvFqM3mQncGCN0XLkrovkhgDUkii9mVMATiUnXCDKp6ZK07wl0WSzfeJW4VvIb/IvlJM
CF1SNTMKU7zrL5xbn6Gt7bBvPY+NUyJBYUrtJDfGkuoulxdnJHhlTMXTr38KQ80gC21498RQbsMo
7CCcZNU3lHP20VYxKs5O2yamEZ1+vWTLrwTLAmzMfb4bc7AJrZHr66Iz+rsAQ89+ifJkcfuPHlLs
Ip/ZXrB7/4zb+CWOWBwDOKi2deFgpmvZMxu5Pz6ZGXty0IsnlKKBRa3woJyWQpISA/ctyHftzUMJ
GSQUPQ/Fwn/ygUpvzKhOHnK7v1GYRHMeWFat0NaWLdnwXB3lNCRHJKSoNwkKXs16YR5nRq63iOEx
23w8AbADoj1ATfuhzmGkTEUvV0XHzZf40anuBzdAylDcDOM9a9rxOVleqnQm3Bx0N33SGJ/yb0bq
h9fUIf8atupNMjeBJh/OF7lQSxFXh+/eZBbP06z5m8rQ9OAfrlKsl//pIsX4SN6C42Mc//2MZKbV
WYotIrGlq2a0km9Qi92V1YXx2a1Khtax+1T2E0Op7keKc/mkLCggpjd+xk5IhjCYRYKP/+FN/aez
0bKYS+qcXr8O79/bGOURxINWGFuCS9U6mhZ7S8OtDk6ILM1QufPRdPiHR70DEWZa2l7GIKZGvx//
2yWEZQndR4Rv2ihZjKWn/+s97HqAtQaLxYty6QLwoqB0rNe/mMdxXY5BiYwO8cOgX0vfctc4PRDv
9C7H0/Ra4a95kHbDrKkXz8sQ6B8+pqVE+NsDxvJ0IruYJtgsTe1fJcZfHjAU7SEKUBNIc+wXATab
Ox/L1p8m6CSi+qZ3aucOg0ciXihJEeGz800gbGbebdxcEg7heNXWK6A+pHnZnH16kxdTzbvCGep/
+CBtjLS/vVuLd+s5DpyiBbRp/TLh/uXdNrWCIF92asVe4ZCHMWy7SmBeA6FKGXeNDR/6UJOdQ39k
G8jwfuu4iEfMZptPFm61LMDLJwOlN9e5M7y111oPRunf+qqtzk5kXGoDnXRacNQ5MiwOjPLibY4z
9sgDN96GxsUX1RsYd7IjBqaSeFmYy0I3qczB/qO18iXIGcdFWRTkNIGjd96qeu+EqOihN69rwjkY
E/QPALG/meOAeWdCJtc1N6WRTMnTDHOktF+7jEK/siPo7glUg4YEm5XVMNF1/A6mBiP3Gb+NGMQd
7yJKnap7d139uef8trGpSUYhBzhmRLyQjeVlbDOzhaBVEkuoe42+YTi80vnrUR/V8lRIzTmKWk3w
UItVq+Yz9ur5mIjhJWow3gOLp48FJx4P4yZtPX0f99HbZDDBZ7IbnesG6pjoPpBYRZnTbSLYOivV
/jQXZGq8oZDP1tH02PJ9r0ov5QmJDHg9tOa0gdOdPOb4/0H45Mkm7QsB73rZx5Z0Up1CKZ/qMmOH
FzE33kInGPGvYPSAyw/8YVWhfdr6bt+dFIe2IHEyHM+TtCDxDhkW/2w20aoDZmhRYQy8lEC3mTbA
0SHqSKBdYqprBjkP5t4mVy0qcFmVqf416yNLPGxi5F+6w2vcnqu0Ht58t+ppsT2EgFj+hgTmTuM6
oFcHpVBcfUBsnFat1aS7TsRBbLIobqsGFHl7FwQAZywjdriAVrYL2zQiWeCGcnVaTVBhir7+pmv2
sLaMoTlQWcIdPvPL5jxS7Tz7GfkbRcyKtJEzwWOTeZjsgYs8Gta99OXBZBazoZwgra13Kvwe0brS
AFkTY+ChAZIgQGS8aTQoTWGmLNb24ErRl7JwGOMLO6pnuF/NQTYYjLKfjH7+EDWOr6ycTzYGSFTb
noOTOQHhMK9D685ffBwM3dzUof0x1F8cMYQguWKzBEtUEcCFhkVVcoe20W77yXuwR4wQkYexryNB
pvLrvTe0DOixRqz7We+fGzc7pXX0SFwBTCP2cetpjh8sQxZnRZ/CFs48xs74kBMtLBx7uBdRuH6v
oCDv+zl6NiU6w7QdzygAGAv9HEhS2xCq9zrCeDVUoW6MXwKzBSOjnOqku1DBQB6PRxoPkk3Axc0C
V0LI8gUX80hQkf2zNnsVYGVWKxJacuqBY45bkR20KQ+tKS/mEnmp47nfdDpaV5QqK83K9G1dckQj
dUXUBvEOHnKan7vh09LHkR8KgVAOmFLQEWpOV71UpaZtUoPNaiPjq+5hAJhksh56BQYT/55e1/Mm
YkkpypY3R7ENtmwOvNm9W2XfrdnSvw5hurVqUW7pk4HHFwX0Pa7OSJ+HfZ11myJlgJJUJ4DKEhSh
N0B1RK+HbwKBuljPNfElTE3CdZdjkY9iVrchGXA2z6X1CCy7SD6NjAi1hEHcrkJVkywOFMata7Qz
mOFQHBYaVxvyjHcU8ez8U4EPRz7rKWtINaB0MlS2i5oo2XgGMkIEVt/nGn6AlvnWprbj8eI3FW59
BfyzTat1YhnTc2Lr5aZxrLcEY/CWgdGrYQzzfuh9pj32GxvXN73DRAM4bJBpSsk0BqKj7ALzSrtS
zS3dUFhvASSl7Adz2HvjhLgsD8GTlQNGRHrmOleIDHLWvu5w5bCO9w0uWElo0AExXmn24Mng4y2G
P/uMdvmS54wv9R6dW9Tl8jr5kEGg1T/M8WsIw+zkASOi/tmaDtkrZGqQ3OChHwC8GFe4mzI/3LWC
1DXJZw0wwdk0Yvm0MnE1xxY8uN2wF208ZknDHJ2qMAPl5nTlp5LVUw1leh9NvrcfC2fH8vl9gIsZ
yFzC71v6VH+RsOgYBoKacx09pLezOi3aCiMqyUZZfPLq3s/K+8bnqgGoqsrAWfQ7hc8ytW3il8ov
fo6jPT/qWk2Yu/XDL79bKAhJeRXjaogye5/KhrB0E/NQPDvvBts6ptMa930Gy6sluMfJMw0wMZq3
MZxvDGZ2RZ8wmSRUB41KuWHb1m3M5tZjrLnQA28xkw0vfUe+YDaBzPQKxP3GzGQo1mtUKpAIVqqX
YZBM+WvkEEiOYhZemq/fk5gYFIsDMWldK9DtNBhLY4LtXjw2GH4pTAjMbmKeRxNe+ZuNwX1sFzOk
XgPxIXGrRjamNz65CwUXOB8mlxPHEkI2w/+RaZ628Ry84MwRIqzTqnhWqMObpGFSZ4riw4bv1DHn
6BUMyh4tC5J95GdTsoiryvGYIUvTHS+B3Sbtp0ivtrMPaJ6J78eolLEzZ74wIzVDJNuVf6zyBi0X
KHSeN/dGrwOK6U0YOuoPlc9vrVa1XwRnRSujH3c1/citVh5Ts3R6bboqRHFIznejjei9dHp+t4xX
uERS7J18DR7T8ILLAOboQ+VnkHp8TtIJujAHt/hfRJ3ZUuPK1nWfSBHqm1v3fYMxBm4UFFWk+jal
lPT03zD7j//cKOw6HDZgKXPlWnOOiW6w2FvEkq1k1iDSVJU2n9TwTzZo3U3Mi7HPjhkg9E4cjuOt
y6QYQSrT9X2OIm1RUx5uKcTmZlRolyTTqjVWdPhIoxNvXCMhmb01HbDNU7KIu97dewpVc8apae0D
aFvDfhve2wHfeMfhJnH52JK0U68tKDgOo0SMj0wdvgijBps7yZdar79FlptrfRhdhAxh127iVmrM
6nNm4rCSDDsLaMvpYph35OOMtRa/qpDFMWzqcAtNa9+0EcN0ZeakmohwWfLclnXHIVGDfRna+WaE
Dkv66ESYUWgZ69btX/JMEa2N/gzpcCa+Regtha7c96KXqCvLIZz7vXgthcA6kNVb/V4F00Kg9T1X
aYSFuQwzNoAtKVL1RdZ1fO2fl8lzdnKwgoOuhdF19GoavpyQlFRHJ5h20sbOaNFAeodQlq40x1Dr
tgi0Cz1iEpvbW0CvPJmV3YK4RoqnnuxIpyJ2ACB7sABq4O3zIvzAEQdAU4KuMhoEaqPpCOpEHLdz
reRjVqXjHal0qjn+SJbIkbOsnVV45IOpPTvdeOUWzS8jxperdFFumzJWa82ry30RwzgYJ7rpzWS3
a4uT1BnjV7mOWa1I/Guia+wzSSn19DLGNBZiK69JuBmtZTMgmql6YR6jxmIIhGxJQZY+sZ6Fu0Yy
BYk0qziGdLPP8ROu7hEL5po8eHxZswyoxReDkUIm7zNrm5c9lOgQgpo39lizCsH2LVPwlQg3Z0IG
Xw6dKLOc+qtWBeGL1+sGUhgJtvX3rY6ICXzFPBn8aAnSLZob7SPrUu2KxtO8oyBd146N8Du0EXQ1
TE8t++9oRQ4gHeprqnJXCAiG09wisPKc6lhKpfeGMg8gUJ60GxCcyYwJT/ZamggZlczkW8XTTCpA
sLOfcpzETYbD76v/XX7/LYv0D63067WpF99ExsFbVMI4x377t0kSVlTu5FVlPY0UZr0xc7aUtjDe
g5xonknzonsCbn82VI6xi40yvusd1K2OGDsf1OfOfV4qiB5Io8Rn3DjubJzYbjEX58g7JxM9/RS/
GomlL6kRcKrjiThCSUgXmfD9Daor0PxOGdyQnmjzWI4URkmEiVeYrBujuaujRN+FasgvkfTEqzLg
M9ujyjcaqIZXcuveOr1zXrwK+KqK/PYqawMjJTlbF2pItJygS7F52xXhQNYNkBkIL4GymyZZuUjz
zNi4XtYdSa2SRyrq1yy3x9303Iom5LR4UTlzuWSwO0ZoY+j1vA9Qe+thtOTfUtGzTBnJQx0KsRSY
eXlyGJIDHTbRAqe32rzpFeG2v5ewMUHV1iDPFCr+y9CqfksfD8Jx2MgLgRvi4LvULhwOw1sdhHdh
dd0O+3nxGlK8ruiLBEw2ZHNIOnrhStO1JXEvatWaxr1RZvYS5ZZ50iyUYLqT9h96jRPfGpi1lrKX
pwrAx0pZPikjmuOeswEwFDqZjRDYGmPHiL/yCAdgabl/E3vCcAccYpk5oGAlrYBzi7Lx3H5qbc6p
OU6jc/p7seth56SWtY2NgGnLCvKPdbXSFKFtWlnbwvnCxDmFsXZovKre0Jq9dZkTHlyr1Q5KfsU5
pftokzjQSsi6vxdvyh8Rkur9lIkTTsHwmLVT8JLoPT7kgEZ1Y8BqBDbxYU2chXxHirNftIwVG13s
WsW0Iu5qe81BJrnGZRhfZehjcNYgqEr3n++oDtKAVKSq6JBwqbx/kCIOHCE5l6e587eeavkam0nx
mr8Y0PSBSFImZcFrU0bG3bWShyQ06pvewo1WUfNGldevclXnOwhcjHEdyJUd+FkDf82pL01jS+Rd
vaF7n8yn0Y12TUyZMlWug3yMMcPYD9VmchJ8l31bXQipIbwq7WyAF3RkndBMjy4y29Ho8v3Egk9m
FlTUAJbHnpDRu+F2+tXXbn3Af5id1iOXhu1SjmD6fWtvyCsY/XEhCJZe2WZgvDIZ9zY2Het57wMd
oBC89YQMIS+IvyIdAYcdOP94+Madhen5JAO3X4z2+Eosjo5vsXwaB5x+kXdRx+yzaq9pem0rg1TB
Jolvbsg8i/IRzJd9yXrfWbbYIAhYCfOzWfbsdZVCyzhqqzaIUIJLuzzoAWmoFbvCqs7ihLYL/E2H
TJ6XIJyoK0pEp8GI283S3Yt8XuxkCDcepF0Qy/msL8aIOhu7jfRH99Q8LxwXejTZQbHOlAXpwArv
YHH8bUBW2mJwsMPRUzTvAEp2TAzEVdeokKwBl0+cBOgVddzZCICdVVbn3uE55yUC1CVEOszpmxbG
CfeBfyZRyvvvgnehmBcM+MImJkKnL7JzAHps3qSt/uXUxrxsW/OvP3VIE0rnk2pQvmjwunEI5OUZ
qtqywyW6cqIye8Pzbs2osO09oQ3SJCkbBb1/TzRrybShuXIQJI1sSE7ZUCSnJEYurhJ1+H3XVCju
qY2jHaFKF0vUxmuNUk6B/5gD2vBeEBqh3dbC8ez/oljdSwWlfGFFcEJ++Tsip9nVDvrGKRAvPHck
vDpICoauPVN/LaPemHZ6YyI+Qdh2cMhKkdHQb1Awx0tZe9OnWxFDPTb5dx6lDLzU2JwZzrr7Sf1E
vnYF+LLukcgdmCTBDPEQ6vWtaQHawcnfZCbjakSFOydj2uW0wtizqADEaxIc19ThRTc901bHPYFr
zsXBTHNxOJKiNfn0tAiDq9U370SeC1Q/RCQa2XZ06ODb1YA0KRog+o5NvG9T2qf42T9Tvy/R+TEL
iy0jPAYFNhAnGu3PNjJ/xoLEML5pjYamLk/9kNFNfz53A3aXsSvKTdjH6UthK7lHNcGemZX9OTJ9
l3OO/q7r4z6FQXATjSVvVbMd/ZEDR+icNexx599XMpDvWubcpRvnGxMb9h27PgkuYJGXBrlzUKZk
vVBkLS9MMGX7xoyRMUNLWwkVig3O1WZF+oS9Nc0BJl4qi7VNX4B0BD/kgApVKXYlh5gguBgC0k1s
HNt0sjfTiGkJacUR1SHEkoZI0yqvIK/WbbwIYq+5FnAH52FvDQiy5XjGoh0sjIpszoEU4rPJEGLV
GUkws+l10ruUaYoSDMdOkRMmbRT90WxYY8YhwZrkNqTJPi+azxAqMPWDwUyXU1aq1srVPjVVhSv1
9DOBI1CIFXl6Ma6OO1K1cdO8UWdqX6VGOy9ys/HipKo4gLoj9TU3EVPV2PrD4K2vJRYhrV8qPyI9
rCA7IUgSlvZiO1HVob4ew0+XUJvO6T9zC9FVJzUY0pBFtnU3cGwcm2YbjcNPUTn9V5jQ43SIK7ng
lCmOdQAOPvUYf2KbPiRDOd0i25qZFlhc5ToByDkr+qrLL9kYHZtTKNdlxk8XUVt+VBSlBhxwY+y9
ewgqyItLF6qIO3FrBfrS5Y+zdP2yRZ/vXAKf3Logdj8HHxpwlVXTGZagfYpIXZm5/tQcNY5sc7Jv
/kYKT94gCBUO7JppXVg0X3a/DJos+hOlr6Mj8FfKIdjafeneK7vdDnZrfQLQ8xasDiN4frw89Dfe
Al0u7MIaPnypr2j+/R175mlBMYKVxXUdOAZ9ueIcQ4P8rrTqKqkp32AiYRKOi2xeW3jhdJ3VTOvc
L2+od0bZDydGhODSyvBqhfUXh6r06HRDeibjD/OdjEuC+mjjTY75FrcpFLvIfsum/JmzZQbzqG5v
rvKnhZ5PB/EcUkZS6i+h12sz6ljj7Ce2hLU3dpDv4+5P1p0gBpZfdkyggWQJWiVR9qcNf0SVvtJr
6kAd0PiFY5t/DZonZxOH6YvGb+Y+74E4RPGMj6TAJ8BxYJt7fvdZG/Wz1Hbzddhy25CtjPbwtUuN
+BJFrXl7rg7g8rrr77uuygg7N3WaXk5iHXqRvNNfjSCLxwSxqA2oa31pFRoZD2RoBH4pXlvYzJjH
zYfNrBSVf5ougGXeogw4h7Tjmy1FfQ60QxpXFYgWma5gok011pEiqP8l+FVpq84S+EA0SJrPcarL
JQKwcGNVRIaM1j9dok8fTEKhre8inMSRyYZPN1zW7o7kg5nzHLvaqc/U3wdMo4v30cgIYBDk2GNK
3hrJV+Ybf7IE1pSwSeKRBD8QEKcAvsUolwRtJgK48XAPKr1M0meM2jX/8JAdQ0qsBeEp02pkMtz5
4iidRh1r3xD7gd02D5ZCq9KDKOJlXZjQQLTiT5OTM05eVQc+OWkrmmDG+fcdaQ7GbpDRAztTv6iS
4X10vPy198V/C0SsdQayAOMimNRuSbcZQVBw9ggSfIOFMZgfWeXSu3Dz5oxHX7sUU/0vtzTzI3wi
ALHHLMjTQMLUuG+Rh8kupKZE3db+pZMenaYcMTagJ7nMQPQD5cCk21rxSzs6R5VU1oPENnfW53EL
vT25sYxTNQbje+9z85gq+bEUp4WoC6NHnWtwSwYn34fpED2GKr50lRlfGQpmC9W57TqV9iweqBgJ
yrk4RnXy23CeoBc/la3zEhD29OgMwbJvF9lCd9NPLMpEoNtM3OqwaTdhUftrtAIxM4wnzgt/sp8s
Ow/kuUZ38lGEC5saht4YH2UeqHPCuiMiV24kO9+T4XUPIplvisqtFxKjb6+m8mGkKFKhd2X73rWL
R2v3h5Fw76vZVmdPL1hS2Ek4ZfvfbcojHYzhsGssuGC/b+t+SNZhQrxIBSGJ+06qj1TWtzay8EsH
9FkCfK588volNHvi0NCWjMmpRXy6wn+CI3l0yos3ZnfcY8NikqzWBJepjWcxVXQAYr7L8TnmGQ1j
a1HamZoY3gShqKnCZqDMkp4VtLWrcqr3yry3Y1i9dn7wr4DBDZArqOe4x8eXztHPo5YhfoQIsgU3
CSe/5AerBwxOBXl8jhju9NjHpN/genlMT8JfYtb11tN7tfWeHyJQ0+QRhD0/lxLBOq7z5JG7tZph
/u7ncVqLZTmV/skbxBdYIRQ2kGNVLfcaQ/kL/8mv38C2Go4w+gj6+L9vRY64yW28RzwFJGyFtXVi
fogfq1gOgphZN7Kro6XzUP/eZmWBY8Bqi090LNbKJURv7hSq3b0EvWLVYhlFSkmsWqypF4hA0yUH
ZLHXCCGfPxHyGj89nsYaicNwKd3SWuBEv076SApR7NmcfPjEswmuh/d8iwaQG6dq0c2ipoX60GlH
y19FZhkvR4Eip6k4nSZFYl0jy8Pw2sQP5ArkidFFplLOvH1sY8nvnLBflfbQL1ojfXniA8t81Em9
Ze6gpcmMRsMAO/2fVYGysVtN7FLSq3x+s3MqxKtf2hqYCIRBnGYs8toMg61Xi0mOIEB87OgHlDHR
t3nWvU2cU7ld3LNFVbqNkZ6BMzNufqF7l5pO4y4XfD1EqDN7BqllkA1iFLqNMqyD6WGUB73QPXo3
M1al0Y2rsqe6pkUluC/du0oWthfqcI68g4ZNFtMLdHz/UuVO+xhrYZ26AIgRJqL2MdVVOA8jh7rE
Lsg7d24F3ecjk+Z5EUDGb2x+AId1sVLhtaqGA/Z1Y+/neHiIxbg/7e/nShWMKTPG722lsCszZiS/
JgDcyD1OSxnRW6bj9goATbBQJO9gkud1VtT3xK2cU1TQtiHJ50V1I+Jjb+mDitwNOrB23bTqVzV5
K34LNTebyNt1WV4+pMvCVKQTxYA5ATeBZsIxZOvkymFswDbuxcyVzYav1Cb58Alex9Nj6tjOCAAu
29jYd6whZucmL37ZDLeSh/V3casmZe6LlqFx2kbdQ4jxGVKIk78s2+9ysvrL87NuvT48WyaVW8tP
mYxAEqp2HjwjDBy4sofMnjRQcUTxmhmh1yagmhBf5npMbLrZifTf+0J/9JX10vTBBLLDO/LrbPSB
PPOiv1NDA7q3n96t0F7DBMAyYG0QWbZIfBZRWHyOXqOtymkpJVH1I2PaRe2a33mM2r7TahCoIx7D
dBrRrSbDi63lAGjQWO34C9Y7GcTthuiMRdbrTAG0UZ9XftKS7Iv7sMfLNCvNSM3AbGqLJhkbPMW1
9SWyATHv5OE3SwxEIgF1mUG4ufTltrfVu5/q4cqRd5GU43bSunYHciQGoTV+9rZpr2kNfKVBQ5tr
qBEBRuDT0vBqY2ydyZHWqzdd9ZRn3f5r5Ea8C5/gFMglxS54Xn5fRQ72jozQnZk0K4TFqgHqwUl3
3tdOsxs1onmF29I00S081YbV0j3kMtVC/vfq923ST9qWwQNABMlsOP1/FxPJ5rJygr+FMMyNmDCo
CqF2NdIR+DfAqFRKjz8ca4BMDtIcvmcrKrn7fUW8AeINPfqhLT/uTMC3O+DDVIse0bqEjX6rDqBw
ROr48n+0QvX/uYWFn3ikEMfrih7Pti2v6GRlZfU7bpF+p49dv0OTweyS5X1RNQ6UNduEEpQB6hQE
W8IrzHcRTYKd//yz/b4VnAwXkwPGNw5mYWx+hRSzwyCGhWsodLeeFy/+uyfsCvGmJ0kg+33/exlp
Jls2oNeJSQ6ScmJ5W6gTeKafhZxdxJuE3AeHdlEQC0xuOp+sm0Hu0J2rarGzYxDUZ5wVKfoEjEaj
KKqdPyExmU5hDkjVTtQflU0HFEnGYrTGK0d4BuN+zPwg/r0yE36JOuY4mo8OLSIrdSYqwmN/7+Hm
+UP//qQ5Eyp8qx0Mv6mM9oVH8kVZlwl9B5eMoOeliJPuv1eWXWmQP0mP961i1/QCw//zld22kLWZ
LaQbEwhagutgJ7tqQRzmvwIkxpJ2ydx7QrNsbcJ01JRrzRi2jQGeIRnIt4XM0WAs55KadAz+d/n9
Nzx1jPOFcYw9tozfW3tM0o1I1bhpcrySGnaNvWUTZgXZbWs35sMXzrr1LXBTk4yXJkmgM7qh+kLY
lbv7vQDacHfkxbw0nlQHOhtHraSbrxAk4aIfvxsy6p7CkVdeLAj4FYu4V696zuyytc0LliXSkXwf
fbVDxgik7t0yrPwtOh9cPPkAYVSrkO80GNxFgrzxGVpJdhIBO8XJFYQYdvDY5qkZfALbMhk5ySMC
Am5LEXykQ/XpVFm5yVKdIU2LOwcRLdoTRj/eAc1OTVaIsRwMC15+/08Gz0MRsmHuGLp9GkfX+VBC
ezOWU9WA+EjsfVGbOm4BItzG/jRm04vhlq+FjyWCxJWt2zUbqjEaCSGD+aEpC25uKn0RFO8Dyaaz
MjqXepCtS5YNGtRXWkweLuX4NljcsUaYP7s0OKm14l+kiE1h8VvqHsk06VNjUNAJKqGYmHnzyO02
XelPwKHrbVh/WKWbeJWZPD+Fjl97RMQUddWe0TRjJLffhlanZpw1+7Xys4sI/Q+ZOy+to1yEsZ6x
jkrvo/DNU1HqRCr6ahcnRcXcqWnR8LbxBmkKUH8XYZXJvHrmhpWCbnGqXZRCosNVHYAV3KSp88gD
X+6ziFW/x/Q+oXo+q0lsSsthFapyJqYc0vTA6Vf1ZDHcYbE6WIbHp9jKaROqKt8OYQNGHKTiw7a9
TYV+c4+RSnA+RRLrCqs+Dro3XDjQ/O3zt6YD4ZJqxQvQpEshoOpKuTVV6C8HxbeN+ulmlrBYLMBw
tLe+AUnYx0CoK7AQA3IJQYq6vSem/Dn/rhEvq5Y2uj+XRi+XJlgbpv0omEw3XDZpjN8DWe+ihSKi
VYRhVlW5bmpWecv5ZuT6p+1hY/vP9ksNHweSA7SFGTgmY3bSCZXcwkYoEWwcOTTes1aBBEqSdFF9
qaiHCQAZpUXeRdQpolstQb6TubOpmx5divINK1+qW1uVtUerQpeeBkk0K6tiBe6K7XmUn1r6JhJS
2bPUM98w0ue7HP8FPvB0WNu+rFeTif6wj9vuUNpfkI6IcWke9FEH+ndLvfR5hoNknqZuCb+Ss3Uc
9o9cpyldYtphonQOYewBKDS2tGrhXSn3Mfh5gT/H2edxzDTRU3M3GWHO8tktFfskdm8Ntx7G6jZd
pHUHj0QGa0Aka0ul97jJSmI+ScJu4f9BBSmGgFwJhHlgi8u14YM/stoYDEon2pkNRnPZEqMAlsaI
XJhUTAxDh+k7/K5jaSVo4+UHvombHjM0EpA9iGOY05PboMr4NJv8XnEQzWO9uoG/YTyhIx1sn9Jq
J33vgmHZQ5ZqSjzrzlD/VAFExDCn9VmEX5y5MmRQLeIB+52geKTvpmYuq8T6afp/Y53fvJ6b1/Jk
u2B6+2qFTy4E3MHKc/4NHiIiQryHM74LdldScGnksrZH1oI65NMZJijxyPUakwg1rxppqYNxJO1g
nOWCo0wKmcyqYeO6xMKSeDCka4YJ2EegCET9KXSXYOKzd54+JvPkEMMRLw4NzSXaguYtdpgF5q4f
bnpX+gevyh4IvNnHyFtelLm3GgLPgZYlET/46YVITgdJU2H6wDJCQtG1up4WtaMZG50435s3WPjL
ngCDxkf16I415PTkUzVnJuxA2foOaghCfUK+FyHwM4oj/Wl7d9cVWhZ7Mvdx4qkNuEQ26/JCMRje
y2zXDKLYjAPeFu7QOVODu0CCN3GsFQ77oxPMQ6MTfIXzGjjVg8MggaWt621Dj9QKvkcMw2KJWSpd
aklw9kYSL6W/7j3TQVCKLB9yI6dk+lM80DTkwllU/ARUmxtXMtXPiXrNbL9fAJT8TPqD76P50nPi
pgyWWODh4U8desj32JfjAKNBXb3FwfCe5DskwV9gu0ms66KzzCPonHmnnYoJUvbIHMhk0yFMhGap
cQXZrSJUKbmjNTPD0R6sI4zt04mhhrdTiraFQ/e5LtUsAZ0zpyL/ES05DHx0G9jir7mVMEas8Ull
626y9FkQlXNzb0keP6tzT62ZgI3IRTjP7S+hpg+lG3LVJP4VjAphrJPhr5uDM2DOkhAKblEnf4ys
XwVYcF8tszw3QCLg1JGjuWh8bWuOxXvU2NHRLdzlpKoOZ0Wi4yuoPpRfRi+I6idYMg5o3Yb9aQrh
agUu9pemvTDPOEg7/czD7BEUqA2cpPznQz9MJrGmo3bhJwL9JB707xY5xP+541ZqDSTolBL9VjlD
cfY54schmci2/zMNzLMH9ISkpR07uukbrKGYiXBMjrQcYB2Oe73XEJXa8E06IqZdoBLQvmx7QmVQ
DQg5DPbYMuWZL5Oun9dU9k0Yq2UaFffaYcRgdwnEaEPDEIXImr6p486r4RlqqIA8ZXykrpu58zgY
L32PTtA9eigR7xah3F5RL0uABUvbDSCd8sy3aDXxPr8nJtNZz+Bc0zU4euB+63CtKye8eWazp5mL
m9AG6hShq0qc5qxccw1IAuteEsmFmG5tY8VLzGhvORHSSnOQVCU/sdag1Wvjox2M2wSCSkavaI4u
Abes7O6WsUsH/aPP2j0NqBhCn7kO+t48N/GE0jkjgxgTEyKobxkFV4g5n03H7l5HJ6P1vecXEFc8
pY+EQ+rK8oJ+jtjNXTInaiaAX2GIFq63/AdDoQZeNaLHShlAlvo03boGOsksl7PCVRieB6YNJfPP
GVNU5qxN+1nkbTpLfQQpkEFfq5oKts+ynzjnjiY89IVMTti0qv2Ly3qmcfA8ESjyrZi50Cme8LWI
5ArO9Jilto4RHJp4u2A42s/GcASFlEYXmMZIkcQfP1fFJmnI7EGdgZARuJRpqzeYT+N8TL59lNGB
ybQBmc7R8jJ8Ie6H8IOT3bKPEXIGc6+iKYDYWDIZanwQ9mOQ7O1W3GCaDCsSm0hyT1dRXLtbdHM1
bqhVZvTvGBKhdDNCD4mIph7l0TZxMGB/FzPdBe7b0s+G7POR+/nd/y45WINQnoVdsebGY104m2Zz
r8jX8G2cQ6mICM/GgUDmlSRsB4G23Rws5MWjKLNTpKp2BxvlM50EbBMkHLNcmUs4RsAgRXKiYfCV
uNkdmv0BVWw3KwgRD3a6Cv+lAbdWgvXaqNa6073rT/YXg5Ifk4zsZeUTJxfafz2tes20bG05nNZd
BCX43qZ5JlzC7ZD4JSLcMs4ellmnTjGdTk/Drd3yD7KWm5Rh11ag6BZlryMVtXax3lXbMNc2xDmN
K62gaM6GZm7UARj0kVFabtrRgpQ/gHqm+5KRjF1gSVsbTJW7v4bTEKTlqWhN94uyPhHWajRDyP5Y
KxthL1Xl0SRyPzStrda1Z/+A6tk6WmWh2xhyWgsGLRvmHC85BzXMcnwkQ/GSWPWy033A8swXV1Zq
ltwSpGZMPpIroekPXNdzHcAJ8cqK03d/0EtMzeDmEZGRtRDqCM+NmuazR37QwoD/zYGPvwWUHjQF
G93R31xZ/5VFiA03luwtaoNYTZ+nAXEVunGrxHDtfHfvVBDFXATTWjFctCwOKBsh3WRWssZS9dqB
9/Ss8W1KcnoqhlybDriXAYD1SldsNxk+eGQhq8rpeOgSuQ8s8WTBdmvAyeXCXk0V5Bc9oVYYxHjW
lXrtCVemnhmIaSAWZD6gawOMme01wTpgjgmR0KgaYfKcS3S9M/j4Z40gcNTVEBIdZn56jzyTYRO3
uUYoe16t2zy9ojTO5yaJhl2XMVjK/mQqxhzDIT4s1SIOGVN5zzImE9gkcEA0Xn4YPKudJb3jIH9d
pJ79EtnURmAE7kVYvTTTEtpNsOmr5KbZ4h2IYErkVnVNCA9t3TzgoxR/JvmFtoS0GW94ND0oprpy
3/C0xbO4nVzorEM5zzWNEzaUBrcuufWrKIXMzHrTUb0sEgRmuzGISVF6vvIiQWAnmxVEsLLB50Lv
J/YY9G86Q8tnNWRJjHlFspfcg/sievQABY+IImnhi5gDTk7acWR63JoTKYylF9zSNNLWA3f83KBg
vXkxcT+TFxDkPE3sl12/UWFQ7jLBCa3yMjJCJptMAdN5WPUTIC/D6lC7vmT0TMSxmTti103+Mk7z
4gTXNEQzJFVxMrkTPR99SW97eAVc10JX2PN1dhAvwOFHS6zn5NNNvXVhSFBumiHxZnig/SUe2vcY
oSsTgDa91Kq+JGWuDpWXEsrW2BZnfRwn0kQwn8XjN6ozgqQJd2LJdATAgbEkbAcJTwsXaxpp6XZS
zlv6J0dgf6ehJQcWr6S9b63oIYykOQzMEXdCw9bDX0ksGeC+KSK1521gqCs9ruFqZ/prI/V2EfZP
/15o6owlIH6QBcAHr80rW0+Ok3PTp6Hg6SSqgN6VrpNFOXlWdMoch7ZHAUgYSfOZIYCJuYYYUfpf
57xPpz155eP+91Uc2lCPx+xdobcnyriHSWKJYu83HeCihk7aYEzgwVuXRyMSEw0/jcnJ2Bx0kjtO
5vNC9h2inyB1UenpVEcuWO302R+txDNPKs9VwDaok+Ixqfhvbsb4x/n+q0Sz3xW9joOfd5y0Sh8e
r2dZ+8FkfkVbHc0UUQQIpaKrHndPzEeyLCVER45br4Ud/3FLl0ixNAtXemWWN0Pa2gzdZE6dwO+d
87eBxG4tI7Qm5QRwOhDxt9CD+qrqdJ1yyn0rCN3d6nWjEzwOYUpNTB4nu2f2hW2IbpU7o41VbbJ6
9JlxE+hboRooDSOZe/rgbEzd/HSEXHdx0v/DPHfKPc9YOhXf1GEnQx9hGNcsTLT1NCbNdvBqeCh2
TZe+hPFUBvEHam+mfel3WxoRfZfRpDWlBWiGB2/lc5BbtE1zbhi4f08BvsjW839korSdygoivQD2
L5HsG1+uycHNdd87y4C3FnFX+XrKiFGZP66WXS2bqQkgZn9OR/wKZ3T6efpRqqqNOU2Hl0nLkZ4C
omak45aX1KSscNkcKSJQuA08NTA3LRjnPom8mk7uX+UF5zxDyKP366kIwwflSjL5yORSOhJFlxtv
bdtpqxC2BSpq+ytwgZebPMSLtvT7A3+EkRNBq78Bcww2YBCbhSVb/4L0Ym8EWPiTWDAOycGGWeUI
WgyumxisK85rcy0VUv1y8q1rn53G2oJVwPMMDD8x9jI0wjWIbiAbLjIIYty0dZPQRcnUZM2DcdcB
ltuUQmte+VMDxOhTDdFXsTH7xLljjlKboIjqxe9bbB0gK9Psj9bon91TzOoH/EVMPE6U2xCSXmJX
JS+uK/Nbgp+CbopvLG2kMvuwownZ63Vw1W3+H33oH93SDK6xGIJzYAti2Pjffi9E9AAijyShJ53+
SQZ0dW0nShVcC6dxwJia6tMdTavsmuxLFaAsg+gciQL2tuYmG83CH+9ilYbpzcJRJPBg9QiZfgpt
2tBC/6SMgqrEUCgRxyOpqvEOYuszoYcuLg6Z8WTW3juG7UfMPHXZah9+mkW3qkWqlvnIzTwLaoDr
ev4K8dnK0P3k5fdCMvxY5F9BPNZXUfwfZWe23Lp2ZdlfcfgdLnQbTUTaEUUC7CmR6o50XhBq0ffd
Br4+B3hv2GXnS9bDRZBXEo9EAht7rTXnmIa1RRjDQTjlyzCl5zFumo8Y3fEqqiLXr+aSejyM77Pa
YS1gtLidLdU5qmOD7ZxxdeI2/YVi3iUo5RhSvl4MG1w9kd4bbUEL1H08H8IcYmaW95T9IclpDWmw
wKqD9JP4JE8WdeNNTsnEvZ0xMwSQ7Q25LNJYGGvKtwDk+8J8sx2EIBjq8m2va1TdERnYmDysY8zu
VCnROOaMUYGKTyeCRssrnhBagaQ02yi/qp4AvxhNZ4GMmkLrUNC78LIUQIrMrDt0U+jrkthPLZKn
uOI2aqujX8vlauhLCE8KUWouaqZ4eBmUCAtkkftmHne4S6sH6Tjxc6lRAbF0MEFdhz3N+s6d1mXJ
GTU1DukfILGUtF0byABQNxt83iRYYEbBnfdgK/P9nJlHIyGSIeGKDRHNUaBBtJHxDgkc/AY1v8Bx
fJntjIF26i4buHZtQhdf96Ve+NnwJOsCF3ymPQZkehLXwwbUGoJhl9vpDu9TuM4CZFx8t8WK1dZb
c+gYCOjfAcm3dwDvmBU2764Kj4RbK8XzbF6qZE53o5Fdk7r9shI0lYGEZpxPAwN1eqtJBnW9MAux
aceNXnTxNQFojBBv08zzp7AnyEYqTUnmU2uE/w1QbJCQvLwnR+2BOLfYNwVDaAD+zXbxFXW83qSH
eApEyQlboUyPG8o8eud+y2bD12Ek0Cu0U6q9GsFrggQ5KIzM49K7FLTiVrYLHhU8RUQ4HEqlTka7
djDvWhwOIbZcQz9NUXXHQgJ0U/pI20iUsBp/qIN6Y4bBjJKJJlLeDGA60DhRpSiqP6edsqJ9AXhJ
nR4bbjarMnunPmvWncrmRuFGvSY8LkIdR8+/QjjI31q7Xhbl5Ls0VbnvUak/EFJ0yfN8HfSVteir
l/19FRCxHqM76vLzUrE1LaUcBqtVGNszo1H01FyPbiDb9Vha3ENw5Pe6H5j7vGgYv+uWswlqZu+T
PAVaci8y8UQzz1iHGZs218AjWDnvjAucfdAZd7oj9b1ZukQL29sqc6Id3ST4Zbn6MRvNG+/vtNKb
Pt6awoa/2M2QES+G7qDXW5aE3hh+sVNEMYKJunKnnY4ud5uF2K2UUX4ORtLuSYSaQKkxfmKizBXu
nlxKc7zRhR+4ZOvy8tSLBd5j21YOtZ4QTjpXrqfYxjWdbAmLPC13Q1RcoqGE1OMK03dsutJDTSUI
sYWqLIG0Ng9y2pJOApzTwz0RNEN/ncvp3V14z4qd8wcTyPSMYam/upWWwcgF2RnapbOboujHAVgV
WqZ1PxQy24dMi7daOZW7WSsxK7b6E8QcG4DOOg/J0WV/tE2TSnrRRHw8sGBZqEzU9OpLbWnfqtyk
NiaMCPqjan2HelGo9sVgtr9u0bQQluFS2XSV5rW2jmikmo96P8q94yR7+vRfYKuoqC2061007Szz
XcZKcej74USe8SorFvfG0oWfkoO1CEKEmqKkorr2ioDys5+jlcHvcVGROcXhlOyQ+DM8qKgVDGen
9wrAaEU+KE3dbMwc8k1DV3yDQHatf4wqTci+dCBFjzWtRnd6omZ7RX+wmbsyPzolO18cwS86Mzey
f+keFRpYLeDPvyru8X6aGgxhU9xwiHZ+I9f4mJLSgyl2z04YZZUOm5vMugeHDhAXh3lhF32BVbxS
wHbvJT6NFTnK9FDC6ViFTHuSSENQ3L52av8aCeHumZD5qmo/8N/JYXDbN/V3G0EOYA3tVkmPIUY1
t+DndoqCGtFN4y+9l7+HFjT8sgmVXItuQR8zo3nPJZ4TQMPcTkQ2Q/McscVMLWeGQ7brrf7BhLRG
T2NYKS6JIKYdE9rVvcmMvgdmEDon0Tbr5bc14alSmctO3TPdlC+NPqKWzt81IZeqPbVs0xl/MPvE
KdKt4gcUnCudGIQo/T1yv17PEA5IhkElOsPFiu4S9nypVF4t+QVJ7K6qMH10PRvFoGrupzKl71oJ
VBsWXReu/MRCW2vNdDX6hESxOuWNyLLfmto+S6zBa9vCYhWpybuSONKvjc4LEpoR7jxG3gANO9Yj
Cgi3P5KRN2yiLj4RSpl74UQ6rjVPPmzdmKkPBhtDJaW67zdj6fgiiPa1jms+7in/UdtywusfLB9f
fTb/Uo0Qf1pLCPFh1vTHjK4A5mv9YgAf9kNSePxUxT03OTvTlvvZbBxPmhgz49F9tDQ2kFYbHq0E
vVIihm5j9fVp6INDl5UJxVD7w77rdSroGA+aFNz6uFXk8RMTk/s+LOZtJ9k5kVVDo9veROBU1xJs
pS/tghBHYdGyFaRihO1+7FDFz7Sp1sWU7lH1BVuuy3UXjTCPe2ZUwmQcCkKLiobGmEkA574oExYj
3QQnFzBjL5iiEhbM74+4p3Wsb5Yf7yce0YU0GAGQ2JteGemvVZCziwvPltb+ptNyxy4AIz4pq6H6
gUppg1SH66mx2T7yGbATN69VYzyCu16rbv47ccn9gR1nrsZGvo78kuSS1auY3DX+bIbv8/CghYfc
CZyPKMAclYqsO48hBXgST9WJbmc/DNOjElnOoyhMFzcdQsUo5mkwBOMOjTCdo+WpFI6Jrgtz7fJM
jWz7IcQqCeNoXYmyfyYGeHhy8nPFaEKu7WlLDoXxFPNPPUcxjdVCJI+3Z1hAtqNRRtxwQD/Helpc
bodQL9BvpsER+UZxMfFsXtpH2YSkCADEz2ZR3hGcWd4tm1mNYpYvLDD52/8L6o45e5+xj4qlfTSM
xCGMnkdhMlP51p1lH8vlYLcknCVFQ3liZOyjbt90+8rte25PbYxOVjBhEl1oaGpUqccowFOS59n5
9r9uj4TmMBS/PXdGjbEaaR6rPhB/fs8fX/7Xz6gOoLnK1MTm9j01HNE/f1pb/pWujJJz5v/r+2/f
ZRUU10bAWr784cTpmTjyNrcn/UJzpa0jNspMP6FTYptKlRmlMiIKVjkbbJnJS4RG8hHGyK5O4ujV
YGO5D7WB6OXlu0yrVJfI1BhXM1+1IZWmps3nFUZ3nBHkyySWcYgqaRyKviG6JC64DWnG1kTZIjO2
Ui1wvnXtHuG046hhpqXpIZcVgHlmV7HzXai0mPKqHvc9SJBgGooVTIdkE4VEIQ5u7iAxiJTDkBC3
SZEzHFCaYCbEf+7ajEixvXjCpTOnB4CjI1Oe8miNl6/lCXnGqSspPAh2BXSQi0ObDeLQEGnluakC
7oGOwB5lTelIIM1qc9C5feH7fAszOsG6g9WTAd/hdjDkuMRqMQ3axWKEZsoXREesEyXeVoIGYcAe
/x6UGk0CLpCtmQX7vPsWAVrcDMIHC+1rl7w4TLlAzGQ7xENIABrgeKSPf5gzOC/YtdldSQ94W1vz
m2KR3sXMKaJ8OGWDguPAgLOArwhiZWoGYDN69vW8aZ0tO5Ami5hu/BHu+EGuReI1ja+49aFNs6cx
YV2G0M5oUbOP/YRqWtSc5Wj0nqoU+LrRYTQf6sMwih85g6uUFhbLPPDsBfrZYuYLR4SHQdV/pHP+
NGP9IwTdPWQ1e7O8BzKen/R8+FIU4QUy8Bl27mbHOhRRDzeoUn+AsmBwiPTr1P/MWUbAKsIHX6rh
x1BDNFMN+aC3j0qjkaQcz2h7iUQOpneBb8BTpH3tLfuHCePKhM/AcJb3EwPrmY775I8JgRJ6qt+P
NBa8NkmSdYbVYz2X43OOeCWOTmFzQhP8rJUBknuItfgywz17NQvrIImTDsLMnvfFnuK9Je/r2vzo
h5hc2XTcaxGN5Vy4QCcopWidv2hmeW/wrq2S2XD9VAavjF5BcpXBnijqkdgNtTsA173UbCTkkhBa
Mu1qgYsf4qBFA2/7BvNGPl6SeAsQuDC6cqdHA4jcExGfA42CRnE/p4+hyz2b8TdUskrHeJ8jwjPa
XG6aXEovidJhQ//4wkdDJK3FpjNNC09DEunHSRewA9cPiFUU+tzS/GXZtHqVztgxwjN3Bv9qnSob
kNPENY+ofVyt5Dq9ZCVyoQ4qAjYSjbVTcvsgB65cyeXsa2v34KjJYsdCaIj4eCWdMfeCXh6rqXlt
xnLx4+icnNreUjV1TyoK3B1uBCVvW8jgJewk/itVlvfcwEVLsqWWORneSW2PH2YLXxFBX3fvuIt8
xnZdb2pWlsy4qgoxb6TT/sQMdtdVHaH8DaNnl56f2xWeyxrkMSqjr/dRU/TTp0As2o/aTwND95jl
zZGVC1aBWCVUdoAwl0oNlECHSsSuYCZmDWirWRN7MQRP0zy4x9C8rzjtSeZaLHBwUUedifZEnErq
ZuQvFFN/dK29Qndq544ZFrCtPUc7FPkndWb6yTWPuXEuvQTbiSebzMO0Bx1lpkTHATXjkCHnF6BJ
6ZTrG9rr//wbu7T9x3/x/LPkraVP0/3H039sv8u79/y7/a/lp/75Xf/+M//wHv/v019+yuYv58fN
039+57/9IC//5z/vvXfv//bEpzbvpmv/3UwP322fdbd/BMjq8p3/2y/+5fv2Kk9T9f33v36WfdEt
r4Z/u4CrfvvSjcxuQgf/J118ef0/v7j8qX//63P4Xny9/48f+IPLboi/qYbFTB2ZA4hHTQAiH7/b
Dt67+zcBD910HQ0orSkMgHJwrrro7381/6ZjrNBdRwjDpOXlQmn8J5X9b6Zjci3zarplQ4j9/4Gy
6/DX/4Nwpi4vJAzLUfWFiqstQMj/h3BmYz0wsyR4sPoZzf84NKh5NLQ7+bdSqpHfmnG1CTJQo3nv
ftoGqEBLr37pzgAQYXaQSyABogkk5vpND8UR6+y9bTgfs2rsJEjUlaY4iHlcikuD21/uoo0YDvFc
PdeYLNbZlL+PnblDC+Vl4IuR3j1lHQQjk0htP9TRS5NYH1luhsiXRVvVf9JZJ9K36Y/YLmG2fmZ5
/EKBRnq6NlggFrXzCAllZRnV1zAANKs/jCz/oKUKmS9REEOrFLOzPX4WDR5MlxkbIzj1gbT1KwMS
ws5IzME0SExhUj7oubtG1gU1SpcPBfCzjUEmbt99lC16M0xeZ7c1Hf6s8MoA0Xw10BrCZHNyVfgK
PuwNWXZoFZjrR7FSo7BBV8AQn3ng89g0r7XTbdRMofyqTRrR2klvGe3mlPl3LhpSz5jVQ6ZSg7ls
w/3ErLbw04pVG6Mn7JhOpqUzry0KIk8JCb2KNcRZ/fyp1azQwxStVcv5lcsKhtnYXfu0I1OpwV6D
iTtaDV37hRi1WEUUmhotD6Jwhycl+TBlay8Ik3aTTKrfS8jskVNcbDO7p/e7jW31WxTGawZsjW8r
qQWzx6ymbCsqqDLN3VAEa6UwHieasJC0qOvI+yVXcVGGjsM3zofpjoaoHy/a0cI+yZuqB00pwUhn
2RFqr7ltuUOMC3/IfSt75BbONJzNRZuaIFLtFrWqWHSrxXRnaSSMIAGVnpmTcGEvPJ+iq1f4gGPP
dWaXia67x6TaVagxldnjpPSR39UbxzAviKwZWmrTk+1AezFcnHOz+jTINkI0rH2Wuo2Ha9Hi2ohy
axt1bgZiSseFfzD/eXCCUvW0RdfbLApf9H8tpAZ61Ih/Yevsm5TckERhx26AzT2WrjHtAhMjwSKH
j404WqFTPFeLspi9ZXNIFt3xvw63/xcsX4gXfbJh0MwgqmhfLdrlMtYY8uTBQQaMYRd981zk3xIs
KFNoSDlIoG1rSnfMppBFt4tM2oir8nB7pE/wyRYdNWgdBNaLtvr26HYoFuX1jEqMsklGx2niBpct
Cm2x2A9qE9V2vXgQlBIld7houoNF3e3O+AHmRfB9k34nt2O1KMKhSl852TVvQCxuGtOHTlzPUd7b
i5ZcXVTl6aIvVwaU5vqYoojtkORiJhCLGh1qZHNwFoU65nuULIQrAlHfVcy/aT8iZ1cXZbuSD52X
VFpFxm776/ab3g7yJoq//dK35+aimReLen5cdPQugnqW5PchZehdZA+mXUQeQytU+Mtn5C5S/NvT
1GSaUS9q/WTR7bulfd8o5uyZi6Z/XtT9PYXioV0OQXhPFw/jIz4ANtjEYNtbuRgFhuVwe3Q7hIuX
oAT0AWPI+hwWnwH1B83txYBghzPTpC79KRdfgrp4FZrFq3B7NGNfaBYfA6l2T20KKrBaPA7d4nZQ
wAySjKmzSwi/g6yffe493eF2SCIdt4Phx4t/ItIwVtwOGIq6Px7dniKSJdy4HAeWTKS582LKUNUA
k0ZfY9IQfb1G0IflLkkmL1m099FyuD26ndoSB/LB+JoXLwglTzTozDaA9xKxG1yDOcvXixR6x0Tm
0GEpgWNubkGb/Q5ubpOb7yTGgaJZz05kky+JNQXudLefW+dU0xjy48W/0mFkCRXNoa9gvNc3k4tY
/C5lxg5uFmLm1MENUy6+GM5h9Y++pkAl1C7umds5fDsnjMVb05r5YxVRW5q2MA63R6GTkXRPXUCb
pbHWaImcdaGerFn028YyTymiF2g1t+NEpv2hyAL+h1awaVa0dscHJ4uVGEbnEOrYXlzMcivex4of
gvp/wKDjLOPwgsCqI2ZOgRVmRxooRB+T09DOTpHLHMiQ8bBJmQbvlaQ+Q3Ai3CDK6O6HSIlDLaOB
wsEuGIErVLJr+hV3XQeSRLcpcAsGhB4+0I7QBBtRnAh7A64BM3bOMnVvTOrR7KoLYSvOvupUyOKS
9TMy5g6NUoBkqCx8TUi2AWVPYEbGh+cQmwpykjaui0Bkb/Hwno7VC71X5Y9nFIXODk0YQ8khuc6a
8RMWWUK37TFLuGMohAs2qolKC6MtKhuEb6Ud9htRaaYvNEbfRuW+D8aIbLk8IqfnPQICH83zfohg
LIFiJxi75INhfh6/BQZRdVlhzvsC3bmjYFWgzQWBR/fGufLaytHuFJMJkuTOiLpYRgOjy6mQ21az
XwwC373StDq04iIjcJidUBrKi1Z2yhEFAkIOTbmWrODr0lV+h02O6EifUg8YzhzHcp9Z6VcTZM+G
hL3X1L2zMrWGM3BW8SJkNpl7Jblts7rgdVMiSND8nLpBeEodH7qUsDRtodgwhfeRr8ybIgoRVgl6
kYGnS80/113tbMwM3ZqIRXw/FvaOYXNNjIv4UpGT6Y3hTx2W6mi2lZ1mKM4vdkiLLhz23vQEcymi
Ngz7Ix5laUVHkjJIqUCJFBtLdLhBAn3v0ihwy5jC/AEYku7XS7mSpzsTVQ7eAxYgk7BFLYdRT7sC
VW/LRA3Bh93a5VF3X1U0iKsRzYFPwhh4cLSxQpp+rA6lZ4eENfYyruGFoe/gIw7NocUSEZ0bQc09
C+1TDxR57iJOV3qj8GNXamctOiEmGo1K3jJYQ+No5x3cBVRNtNvOcVfnT7ri7hKj2+fEjN+x9NIl
N1voUFn/VQ3jaoqNcg/ncKsmmbzXA9XYVEPHQg8jz7NGdxEtL80YzpGiS72hGcp91AmEHcHB6Wv7
WR3jbNMi2lz1nJs03fWf2CH6wQhLzK5kOePWRoVoO+g4F6K4GkzE15X9yWxGEqgdFJp1bUWbTskT
SrhA0CV274PaIl5cT2gphQVQVXXkLjdBIZUNlelULULLGZ5uFD24rfOtkQiyrm4pxE5DvnX5bUXz
l10IY3Mr+cn1AaibtuHWQAd7iHN7xwporJDi7QESWTtRvzUu11hhQhMu2OIg4EKx1sKMxZem4BxZ
mQw4V1ZZnhPFeK4miAMytNU3/ILPFMnVg45uIaSULKqeLkGfESxuzSZgjgid24yIRQb5j6lAO7OX
gaMaZGezme5p0b2UUcMMLiLALw1GTgFJch6XoanvUd8GHmrSU0pPAVzIizXCOzCs9DNp7GNlO8x0
2NbDuhhQoZsmDDusISsdLTEpOSSw1INNXa7mb/DVT4obfdttTDBwKAdmpNFJdMaREXjj2yZt4cLR
ajIdEXb28WPqpps2qA497tTNlIqvXo2e6viVt0Dcy648Nb0zvjRVB8e4zn6ZLT3jEEuGNxYUIUOC
heR2COPhz0e3p0HiDvvRNk7/+v+GXbAp1BuN8TCjD61TPkKMe/6Qtz9TSA5xPoL9mQWExT5lrt1e
2brFe24Yr8nQPCGQn85BXR30pZlDX/4iaTqMSRQAxBYPerqc/Qvv4IY50Cso3z1dMtBTKJAPuduy
oC9yVpJIM7KGRxtMX0hUlK0rn44zLxQsdKBp99lbo0FYTvs9TDjysVG8tk75pKbSOGcOXX9hoSQ3
nU9Muti0EnvwA8yxrMLmXR6bwcrQ5ElwAY6prqxtMwTIoYTpqUx104ssaAU1wp482qeAHFcFi/QK
58EHALkPTcOnkmUPqgx+SSu5T60FrYWemsEt7RxYZIPUf9c2VcbErfDS06q66xX6SA5Jv7+DvKdr
lMTLyRzxVi8Kv9tBsQd5qFT3h7v0sOlTaHciecpKXOmiTQxmbIXl4ZIAbc2Q0qiHr7F2rkHSqQde
h7P9OVTbgqZLhy7Ivo/S6W3sGmXn6DOImaqhldziBlL0fJsS5OopDihrJwn2UglfSmZWE01Q1IiX
iJHNOQnBa/c9XPylbW4lwzlPiu6kcSWb3AStPPenfH6fs6a9S+2s3fdh9lDhAPVKJWAkmauv7pw6
25n7N+5FsUiUAu4T6lbNxuuQUgINdKhagSqhcUc4utn3aGhviu4kBzEwU80nSXss7Zv1rFPaNT6K
ZdI50Ua5mkBunOK8HlQmqwZFEBJxpji1IQ9la3wmCU7wtAx86WYBXzP5nNlrrXWtNe+SREnY2iJ7
CZv5Hp76qolLl9MDPPHYWni7HIQFDdOZuYlifAmxz2bN3NVNdeTU/dRLaW9x67DNylI6+rJ81kYt
XmdoBnnDmPebuXFAj8NE3wk2mg62uE3DnaXMHybwdvAf3akm+MYdWWD1ZSOBCWfTAS85NjXtekQn
joexHJg1Gaw0PKNjrWrbNBP1Xqud5hQDSYvjbNyS9OExHc/QTmanGbs3W5V22imYuo+1GR4jBl1p
tIxYR193IkitrRrsU3I81ozS+mJGz9nSaQtdbFqT4pxNdLbrBNkD3XVPjcvDH2bpGlemCAw0l0hx
SM+hI2tDpIsFpheaKhfIqisUgIBg4rPVqvt9M6qSS8/ck8nc7m3EYphiUs6NfqLNMCH4WlI3VDR+
K/CrJJ/O7r62w+9RJW6gMa+9YW+aijNLDx9hbKwzRy32imR/WBYGO1sj3rVGc6eHrOBhgJ1PqQgn
K4olLI2gCKnqV0j5v5kCO1vIIDQwp2KjR/yRbAAn1NmUKjbBHtNDmFf70MGf4bCyo9kFn68MYicd
ESL4U+3VkEznrFFYszt1Ny1KGL1dAz2uV2UJJgkcLwZYvhS2LakVUVbh4+jeAopb/n7D0yvA3i4t
/740DlDcM+RciVjZavjpmjD31BktvDlVvoP0dk1bWPhc63jU/NKuxdGdjBLEMaa+0ED+yaDExqP4
zg+wbSseZJ/3L32UseoTl6a6ANxojfGiwV1mf1b7tLYCvDq1OAlIpqtusYoZjEMDxX4hsZPpa9KT
zK37zdDou7ma4Zo0qqcI+7cG/uFQBygoS40tPOtFwPjIYQTEOWuuwNEB41XaZ9XiV62tn7jAXTgM
QBCskBUurdGOxRATD2OkvGhD+qX0o/UCAei5pDeyl2y1ViScKUga+/xZryQbcDzFihufIE6TVDvq
EORqHDt6PR71lFlDFDNyrKrphxy8qyj19F0dVdr+pjU+WxMjdIyBNDbF1eGRL7vWPWdWO+wKYcnD
3ObjAfsVtWbk9RnEoDlQ0Q/FwVYL0it5dMLHd02qgSHpPBGM5yQjET/4I6WNUrI2x3YPQ00eB4dN
Jkjx/jiB9J5SKEAKwHl3kI5HzJHc9db0W1ixifek22njFO3Y7zWrLMS71GMZg0mMq6Do2FUNunvQ
bLKK+ZPUUzgDhitHMloYS7wXcpjRbI/9VpJLHrbieDvAsvrzkaiF6dWDKugDlujzkFuuBXPpIst/
CjJ0IYCuSrVpt0PWfXZjGx/j0O9SFbs+ei9nnMFqLAe7YDWvIpYPV4U6YlObYOpMz8hUCUpOCpyV
iGFqQ813cUkxKPrseWbEFSU0R/D6s1o4o3I/scqdcncGqFCU04dc1RMkCoWO4NFYZI/m+DhPxc4K
yuRoV3Z7rVPxwrBNvMLNJIQurnGCyUy8YqY6sbkVq3SoAAs35EU7ZYrLD8jUfa957gCqDdT0dF8u
B1EEr44WBz7OtX0kTZDzwxsxMGJvD+gIm5IPfKKjvpoj9s94QN4luGeS/SBAVyx/vtZVwz6ey003
EjaRjnAmoP5hBaUJvh5Sbj5jmmn+ZOvDcdC74YgaaDlZ5I9rZ8PhAtGOTq8jc68nfovmYuV4Rlm0
jyj5vKJOwueqiJU7cNfpquFqfdWGxWpBK2Vb1URgUxvo+8js321lKi4NM9RHxvn7gKyrVxWdxn4e
cdrWLpAVFRDexM6iiFhIxwVpBIP0026XvX2NOTvpvuzGqs4wCePIUk4xNyv2nMYVPxPSKOGcsNYU
TncaB/2uUsvmPLPb2SJFee96q/KUPvzJy+BO13+VqbPQ8U2UiRujSNWDXsRI4ZlK0cajnEtwQlv2
VUhsKIgKUDFhQQRF1uyj7NrhGNn0Cez9Ker3o2MmvhvEb1VvcRVTu/Zpo6xHt3in0K8O4/DLIv+K
G/24IfloB8Sp3cTZF6KmxKOXGKzxNiTMB5vkjPDtS8rA2jtgq5I2rz3Ndp7ctDP8wk7zX0NSX+Ou
VF/H1DrNVn2qwez1FS60aGFVmnWJYIJ5e2yL96k0r074TcSde9aMXR4qL7nSMfUE0DQ37rzYHx8K
0BEKxvkEIH6aK4+yjAHyY/lm76doxaeJbEmIFu5iH6x6V5lOZDSvDGKL1jIWl8kdukvaj/jpbc8E
j3LUxKu5EMcGi8XZXW6NJpkaHbGjnh3IcO26zT4RZKXkCCgd41Nzw2dR4u0huwh7qVNeo7SjUVVW
HkE/Bo6O4G1Kk6e4sIet5rKLaOiwlRWmRYkFvWMGunUjgIUpCe6cOUV9MA0XMnpszc9MFfrYCF+k
0A2mnmpDD8KmAIRhM0dxv+6AhJLmJbgn4c5tAPfhvS6HnW7CpapMu9mT0y1+KQpZIpbjXGNdEQ9q
ax5aG9G00MWZ7Aui7oRl+WIwq0O1NGRvj24H19EfgqnZQTig7ZsjqVQCeQ8prmLVw4jl5GJf0tm6
lKPg7s9LlbpAbsi4ajur+Pzq+aWprRUy6m6fqO1BI+g7GZgODNYv1aY0K3KEFml26AZtxxVfBziH
jWQn9DLf5emySwf1m6ZtubUT+yXO3yq1QYMwzOFBRN0V4haQFrs8TzXJZ/TFIJyJnI9b0V0E1S6D
1XadLRkjmmN+WHSpfdqW94npXBzaKozTqRHnrto2+jmI8/GBDtdjblR+POXdNmd05mFiONtulaz0
oU6O45g45AJwMlmAqP2WOsdx2WNWzk6SLrBva+zqTh895IlW+uY4PrY4LoHrIJmMCMmU+EQkHidf
FcDDYRGQaeJMcBxbxXmySm7ittP6aZErQMlb/nx8qI9DKL5C7c7kz/a4Vhi+wu1Xc3y2Lgqui7rR
7JbuK3auLQYiZ6UgIljyRLnCxbqbLRw2rmfVEnwTUTgs/F4YaECUDKILRVZM6K3GAA04uuDIrfHX
sb1qQGsdTQj0rps3ZwN8Khh4x4TjEGtr1Yy4vK3uWculsqcrhSagpZbOlH2RXTqQiGfW1BfRsRG7
qh13aSeoG276b1kXfQHMWpjwIbUCq+FG9th0zPnETWtYQfvD6hsNL2pQvSlao12pblq6nXHl4f46
O1CpmtDST3icf1k5QwwgLYFfLfvwOHvXutQhqC3kDOhpLlCw35VsdykPngTcdijCSImSCA4Tpg5A
EBOMXA25IjLOtE7He8VIfa4D3p+2vuZacUSR27NjU8SGV7Yvt0MzsYmZVfYnlqV63aLKlUwLj5ZC
3x98e6K9Vi23/CyGBhNNnGfdqCLtBvaETzUZ/KQjPbg39Udt1qtL1IYbfaqXtZThSJC12srK+n6b
STgJGJBytJT2Hn3xO7/nIZn1714Vl7y1md2AT6AmvnerYVssCVKN6f6GqmP6BaLZU8lWcz0miC9Y
RGA9zjCnu7mnuVfoT4WGkGl2de5PyP1He3AZeQrK7Sl4qqz4iuTywPR/59ajXGdRTXzKCIiMdolh
RB3d5HTbdv1TAIhgOyvmWtiqyfzIPcoO3WiSFm9RrD9pgGdfFAuqKFdqToU6IgjM6ks70KBoNTSl
oEHxangKMrHVQkyn+RU7dLrYmzb5XeU07c5iLALiethgDzjjFldIne/GLa1OT/RxetA4VUGFFVa6
H2vl3Q0omFBy7iJiHRU12ZVK0x5qi4kx3ag1QUjskFGQrRULiSVC83zHtb/rmqT2A30mFQJfU9aG
aGq7NHm1acIGSTP8RmvcboZFA1ORMHKXDdoxQUHI7u6AAhbRuJJbPiFb/X2i25g+TXN6LfoMQ7Mw
il1smN3dze3a2MlHyqrvThip3GjYaKqqrTu9jtelIAskwdx4AZYd+ulkZY91i7E3VAL1pSW1YMVw
5kqah/z1ZitZ9YWgGkGLKvtLoxhi3/WmQp5lL54cw/5KyqT5AnG7/2/2zmM5diTN0q8yL4A2dzjk
NrRikAySl+TdwCihNRzq6ftDVlm3zZj1ovezYVlVZt5iRgDuvzjnO23BIsxuPcK5QVAKoh+AUAvL
jp/wZutVLWL1HfI7I6IbGV3m1NESKBt+NL5XZV04qLqLUmygWZ6Vr15bPXVtHXzXUgHLIwSHrkOv
gt78aDzW5kD/DTjLPmp97CBMb9mp9YARVFXl33jiid/4rjD6ESbldA9xPRGu7dk+iZtV94ykyFoO
uDTp9bMNMZjJr9NcMkE6LG4t1AS+xI2b5cWrbOzH2bOm7wY9oAidft01ShKJNqFg4slbeW0bHycV
EmsWt94xFYZH6oAPL6clkkljB1tN6AQGXOA/UxK9w9EL/sRu464tW5w0CU6Jtxsc66XidFyHEr+K
oB218Jge5DQa2O6dV8OS7brLZ9bnFa+tzyp27rFgB01+U7l1aU3c5YzyvUNa8mVNcGJ5+51pU8eQ
3xmScnO19RHixrDW3i9TxM1YM7d1HAt/NzmZXIvTuLLL6M3CTlXjsqBeJ9dRJ/i10/4YZlF7ZFk2
sjH4BlpB/BeC2hrM+bYH2rDJuv6HA6Jz5kvON4jYaUfFnfIMVB3dpt5Vyx+ZYvvfWMbwmST+R2nl
V3KW8iUvBRma+eA6pP9BC2E4x9pchsisEvMLf2NI5Ln4YWx9E1If8K6S5gs8ZRs105+2/Ns6hLIa
LsU1CB0CHiM68MIm+nVCda13/YcVxQX3KB9YNMw/dOWHKR/+OF7+6NCgSJd61I3pSyfKI48vIWhJ
erEC486J4qOhR2cDyXHxE6vvTrqXOc9uXq5+MC3fKbv/y8W0HUuP3AuflXLVyL/8LrvSZh00lu0T
mVjtyoi43mugT2v3kSXgU+chtDbTaQulHbFWNf+Ss3uvkrfG8N4BpFf47AeU8EBF3OytjS+9Ya+M
xT+nu/Ngt7vSkTvVcgmF6V/mbxQb7JIEIXiOw5re9cIT2WRLOHP9Njspi8mMwz/+7gIC5PuGKVVj
tn+wxT5k6AQLkXyxjDlNkuY0FmO7Ad1dsvfwzxZEDbANMttVzXeQhOVD2CtYrX2ysxP/k9P40sgu
OAs9g70t23uy7le40smPsb0d614vMfMNEFPurUAhY5zlqa9isi1CCAe+eO9CnyEjiCSNNeo2BMlb
3qN97en1U67ye74ZBncNIXY5XHM9h83NILzi0KjK2ifSv6+WNNQChOVh7sIXEdd7z6nElWfnEuCt
O/lOOF3dlJp/bMN0GyPoXLuyRLDnJX+bhsoExi/2ZWNXd0l5P1cKB3IcnU3uH1yZASWj5IRxXUr9
MGzhisLtGeogYDJ9H0dmuG40wsqYoO59DqWXYqtZmYKIi2qwSAPqBq4WKaa1jj5B0tf8AYHYpP5w
SKoOblp1jhrvVTcx6zfdKvao+P9q65xHDzOE9BXUoXaN+PdzIBN100agwOQ0MN8ku2j2p48Q4cwG
oV5e8PjC4taHNHCeMPhZbPLYPgJmslemXQVndgvzJgDRtWxuEqLTh3//8Cp2+d7Y2/t//YUWgN5m
sKk/7KrF4vxff/c/f3kswgnz+cC/85iOhNVVL/AgC4CdFpmMo2wciilGqORA/M7sCgdYE7uavI+V
B1i99ZAJkZFHhajzd4JlcIQVLrtDMzometobpti7fvyBe4fKGOEHtQC+aTKGmAyShes7lHrhZjbZ
tLtFjLi2QJ2povbJZHCyyQkx3ICcrhl0HBlIpOvMonqK5m3ha+SK6QnkXc1NBXfZkl/JDBHJ5QBZ
oXzb2p5/tBnHkEaKmzPo6k+vsdi4+o8VniBOdP8Bf1y+IbUNJphLrpgZQYyziu9qEUZpk6DQVBUA
9NzHMsZMnqJ9gUDjeWAuaMACzXprVKx1vQyhmMCPjR4amOTgLWx7/J6xPluTsdGRAHrdZR9i9IpT
YebMaZubHRdPA+KNPTqSg8me9RRlZb2rkoqFdKj8Y47pF78HhywxuUAG8iG7EAzoHUfE26FArWND
96c3rcsdFjoQzawIN1ku38aa3jWV774svufRv8tj9AiRQnBa8F9X8MW4plGQbds4winV1Ncguy8i
849M4i9lp9XdJDgiizh+ItFjXDm1Thbg6g03CBmkU3sX2MmuxbO0nlplrfOaStJmERvlH8qb7qqq
erZ7VrVx2coDKh+c88kHi5RfQSbTmmWGeR8Z2c30w+8CEgvQPZ61HJhxjvJtrlmYpSUBPkHkZ6iV
s98KF/OuIiUhjgJ/Y9m45kIx73ro/efMD5kvRsXH7DObZ4AVMf0lIip3/PRUd6sq7/yt6N183+Qc
QwE1tmxVsHbs8Ra63Q24z4urpjdJj7n28yzdOkVFaZmo7AqJ3QqeymHGcGj+EEBIFk2HBqU0z+x7
mBBFJGolpTgJ03zvPRTEaONvTQ3qo61IKURze0qQaUKjjd9nS2+GRpPvOT+LIu5uqatWrTTih6Ik
OT63N2oIyWNCX0KQEo/s/xfKTv8SypLU/D8LZbG4pXHx8X92H235f8tl+cf+JZc1/8MStiWEUK7r
2AQpEx/8L7msYf8H7hQfWz4Hq6Okp1DS/lsvKxHZeianiLR8Tl3hk1r+b72szx8oJXcNjkuF/1Oo
/41elgClJQD9v/OLbdf2XGkzxvH55Uzluf+PXjYx8UWkqbnWtv81wotnqGWjbcvhUnWVR6PTWGDI
3J6DoRSXotumWsoXr6MgaxV2AhU4GA8jB84vRB7SchgHx8FRjNYZww5SlpjXHC/CN8PsTzpfZo9e
MwGtwJUYGjC+IU9569of07Pb/POnn3SjPk0/d491i9JAt6bchLZ+tdLFLi1rZ02pi0fcD40HkPIv
qkD7gO4m3CPX+p4Saa9t5R7ypmYCCzquN+2nimbKdfE3EmHBRqahzClk/IxpckHTRIw8m5Gcba7G
9aiSXVrBrZiwwp/n6WxHxnStnmWFYMMaOZgspvhjQOZW3zG0aTO/hUD0OZJrxlnsJ0vvOO4JAJUZ
5v+a5uPgTadeQOmHObdlNEYCX/Yndvi3dPprSbISR2h7H7XyLswLwL5jUN3B87glHlSzubGvMeb6
VZ860ETTP6iJ1rKP5UsfxRSHGQGj2EuoKA3PX02VcYadkW4I7exWAtX7WmdgtYdxWLBH6HUm5w7E
Epu56b2V9Z6dHlyPatpF5ejv6UiPgh3KipLd2wNsYaavqG97By0QDPzg5sdFu0nxhECgu4s95if5
kDLlIftLOtDPk6pFDTL0+0jH5SV1ix9GvPBUPTywIujKlU3kwGEIfx1vEmg5NUCQ6Lman/Kim05h
xIcRG150NdvsFdPNvKHr7npiTnvcLmYHAtp3zE/fkXedZbA3BMVVx0RD8TisQ2qZIMmcQ5zY3yPY
9U7m1cZ11bOeRLy3VfUZD2I6QLYgMzhBMsc87iE1ZoqMLkNLAbcYYCBg9tLqKgj7/m8AByb3cHL7
rDZmwROE9xheS1GZ+ASXCLLGfJ9ZmhdUXKcI1wPGjJ2cK2fXRC2cAqDkyLnSfC0tnb459RIvaq8J
VER7kBV/XDM/2C0DRyBvU9ZHj5gZ7phebWEWuOAnSQN0uuZNDdSPVU5sSh4w3oy8L19VM/DA8UUD
BYAV4b0mhNnJnuB4l9JlxT6ICrL4KPw2P6YqPyHlrrZJGdeonvud61u/pt1TbdqsqYcs8tdVW3db
YzEcViimIjUCbbE2Obq7XQlEj80FdkjsZ0iMcKvbKtpYKrsNSLzZ98pnIZuNazfNvhqGjsiFZI3f
HuhXLcBPoPKiU3i3k/p9gFS3wXr+MgMRW82jIiHCbkF+j9nT2AXw1gLxKgN5sar0R2Na27pz+xG0
vAnIUY353Kk6OjlNTd6lVb/2RgEFaJHXtiWaay9ud2GRNgfgCTG0SUqAtsx2hV+s2TjdG36u9pXd
PIxGHO/7EY3dCosdr1LY7GLs9sJBvBoGSMxzCHv7rtRXowz3Lcq1XRUYr0VckrGcPzcuPhm/3Zd5
Zp7++dHabDi11b6zT/xTZW6AK7djSmoltI3c6djrerK2a9C6Lvt4sw8ZPRYlGWRD+DjnNPm9hRkW
ioK5BP8d3Lp4rjm0NwTX7KZBf+ig1EhE/VeDlDyZRu7WJeZWZP6wlTG+9HF60F2dXLSa2oOf2tfW
kcPJugsWFbIyCZxvW9bf//yvXeCiSyOIZmS+lkTTRXMdnZSNprNMvPaUq2NCNNRmHuixY4tdFgU6
uDDYZvTXmzph00TsIXY3ouVOttmFLHkJm2jABnVTwW/UtHpdpwVmtEXeq/mSKtuONplLKQMi61VN
TkK9Ge81fHk+g9RdoQR/MGTK/MgjgMs3Q+JUoIqbLRkBo8mf3CDx17J6rjKfj6Wk1GIX/EkU0rS2
BL8gBjlSpj5mT/wBtn3/jwr2H410Utp3ApjOxim81yjGw9AMvU3ajPvVGoK6iYKY7RRey0Y5rBJ1
8ZdrrWeE1tcXhv/+1nR4vJ0c5nYZhTteLZjwS7M86Yo9LQ0ViQz7KewuaFsEbWLyW/jA0DqrIWJn
EaKXVtHtsiJ4idwwuUg7R2lkdZdOQHxXoX1M3WfUZAgNlQnDyREugE2Us0Xzm4Qa1Es7TEffLZsN
gMlhZQ7dsO3a4sdZdq9DT7KHj3xXOO/EO4eHWmqbnWVVb6FGIuNv642lc+9QJQ5hHSl7ABPMq0iw
YfUjCPjGEQdbZffTDKUps6DDTID+18Dv5ryjzUnSHwgCj2WOHc4sphuIKvTT9amYm2IfjgwQGO0y
L1W+tS9atTd6JCNh7r0u2YrABw6xbNBSFCeBjV5PnAZkz0B+xJMRgr/b2iw/MRuQAujVkFmcLgm3
DtJmby5eRb4Ozf6ewThEF089DKSNwXhIwS/g4h6PQTv+nVpZ4cdWW8qc5zwoIUPQ+DJSypx5WA3q
AtQNVGvUHYe2JGw2Zn2tmw6sMVJhTzBxsuZzai4XOHG80ERURnnSGd6BnL0r6X570BQBaa7Askw9
5ee86r5mETxlM6IDJ8TWM6u0ZMJdc+Q3Ie6/+I8/2nKPzeFvbHT2xkmHHFQAyeV5NK5BjShotPND
P0bzwXasO2rEv3XJEs1ByQ+guKsXVXUEkZtd19iXS0QRglODiDImNP3KnXS+M3nXt/B54KdC8nXq
Zt4jl/rK/MpZWW4U7cbc3NHcuNLDfle+jQETAdYuu7mbvG2K7Cga2PmWGSydRWRc8YpMRZPeVWnv
EqhRXJl3XByh9ugbcwIl9btRyD95z/BmHICGdBKgQ2AhlnOMGJYEgqFyNvZpmH/w5Oyj2bvMrfuA
Z37T6OYFuQ92UHMXLzxQ6LjdtvSBOOmn3Lbf5lw265zuUNSeAyaqRek7IXHOzS0EBmQnPEIoSR66
BqJhGJXTxukW8UjTftf2eJY8hXhynko3+JBOxwVVXsZhn/rTmSEH0G2kv9NUUi/YtrGqpOLamG5e
nTcPfspRNy25qHVMqpytELIwjd5b8bPJLBZ6o/R3trb0wevpi13lmCv0Ek/uiH2E9RlL4GG6ODlK
DW5kRoojILEkLbs9ARw4kGXTQUEowJdZZNpU4xdWlHItvfxTy2E3OnXBiFrKq8i4+Nu09bnCB4bx
/Tis7IIAxzQZt0m7wIUMDV1GvEskE1uHqS576vBgEOcxNBOgFgkTvle1tUUNg+s4g9nqiD49eA0c
8i4oEc6EG+CkyR27cpBAnlnh4nKSS1lG5P8tP2KqJFcV/WHuOSxYGjMsaRgHg/jhduzUBm3wGavL
fDLGqLxOpSquEvrMUVvu2rCeSx3/UfEoH5JbB/pi5UozWYdgBaf4nQSc5QtTD4Hnv3STJQ81K39g
zwEqygA4Deaq8W7kMk9ryLdzc1OZ6q50FefIib0rB/bbzOG4byrzgtoREQxKAWUpd+t3jsBKQow1
8Yr1PUXTrszc55LscsS4aiuX5AtdDsVmisiMAzPkblM3hNmvxSIVQwk7LBYNN0JJWHqo4VVvUHo8
MlfD2M85gJ6QCW2wxMQvBiWHice6rNA893HP/bouJ2aHQ4JQy7fIVxV+sAZ/oB9s4luoRAisoc4w
ennPcm4z4DAeI86ZirwT87to0AnmHUDzHvZ70ZhMgplnaKBOgc+2PnIWCAcpJ+1rithpW5iSzilC
g2qQDDfzGlSO90XBkW9dO2gA91P4IZXysxOMpRqoAHjwbkj+Bl6b4ZOR9w3l78r2+C9J8bdw2r2I
NLVmoYgTYTRvITNA8FbLjdE0h4gVxjoji2tdWlZHFzS81e20YSUR4kFJvh3bemKfvLFGmg6oQRnD
TQnyxbxZffEUBAVqAHZM68LmEE8NtVniNHsdnnsFdzNtYj5EAD+TYz/ByKDA7dwnu4ZwtjDCoAXd
rHwZUhPQvdL1tz+M+8Fo13nDDDuh9tsxeSy25PocEyM8x8Z4zAMpT8DXiZkPyBqNB3s7x+KFTWyy
m+ZlhwkLLbHcc8SnkAnjqZThpov6R+zp7CsAdAMnZxLpe/0xKbLPNA6A7aQLbdfO7yXfHHKYG4Cf
aDuzPTVzAb0bur/F8m3CX29Qqy4fWAHbgy9pJEyzT6rd0Mwe3IDDyHvi2LQ6o/bGTWz4j0EbXqLA
fm3G4lgL/4GB47c2c7649MoRhvac+4NdZMirHNzbc45RIylfgZKdmXk5vBBtzchsOPVcdjkzr8hn
fEnqnL/HwLZyveJmZl6+stjImwhlgphYbkhPC8lZ3zRVihmzI8sbcgC64W+s+EgmHquQmQDC8AZv
+sg5ygh14O4k7+ygDcGAb3rBPXZYLPwAFH98NwDJErBOKmAnp+h85DCc++al78dPI2FuIMKt0VFS
tCJ85IwC54xrw6nr9Zz116aqWLYhBKYAuPTsDtZ2w50QBhmRFT9z3O6lTKlGpk8DtNemXWZ7s9kg
8c/KOxD0oKKh7NlIPEjv+2NU74SxTTPRJvIcWbjwpr78RAVnFfMnE7Inx1c5iZSU+9abIeNX1Db7
soKJKEEONQSTJqwNjaK1F5Y9gAQdXTkNn+Bz8cgSel85H5pe0Jcvaqi/dQkSLVHjrk3j9iDD6zx5
WOl9f+HeERmPZz8TSJWT2XpxvelvOCDzC8twCytrq6X15A76xNH9ixr8anvikHTqi3XQC4mTiACR
ZaoJI49KiJCdQ5B4wGBJQZzNi8ieSNv8dpZJ5CIhAWWTo2UYPeSYoJkMHuZc909VxioRbW5j3SSq
v21OqAb64b/CKlHnkuiDEjUBkXAWlsX8YGDZPI0PvTH/5aTm2Pbsp1gSJl6VBflhXPeuMZ6dkn60
ybpbNHKbE483MmpepSbgAITQd2meGKtmgSMgOSF8Ol6FVrnAb+edP5mH1pi2ycAvmvD5ZokVIyru
b3GA/NVMT0yd3jly8QVFwcUqLRxS8YSKhCGC7wVPTRAiUqgBGnHwwkW+L8rxxNzsS4JRjKOa6K7O
/Ot38mbNCKhCec4Gi/JXol9PchCms35tDGiHScZwRxcbr3H+mhYgs0Aj1Zx+xzB+GUPviPaDw4du
foW8eLX8ho5NXkBQBxvhjLfICfRaeYG7BiZ+ZrqK5BMCi5tfRyOITz1D6D58mgoRHwYxf8hy3Kei
VvfT+NV0gbrQZwLV/+WJrs6dCYtFv+duj6ssnQ6pN1yb3uGSkPgHtOL6bGzrRfs9bd3Y35UaYjvp
JnLVDwOGDkCrE3j5Scpw5zRS7FA+Qn70kjd4w8BtGmS3mUCYnMXWiwFka212sb5SEr0NlY+LpMMw
Y0lo0SpSD5bFZWf6BVK9wIdu18Z38+Q++DJ+XBYP3tAMB8t8tMreuepxXAAoqrkfSn3fkcnFPpdO
fuabGlVzw2BuHODT7WvT/ZMWX7InpTBy9xorZtbpuyCr2WZP0AvLtjiQq5yuh4pDPwoC1FENyCdW
qXMHocK1PHL37J9+kPmW9LZ5oDielLo6QXQluOncuGW7GhIUk8w1VhJn9XmUTBlokHPWwe1YP9WN
/uyIJICb3f02Rn7nVO41FnhWEZy8Mk/fJd50A9H10MnmvuzMX5O+NS/omszQH/fGYBCtEm7dFN99
OABP789SL++ErdUarwmiy2nl4ziOTfFDcNMfJzTBrDaXwIE/W3WQdx2q3d5WN0+8lcWSaB9iP9JC
HEqET4EqMJMvdEEBtBFom9pazRAcnKw9KYJ6kXcOJCmiFIf8M6VnoMXhvRBMqqzJtj5FeTN4Wji+
sXoURkp9kMB36lPffpjjEPlbl2U7dqomz0xzbkrYZ9XC1fQz/i89IPrPdW7aGzrSax226KV1/43u
rcKp2AO25a4n8fZYSFF8lj71ajNeJ8yzh2Fhjvahi6nWK2+tDqMjcvsZ2q/jsZT8YcB4kUvCcPG5
2Pc7TbjyJJ1bot1Hy7lWnf87Q0IxuhH3bTuSYuI/lL7YOQPcymI4M4N56tJqQ55efPFD8pArczvS
gIs8Wumw+cUDjWanKddob8aN7cpv0MP3PhLOrbQtrEhjka58dD2JbEj/nJcQSy+m+vzSqft39Djp
NBPbMsJeHprDI56z9FgZN885F4H8dDub2l/0hBrhTWcStmAOPbwhTn/DnQDpKW032KsryL7d0Vaa
1TudOuG4W2Y0TAgcYgxm8ViISqzRMVorKxvfS5nM1zrtsRdoxofaHKoDj+d96wCUT/MT8Lfc63Cy
9v0uISby4JThkd8CDAwUtlXZE2qJOe3QZZRv5jTxYIBF65Z7ANWLxZvqy2MWImmC4OmBN6/XcpyY
drUGxvq4IZfFb8nAgGR7mBxaumVyNVcDSKE4fSXvIMYOx8zdbpkeDupFj9CL/ChkCz7zyszNXk4E
sMVmtw8gWbgF9Cb6jpYZ+uAvWgl0eYOFPjiol2EfDFtxREpFCHxUcSMqivie8CaWwj0f5RA9QMtJ
1kFKuxRXKWpy4xed34MjWGwHCamWqC+YXtzXcUtEUD4g5citcWd4XXvnhPNRBiDzWIzXMn8Pdetu
4EobTRrucxHe4XPq956FxM5OgVopp2KnER/dJEwPEmcGkjs24f9kw4EmP4bp2K7npJtWiBG3Ld8H
GR1gERBd3KYuSPbGskv0e8wr0Muof+rG54VWn3NpPSc+GbSyr8GezhiBgXJseH/Q1LZ1xUxpiQnL
PmCre/deAXi5boW8CzwVnb1sQC5MehSzdOumGJbUQORBEiwa3Mp/1yAEol3m19XNdXi9bUwP6znK
FDoFPuisssj7ziv7kDIbH2um5Z+iYOBtpI/s76dHt3OPvZ0RTxO+daY///FxcSgDL1Ef//W8JtkM
mCuvhef9Wk0bbbOJJ9kTkPrjCTxA2cLaJ+aUreZPmY3ytPBfsA4zwNHEyCQ6/vFMfdaBSN914w1g
D/zqzLRzYzb1UzAbfAOEWuw6NBhHRnAEoMxYVSSPlO5ZbE8mmAShIRCXU7unY6S3L+yfuBgIwJig
lqWi5W9HNbXNreYtWcjphGcWp8Aq7T18uH1ultAbyoKEOTVTqiImxKaEqv8QMKhxTEi0roLmH7DW
pjgDEmqkgvTIsQcVD5BkxZiqIb1kZApRdxwgGgE1XXtgEVrk1U9G5TS7yqJZ7EP2G+HGm/mrcMsh
sizZRI7JDCCdJAAT3NWeeEwKkl4KIGeU9RMykeHo2fD7rPw+EeAt/LgZ+NrI2LWakFiS9o/t+2d/
NVQyZRNRqnUmKd1HRL0yxKYIzBnlS5jf0GZ9R8741hrJxiUhclVFmPJrho8Za+XVpAbA6jGEMnBL
dZE/4+7Ltmokagj1k32rhf4YJu81TqsG/0K6wgHbbiJ3FGsRC8pBprC9zQ2J288FlibuPdFVJ5vw
T4n50wopgKsFOx4H+RZZIjLUHEBwgJwOaoo8eBmASU/zOpdhtk6dEW8s2tYVuerDNjOWJDBiEx5b
rBh6nt59HGJ08od+rq4AptNDzcnZoBK4H6CG9iCtN5mNkK1zfhMWi0U7MEAvi5J9CeAzFPpr6TbV
ETbQo2Sox5aP2IKKQIKClXiPn2ObmrCbh5gyTTmaSKGOS6ZMyXolzog34GD59kvg9cHdnA8/fiaH
fcxmChUnUEsWpZveq3a4Zrw9xqN9XaDWn4P2PbW2nAD02HlMBo2FNMOxfzsyIg99WjI5XWbfHozB
eEK8ZidduY4UgXVFipmswalMemC6ggVPC+43j8i60UUGDfu6uD0P/h2RWMaREcajnn1AoXZanmIb
s77ILNIlawxklFekq2XjPosdax9W1mpOvPokMvWZLydCQACrWwGrVhH7wzkMr3aYNI+qizpkyoyl
VCY3bu++NZwzEDGoHUiQ0X3/K538SXZ8zeNIkhRBTJu5a/uNbuVL2Mb2Ok7aqx0w7RgSfM5EO0gM
DcYX1rNHiWBrQ3g9bfoE+9Q1mnXWWfkulf0+7OUNQdRKY9fYB6VakZPDCGAcq3s6ycRamlxuhLx0
+N06VM81w9Fh6veqxEVJ9WPC2XzGKEaMDciftV0Hw9qH2d7FrdjCq2+2YUqlSKgAtyT/GTFzdFrr
pz9gWziXZeCzwOm/Atle7AA3ACuvLxCJ2Zk+/wdH4MSL7OMiKoBlx92str3IgSWo8MGRbnrHcYqF
GP4nhB17Mw0Mf5AZixWFylfUgfiO6i47xwyrqpHqLaS0ZUAebWLPKPfpoL+pvtgkNAi+43w+daj2
GGEIZ2NgbgY/pZ46aJxsy2dUfJl+QR0kL4s5tgcJfiVQ5i43JDZ05EppAJUEWsTaAfd2GpjVOMmG
eXlzgEZabvruh88W03E0InBmpXUgXvcravIHnTn+1oZtAMKxx/jY7WvoH59jjkjXdfvume3Wc4Ue
AfwUtwGxmstzy2dsKbve9pP9ZEVoBKNco47q86U7QIMVV+39EJ+mKmrXDdK0Lbh0rhLYIejyENSV
IilXIfFIqFxQuXtQLYZAp5dmeQqwPoCGNK0JsSo/dB0HO88Pvkdy1lOTGgh2A+kIqvl0pCASfDpn
TWiu7Z52a+EfFHQg5ehYO4KdD8pE4Wdlr518MCd/gMTRUtqJJiRgGNtB25KjZ09y2HI2Teu2/xun
jBopKflBS3z2NdVl55LQ1Ef0lDAD1mbC0WGGhD4joTzYLvopNwo+qhhYgqNtzcoMJHnmIQeuNKI2
En0I6W1gw2SVvyZupNyhTP3sF+RMm4AQgFu1YUnzM6TzW0eUz3ooDGRJAS47yyHaQuuNJo+G3QfS
SpHuJ9Wro09i6KqoSV+0E/Hau5N3S4SiFi3618ZW8c5YW9BVyRZs8z1fg9mmz7qcgq2wHy0AkipV
YhNlLS+0y66TwBWunWrduWF8N+TjdGvsptwZNRtVNcR3SjH0wYy+qP+8ejP3OYrHktRpYV/AU+d3
TL3BpQXrShN0Wg3VRAHNzs0dKBr/8afZBCUN2N+3xDLydSMnm+OMuTB1wZUwsnUoFA09+EYjBnkY
VOigSJR57QR51xN33TZSAbzIjvA8lZHBHn81KIVPPeeSAfAUByr2aKhfB5d94z4aq7MrFsRNupCg
pm/Tw8wN5DTCJx3tJHaIYx16qwqKw8b03GPTSL0ogSmaqcUBBAESDpSZ3hd++ltEBK/PQj92Xvoa
Ys5n6OixbZzM7oBCQgxBvnc1BhdFys7Kb9H6Jcv6fPDEYjZgP24iU9BLg04O6KLDSqMjMSPAoPDj
rud2bl/ZIPB0qvcmjtrDbCqGhi1FLlSWA5nyJeKOKTwNlL5T1fX3pZOwnhLcG0Vba/5WoOi2CTsN
LMO898WzdOW899zwQC7jDs9cDQI0X0TPw84hfn5P/OJX3Y7RXb+Oq8i7WI7rX2rPfi00VOZUMWi1
EbxsRkXiJlgNhIVScNOxqtxaCr2MIUq4TEzh40tUQ4RN4uNSwRKCjg6jd/oaKoJZHMLOeRKRsQxJ
uShaIiLGquPZ9PJqKwI2F/nivjYhfGfMT4paR7uqfOiJEXr650dTT/7KZC9sh621maPkIvIORNGg
zo5IzF04Z9/9lDIz5XNGtj12j2ZmOzubfAzmtXJfWEPKOhKLeAqVKYlKiBtsbFm0yZ0cLPYarHm7
Ym7PcR3sdRIJnJ/o/023zh4TUffXuvU3dl+nd6UbHaOZf7hOrGGR8KZH4G79yv9bSUSmledVLCyj
HEcOPwzBnk6e1ByJMwl1zKhwnuKL1yxEjLNZDP1aGDE5x9ooVllcNmtnCBjz5v1D2fjqiEoE71fU
EPHkTyi80QUpmxAUKLZPsQIpm8hQgwPWQMxVXmFQF7Scff4YOsNzarElnOIQFMvYpEjL4QGO9I4q
HQGzqz9ylmhwlmmaEql/deLs4lGJkUCmnrCq6heEM1scG+/xNHjnbLSrjdfrE6kXDj6w+urk7YLK
xZDU8Sw06Omh/M8CtHpn7+cKJJbPwFGoGLb1wGrX6rycJloj5jH6q6xV+GgMCfRcZBh7U5IPFiBd
D42YCZH/lRpxe7KFtBm+1OyoLL4r3dA/pblAfjWNjARk4CHc6L5iD6bof3J3JruVI2mWfpVG7xmg
cTAjF72586Cr6Wr0DSG5JM6TcebT18fo6KrMACqBXBXQGwcS6SHJr0izfzjnO4o86AdHqL2bEHSZ
zNpeIDX9ngcHqXiOh6KxFc23j8AaHN8wIomZWTqsO5Mv7Y07TyCxz7PE3lpO+FnxA9103QzQIrMe
e+Bzd6S2nccpxKcfC2fn2u1jMEf4bMaJbiG1p8dRDwYpvvHBV8P9KEZ5VwsKq8okpyMUSxQFgH3H
Spn+k6Y2JCMDgiwGoyu5HxMfL1M8ynET4n7ks+k6YgqZ6pNdsGuUiDdY06eleiA+GTMOZxz5nKCH
n3V9X/eIV+XokVks3qHE2atRx3ITs1A+KpIkzJS1el+wUZ+KcG/CjT+oFHKDjUh/DSHw0SFheUPo
t9w29aktvfTCybaqCLlalx1GFtmbL5Vki1IaGbl+E498SO0LUYLQ6UazrsqpQb10UWqXzS4Ih/Zi
sNTcNHQrq5wevs/8M9McqArEzC2ChEkvbKyqv8EvRWoMjeqqcGwCUfBJrN1BvNVz+VFG07RxEkho
ftV4Zw+x+BI08mkm5NVkVjbcspJcDT578mZKXnNmupt0JqrGdLKN57TBqlDGU4evfMMBBlZnSt5a
2YndwG6T9dfatDVXTUZfKzv7mtYFEhr3s1HDCzp3bwu2WNFRAIZ2LLlyCR5dlQ2lQOSonzyu32Pu
VkxyQbGho1o7Kda4ICkhIwBKm625POBEPdtRkuxIDoOfplAE6jHa94XxKFTFzNjyeEuDmkm021OQ
zsccwbWTRXdODlJAFDwfmq6ndD37kqtip0DYbfOZHYiXRcZOYOxcWUm1jDFNj8JTwPebv23Pao5x
JdONPyCCT/VWIP+F12eROFcySKD6W9mZEjgzqNdBPMK9Q+lptfq+SbS1TsfyTUyuvw8xcJlOcHYk
vHGjMvHGmao+C6rcKV2M9iiRGf2FzK8DIOGFaZxH8F27RvCiE+icV9EZAMotcvqXIPAc4CBRtaoB
vTi5Psz8xihvM6jlRXCJu2uWsYmtNGoecAtLxhcPCSA0BXenfEiLkrowui8SPNT02q9iTHduXn7G
0mJ055KsScmk7OAz86fmMCCuOKBYpXvXtXUwk+SDEv5ZjtN4h6XkUhViAwyA/lYqZiameGEPgVQ6
3Vk0Ek+O/5KHc7tRKJ3uyyKjoCogx7AlZmGRWAcH4QvrMInUMQPkb4eMsxi+V2Hjs14TTP74+Kgd
O6MO39GMLYimqd8VFvvPYflyk+8dtdnkjxkvnc8XTApv289RgDi1g6mKXGGt8mVuW4f9IU6Z0wX0
QtsCV/VdzS2CWw/dXmdvhmFotq1kBIjjbt8KYlzDplyz7ixgJJH2xLO+S+Lk1m5ThhU+utUQO7Y2
gQLE+jEKnJdGYzSdS07YiPOIuqXDRmPlj3k4HXoHtCiY3Rad5VCynsZlMiVyR5QMMrUAMjhr6azu
H6kDCXe0EyyaoJjgobTZWvXux9ofUvLTS+uWv0Ar5orxSH4II5z2LQ9aIHVehvtKfwINyxmrxifd
qhcvJucyYRgKB4U/7NT9oA6nhWmyY2qRGjg4X3HjlweADryyucDsMa5duQTqLXenPk4l+1u4vuEu
wwG9twi68o1n5gofKsbm4Ofye3QwYUKyySJEYw7lU5sUCRxtfvlIMUhg9A/BWCEdAPfmN11y4KV6
9fqmYvpuQrizp+TJV9OeEursBf1TkfGTjWP7UdreU5lAUkga3kAuVPb5KDk5Ggfkq2h1tVrBOoEK
WPCr7Ft3W6EFP0dgd3XX63OG0wuLStZt/ICMFFE6YmXaL6nDbMG3WCxMgLDdlPenppnnhb6bDJVe
QRxyEr978ZKsWU7+yUiyX8Tv2auqYpgfYx1Z5wpadlBh+RagKLZNW7hrnt2tNzr9b2gPxLo58cYE
w/lovEd1+NYkc7HrANJigywYFyU5Dyv3Cv5b/rLbvpNlk58R0G2qPCa03eqrBVd3IIsJ7yK0Tqh7
GY+1wJCUBFKB15DuxqEWJC5JJlt0MsWmY7W/LWfr6sf90S6s8uClBHH3QHCWhnlXxF5/CDswMBRH
A/cS7OQcUwaQtntAQIDA4qehxqQfiRg3VmzJ5xhPFEOtTd8RZRJBoyK0ct65jUYWyvXExJ9JHdbN
s1HBXVNpC9nKUutZPsHKI/YGilrbW5vWDmB6lcUnwX3S583s8xP6qqcmHc9mpBniDxyOuiTKBzcx
AeK8Jsz7KzjGXvYyovjDRF6jHSO3RWQLFED9KvPwXEv4KjrMLC6VCOYx00LsJM4a/mR/mLwV49Bl
HYQRy/fJE2Mr3SWktICAQOvjsRiYW/K17axu2GHpczyP+zlrEJE4BCVXTHPuMIwjABh+NyHlJ5ui
APmFwQUR1/eO8p9x6/LvT4ob6hrGVWXpbMRzU6Hd1BFSA7tAKtF5Hcs3w8jOGMY4iwCNZJZPDR/W
h8x+nKvgtopj8IauQOC8wBWJcfjGGgpS08RprUdwvnViMossI7TqrblvQ+TnJdLX3NsJG9wNdp4Q
qPuYcrbk4X7mfZ5U/ucAd4NId0FAEVffDzU2tiF69L203vrVwlFwyVyd1AB1NaJ870uAhGPVPRQF
ntx2Zi3tMgGWbsWuireVScuPnMIfRvJUBqjbUR4mu36Ay1h99lYCAVm7q6iMMhAkXYlCzNgThMaW
TwBUbNqvtANogDUnDzsXgU1jr8tiuHNY3a/yKDs6eRJwpqGhdqGaAVgm4pS8on3xYdkz1B03AcIj
sxNgPKR/Ho9hzV6QTOu43AG+e5ex+F3JZCBSisR5C+0VE7J2W+vhWJiXJqeCqNjL0yvm+nnsQY3a
9oulo2nnyuHWnxRBYC6/SKHV3iNrLs7Ku0ASadA4BVtEG3/5iLuh8FAiK/b0AZuoLnPQofn0yoNY
1vm0fhMwkSl2b6Y6+2rHtF4RIVuvxMOIR5a8tn7eo1deO904QBAuHNoQWnyWtAxYfXKY8u40JwTe
eAGuy8G9Es3gkY/FnaGxHuei+sVUmcCCUhzrGGyHovCmgPEWpcexbNt+ZxbOozlBmMZciRYqkic0
ho+BmT+7VP8CCjeI1F2cflRG+tpFrFmFjK+MXuYNWAz4Nv1yO07eGetLsyY9DEEhQZtZj3kyI/LO
L64m6dIhZCYKv+keCdlG2ry5hmuh9EBA1FcB4uj0eRrScQeCafUxoNeInOEeGK2F9YxLa9AsIgqJ
5fc2tKz7QrjDmqgd1E+KZC8ObXK0W4N30zeIKCmBcy8KdLfY4/LbWnn+BYXiMPYsy+mtDWIb1o3M
UPSKDzRjOAFIcJTZq6wmeNT1uimRnozmAyXxvtD4ml1DH4GB33oR+AvfnEGGUAU1ZbP2kOL37O89
AKgpU1y3j04uN4Dt1NvJowbr2tahaOuSHUyMhT7/Pbn1CuADI6AyxEAx+d+8aBmZuZwCc3wlgfLA
aKRdpz3QIirkaHJ+T+P8QB31Apn3hk6K6LHwbZ550T0QAVEZ/5Cne/Qk8yOODiAI6CYl90zwEKru
RY88Lpe2ap5NGECgF7LUumFu/2hJ99MfBCKVZF55Rv0UawYuLBZkmH4pNVLMMeV3ovxSBsAsKlO+
xGCJ2pllIQmYwmUFMhuQ+dK7kn3TCDwT8nDFSAtznxkfSV68ibO04neNGX38pilON4kxHSjAo23R
a5Z3sl5TMobr9Cvq3QfGjjwlnLkkYlkMmsMNxrwjql3ocTnsDBP3KopqX9y6kXxDSMrixwctVaPe
c+P4AI7/ZqjcJdTbu0f6ILZqmr5Zlj3FQxHe1KSQqkx2y3Dt6hL9tq4Nza2OSz6lX9BifJHGdAxE
fW9z4e6IfpKgGMhaJKbOCaxzjdUeCtJLXzDK7FloEkSICrFMyWuR0xZo9FcLOX6XRc5xzO3XMnEu
rh0+MrpZ1KQW2bObKhvubZ+Q3sRlOu7DU2MKUnCbbxuGFLOut7DJuKfjEGLXmC05xydfM7pnuVYx
nKygAuNG2cQj//KGDW4AYIOTRqk1aepbmdfewSVg8jyNsMM97lPM3q9SdybwfYYD5WBgGiH6MybA
YLCE2rjQDzZwBep7kUNzmepjkbvx3m4tc1eEzq0VsJYbJ/IEfYWnOuiI0DZm1KROx5yZ/VYiyd2T
LoBy4x5Ogv/Emg8kTYg33SIuriqie7NO/FOQan1XmflAo0db1Ub4M9sGRRXzD3dw8cDFzmtdlaSO
Dy40iLjPzs2AHjDxfjVj11IDmmJnRgL7p+E8dpHzKwbyCon3SpHRHnqg2F76JCZ5248J8TfiDchx
ttEupjbDGTC89Tnh4p4wcXsi7bA6wMLVvKP4S3bKKC6oR+94kHZRRutYdeZ17GbGou077u12w9fa
D4V3MZmQynry1kYCZ9CR9cWBkYodejA3702tPhcErTZlttM205m2s2+iEr9KAMdntjCvIj29TILU
iVA3r3jEBiYFdn7+8w98TgRRJMTllS3dTJJQZpmklY7ZRAXz6trNwRLULz5c0sT91Y4l/5+RPcFX
3ULB7mkDmosup1dCCkGtpEhXWbCxJaJIYt2MEtm+EVOi75yCti/ogRK05bzVcU6zNJmXpB5+6cJE
yeayFYuiQxrDARZWdRpliic/7r4Ce9xLve8T7qDcZ8IQM2YGJR0Q0NSBlaN1oND9KtngYw9YTUb8
NcSLujplu2C1DfRA62QAE9jLMLz2vVugexq+bCdjFk1fw2H8RXjCezXkOz+eb6nbdwws2BSzDRci
eySGHKyO+8FmfEM9cjCALXpaXDPcHuuwyYlsndtTNvg3MVEUiI6Da1Vbaxw6y9ZuPpCg1vD+1jyW
iK4DGr/CCJGm+qy3wCvBPmrFvmpwGg4Z7f5ipLM06/YKyMC8MOnABIJ7zB77BJN8U/I7IspxG3ry
xoNaXIJWqXS4m9x565vjEooN818Gi5bTZeBqIXcMcrlnbIYbIXjHf0Ugrbhp0Q56UoEu4LbvHr22
uvFKdsxhFb4Gsn4zvPiFtrcyzL1njQ/23Dy1c30so/5pMIEvMFkBXZah/BUl57WkIh10ejB1cVMA
+EBIxF6lJgwMZn6aIw+UJImohB5UfBJSe+hRrgBp+W2a6lfLxgCpIaTa2AfdwYzUBMq7sYFiRo11
q7PkI47JozTSoaf+SGmNLZuJKhsEt56cuyDKfxtA/8FZvc410o/aJAM7QliJjTwwrY58Fj73UWQw
nZmCo3jnAAwRCaFcQ0qBJyFOUCiCi4ytJmSqkuHBxvBelpxBXa7f2r4YNrB/11m2CPUix11rTRuS
tvgleghNvMRqy0b+k+fnYFndc9f7r13vAX2Txq6be9J6nTfNHtSSBqVMVeyMHDeC601oC9R0MZXY
NL6Gg0Jj36cFWmiCTqIcLYIjqocYaXOWT4xnvLxfsel7AYzukMcMtPHs6DhZaZ7zchbssQr8YyhN
+0CzHmJLz8U/HQn0ZMN19cvyra3qi0siKpY/ViNV+QWRfNu18m551IMucdY4UMC0u+KV6zHwjQ+v
R7yOKn7V+QAQ4vge5PoHJc0lIGJ7ZYr4LuaHbRM4GoVu3xJ/4D8ZChizNzWXC9JQI95YHBFEQCLz
Y41fBABapp7jK+AsEh7JAmP6WZ/tu7B3NuF8oOP8PcrhHc1x1KFMH2s/3AQV3GgtPDoXjlMSCAi+
Imyw0ayo6veCNW9KPB7OZM7OssT97997jXWNkvFZI69j6nCbB+laRNNwp9CuhON5wCbDQ8HkMqyY
8G0qlxPfNhJz5+TzizvQb4fjdSb8BH0oPo0MTfYmdOYtQdBo5hsaowlCuPbaR+UvucZ6IV0ydMur
rqd9groUS87riLu0CW8dM9lKA9SqxFdBJfMVwqykNKBEzI3kaOfhg6vC25GRmCH7575CtQZH57mt
9Kloxo/F71mm2LdI9CJkK/u0s6Zd+5r8omomqcCf5jdDcyXEsK5xm2dbSQO4aaW3DnASNvniER5R
qiTfcl48fAgkEJPsc9xO5HKQaotzeitxziUYSrB2whKaQ/pSeeAJOWrKAq8K2m0jBiyeFApU1uir
HhzsevDwyBhVSJZcJJfxYvwaQLu08lW4JaVgMkLF1duAOllSlFHTr1SjZ4hF6SEv6ivBKkdVY8QK
C41POYo+soH5mSGYoKYnd2xfO8keWde8ctWjYxF3qBFr0kyPA38t3SbohCEsAv8OeuMjsNV7wFRs
Y5n2O+7QA3Es1cEw+5tstj8gVv2SER4eVnZgIMKLX2DltSxWl545rZwYolkwxk85HMcbz2HJHnjD
XunihRjruvd+pG8wO/aKvbOU7ZFp37XddGN3JtYHlISTfkmgzklUXTCRDhV4/dA2AVGOSHcCP7ot
+BTzgQWG21/HMb1hIH+0o/7H7ON5xdWJ7BYP/hAd1JjcuhlWsKQMzoVIEIDjDk+i8LZW8SEgqoFp
48XKxJV67Ns3yqccXaybMJCRQXvA5IDyhJ816gxgy0Q4henVaMmCEtaLa/bvA7C/mJDJvTLb8GBG
Fw3pBB8TC2Ld39U2Ee0RjV1iMQ83XPeqGBSz5BJrRwAnS3COxmH9ExFog8YjfmRM8cNZLfPe3LKg
+Y1XhPQGiMBbw6rS3UxVTV6pWHXLo0199RXyZlR8z1VR4DmfE6RJqkfzLVoMwRObIoh3/jKsJ3f7
U4BDWQ8R4+0IGfw60sO4C/Qn9tgbQzVsrWzrVVHur0yfXGVpgFyPtqAHrZvWRd7R+PMBeA3JVQxe
VwN7rRQGcm8mku+OTsfP/F8my7XG/NXPPP+2k57scNrETfcZptmPY9lHq0PmjGN7HRB+OI7bOfwm
/ku+41eBCSONR17ii8tRdUozQSPsBstIdeBCYfnSWpR0U/PuaFRLTdFjlkcczY5l3Wo6+zieSRBB
OwrMYC11FVGsTK888XoluunNUPpg6fSbNKyPPrRQbTWo90POo37X5JXN4KFnVWZNJzfuViybDo47
Pzmhs/OKr2CIz2nymgBpzvh9ekP1yRH1jNL11WOW1wX9NcyHn7KgjMTuTfmAhBb0fraXMai1Tmf3
s1e/+363V+TuHoVTg99DbDFULLwhf03YkElOdpllqkl9RONrMKffbJvic9sTtcRE0K7ns61gASZ1
YW4c9Irb1sCsb38oulo3G55ElNyXJCut4eTVN1xVRNxb9XFC06rKrCcbiN6bCwEBUSj4hDOme2Uz
bGJEbiPpLitb1i96eWakhdA3iVFdB/7BnoZjOmzDkVRGUZ/SMrqoPD6aDYiHdp4PZvdrHifg2d4p
iAD1dBXosgFmdaN2pRNurcXGTFABAhk2DivHT6GfJwqjlRgbvPX5xsPAuU56CRtLMi8qKyoOn2Js
bRvzTz835aYcR2uNCbxYJyMmP0e01bpBiAyhkbRwd47Olgm+sA0orrG5dgkCIq+q1BHyQrK6qJKU
eTcldzkBjMDN58c4sgFlkifc94O7J5gUsI5RN+x7owTWXhneDIN/16n4rp6QmPrld5/gJlKwQZnS
4XBk97TummncO6nzwjqSOX9IRe2PElw0z7fGK9w2FoOefMS8bA/Qy2sEb+A+euhgjKlTm1QSNODm
msk6DqlgYi26oJbZ3joeZa0jCM3Ia1SpExNE4l55lJMoJ0gPXyuZ2isCBBRTtx6hXhcdBtmRQUJM
zMoYUKdqT//OZfhg8XpicInSE3OnnWUPu4r1KLUZtwwZIga2oVWNVRzbvn0PvdWpOSOD/idO3Vcj
sNn0/LgJmPP8pcIMvM4zwaTH73gAmpQfEbx9ScZbJFVLXlZm0Ma167CF7sdY7U3aLPEDhplo8n6F
efpRSwt9mtfvJ/ddBjOTQ9BKHNp8lW6iKckA39YvtU7F1qqL5wYK11YoDz238vFm0YPZGgBDz+gd
VvyjlqjR8pnTufzoqNMym4sq4lkOIusRDJ2/CwrjBG/icSjafkv48GogrhUQELcq8TcHWfCmcjbv
8860tgObA3AlF1DEwA6KhMrVsX9LK0s3DL6+gHEdKDLT/cCoAPoYE9EMm8LOriZI0axo+Re+a5DR
VDapvy+T6blloHlsbON2nL27qm1+1773BJNyOKeqq4hcwkfQzygGu859Zedr0UrPzxGutUckDl3x
5gV5+JYFFk6MOdpDN9kyZBaMEiHVifq5TPlJEJBhfycoER+HSPd9V9Q7+iW8blRaOsjpoNrUJF18
AKUbhScvQNEHA9rdcU+vDEeTfFOxyvPI2toOZM4/xCkXm83uWLBNG42+2JqyfnVUwWR1in4j+tt6
bf36Jynor3TP+/9L2Plbmujf/uf/p+GirvPnJ0Fe6l/hpf8ULkrEaPwZ/3O66PJf/IVLcv+wpE3B
adHIuLZt/T9akhB/AFBWCgeLCQLaMf8LlmQI+YcvHWmyIZOCPHDJl2vKbgkeJQWE/8+H4wYHwZee
+rfSRf8ZleQtP5CzfBeLkmUBof4NlRT6QRR5AaixPrugrUA/QeJL+EF9uLU9boPUCo7/8Nn89ZD8
r6LL70s0xM3/+d/8q/4BzsR39BZGlO+6tiUdxA/LT/QPYabjNISaRPkfanpaxCzFkW5TdU7O08QL
8q+/F6GY//q7ST79f/xuc4bzCqcfNrvOrvEx6iD1d9qbaJ6avEbP45toP6II/ReS07rv9hF49BGr
IG4tYKaumV48EhXFuSvHPgM61irwt0gBpmNZi9RHZhnmznYKosl6UpE7hE991pTyrPndNWc7IUaq
bnZR7dktDpW4dIBdsNae9Wxul5iM9FpgW6niS2/W0V2i+tp5gptoJMB4TfahT6hwluTWyHJ6gnkI
ds/N/ty0o+/edG1Tx/Ru+Hbs7IuAOguARVCXhfM+htJoXFKv5FhcDODqaBItthskUvdTtovZgaNJ
GBQVNDUqllKGA6OTXCcwP0txaLnOfaK19RR4LZweFsiZ+Tz0vsJ7UJs52GYkmWod+Tk9zOwpRHQu
SUb9irrBt/dda0TFRrNxYUdD/2t91kg/EHbT8AW7ETc4Zt+4LjFQtWb/M7J38I9pIu0PIAhY8EDY
FejjnYAsMvxXOAKbrpmxSrd2V+ymyq7eVBB070nk8hyt7E4AWrRJR8ThlOepvNTEpfXYGxaNvDTC
sGfAVLfNiyHIQuTgFCQtBCiCk2i2u2+zEw2Opzy0KcBX9lhgvPf95j20y6cQTnO8C5osbl+6GQgi
oepmR6wli9Dx1gzKUj0hnGM4HraF+DaCABxHNC+G24iPh9t7tBcTWxhixNoQ/CWj/ZiqKL3hlk3d
iycBiN4OcZerT48BTP+lB/QS31Ac8uhqVhMixJVbo6dbJ0XVmJLeAcU89hlkYGwzU9JdKZHvOjMB
KN3rpfFL6gxzD+e+WeN0mLtKgMmMhfFgVznDIUI9uu5mhHqA4kw5prGF81ZUgEuz0MFjg3uFEg5U
GQAaPJCS6YZpouag3a6VvPYdQvlN3JUtUEbCeIiLCFGMnRJDts2+MOLQ+a0spdtfUDdtyszGFTU0
10mUvwgrjVibjrnTQViEKKmM5zok0OQYhvy2RozK/DznBoD3VB90izTyExp4k28beEXInjurlPcJ
BvHhSji5mx9N7HkLMLit86WtmUUz7XD75Zhl5widerNqGfQW66m24/i7rnv2YCsptMFk3qBqhS7r
ox32EFfOTV+/yGnIQpR95G68O4ODRy9MkpShcxZZhYlcZPCT+i7NeQ8pUXoR3SAoZTNDDUm+5Kqz
Wa8dEVJ7853K8J82IgeELCZEByvVm1Z2RGgu/MeIgQOpPn6trPlGy3LEjh31hk/lHqtDoiQgT5m6
9cXvMK8uUQUo0kP4ZpRs9ZgL7113DCGOFflOLDxiPgVKuWGAEdW5ddXNJNyELeFjPuzWXasLST/o
4YSv6DLNuTkZTMEkHPC6asg/r/Ngka4lMGrp7c1zwqyye2dXRAIjmwdHXbGAtgWWkKmXu1aZHeun
cpz9Q27jx0NBVYNWNjuNqCtLCN84hX0fZb+9wEAvilepCnpMbDbE1ray6pFsx8CQT1bGVGs71OTX
rTDe1MVezCmbEvreKv8mvKBp7ihlUnXTyKZ0IPj7RUVGhXa0WNpUoipahk2DyzDJrarGgNRjTQ1n
mO91sfNpGFW01y7ryE3KREPe9Z5hy2Oga7ymUWwUSGkhiDPySPGx0HSqWB9MFlmfFRsqY00CMr10
YvozUhqAogV4qZ4wCquqRLIBOeD0rBD8uNvnQ9+3R3SsqvxlpFRl2yaMkd1WqnZTON5wgn50OYgC
oHxuihs88hj3TdvrnsOylNUpYR0aPWtDhs5DPQUGMgZSbLNXbm1JZphb2untnDuJekJ26uSHygpK
8RRGcwesTs4zS7jAZDxIXB4rb3Q6Co3dv1/i3X5grqj/ngn/T1ny/13E/FJK/i7/K5f+r9JyiWv/
HwuOl/8yOP7afTCCJzz+b/Xd8l/9lR5v/SFsZUkTIgsYSyX+E4dpm3+AnKPysx3H8SzHovj4i4Zp
WO4f/E3pmpb0XOYCC8PyPws89QfiMwiZeG4ok5QQ/w4Pk43+32ogz/KEp1hpWBZf1TX5Af+xBlKD
O2NKMw0QF8i5q3AGFjBQa+5UgcTUGtvTCIM8Q4dTPRhj92ByApIxN0HzSuJbqXAeMnJdXL0m/N8x
T88ac2emHWhCnaUOJARyAbRQsQ39mWcztGWSc9oapN0UX3n3jJM1z/a5RaXIwNjsPEqWYZBnax52
QwPaJKhS69jU+VYIdgB+4f8qjVtuRSLceOBv4Oe6m6DXM6ADdmK0bIcoe5wmoc4YJ4tzH9GtwpM6
un334Ep1CRqINaTDwWNCCweYm+oc8hf7AOUz/yQPfV2PY3Mp5uBlhjznj/N4u4iMRjt21vBzrU0Q
lXRPDajJoQecXLNhm23EWFbJcHngrBqsUz06HxDWkORRxm21vewOlz+IX5hOjBOSbdY336Y1bEQP
OVyVWOTMCXVT67ZYHv2EdDoZ7JUtBnAuy+SnCLGWI3YZsUCdfHNBmBToJhqXWDzSz2PcpAPDUoGB
LE6pBMqpCjdl3jaHzhAGHMepv6lmPNGJHM0npCF9YosH0rm2ZuMQCECuT20Sn5T9zsRycS0JYFwo
Bx00+BxSDAaBb1kbP+LkQ9OfbYMmKe4M0hqQfTbVOiL05Ng04s5FFJy2VsQgugLmDYgg824rtjhe
5ULszFqmCaJm2eZGJ8tCLFkM+okypN4LF9N+WyPiyaKqvJAmWF7GIb3aM0K9Cjl6y6GKYrT9zmYH
jYFa8JP1KmYGtleGSXZZ6sV7j3A2HLKbQATOgyebTaP63VLbXWw8JDvOVz5MpCtJlGZHt8WVasbo
u9Efr4RtozrBVLsSRvcpScbY6+yqEA0smsRtU1iI/VL2udWQvcdxuUVoLrcVQ4qY8oiV4rySsuqu
Hr++vCywvuNmYrWwmwvuhWHup4uy8K3H2XdEvfQmiNNZJZX3jCReQqEemxc3iLedHuR7yKVvLl9V
KwWh1hMVxo38kVQYbknw4L0L+qPIL1MgvRsGosltNWpGB4nVHQN8EFtIFvuOJycX5WONhYgRXGsw
pEJVpVv7tmmcAK6Yf9DYOwwr7J8QVSCcSLB6JvdpirYdPn3/Xll6n2E8uo2UOA3zeLU5wZgOt1/C
HJ97Q18iFyBoa/PRomYtJ2IdRhaQq8l3X8d58DYuCaUbTMkPwFfxPTZYh6K2OfsmOy1+QDSHTX4u
i5wIrSnZojfSdzKJ1XGw7RPjVqzKOJJc25wuIRUHyivJHqiO+Wcox/7oI+ZFaR8DwMYF6hTuMZwa
dahs8401anCY05YyJKgprMXO6Nz7XBcXFgL5fcbBQqAIsAf25BD9p13twdYY7YeZVNlLXDwDA4aC
ApgfMwJ3v5/Ib6A6iE7lQgZkmvxnpEXaYmUg+fyF8cpvAX17q1wDX5g7gL+Ly594npflxaReoAkt
uWDxJPZxrnbW6MvnysdKp+ZfWMoXigRuljJlOdio5D5MxrOD2xIREL26ei2ZSVp0SZtgGKyrbhe0
wxC8sdWzz0heKzZTxaOtANlgGn7N8WDUgJ5WbZYDjxegTjpYmgfC6fuN7vJj5NU/FqPXO98G4uWG
2UY2XnDgO6+mYobjw7Rt05vdq50F2zho5A5jKgjVDNSD6RVPQ2XizXBYHeFDPS34YGGgC0Onk2+L
SRs7abIIJikAfGZ6pic8UCxDhez9g+9UDDk9MfWHqnaQ9NgITcSr6qLglDT3OWrec9VG9rGz2b54
gGfDxFYI6kB2NfpikRZ7ar3uysI8PUpjvqDuvYRcwpupTXnGUnffVrCUqhL0O7HxIw2gx9mm3ATX
9raXJMD6i4QSF+GbMcAB5LTAROqRxqlq6z1JK8ZgbnPlNfiZR9gb1sQdJUIcTCnj7toqYS2lbLg1
YeORjDYCgT7a8zg8NMmOyGOZCmKg4s8o9xfTmUeyoYczo4pRz+YnRxFKEpra2lLwc/HO8Y03ASv0
qpjxdubzm3PEruywYJFxcGeWPXncKqkeZDJFi4QDI8iQnzFW95B9HXJSA4V4iQz02mXGR7jnW2N2
yLiw7B6GAdAjChv8SguhuXFtZDiJfa0IxF1W03eN6nbkSRlbJ0ZWliIqovFDjUwuN6FQcx3JXakT
7HYOqrqQC2obRLuIjbrvGb8jMbs7NRXDw59/BKxAfXRZbjmzgtMENVTtUj8I4Fr5eGODLDvYmfdQ
/QdzZ7IcObJm51fpF8A1AI5xIzPFgJgnzskNjGQmAThGxww8vb7g7VbdLmtJ1jstilZkkslkMML9
H875TjtTRJgRKrMaNoNEZTFaw7NeasiTuxMvLvNoVuWWE6S/AW5DYBj22Y4WejOHUcRT7bvidMTM
PmZBWhofKcQgN6so4sMN6qZmCf3709K5bitfvLHRigM7dNWqIKgXRQzsuxg78Ep6RDQYY5DMDvr8
voYgElGem7RK4AHQMJJthGtjAesTGyD4wbs0fmUX9KjQmJp6P9vFtUkQjbJxhxntxfbe6bEz/Per
6/9T6fyvlfP/WD3+z6d/+y7rfzs9Bk9/r8T/vyyyxb8M7u7l/n8aoL5/5H+fnzp8wb/X1+If2FoZ
eDJAhblHA/YfA1TT+AcfFY7HINTB5CUobP+jvvb+YVJ02b5tmIKpoG4whvyP+trw/qFTmDsM4HTK
Yu77/1Z97d+B9/9ppGkyj6WUp7ZGfGMJ6z6E/JeRZkZyNMUo5WY7IEats5wqiqTBApVOH3t6EEXx
rW7mfqcbdziAjZdPzA6bWqYYHGzHWqpyVUzIL7imH0In7mBdKI5W+eqXBYdcRTqlS7dr9cM3syy8
1ZivQaysac933sZxjG87ddu9VYKBnNP05DBqWc86MpGeTTieYIoWobGxhbF8HHz1nmqsYTyP2Weu
d3/g8HAC9PnpJcricaWVPO8rr35yxRy0jSMOvTI/SEjCwDSbJpCPkIzZvB3XdLC3orrQ4lysdkBx
mE0INODwrMlwYJPftMcaSeNejhT3dega8CDShWUjJRIzWYYKdvJGd8v+cQKZgAEo/sPKIiQWuPlD
f/SzVVwDDwDhgRFx6bVGD24Z1TXOJIM16WDdYZ3zZiyrIRBl/qlbXnxIoe3owklWLWaYzdhzzZlK
/o51LDVIO+dzPejPhR7VD64pg0pylaFgXzYeX5tnLWpsHxyrh63h3CB8W1byIaJzMvUp3nqRO2Dk
qFAFG4N3TTpUTBC+2dF/OHo+rk1gr0gnx/cqYlczm1+0Nh3qYS86t9TlZCZTYHXODK42+gKg4J06
3caQotA26WwPFQe3BtmwnQnqoMQ9IxJsnuPco8/aeDXfHGUN3oEQzpmvgZLs3Ecspeai0PVsk3kj
TYFKyg3uEwzSstPQDubuXnhWwNbSJsqYPARaqPoUkSPC9Qc9tnA8WLapjT59TrZdMnZHcoF3QtMC
ECge978L7Ll0iPtheHbJ6Q5Oue90y3nC0AL+yrwMDTl1aaZfYCx/RSyvN1ZZG0vRgrAa/BB0cRzu
KOzI0E6cP84o4WwV9N5ilszVSLyjx5NAZi24bF1rLExVXXuF7ddICLwC4wfoeOlBmN7M/sZIlLtq
Uqd7us9XDx0SnTBsrpVPYCFtjnHQE/huBtahpYUXJtLwEsj6Rfh6/gRlBQpKnFw6FRdP7sUAroOv
gJFz5fZwrNzG39vFpTZLhqJdWK0Z2/6SakDIovxnjPLNcarL36ZtTmjN2oJUiJEAltlLbuTHqQ2h
Sdqe8Z46RoVSAfmc9kM3IOau/CR5E4QGxeYLykf79vMmKe/hWEKHH4ICxFY30fjyhmRNIkUfzPOY
SxBjvJcLDQNEnu7zRNRXdf/Qz8fxCW/btIOc8fMJvhV/YFE19j9/SK56h0ETQFyPFIcyIMIZInPr
Urk/nuHIPWBPz94gw1hJ/G5Gs9xJwxyQvEAVhKul8LcQpKvsALIgHBYrenSA/RJ77+8Ahf7xTarw
IiT56V3h1l5wiJmQDFIqX2YFYHIMzkQMAqlNkNWMrV+fUJi20RkSJvUTtimMtO5FVATPTYONVw+5
TlcUX4nbfAE/9Tj3iI+iwLbQjMBbkYKUVj19IrPtw6l1LDv2i9u7IOwctTZbUcB1xUGXzPIXemex
Cr+Rt+LtEMYM4BLxB40SFiDRLcGVrGyjPYs4CRlHFPRohXn0uqlGkgVfwWjJmnDaef1Z9CxSUi82
dgPEXEDD5sKqOn8HOOiPVxCvVPeQJ3IJAk4eYh2LWNZ6OJqMSx/hebATiU3Lv/Xk/QCRhE5qNfcg
+qDI4peUEHQcffYf5EQFHTGFnAnko7tnJ6Amv0x1dQV1B9ZbgQHACgSahQx6M566JZaAgKers5Ud
xLHcBpM8Tm8gHl4wiSJKznp3NUZpADIGIFmj/conmOdRCYLewxFg290VFMGdW06ydWVo287Fthb6
BEfDXSk6k1FIqH7VgGpRp4PxZbK/NK3YChIPDIgsUHxUBGIjQ/ady5wMF91AetyV2nvSgbEdC/tl
LmhbUg1C98g4f0iN2yRb9BEt+mPM+C+cXPTXzita7mZDAw1LJiGIPLPGbInxm0TNqnqs884JTJKe
WtxU5xoTum7g66nLxFkMA8RgbtnorN2dCgCNj1VMYKbGpGRRdMMTBMAXtnt41mP4jsxgemZFXIxu
jg1cYjGl696S1qJmk4wstB4EuRrJeGA1iuY1Hl6kjzKzUoGPUAURZDLB4mKio4C+WDXD38i7P9Pl
vPJ8yBuwRL6gXxr7zubUc/zcXGLJhIhqha/k+h0pVbplNEcjridQMgNwqHaCp2Nr0d6/kgIDv4nx
8KKUM04wu7FX5EWi0ZxSJ4DAEV99ErPgKK2tkrxk2UfugvwmZ1PajXlKbfOFhQqUqlHttBRbv9SL
HXl7jOcz4L0x29yiqo+1fU/S6gh5djuxE4uMWyCYtS5HBuaUG9snCcoqgEg4R2twj4Pl8izp0Z/V
wdiWD5i096WrF4c26UsCQvx3q00OUzwhtU867In2BMKE8ypwe+OY+KTGQjynPBLoM+KsL9eD/msq
NWjMQjhrlbQoXBrPWmkZhZAynvI5rNd9j4EpnjwDcWC5btF4WCrn2w3lvNQx8DHSMl1GIXNNK4gn
gVDWw+z7EHfp/0yBX4j0Vlx6tWs+O1P5W4/LR7YTY+DXSDp9ZOI6LPZF6XFz4XijEzZYzGnyimks
XKMBCxeA9pHgpEQcEngMWgywl2EjvUAEnVq1RAzXnDqZgD8JRxkAzt87pY4vNjH/aG5fXptMv1o+
6u7hZrdG9yakzcD1oJSnCGwc4DjRXjot1ExAVHJfw+na4mEbVw3NeNoOWA5ZMi+svHwuXbe6xRUa
4lDHT0Tcag6sKTLQjjeogAgUhtm/mxOezAXjRyxjlbNh8d1garWuYmbw5TC2HIY63LWZvyfontyW
EextUc0vXZhWJ8qnuMO4KRSHR44ZQu8inlighpd57ie/RNNxkm/SsTeeuVQ28CEHzt/LmNdsXRlB
MONskmigPZ14M2BsmHAUh4K9j8o+CStMFohMmNPV/VMaRlQ+5a7hvzEp5303P3Vpc3azBiU0Dkbi
al5bx1Vb8oViBcK2yN1DUxucQ/LD7qkAZrhFTMjMeZnSJayKYuwAYdPThkm/iudI7Nuih+ffmc2G
jME1C+PpWDYl3imU3j2blIWu7gpgucunbt75DsNaS6yFYo0z16RwkzERI1h/bEbco3opo52I0CfV
M0j4/n4N6yRnN8AngWSOTTo8UJQUT+z6kQNRzkIj03DnypNELn0tuCcJvq2hQTYR33pmf4gBsovK
FTb/HqLCPU8bDLFtyC3fGj6oMV1dr/eCviWnbba0E45RbG1m9PDzpiy0nHqg/TWjIZ29QT7+vGEF
lCwQ6ddQ9fSejbsRX5r7G8PDPCcnKCK61dwsirO9HrkYHlH719yMCSI0SvZ//p+i7r+krjuf7qQn
YpB2cRvZ66ZmkpXop0onzwR8vmhlyCa/D0izVwwDmjmI0765gbZvj6iZL8PkNDc3ucNV6hawCoQj
Svmcc5M7iq37Qxf57sVxJu+CMATXd0WV4yBGVN6qh/ly6hsnCWajEDjoenFWsy3w/TfeKSsuP+80
wGDRKFvTRmI5Y2GB3rgHeSopArXSeiC10CA4AhFVZz44lQgccKpIQ7dUmhbBsO0dIR4VdDDyc2wN
7YXS8OrHPOTCwbM5w1RfWJ4fvUTEXWTgrlZGBzfHjjSdgF9iK0pME17lnJAP+Gf4q8ywgMctkdtB
9nqBklCcB1ar58RSzTItOFWMmmdAmoE4Mjm6NggyxxNCYTSko4pfcHvIY4GP7p/vipq+gFgSJ4g1
7YgdoqJQu2Lt/EN7bGydaprOUhf6jtfh2uXG8P04P0wmYhHbbZ5IPMNb+D2W/nPX+AZhhgBnA0na
Cxf0UwZ3RAIg6JWPCieUFXilpCfpwfWuvn+iT+yXbNOxoNRme/55M43DsOnDviViJEjAwmOtp1Az
8IdK4HkBoXEIFizdO8YWWA295PIcdb0/S9/TDxm/+1GYC3Wv38Ms7p6KWruQg+adXVfW5CfnkhRf
ltz4g+1NlWghGMtSPHoEtN1gciyY5J3jWfJQONZwqwmZAGloBbEgkwBQ1adu+wV+7vyPMQ/hTdkt
Ik/bbO+u9oJGJVqTxSkeCptyn2XvS6jZ+CTRdt4GVbY7yyZ3ZUgb+HAd5XA+2/FDlRfi2pdP9N6/
mRM6g9CAZ+TbDL0PJOy2XuuEsDzkNpEGYTWdDCsqHypfiRP90vHnvSLGoZrwfEtSAaGVh3cZa6SW
tDxLmNp30HUrQgPQ9yR7zYmHWww08e4XjnFNIJ8kbJqvsqL95ChI3szRCUKIN0RHH+wkPVbYgqso
fut8ajlp8zybYXceBOHsHkijOEfzMJEzujbug68IwberdGdfYcRAh69+dbaZsv7PHwpUtrFpxLtB
mueMqwQcQ2gT/6CyVRLOQeSgggr1bmMQKAftQGP7XhFfN7oeGuK+W4b8OAUt4TIakV1lcaSv7Z5Y
8lwSWVXW01JRDZWqHpcDe54RnczCa999Lz+00noGXqDtx7nEVKXwWeGT5wg2s0PBRh5vl42itH/P
G+OQ+CPs8aT/CCfMnf49cTTnd8h8MRposT7dweb8M7ovhjYHd+T6Q/i57gAm7nMy1fih57dIdc0G
DcyyTos1yBd/0dTAz9NkkYEHRT3SP+c5ia6m91bXHZLc7Btzl37sdVYzhYk63rGJWjWj5uWJ3w0h
P4X8IKTMXMPF7xUg//Fi+aAURESEXuex3KqwAq+IFsE8g/aGO5hsBdxch6rZMW5cxP30OIMUWHMi
R6xTOua6CYwYmGkLGYVc6CIYhxI67GVk4CtgPH7oKTZXN6QONIBxmv2crgFakPHrG6dkhCPhx+Gw
0pEq6U63Gjsq/pQ58KJXdOStA6whcbHYuuuxJcSw9slr0Y3s4s/OxRlbSKkiov5s1LslBvCGzKy5
ghx7WyuxgoqGNrg1/1h5/CSM8e5MSugsZvoYo/qy43E7VeQv6V70FJJ+6NgDWFzpkpcel9VhalnM
IBnvFLtFbNAFU2+s7Vk1rcomzJax6/NrQCeYm961S7phPVSktVJkQIbwsNKP9MRRz9cAg4EK4PZn
Yr5/9wO0zFI0v9hofef++NDshwIPaYcIctmL4cF3KtrM0MSiD59F5bAbmxw+1dyFzoU8KztL30hg
dvE0Tsk6ItAGDHa9B8X6y7c6axdxVbIvs168unqeXU40SzjvocXeXBfjUq/nV84DtUNUBSQz9SnJ
6IIsaoUaforwjqnG687ojNOk8URLFbISZcVXMsfWesrqDKkb+zOEVWVrmcEc9s/23WLZ2wP2Qf23
HyITxuUTsPR+BKCfbApEVRseYXPB8sdg47Wd41FsUj96SyPk8nVMUHheMqBnOrdKqXC3kYndaXh2
0kjf2TU+W27lLQRW0AcFCsGIS9wCXU+6OIBrw9F29O+nto9+kzZ7d9Gz1EsJC2+r6FcpiJDuCK+r
MmPvi+ggs/Yd6266T6bsBGlba8xPQcmoU9Dhb9Lfsi66jCXsFs/r7jXmuBvpLpHF58ZjhL3Qj+E+
6PLF8r02QP6459W21RyyWerQpGO1/P0/32Q46F1GWVSfxYnhbIl1EfJAnjJnIDWXhb1+HwRSIe5Q
2rN8TOW5xM4AGqJdC2f8mEqPf3gRjkunBVJRt+Z6mq3Pvh5ea7ydtQ+gMNQkoqlmaFd+G2Nw4+Ai
6s1ean7G6pSfj6R2aP4cOz1QJurzdK52lDt3hwV+Ava0zMbqs2knv2v2USqccbrr81PpoSysFF5Z
Rz/qg7p1tph2ccESYsbYGPX5JgnNVWUW/dIY2m8FXr7mcj9b+Svd+NZyoUCAN/VQamRPWYQjB9hq
FTp76AO0r1avr8wwpCyHRXmNVPtZJPa5M7s/vu5+jA2Z7UB/cIqG+BlqnXmZSPDJh1EOMhfEODJF
Yxlb6dOYrkZ9vj+sGqIB0W4kVyojE7tO+1WJhM90/c9ey1oWq6xjNZt8+dR88KF7YJtgmSpLbBN9
uBsH7D0qcYxTZzgPTVc3q8jAdjOQutJKdArGED4ZvvsJg2UXSyBqYzw8R5ZOqufsFSAHGZQyBn3G
2VZI65tf9sMkZwI8OCnETK5YAUxgZRPkGefFGYHD0o9iXoUj1DpgsQUZR3gQpE4dpvkry8sR6FUJ
eyutZcZJzVdl8b4TXUK0W7vLuoSXNZmCcyjjTVocfTEim72HDsPY/Ql0Zjw8Gg6JG+THE00aBcbI
QGAmq8mpPABCEcK0QguPHh7KoKsG8s4MHKBNBm53audDdjeosJ1Um2xK90ZZY+Zj1F9mg9hxI4ql
rT84oA5QH3SMHFr/I6lYydOWsISFaT6lkP5TBTJGAcKxG6hMd7pBYp3xNhTYeTQYZS1dtrDJO1J2
virU+IljnXDOum42SDuAT9XbJoHOPvkv9mcN95VkpzBeR/VRlipbRjYzmdRj72tYzIP16lDWentL
ivSP4xrTyfkGbr9AxNwHUQ4L0LfhSgmnOAyClz/TdvD8mDW9gegn23mf+nstwO6BVZ5zGcYhgLom
1jY2lkVvYULLEAKv0Igc9IiIBXLYvkXD7Yw/HeM3SxIgUprL8McQGHWcULxq5mqqO0U1bV56DQuX
j4k6TS9jayHQGGMiWmcSdGg3qpVR0wfPXKawPuVFU462KsYBNI357hTYLRknansHCo82HUytIm7g
nmRSElwf6QA/ypFs0lw9+wz28G1pGLo5N7mybiE1nUVdT6L5DQDUR567X4qZC3aqhZcjsApt/WnG
DxDwPD2FaIK3A69VOLyIfbQZeJptwQa7P39HId6J3YZRJX7FpL6CTJflBqnZPSQc8ZIGGN0bxe8E
48pcZfOqtPgNuYeoY0vSx85Xid5iMTf1RdqM2oy5jJGrSzpAc6OJrlwmXfaaFoO5rCtxK5z5XRoH
cwLP78RfU+p+yKLRT1o0YnozBw5pAB5VOfxu3LtFDkjJXewQ0xHB796WhY9gJ+EIMXSSQgZE3bHO
bJEg3RWlo5A02n4Pl45Gj9Qwk0NWoxWWQEY7XI6u2cLCYmyX+S8heIpJnz9bkkjF4Ds3le0Ryd5f
BIDs2fa5wTwUEs4kAqWKQcWCuKdnAJE3CwHEuvWy3y7PJdivh6TttKUzGlDluweR4O5MfAQxmRZv
KBt3bgkAI0lstkLeW1Tj0quQepC6LmE22TTS1SccdDgAyC7XaaXfcAvQGplB2sE660LgK7n96OjZ
eMVg8MuUEIS0wns2OiiMYEgRY2juMs2YpVjAafBFxAxiQdIZkViz0DPRpuGTs3MGkF1dn3eJjyiA
4xFf6/Rglg2iM9siLLSsyd8p2Oo5n6RYLinWYMJpWMWN+hU0qLWbsoa49zR5quYUlpjmv48zGbJZ
SdaaPr6Sj6mWDKkIctBeCDR77Ru3POotPuSSqpigiWhpZ/LcWrhSI3IXloPTBnXvpEExce9UgLSj
NN7i1XsE2giVy+pvMOHqJHzSVe5vSWFBBwTDGBTgylehfigaWjjdtW6NCaKzdqbHZjCyaz8gt88w
n/YxaLs4mxajySHUEiJGo5ZvmtHZSUkun7SNz9iggsDQsJC1ucsagLKzOY1bmN5bE2u2Rx8Yz2ju
K9JdVrrfPI9mc+mr4dPCIoBNgP6t1Ekto52E9+QCKugzy91onfPK5P/JiPLk7LfeickLA3zApzyT
yJhwS33B1NcJmtZaFdJ/zlvzIZTOfKmGbg8WBCe54RJujcruLlYwoaf+MI/NHSnS0LDMW9XkJdUc
UrKwAzYTlype207zVnujfZqVsXMbJLo6pLORUoZkyjLIRiaZY/PYh/NLFkEtzbBSMAhST1E0Xrhe
5Cp1e3o/7cWF5YXOI76vFFOMuAIE0wgBvCGXDdSUy1BzaIN0wOiYuEfVZNbNYrmx7Opu7ZNMtmEN
RWJV3RNYbJPhMSX6exUDXx87UPN8ZE0QIOO8VAORCb3bWXuImfeCSCzPMasXMj/RsHFGWyotAUMQ
hO5Wr3EBFwWoQbJCd8+MRcN077lPSBbZmib+40gWECPygXy76ju0Mva5oshWgwtVjQqP/NRrFaG7
iS1h7mpeM8kY90v0JvUmidHIhS17kx7XGooY4CSZ/Qg4wXnpx+Y97JtjbhTla2HnD9Pwi1EWIhAe
VrKNIzOYzOyoQgRgOSHkQJF/1mG87LRmCXR2GmlRC0D5utY80AKgCbSs8hYChATPx8WtuCt0zb6U
U5Hcxlkz9ooLjIRPvRTxY5aHL0bXOpshdpZGNXB6Zxz2dqddnPge3J2iyY850IGWcLXV9gvXICii
UOwT35KBT5ALF0r1bbY+hLNOv0pGskyHWgMLB3g0pwS1VTkMfVgnz+TOr/q8uOhY+vO5X4pCRQdn
jrekCBJPbQgIenJYjJnzm2wtjoktmBLnrMrJwfYzhStrls9egbwHY/Frfgeh1LEG9b8yT5GFREha
2aGf6qcUWdXGsThR+VWjnIVYLLuScg+Z8TpR82MdZs/gQrU9Lh+Qazhq1kabsqyprVtOolPpP9Q8
mRgMqu/MejN0zvg8vQ6zfrmbFURPxisqLGXrczCqoNQ1heQz/aoTDfujVkOcXxNg8GeIcupbryW8
Iwmx8SZUR56EpWVXaIptTK7mKdNh+dcIR1YE9gBUxB5CkCPiXGaTkxtwkX16PrHcRV+x/hvgz2V3
dbHNo9VrzcEho3c56CoMIgiUG0UsNb5qYnbbJ4IUCUqd850wQVLJqbtGU/6mEflUGoKeS2GFistX
m6gnRYJFw4HfWu5EW0BpAMHtpKT7i72eWqey9BeW0NiQjuqPIoZOdrJdVQXlscYwgXCJP2NS2OsJ
HgZrKxglPakzAZOQ4VB2Ws+veePfichzxN6ye5mQTpOLl2zIG37xSyZE7HoRWE55MLndWyqGpwTT
+KoveeKNOuosIMNZuWxAAQeENFDROpJwM69/EB2W49kny56c4MaFhCHRJWwNRqhW41hXgI3kLIRE
0AzkxTt6iiCwJI8B8SarzXuCGK9NxoSYxsbjhKNi71p3M+8WhyNj4YafBT/3b98D8tENI3tj8s4R
1AMFSUlb6fX0gL/Lh6tJYI2ju9dJLNgNqTPdMyu5LpWBwb9jgfbx91To3JfVe1ub3AGWHFeeWW1y
n1l039fEq6mdaswnHTrv2iynchsTcgxNaoRoi9/ywvMgmOP4O3ZLftx+VquqdkhH0mV3S6tnjddp
7u3C3kGnUE4f/FR8nBcdAS95vu0LNW2EoW1aRB6GbX63WsHGH9aumK11C8p4IWV29Sq/2DZKHzeR
J27QWX2CeDWOen/S9tUEKT1kDq/5DCMM8mHDubJIKPaPdZMYq3LIVq0eT6tByGYXjeNXHhXjSjiW
hELuT1tlxnKlD7te9K+Riv31nJkqSCwO0HY+2uS9i7pLNp1+52SL+peb61QypNurzIu3UjkbtHgX
VsnmzpyMs+Hb7g4b0ccI4qWMcXo1ky2WRmg+aYa8zONRU6peSnwMwU92m2aBumXEhYcL2tY+DCEw
Ao8AXxFd4oRYtAklEVaDiUuI6UDW5sjsk6e0n0LgA/SMeT47x9DP+TvVtZ9E+zDWVbnL45yMiVz5
K1WMSSD8xNyM1hxTNUqXSuaeYO0SQ2HNH6iaueL16VHmEe1MBtjI8ix9DcwSbmUKmSbyQAEMd81D
bQtWt0gax5SpUqr17GTDhSqKsxLmsWSStIC20Vvnxq9idMQg33IeCc8nOL1kjEvoaHbVoHKTTerr
i4YhCGNHTIDozJNli0ZiTbgRiXUJSGJTr9IV8KmHGRP5usvYz3NJjlNZb2wbqIku+wSdA8RGzFUr
Zp3r1qzrwL1T65ExB63thsARzS+vK8ogFYEoWnQlAyAGbOogH1J0GOa4Laae8AMNXIgEY5Cq5vco
shtzhnRrzuZV+iQYMaNlSpPVHyObPCRU+rlS5h+7b5e13qhNDzdwmYeQerQc5mg3yK3LTH8L1xPM
1mCTJwlXZVI8Fjmq8dIsgMdJXqUWo2YQl5i/XEBibvMy6/m1Bo9MlHy8vSO9NBMKSSNx8c9WsSXO
5yCS6WIlrMfy7HFqrcB3SUS3lLepYa0rcKeKDTQNBn1vhzs27gDZjAbZIpG6DWiGoE8kz2ZVPFil
16zrpsjXwz3YL+lfQMkSRK2thq4kaU4DsGE05vtQ6EHmwKxgIpusTelvp8w556lSq9rUjJVFPAbe
bLbOmoG7ogTe205v3DQLz1aENBXlTZuGI/jwAZET+wEJKpYFo3PQYmGsetPwWfg1+cbz8NYDZ3hE
kAKh31eIifJpH89ifCzop0gVZ1JZJtepgPCO+m4VqTD9wiNLOxNhdskJArnDrowFr1oi7+9Zg1zY
geUaBJJ0LT7r9OC3d8muX3fXec5ejKE2kKbo3kGHUcjY2+vuVjOWYWULDYQjAZCDz51S158DuaGW
7ZUv5IU6eJuFswmTSd3mIv9gdI/WRD78vCmQzroO0mFPVHKZe1G8H0a4UPxs7jG0Wvf4838/byKV
wXyUrFr/9gd/e/fnkwEwCI/x519f/vN/f/vUKgdVnfAgrf72B3/7ZDRR7b6G8PTXp6FV/vd/3F8f
+/mqXtGsMlUDA/ef//1/+zvDPm03Rtt9/FefJgbxrz96mkCjcpgM/Vef+9fHNCTMK72nDfrrYz/f
9W/f+uddaMUDJ+L/9d9YQvfCtlmG/4/HpzbKbjdowEL+9+/tr8fnr48VZnPzTaQCbWsfB1PaAE97
8Go/709hK3ZhU/3zT+9YrOPPx00oK14wZLVa0vfrKwRnmOYt4KgYDePn1kkIv2yNaPvz7kQnZVoI
VbRO3Q1Qpb+qvCw/IsK6hzuF32HyABOWebxevJlslbduRyxcPzy7zZhdO2Mg5Qfz2UFU/bwfkMRY
OH+IUS7iN02vg9qe08+6hKMsS9s4xV4mzi0hO1BGEFJFSnt2cQcsRuroM2Cg4hGK5BlGJa/CMVc7
dyIfhcmJB2qEQh1YwUtMD7WqJsalaY1J1ukky9OyOVgjscpJ9FuyDCEh6zi4hOiUhLCAIjO244Tb
16zf3RCKFqe6F064uYxPjaH4wY3KmNLbBp9bzRuli2QHmtJ52dot8yBmQlur567nWLtPdrLuhakt
+k618GVrLlsHwGCSmA+jC5ccRBFnfXG/FVW7KfL2N7WP2ElFTYD0BvQk0osx1t5ip/yaDXBroKoJ
rtEIisSVRssli92dHIftj9V6nuAXY4lCIPIcmEP/qSkg7ZLsQc3c1DNi5HsRXANOv0f/IvS1GQ7p
6RrdZ3gPapuwwZtM3Gpt2bkDtgpnZ4n5D3xxApF0/S2hBRx5UUN0BHeK+YDuawmYOOLmJBIn1m8x
lvQVrB+CVsggLr0nUopgICBKmBlvMC5Fl/clS54j0tJFUHfGWh+5g93Q7raKQn2tEBdwp0uc7tgJ
R8vhr2P1gxRtXpjhEJEgx4i7GZo34XT3VLqfbHfy/Go7Qs+LyQUWG5Fpg/8GsJmVZUMaOpkZdvaZ
CFMeIqeguQI2rCU7U7i7hJ0BQBdJYgkuKMqyUKAJGq2DxuRpG7fWVjONd1Qf5OOU3YrZEXqnGeNJ
p92UHFn5OM6u5b4NUjY1+uC8TmSXnSC/2EFi9zDS2vo6uShBuonUsbor1WLS4XU5Ed6IiVtd+tRW
3HRcMss2i4bACOe3JDM3Q9XWGzCxGLzKE43iFj14Bi0OM1N1128kyNriCqdmDCIfR1FdAiBuh4NP
8ug9aVIY5hNAWosbq2U84RM2lqMWsiS5ypGxpRZfkBoHu1u5eNEbNJBpYn+7eEJ54iLUKkogSMWI
7XrSdOjBM1or4r3wan9V1lTuoKs+zBU/D5RjIk1M60IFkRXcrGBvi5AfK9QMa90kubFyLHODFhoX
0lhSt7KTXSeGuBEmqwUMzRAM9t8t7KYlZR4KCgXl1terbG9qvGQKQhFkBpAH8GqQZISk5NqTGEKo
RpUJ+EKnS4uK4smoDORcpXFupKCNqGe1RmEjV4bGHAy/vx9MDa+AqPQWdZO316rTzjy3MbfHatsO
DRt0Ub7q8OLJL6jOmU1mS+1Q9JBhpNZdBx/fBLKgAwex2EW5Ff6zQsjPlrTIXhtqpmUjS3ZaV9z1
KxVBL5SMS9yY+stz6odKYwyjx/SOAogD6WLmcqMMyp8eQRWAIvnZdfUXVHkGRYJXN6Gict1KMGoW
J2/ps6afJri/hfvmIsvAmxaK7czW/O6mmdaw9r66rtU3GAkj1z0RcrVWDoLb3nPJ2sNSegjTB+fO
w+2Y1awY9TnLNLoC5wzJALLmbW9Zv/u2/dUyGPAGSjAJKYuTZlx1fm1vpjbZZX0GfSMby7WdnDDV
qx3q0xc8xq8p8V1h3YmgN7SXQfRfNItfWe+MKJ+wcHkYAk2oy96ABN0bAOdpEYPkwgucsfPWpXOh
/GZBOOcwmLSC1MT0f5F2Zr1tM1vW/kUEyGJxupWoWZ7jIb4h4jjhPBWL46/vh845Xw5efI1uoC8S
WI4tOxJZtWvvtZ41nKRrcTAqzBCugkE4xq52PJvaHxxgDwV1+3WV1ePcbyLXqMO57n6tv0rvVq9S
4c2rYiARE4O83mKsrOjP5e1jmhP7pwoghvxk8nIb+2ebQhH304gIAzp9KvF3S5aGdvOY+Eu9E3H/
VIEyN2PoftyDYKcj5713PqbiV2yOH4aJjt4qWB6RJaUkAUEMoD9cMeoSOde8p9GGkvezM6o0Bmbc
7nWbtcfYtl5nDNjovHD7VjEyn6EhMWPM0FEnmja3m30bguRxcF3Eqy3LZO0iKjC7+wHi9gxo4+Cb
kglsesPoJXnLWwQ3Nq5kMegbp+7Iks53kec6WzOZ+kPjEi3VLsWTXcdIhCzxiv/J3RqIrLT90xvV
e2eU60gZ0wCu7gOzBHjEQ/wNDjWjoHxEFNv7P5mv0V9y3OOw9qbIWGlK9AfIHO7yGah04tuELAD9
2m0zAntoQE4XVQbxLq6yE0kS/VEV/a7t7GdQq+QQsseFAhFpQY+eRw4lhtn9FopYGmbfxVXW52lG
dxF4DAAQfYED19c8bq2jNZ1pAk+bbrDokBGV0PqEBPYWZ0LBa+kbigZNUO9a7Tz5GCuYuDT5SS2c
tNq1MZnVvzhdcPJWSMb8IQm9JLgpEkBt2uYmnSIjJAesoKWYZQftVc/WOPjHPJPXoG4PaTeCF+mR
5CFEpeuInNZv+v0EVcOmYKskp/YG+mVtJuM2r5udMn3vsMy63OaNei25w0PT5hxuLuMxpmGkExnc
Zy6kVzKCOIWA0Zw4mXFWgwOmGMnhkeD97R2C6+Qd8kaO9HlUXfw0eTbSFz1HRE/IhHV5VGtrtlpC
w0aLXDS5QSocoxBUYu9+kdgHEJrM0xraz/Egr3aH/LrLPNQzkQF82vxoCxFdKN+7jRJOjqgONhCH
vjCNn2uVPtiF876u8Qvdkz1gPuOINGuTO/q2dJ0npirDVgFf4SjGxDtVdDgiBmxTHtVEmZLyMBry
XAMyPQKOfDFGBgHNQFyM0ZLTJ5AZtf1tjAp+C2kpHBisbQmSnTeaPUY2O6Am9lY7+cFxY5Oaow8Y
iOqXKpJTCHk5VRCE4VnOUReHUzHR5hzof1Fm9+Ch9amtxts8clgrJn/iwPpa2Bzwp7lDg1riI1j6
dWnhlxjq+Yhf48T+TopM0X4v4bNsCBH8SX7Amx+TDEhT7TR5JyKYbIyWLem0/bF2ELWPifWDSwI1
nfdgud30SvXC/DdAWVjE82fGhI62XTB/y1C6N9JOCdDS7U4n5mniYAh2ifddGOUTje+dkYGM8xj3
HZTJKLJy29spT/sLhOd5Sxt6QnfV2wntJyNqwIxTDo6a9wNo4z1GiTezBqcoc4HHfKKrUDQ7vyvw
OvdgW7Dj0ED0kL2ciqfE7bhkFqCxWS9+iUHeI7QBXCAIYlaDc8B2913T4jcWF8+q0wX0db344BUl
epcuw+VDhGFwixDQiMvivq2Dh9Qd3urFFuehpMRyNd3noCjPUxfZK+PPwNBZwkgI5P1Ft4VN1lUC
sqn/Lbzp3lCLdzVtWR89rVePdH+3VE58EMVw4Y0xTr4JsjBW97QakcBDlvcICCIrKqtIkGI6ZRKw
mTJQg4C4KDpIeIkkaaSxJgHX3NCmabcVpfY2H340HThsK3ZfRO7e25ggMk2i5FLW0a7K8u8MLQjx
NNQeY2x5jNgNSj2cktKxcGqzcEil63PuB/gCVX4H1Ifc47Spz18fCZIrTz7D6/XTtuHextq3915s
AIiVVqbXXjvdwC4ZzgROzwGVm1P4nCX6OqFfy8R356ZEFLKT7DQh0jtVpVQqI5iOpKK/Zon2/PWX
aECF5cS/g2fYUsaW52jY2L34XemeMOi2CSFarm0T4LaOB59w6Ir2LKltztY8q10lll9GAROAQOH3
vBtNml/zQ5YiHy5SmsH+jMBn/ZYmN5s/f2UFKSbCZVqt0e2eLcd7BqUBkbD3uQBXXEZmEw+38LtT
U3u0oPQyE3uM7DyJozuuDL22aTiHrC9OENXTcTGwoHAgmbfVmpROnwhRcs1C6iSZeW48dOSpL37O
5CrA6ukpmWmtzGkNr9SxzgrgBRmmKj2B2qU/6zPH1r6ThlFkspTmaDKzWjM59QJCCi0mMxOgH8YQ
uJqnCARqvbaFUOp8TCONcKBaLkrjEcbryHkucUjGiISD5iFiHXOodkJbjihMOpfmkVMy/sRhlyM+
yVyOwAUa9iQtfmYlw1ptuT/NQN+56YDpBNDVLh6Gp8Aa0Hm6M+nJkgUWIdVJTBNTCUpvvz9iE9UM
mU6dtVxBZnFHsibGRXbNAFMd07jfO4n6KezkkY7UTwSIBoWueoUevsWuaVKnTis0rHghIhlgZvZW
nrRtHCCTdVQklSTHlF096D/dlgORND57rrXd6KKbTIljWfzAo6mf1WGm2eRxSb/kxLZ3eLrQMw7+
JmfqvsMDmGKUwk+uS4eylf69GdzMbdpegop8NXxM+Ksi+y6ScCBMrhRCjBm2zghAbHTGYy4fx7nq
sJtPXSiNstsWNNHrmW0n1TgBe27ofilfqtEl4pYIVb+e2+06ZTR1hjSoL74lAMo6cZUJNLv1/zl4
uCwWJW/TmtrZdR122754MnzvxSKzjXyxmAtMvCDxr7eVPZ7rMad5pu0jc+CXyBqMjeHjDl+jhtEi
xbIG+YrUMEdCWCVEUS0DQi3HZE7e8r9rlL1TNWpGFlM4AygND2aCPN/yir3j9b96BMahNWaHDObK
bgmaaBdDVvaMQV2Mom+3s55vhmMx29nOE+ZPssgQlUZ1flqo8GryrWN0KN+wx1PjuFu7Nm9cx/VY
yplrEC8PaQpAT9rw34Qv+aYtv9rYANn5cfuxI1FxKjwEd1DvzYqgTnfjt2uFNxWPeuRyHFLJq2+x
UfYGyYsJkGpaI1vO28au8R2gJGKB4tGdMALwKs2A9ZoS56Z7dTz9OomRKZMiWbhdESw9fcgAGeiw
jjtlU98a4Nc31hyIM0qjxnIHWNrQZCJaZABfqlNcXKw29pi5ePWBkge1EDXX3s9bLiSLdsvSSUJZ
OfYgenYpaJKXwYRkXhuPRT055PJk185Xv1AbPXkuUL1l/s2AjDQUYBasw/egkN7RwTNnSp33ZuWf
xzB1ab+4b0zo8CiaKqPSLZ2w83MkqG52J4IBbybxbtvBL5GiqDyUqeZKUgHZCvRYeJGwHJR63i5O
jcIX3oWBPzfto47CRxz7pIoOzbQcOqu5SwK8TpmvZ8Ieo1vOWv7RoAtHYu+BiZi9DVpOPVmxRngw
7eXCD23C1Mifqr9jPgdBN4AcNqbrUNEnXqWu7B+8phNJYmG2n/M+2NmtxQSUwp4Ft9xP7rtHkuIu
rpm3S5dDsO03n51lAxSioHJzm5zaGtFj7UJA6nJmJkXRRdgIqUQ7UE/ZxPSgRc9HzlUvrPLSB5S6
0kKOt0wGGNqECA5fTfdJkm9RFTFYn4eLjyZvo+3snBiUfjVBuBtbQztHZUULkVPCXe8mwb6hAXJq
kFH1KjjCkjstttEcxr5AOl0iROGcNJNnIIv95FCEijH9FY8RdPqB9Eriq0llHVvvpqtQ0Dc+A39X
KW/vL3l2MCwyIrwA8YWnyM50HbY18WQx4QiUj+xnmd0DBfs0+dZZ82JOGYTvEr9Xjrifmqs293k3
3yV5GWwhgqY7dU8cym8qurveZqmIqgEqJPvxmZjcYQ9k8iNidL1fWv/Z6GvzPhDGY6IvDTXa1shc
dK+2qkMxWf7REtPb6rhO+wHzJJu0EfO6BIEiQVtVb460b7J4QNuc2ieA0e8t+/YzfR3oztpc7lwi
5zE7rqmxWYgGEYC20bz41YR5riUtboX8FCZmHBPKk0kJtcPrc+/n9VsULcd6IstImiePmRMlBwdt
6lP2nABFPsoUs2YHVdUx4p2/JZ6AvCnf2w6BvYTjUv/OCRWn3i8eaV2M3Eac/XCFEtaoT7YkbUwO
94Ev7wgkUVvg+Q1tjsTZLX50LUqaiNin6iJ1jwiyjhg0sZbmd7pNUPbBbx7mltsgVohWa/wFY7aQ
lQXiBEHfGAYT63itre9OSj5Z7cudzxNrenunrveesPbf9hNboekTmLSYM8pqORKBwj7EN6BH1PnW
S5OrGJcniCsHJFF2mJmvI2rkLWB0c0tO7w6cH8PrVmTXsc8oVZqGru5kfESkXUMNYhZPx+aRliW/
VVteEl7zHezWn33jHPseFagtrHth40GOYjZchdQJgIqRHZyOLneAnLjPxWfTxu9IE6BDjwRDQFyC
DkHlPB0wLFNJuhKRFnUbKp4oDmkzXPsJvIGalk8i4XESBBOWyCFubt16vmnF65z5UeiCMrD92ywl
eZD02WmbZvbn+pb1qccaW3Cwgg+AZ1ynj27gnISQBCo1bO7ALWmgFgjNkdWi7X1RaKjB85e7LB6X
faabm5509K3jKTM8zClM6tiaxZEDC9TKd0Jq50fFJbotEK7OiUpvC58rqQHXjf1CPluyUwCRFus8
2eVrXa35qgo0UpxLWPZTdsmn4i6u7U/Rl/w/2vmzcHndch+svQh8DpHW+GPR3sECmLrvkX1KZNSQ
JO0D5swf2pT1oV7okzmt7+8R8cEA9WgVd+2qFklQoS4w1SC3BgPnuaRxpz2mIslQAi+0H5PB5I9c
dPTt7b0glG2rEVdatbHgiA7UIVPmxziMHopOAwGIMd+VbTsdcl7RrUDhzQGa9XoIUv9QpXegp8qb
0Qv2foABFBOnQtB2yHvoaMVEmjAqy31ZFxVZWIjQ2uEs1oL/66/Imf/9cKaBieT6RKODZM56+bGU
E66BxPrgbc/udGp1h3SidJ8BwG5sQawS9SMnflqEhdEASOp/VRa3n5y8H44R3Trk0h1rbqstGj/0
FmwqPkcKJDd70G6kcVerJ+4QD7pkZFGVnMrokLrKOS5wY1dLDdHEnBBoKotL0I9oCdwEQUpm3Gt3
JA2v+qTFfOflNvLxUb4rE8axJAFnLKsmjOYILsGPTtDgMyPifmUPSaxHD+NrYwe1ONlYo3hsG+N1
EG6AGsJYsebqOgMY25hlwmI89WcXKc7iZMZuYLOE/hefSPhKwwJfEtf2DSja0GtsO0yckvROwyIx
l0Eojo92ba78MFrrHsLITTLJn5aav6fB8jw5cbSXWXHNfLxb6RcqTHDXDXLdpSLUxAC9j7S8wK2w
CYgoi3bkKbjXtkenIegOLXo+QbpLsEZjCE9bcapN8CkkzG7ZfV4WjwrMYnjv5yfwM8C0+rTDBNI+
QAb7rdFTHgmEee6qjva0yL/1wY+KCHRQIAh1cpruTO5dYnSQatMIf0lI6CK2k/RIbqqzJ86+h1cG
CmC44PO9lm63F8lk7KH0SqSYbW/UiGm/GRHtppJ0KiAaRGskTciQnflYRTyP2VHpu4kGIjkCElPg
4Db0ozajM9GhMJq9INUirvpTIDkhlfBCspUghyUGBX8TPEzI3Hc6Hpir0F5PepSHPtzYA6gTzmqY
uZcF89FYPZKmvVb9jJywsU5oPT2S2BwPHO3shZWAi+eQuYAjOy3ChPVia8jmPlFNfo5VsKdZVtwm
XXt0Vmlrosi3FRgD6qE/ihUH5lXxq9Y4WHvmY3t3GF8b2X9m5o/KZoXHY+az1z4kNUGCTv4Qm6sH
vmBBL5v3mfziizLs72mpzXM3jA6hXXNOYhyxw2gmKZOqm2wQOVi0rTvOE1vllyrssTPG/oTp4hoT
X0a12qERkDq+sKnHF8OuSio7y9uo2fXOE8Ykq8v6M5lGD7lVdYfSdC+zHw/csyZZV2URwnHHNSDE
oXVnpos4i9LyrmXYtlFTm54TQnxSP/pmZ61zGIeGu3me40NcYb0pDM8j2JccgYxQ2A13EELMMT3l
jvNoOx3WqoYDeQ9bnMt8XI+H0xv78XMWWQ+lQPC4xOcRZQ71b4qL026u2EKc3TUWHtn2fbqXs3Ff
2e+OURan1gu43jmFtXVCV1k4z6qiQRMUfhpKlE1biDMstRQg6x2OMRAGiy8wm1uYMiYsSZDXYA76
q+Cidz8BdD0DOq/RhUWb0hnthy7eRinTrFSMcGfiDxNN05gBgY7b8ZWAGsYgfrFjBmhs7ZGUlLYZ
T7ZuXtFG/S6HqDqp6InI5GirwbpZUWcQs8UZOrCJNcI9F9xEycb0xANaZWxFEuOvOdFUM3vyZsDp
lbt015XzQWOFRNxZgTal/mKGnh5GYWy8rm32Q+o28IFYGdqGbEJ7pks6Y6OsbOuU+TQI4sk+OrFm
557Hm75xbwXvH6NEUujrmkrIGdCaVQGJUebEpM+Z03Ne4VUqp+wONBonMg2/NCYPenIdRPNLHjIj
tmE40IQpKoFHnTWmzBANVlJsSaFEquVTbpoV2Eln+jmvHtExWmfgzCTTOmcw2qCcMeLk05NQLvBG
hfhk1ZYsS8hqK2i5pK9sQVVqid+LlHqfwEcfU0g2FVEwe3DEz8Ms3uYoPZde7LInBm/abnt4AG1x
kbK40QS/X2D64K1ApGjNjDg19qkN9sDvGOaORQ3QsR6CGwwt8b7mdtnCogpNQN74eYydYTUHSgyS
T5DOUGriMMiq4ep0nrNZ3EPGgJG6k9qqCFB3TTEHMHymg0uyXTUuM3yu4Ac9Sa53PN/t5L8iAHXB
cjAaTOxr2hASWDJ0S91Qp1xCQGY/jahrkZnSunFYOlsxvAPqesxmsavq6jayOCbQh7rNzSMRhOS9
VSwbOKEZWmQ3FkD6TszVUVrTMaoYQ/QO3iD4qTfAmsgMSWxSditCtrB00sIqkfEeSasuQunojPuc
+tRggm4MfKATtcPTFLMcW7g4uRYNjTZdLiad4Qwtl5hv24hB4URY446oeWSR1tVD0bbrhPvRKaUO
JKi1SdSfe+sJhzzGkiU6dxanmDxFkWUE6bVsyYzOExUKPzmlvf8495p7N03uZ0yErKoVNgpuBjnB
+igcNl6IkYeMbsd6FmMjjJoXTm721ocgu/OC25m55WaM+SfZt9Z+MGouP9BYhUHo00y7a7R+CUx3
LGob/MfQrZyhBPEVhEg7cFxkw7Rj8oYwoO+nsKa7z7DOm8N1ujgP6monwHGC2r83SzgtHT5dtPW4
KC3U3amVPlRd954HBeAt18YLE11Mrzf3EamVyKIbVO9BtyPqaO/XEaIJ1MxHmuXPjbUEe7A782kE
KVHeBVX06dCqpI2AED9LqicCkgvOBgvhRNV853Ox7QyzfHOXp2iyOobmv5YseQchSc6CCd+14aRk
ljnT4Vg+KN+r4disGAUZjiIhKijClu7iVXI72kVeEnF2QA+SmMQ0LrCUwnZOfjgC6ISyF+KBrUOy
QOKae/8KM+gza9oXbchjUZnzaaCAa4f4gGQUq4DGjZxIwLSj/wLcGeOssCykF6tPWucKhLP1nHvj
CQhXdYnqb3NatBe5VA+dtvAc2KShRvpOEGbCQUGh/JjpXLbDI9Pjl8gjn1JlMydscBe5kkBySiIh
FGeH9Zb6VpbKwh4Xv1JCTTdgK7mNYBVN2U+hJtSTFStONJf2nZTRPjrY7CpUhWawJ5Twxc7d/BCY
LUV9M7NlZP3wwRGiDaEqzQj9AU5ZaNNZZEubSXduZh3j3/rYLWnYRZ7cllpFu9IC6on45oA3hPFO
UDAIQ5ULv2fegy9WR6PDixVgTxIm/EqakynyhehBV3q7CNeh4XmydNtcomjdetssTFz94Rn+AwjQ
a4fi62ilHbA/Ro20TS6j6y6nTJJzusx3ozU+kvl0XtY8iKw3TWJPzKOTFre+zrZEshlHQUXIOc8t
Qxdn4qzwGLYEMhxjo9nUix6OrSaWLO9ZoHOJv5slIEGaH6gLYtJzRm2MhcQ5DBSIBH3xo0R2E2sv
ogthg63ugTl94aw1IcvoICfOtGwsNlwzhJCuwtS5mMuW87RB4GXn7DncbpNWNNhKfjVwj8KiS7HF
yfp3INIB0Q93GDn3p8Sh81m2bLtOx0DGx2myFR/MJr9Bo19tEQwYPQlds+MXE0sE6BuYNiGHGNbm
9BhAuqrRrW8CHfpctn+exczHeYMNgc5oSXUfVw4R3O6Ef8TkdY/vKqgiJ06eqN2xvWLX52UGNlZ6
AQ09aXGzMn5Cbu205ZsVtRa+FBfrdSpPw7A8pQ1t+NaNPgKJZ6lve8RlKFq7xIxwa8ECkgMj/sry
NQgNH+GdPXO8oWu5MwtqggCmDWaSiN0wRodu9u4FWNYqqf3O4MA8ei67gJcuDcmTN3RZ0buZ450K
/Ls+g89jQZkdvbG+F/PClU4fC+wZuXyhWohq7iObuoV9egfmexcZaxTscgeQYtt2TKMwfr76TFx5
1LFuaxTsgXGYGsfB8Jjc0oSk39VCzWsa6jfQBYz6KO6qMYLmkMpjVTvMbT75fxA3YWAozIkA2k4/
4vZmpE1H0SqLBzJiULtWw2GsR9rrpJRstdXgo6rRkdttg8dpcTm8Mo0gDDkkH3W6Znlwb6AaqfL+
Y54jQgE7FyEqGXduMT+UCYgtxvf4WjtuviLajxB0zlmqn91CfWPE14CcpyPD1hcRk5O/zgySGhoq
BLyE9PQtqtjWp9TLPzlCcQ20KTImlJMbFaOlmPy0xZfKJl9UaMxnCc2CSrgZGfuYR3O1ZQo0NMcp
Z5atjPqgyUdBDgsDiaH1YejY1EYTiQv+TIII48LewanghKsLFF72yIikBVi2NQdxTP0Ux3jX3mKo
pj8ITLhRzqVcTIdQruKujZW5Xgv6kpf9MTHz7CzA/vCLOYSYZFIdFjp/oEnlqbIp62vQU1aHQkiz
spomK7E08ScuwOqs3pNnJ6B+zQjtbNKMcQL9Q64nWieJif7W0fjmJN3r1fqfJwT6Lh4FubJz2iJd
dCFIESZKdC8CSBhB8KvqggCGh/mTQ9ulMpdr51m/SiLQt7GKzn7g8m2xMXGS7u4KMPBhLN1pMxZF
vQOCCM2vfTGBX2+A5o2srfp9VOKztu5ZLBHVkUzr/8QOe1lwIDpdXR0bBPrCQ8ZYR4euEoggjAm/
ckD8TytnxCQQOrfFgj6mPY0tZ/1+sN+Qnf22IrJg/JlGr02iodEx5MijnQo07rKmwLbWIU1GXLPg
qiDhrGOO3E54BxiJtMhvthoE0D5fbMJuOjRRCEM3TV++e36enSKHLPcMewNU+bG51LRDZ674BBUQ
L188MWO22FSYB1jFyjSNbxtbd+cgV78z3r9NouZi03aR2qZEV3Yu20Ewfku6ERleVUz7thi+o1tk
9mndpZPRHmwYSdgLuy1NIJSbgmmCoB2U40zeu4JW2GI9G/o99eAumAvKgcrFTz0t884Q08dQeju3
zjN6azG+9d9G6g0bSb+eAcUmWTNR8qRhumNccvRW2zIm9kM466mqkldRs3vJgt3UaYhgztUj1Hu8
dB0voFkz/KFNudVV+TTO1qkN9oHNcah11HmKa0V9OP7rI2Jv//Ph3y/5+3X/+JKvf/hffN0/vu3r
R359zqgjJIz/56f5eoI/z/Xf/qi//4m/P261rDOC/p9fi//vb/yPH/X3aYhhl8XsE3eEEWBj1ANj
a0cyYE59uzrHBdNKhFTSavfghPbL+u+mVVZnWRVrV319LEbkSpevzw6anhE51HwBvfgZot/6BX++
9p+fxUKHtnb90iTGFssO9e/Hf57KGQr19veTa4wnsJji9DVaHx0kAl8fqZjQVsaIzNv/+TiDf7D8
GcV/iUpp8/L460MDQdO/vuvr8eyuQ4J/PsHX4+b/PfXXw68v//pIZP6/n/7P0/39pz9P9/fx3+/8
+4v//dzXR3/+Wsx+58fjh+WnzRk4nDKZJbv1OSNesTrGDR9abouo+OuzGlbmvx7/xz99fZZZckak
59idJ3I/D66h6wuC+e/Ilt/i1MCYO3rDOaJrpGEuJvPC27D+pWUO1HD9KHD8MzARJuZ+ztkiGLDE
ky+ByBC8hDtifG7k1Yj8H/VIXZX380RwxtFW0OCy5jeaJbZBBgYssTiF54p2eh0xmB7QFRhu9zkv
Nh3ulU/clr1ep0QV0QwRGP+i+lz65Ql14gWNERA9xayd0chM/nE9wpjCa4qR6wOjk7lp9XaMfYFb
qHiIobzy49B82IIRHryztOkxKnFqD6ucvAUPdEHa4fwrolscxRbi/42fkGfWtlJyirwrK+8dkkNY
qKq+U0Xxzg+8D6Zh3hvaztGmIORKsj3AFvOZ1hDknwxWlxn2a1ueOGEqwjYnEC5nsmAsiJTnSNwl
6Lknx3L2aoofEXPZDNzS75m1qLCuxq/Y3CFshh2Ix+eKTAhGYyOKkDnF59vhm5XOjbkgN5yWrNh2
EXPwupvMrW3Nv0qns0gKx3zk2jRCstj4NhbeYSg7/Z2kPCqNkro1Hr3nZC1rSWxWFMLaJl9WTJ+d
VkDtAfYcW4sklj46zViM8AKXv5EY15u+HzF4U0VGfXOTzDiAEFFb2zEiuj2IQIp0ywha6gYNNaYB
Dlhn6FUTnEGMy22PaL6Z8fQ6NXNmBO7V9zIwHk1lkWeKuHJfeROGKNWPROHlgnwso967CChQpRg7
Zi3fofmW35P22VGR9cSogj8Fpucc9gMDzw2trI+8F4ilndQO0fAvzDml/TGT5LUjA42DmzJ2ifRu
g4G8atI3aMpYZIKJApVuK72QvJT4PeoGLm4s4K7hsOmWaGZtU77pEttv5KU3tKGffUhezZrsBaTx
Zh4EhAZyCmduFIZfF8tp3lJJVs3QEfSdz/dCe0himkWSHF3lJxK5iT2nA9fgMhRJVF7jpKhAax+y
hCEwCh0aCCMn69Glnwz17Ckn2WEX2DWisopx/RSsqqfy0ZHG74X4idAA9rGlmIjgXIqHuYjuU+/Q
KQQMnL8+KosmNSjqaaMAPZcw7e7NVPKS0scczBFxOg5GTXeeyq+c7hENgHV68dICtmJHuZFNnYGR
ZoU06j0iQ+XiDG3738QkXgujegjspAjzbHiW6pV0uSwMqMpNUib3smBcXMqTWSuUTgjwVrTGqgyS
HTPZ8pjH6keFM3ZbW1Nx0MxFiPyl1KZyO/olJBwpGdxo0i0NniC302/oJejY2zTCoy7/aCz44iXa
rpXckbfOmyFWH1IqLHoBNYaD2nrkmiYHeWAE6BxNDSJske7ZVA0idcE7bUwYgSsrnAZutA6MgMN3
Qr+sMB+j7vKfU98/5M5NZQWUdNaA/GRIf43MfuCbcw5fygAxCa7FduJop5l5WVbJ7zx5TIiH0rzl
aEFuDRvaBRPZsVv5+HEGam3ypCtCmYCmzXG9Ll8PO97a29n2lmtEQJ6uF8xB0nVR+K0ffv2laDsD
RPiPT399k2ZNrHOLIBRr1R3/+dz6TcaijkjyozOBjfVysGQPWrMdT19f4XKY6yjvr3ODXUjAZ4gm
4w24D/oX0V8608a4T9KvYfXXYSkffMjPx07YN3EnT3RsWCnjxAzh8S5RFaCDA1ZZTFBgMf5BJklx
Bd7mg3+xK+xIS02Lko4hE+YgB3ghBD/NPZWNGkNcOO9odh6QX6cHY9VI2omyL0UJgtVuEUVYWG17
v8CnEpwHmt27Js3vxSiLbc1hmKIaGk8SoO1KnprZ5I0V3ho8LaHQUaejsHQ9rqtpojIe43Mep+9g
y6LV7/6zd2Hex2D6OMyiZ+IGB+Fko7iKEW1Ze9NCaSJoJRsehIiZ+QLHC/4BLN0mV+6BBsK0iyzr
nviECcCJJB2PWRZ8B7SP4Jy5a06t6/4ij+doujWak3Yh89xRb60o0d25+siT9sjoHOSHAWeVF/zf
gtjU8obX4L0fvG/8PvvYdn4JK3sKvOrGGeS461MwRvPyVs7Fsc34BS0ZhEFT3DmL+EEYIFvOXMPD
SbzdHCw3EIPs89B/81sobC5UI9K40FuRMzjX+tnsSgQQyI6T0dpZElGvjC62Wgws8DdBT2/DUYJ2
gAG9NKUpSL2vuxL/VBLcemsICiNKzED249gO3c6U4AX9nhdRJsVDxNRvC8U7Dr3eFTjCyViIyBGq
ND2A3q7BWPo0SNIBWDMaYU4egQ1qL//tnhcbAU9tGy3uKPSdmkOKtkmLMJLosSU1VU9ueR2cb8rz
P4KIMrVwkpNHd2SWCP5Nm1+F6AnUwvHV6vsTd87vsYZu04/5T1NY+xUKqM3uZ+32MeT8/iUr1YOs
zKtfRD+QhsKtalDJmZF/5WC05ciMBDGrSbQaMvp7ajgNcf2g43zYtYF4QTpVh25Uvs0ul4igVNyp
+ZtVuNiRuxvY+N9q6oLeJTEreUfBcFa4ADeJJ3HyDMBIEWC+67K8TGmRctla0cVV063WbkBihfdK
mimnRqfzqZHWrhTZDqn+ocbq2Z7Tk2c7v6sy+8HQ0j4UWl3mjjc3s9yL6wF9VW9uQYPeMCHGQKQt
l/4F2OBwJh/c3lRm96mNY+EKqrGAUnjUkODJtbrEaQvDRVQki2YHL4enOPjvc/5U0EnZ2EN7Wioo
zaPfnDwLNCWdQLltJ+/Gn7imLdoVOwIgkbdWldzKJvs1taC2LBlD400wpWG7QYNGWLyXcEgGAETt
1ctwSbFpRe0ry5U4JYM/hCjotlHiP8+JP+77Xj4Z0roaySN6WnAlcECYjiFdb7ITIxHkcok/ceSn
gzULnwNL2a7ejtseIsh+6OWNLCQmPOcMiBO5vz+rw+rYsiXO7co95SPhWYTw1GFNdhaCuh427r7p
H0inG0n8oKqAyzlIoonwWeesKehu7SENy9F75OQAn8666eI5wXpe7fhPQkeAxrB1ff93b2FxiXjb
qzQTx//i7syS40bSLb2VtHpHNtwBx2DWdc2aMZLBWaQk6gVGiRRmwAF3jLupBfQqamP9RVZWtTKr
brbV271t+ZJpKYpkBML9H875TkaaD9lisMvja90yd2+LhFl1zfKH8D12t31678AfbCqotcIhosh1
ziWSQlTUu1CdjJqulvUbCYabFf0n2A9wkUPW5hexgA+S5XprNEUltTarxl1BAsSF0wyPriSrY+Fm
GfEzREgYs17waviSszbwt3X8yXeSd5UkKZ9O/XFtB1bGg/7ulf1NvZ5RyRSfq8ZGWM/MpE34SH4D
qxdPHGJcBLvAfE8hCbnsXdhGjOO2mMUNQkb4IaE+ZGz/qe6JAwthfln6CNJvr33b5rs2bL6ZMd3x
kpc7nCW3i9LDrifzMV2uyrlGQs3sn4AEQ0CLxLerUtySRkTdrujb69iPD2Ran7dj11lAOZ36OczL
iFPAT29m4yKrsK8+1z0MSXtgvUztDygJ/Gl3NXrsYqFDHjg0gA8aBvRNRsKgh9xZJzNU+/qB21sj
HuzeWcHS22JHIxaxDSjfqLnz7WS67+OA0yZWZzAoVcEABGoDSAIEeYLQ22CWh0uGJKidn1bB+Fy2
+tNEgGuwDB9N6r9wnMabsefIScuTQC7H1DWJ+Ai1hGBF3sq+/yO//q0uQPfMS/YW4bY5E3T2DQ45
5wxSd1rn+1BF+q73smPt+vfrKL+FLCo2c/Ytl/LLOqJMYp3MAdEzCLZpfNlXyCfZCV6JjozHWmnn
0ITmsV2dVxCOLBnPvAKOV65wENu8snUePKQa0tmassTFzLHLB/SReVBucx+Ve5O899Nc7r2OFZJr
hWBp+Kon/L4OGeapn9QMepqYHqm55m2o9n/66X/8I4j11yx38x//88fsqd/953/8/5lXFRIXxSvB
L56+t/+UV/VhePvrX5qf3t6rn3CxElTFSh8Bz9uf/yTPX/hrbpX6OQZz7EZRIOlfOHj+kVvl/yyU
5yliAmIf0I3iayAf2+zPfxLyZykiBrF8EfKzKP6/sbDezz5EmDCOfc+NoD8E0b+TWuUpwmd/CK3C
2RcLxkqxhxlfuX7sErj1Y2hVtFTsP8fhI46NwN43VTJXH6hCRuSZUETNTjrz/ArcXiLomGfnpkek
yaFReradD04W23of50nWvTq2dAEOFRPedzdv68c68HpxjUChy2DkLT3nY8rnANcTiTw3Y7EoICmU
NVSWfn+WQeoasgk6b7qw4C3IGuVtS19ky6uuCxiVG98MLRGTBpEdLu40FOcmniHFijaAInMc568q
q/3wI/iNYviQ9S3a1QssrEH9Iiqf+cdEywjisRbssYoLrGIha5w1F0t1KoiNDG7YAsKbTyCytVcE
ynfZt3CNp/CQp7W5tGUrSXXEkCOXSx3qJ+oJp2WbTuI4oA52qW+9lutypNu1+rt2zjjOLOtjFM1h
o+cQ1XdtuB9CI1p8D3KGSWNK9rqstaOSUyUBpLovi8BAcp7pG0/ZMnVMraUt0K2EUlfldiAem32y
G589DWqJpuJShgIDVjKDWP3oOu5YvgZkyvPtqphFrlicDradoq1/npc4zK5LcryT/TgWNth6RG/J
k4qXGfu8zmbyS7K5kvcyTMDFQRmU/b0TVbk82jZuzecolNlymzhQhO5kGmXlG4RQ17ls0aagtSoi
1m9uS8DNZVJ15BR2RkVU88V5tbfmC86Drst6ssTzvkQIU6HvQYbhRACZkHXZ/ZyUSbhti5JUnIjP
zXCZm7GxD/NgFv8QNeacFUSmykDcfT2+jEshB0ol6X/vEh0RRVIYUIszeqcP0djNJdsXuMpvk+jZ
MTdlQzqWm4W9d5AprruvADln9WbKfomPsiwlHZbne3r9PLv52GcXJSlDxbYz0YRgZhhbtdzocCFG
YFvbmgKKZrmbiwfADQGt7AwsLcy2aByc7luSgXxDn6xI7/5UaN0Vh4RQylYcZuyD17FJFv9rNJM7
fan7OkCFgIcgGvlt+jVScsswowdokVIa3PpDzDFxKNnQn6vBKgAzuyWoiB0YfiMdkgJWzzW5z9tO
TbY6YjdcgTYOUXmuzOYcxAL86tzW4QPpkS7aBGwu/dbwifJo2bOxrwCGckmGmFSisUCZJGQI2byj
X9No6urSbqy/Tno+imLgnSONqxBnsoJvnJNJFbIWPBlBAbAo7/LMd4l6rZL8gQwHl9z7iM3OGcMS
i3C5YkQp1eclrPv12XRpnjIqA8fKHAYX7MFgOTTTvpmcTvNRjkt2rolY1yscMFWKx3t14l1UMZm7
LM/pi3dMQNh+sPmHQn5FkIVVpyzI2mYfzs7qbHo1e+ItXJA/7NpS4YXqbGxYXhHCqfpLAtOc4onz
W04v56T25FM1uT75qOxJwwsUKPVtiaame8mn2HWu2AbX4iFISPu76wtfI4cMTeBiPxtLNK2h6mgS
B3SRV3iw5v76LAdtHqU5h0W3ax4CbfA95EIHp4R59qGKovYuYE+/DeJyqI+S0BLWUDYog9t1tAsG
Y9X70b4NcGwf0Ne5LKDqQq/XkTuGKOpHS5TVVzdN4zenkJPF6af4kI1RpfD5c+rdIg7FVzxNyku2
A459kLE4P+NNEEdDedVpN24+cLJE1QsxRRkpC1UZO/cDoXHwPmZQ1FvqD5cuq/WD/qlhRzlc5WS1
UM0ErcK4PrB5fYkHzxN79t86v6oA/8dvE1TaeVdXw9wdIdf7ejt4ocm+CX5y9NeBU91JdCpsh3t3
pB+UoGZSWwj3UIf1fKnMMJ0Sb7qfYn98XcIUbVq0Uk0/ugtiof08NKV6zkToRac+Fysy3hG3m/s6
+KAiQfzHqEHKukqjLXCzqjjICFXI02Lb6nKo3PJyYl4ZHqNqQJvtl3VKAgQ746sMKA52Ob8BWoWc
X2N8Eir95ozJkF6hX3X8W1euXk5o0ugyxxmatDsGdi30Lq+CBdnkZPCiW8tQGuFTFdwLhCbOrjJE
fpyYdbgu+W8wDt7nPhvjU91ZAnfqaaWnC9154q4UfDH8Gh6jXbzmSLnixTRoLmYbxTsUU0kPMG1Z
p3vBd+fnq3xynGzmEqe4VqGutvCSFbA2bhC6zKmgdNZsQ1Pun7VPt67hvHwaQ7fDL7V0Tnhimnce
PYpYx2wXO678izKZfSIiRItKLYwAxT/GHhqGg9+i5UZB3TvNpbSiJ2bEXwVsvtysoCNcURrs7hzL
ux9Kq19rzJ+aAY5V3ljz5z9R8fymTvEVhZInYo+FuB9hjfhtnWLykm8WrV9FI6YyfZe/3Of8Tdzt
eDbOF7123Wz4wE9HBTDGLqaYr/9+nXv7Otr37vdZqz9Wxv9pKfxfMJDVYy7wxyXua/PTzWtv//q/
mx/r21+/7m8VrhPIn7l9Qi/0VShDRUX59xLXCbxfalxiW11PBb6vKC//XuNGPwuphBdLoIXK5TP4
j2jWczKrwvmCwc2LPM91/60al7/nhyeHxyZQYcQ4m38TBLS65///QyyrcNUcll0ISRxKbUXa6Iz/
2Bvu/vj5PKfM/vO3iQigJZ07iLzo/P9/+Da59kw/CRfHpg1RsLP+WR/SxO4FUTvuytQ3qPYj/Tc9
+CHKY5KkCR+sjytDS5SDPgbbviF0i7qVSgxEUzt+W4vrgKh1EsAIVEN1025C6DEBoS8a4gj4toxc
FgNzktvzKAmjCakxJ8x4snOP0Rhf0I9s/vjX/BcvZiR8lyhC5bthIN3f/pZOH5Lgt0gWJExjJu8m
RLWZzO9//E1gJv3ziwkK21Wxx3AecsLv3rNUJBnAYK4eIXOWJ1bRjbgjI2B3PJYXUZFrxiKq22Wj
+NjN6ms3BHdsO5pN5LlEQzwOyyNK8OeoPosaGPC8D+33InqeVAp0tt6GYByyUfKqf+oYAcBBYdS8
lxTlZyv7OfVV98lpsF/XjnMSwSNrj9z/uk4PNvDZQnqXM6/uNAA6A5FQ91iDBvCh0PvQvnHqSyAg
6QVyvsOQ11cmkYSuTNsVMWOtv42jt2n8X6YQm1if8803Hhz0ZZi22v3gYkUUM2E4Qb1RuAdstgCB
IAa+F4e6vGSnSvwhfFT6f0mgZf69RN8cpoyfWc15KI0MeR5OzWyc3mgkJU0aQHCwOoCSNHh0qfGh
eL0L/IONRefsoRAkGYs9NSafHdDxDViErVs/TMj0jCJ6r95SdgJ84E5AnU8wEDL855Vlr+s0BxO/
G3CTPdSsCktUkab7DmDP1AJFOY8YcXSMN/76HgAGwlV9URX2AYnuCcHSTjx0mdl5JsFslVxO/LCN
cLc6xMfGewMd/IKc1QMJfvBcebXDejcX4YP27SEKnP0UEx4QI9uR72VBgAhpsYnzlTXdaUQdEPoQ
kjAp425wvOjinCrcwtkMlo/R13YlA6LbLUV/JCiM46DClUpsFuryYO5usvzzWvN69l9C3mCxEiln
PAQVLPrQ2RhiXfmAyxiVOx7oAFRklJ7WvLn2lkdvFnvFGqdYwRA5ZDhnCyBlBryB3RRnCy3jy3r4
Ru4Fq+SB9+EL5pQLoo5RfXwqhwclGP/z7cGZTfyKa1MxwSVfne8yrN7VHJDn5D6rmUHoKm89/J9N
65PNAKccJoWzijs8C1vaSgSy0HeadUdvvrPsQiacUAU9bJ6Q83vg5bicicTLY2LVBP7AtSAwJkLj
l38ZJXER0SzghIv5NBCLdfHHn27xLz/cYeRGnP+S4cjvrvICwXEet5whLiFcMv/gmj30InpMnkDy
XYE1zMVnMAV4AcatdajuELiewcnxUzHtzvLPP/6B/sXJHYkffp7ziOSHk3skkHDGt8S0YUFJEZFc
QFrQyaIjdur4oEF0psP/44T7l8co00LlSeKWfNf/7bdc4Z9rMS3eFsQQaobvMPsv2tD+7Rc7FxLM
o34tmn43ifvdf/6n1chvSpb/bkHy6o+rlv/V2L/+pbf52+uPRcsvX/S3koUW4x8lyi///mtN4gTu
zwhCzk+lJ/lUeYpn5e958bH770zapC9++6YHgnBA4Qexd47jC5Tv/+45o/JvqtZkmDAJ5gVFRkWr
Nx3pC7jIPkThEIoiYrWnu5LzBU10zmatWAlwMwdfNMRtHuaVMTM+ix7RCeNs4jB7n4+FDhWmG1Nn
tHq72eu9SaBv7uYRAqWqMxr90R3EyKFDnFiGHz1v+2qnyyifTlXs1frsRYzUfCyylAD7zUJvSiAY
0sbOzw/LZOfhqx+JFRpMn7QoaS/CgfB3PJAxnjYX1FKfne8S5lq+uKysil13g2kQzfKQl4N5gIek
QoS4vchI4pxqZcmQcfMsshmpwRYMFxwFk7xQWWGHoIRBxf4iB6dGxtLZBXpoWv+y/qhIG8GR0Y6Y
Mkgpb6s+v/DRB9Y5I2+2AlhNYeUt3o6CdJmxjzkzoPgj1uQqZTfhFfH3GYEmuHlvppTZ1yAr+13r
RB7BxoaJJZeMN6tsyfeTbiPE0b1CiWMOCgPIfFeNfeEUp0SLMcHxzYLUUwc7m8JdrgJF1Ab3NZCq
Djyw1unHEIhdcVsYNH5E9uD7Hp4cz136N9Sv4dnbAdJCk1gIhEb7V5nIGyHwwCCpWh7iHk/2+JqP
5Od+9BtAR+ec93Ecb1uDcMXD956nyycJL5s1gNJhoT9IYdgieSqkaz8ymVk0y601W4io6NEBvQ51
RUjwhdcG4exCkIW1RmY5lIGMjBe54NmJ+iBc7h2J3doHdZHy0DDxrNLwukiKyV4G/hSJT83S1WyG
FCGY+dHHk8K2LGLTDDbSUlyjWxVNFz5XTA98klYtfrZ9MhDstgOWjfZlg/AimZGexSIt2TMvEOyP
RcCFDBNxSaCEXOOURSWELYU0w+KT04Zjv2XstOL+zXJIJbuyZWP51Schtzo6oc7TL4zYovgp6QqX
EaGPS81FXl+7473D9DsUhIq17GmCyLTlo18j7blLBO/WY6QYzb5Co0BOh/Uc3ui3kZll0u/ZsaKk
Qobp6InPA0Jjig6IcBg+7+eOyIzlUDG/w3Wm8GTUjBhKevCGJiOZyfExvldH/glhvVPw2qPFA2sY
tyXY2clpY5QZTl+Al3Jy5cSXhqno9C09O93MN12noLZYPJbkjBEv2efrtg6rlRiJetKrpoqYyBfB
U2t01G1b6eT5zWwlwxz8Ajg7JUPuUJMC1g1r1J2GEqxsv6+aZCgeJjFP3HYVeMSIIVmIMKUHFhJU
3sd4ZupInVIjTSVwrWN/Rs0mOu2zp1pqGidG0Kol+jWyCdhBJkWRJlzD00ATpzDJp31kQoe4r8IZ
zAyxdC2bhZ0yp1G4M0C8ybwCbIZMAgaT296aUjaEqSSS6TXh9iQkfg/Ag6f3fj2jS1saHw83xtop
hdfXEz043fK0ZNTjdW0GHuYgd/3l2THJOKiLwGe5CPCqluMnS8wsZQ0GXXCaVK5D8+wvUb3sA2+e
hh0DVL+XmORY2JrNhBQyehKLwYwIAKqkGi4sZzWG5kHG8q1DF8XSlUrEGYBD6XBUVbepAz1731Pr
Dt24SasOgIi1sp0Jy9STGsjBY+ppyG1DTTlC8SncBKqZLDAqkJe6+G+WCl2/BAj3MCsAFBpIRQND
Wq33mfV0yMgHgwtDdBkWor8qEz+n7KxTmbBGFuAQ3SOrCCd9iDPpd3eKxUqV7VQl0+ZN41Z3DnGY
50RBdYEeqIAT1y79I5/GBKplkyGWVdtsAnX1aYkxi99OAUiZy8KsBQ3RHNKgfTYqd/MHiYEDS6VO
GIph7w6d/gFNIFQbjTUaXJXVkUaHgjWj/Eaqr9s9k2tBVhZRTRnxVEGRNxTixNzJ5rUQLF06EskX
ILtBpb3mWHHbwOyE0ho+dz1og71y0yXesytrUTMECWsMn/ui73P0GYZb48gVJvzbEkYuKAUO1ST6
stKLMgSM+8p1Xq306sQ9gKqLima7oAjJEjrybHRZzQ9cjfvYdlJ8MytgO3T4Y2HOIThr1V3AfksR
hSWsnLzj7IyiKU81B3RJrjpI7E9dDVshxFuRNwwUjM/6nPYUnmSKbTPU83wi2EUs0O5HtXw0KL7m
by0xDNy40VJ3NxLozXkg5zvrR40kIVl2bTSzqFnbgAn3NpUWEDlJdr0gNTd0uLM6Qt7VZ4SX6XQ9
osHwHwqypOMPPPMz4VeB0YoOMPe4PpF/uUSxo7obu3GiEfCGMjs5bYuMuZf884G/PV2eGTGWxBI1
lB1YTQT0Pz6GKrBZcfah8fjKrZJRj3ijnpYYr0bER5eQelvgtEJNLMm73PDce5frUDveLjRmMc/k
FAEx2xS+IkIJPrAI0meuRdnfBlnJucM2BAxfepU0q5oEDjT2n4eu4NtdrW3bOiGImal6WDUc3wsE
yWdmdDaM7kYmrZw/No7kp+aqZ4NHnsm6sCPcWVU7zAMmWmPyCaH99Fm4bwfplfEJzxPyYXhiQINI
LWRpgDQSr0vzlstksB9Rwdq82iUxdsQTs96y+OqkBaYoskpqvK/7ppQWpdxaakAeG1TTrGb3+ep6
4SOAOo+XYspRZH1PW22yq8UfCBJwgsYAuTYV9hZ3C9m/lC9owRXPu0/SwXCyLP4V2M+Km3gXdtzt
xAmvCNryOGPjiwMJAzNh6SMLYuIUlsbb0Z5E8WkweLeeSO9zuvclVENxtIWs42BfW4fU3JiZeXeY
ZpYmF7Iql/R64G1p9gHHtHnptOrS+xGVkIM9aiJiAwVpvojuRk+67m90RqrCyZbh98n0jrpPhC7i
br/6ilelMWK5XlOzTEcQDTIlCYH69EYEq7OA6ViK5pSHRauBkiVeTQDBMiyoUmrtS9SGKHSb8/PA
W6xvY99gvj7aRJkFOYqLB/5cN9Ql3BpkaMo+eshmPaI529E3L7VIi+5zP0QCwXCUsatlP0JIzNkt
m9WJeJPjXAuwFxmFJ7r0ZrGaGUnXMQTfEB1dkKMVuLnXIiESJh6/BTNOpHddcgphES9KxB0nNZQr
8wdZ4gXNd7U/Vrm4qTHPQExoYsKEGWdkmPGOkSa8YwXA43crmBZhslkee9GPTnfnD9ESdNsita1u
Lgo9OwsOWyK2XgGhkPS8HaDBkXIx9cT76B2r4AKtyiBmFxtiPXE6OxnqJtWQMgp1re25TNuw894B
DfqwICZoSes16VMh+YG+7QuIbF4hDRIjI8306HMykD6JAzaKzRHlnnA/stDthhOpmw4V/9CVkydg
+pcxnsI8arHB7ojRrh3IPavrzm96RKFEbJmn58oiekhFao8YtBbceHB8Wne9tx3+T/8yslWl9GPc
+dB/9gxv6rE/4msS7hWro05CDqhq10TH2lHwsQg5GcOjF3sC+InxcgyEg1QE1zG/TJDW7OOR4KeP
2SpRYuKusKS32YxVGwBzHSCeHqTjT8suwcMLJIO1SDc/twVaQfeqc1Raw5wItAXo0gY0Ntm20dmI
b2dCZuCx+NDtEgdnhRyQkk2gBO9tyJTKxyy9Jf3TQ2dVRJMbOdfRtJ5ttco01VJvMQM2Y31Rx8yA
cCUWvnOOoEt6InovyetD0tULIkCBTNYj787WLsvZ68LE0km2BqRzow8ViUlkI0GQrV3LvMoBznZd
J3Ns7J2ttOlfyggLJ9lX45rOHb/5WIoyVadFJc50TPy2Cr70FLQGYhNRLWozSxc2NtutOE2Qt6ZZ
rrKnwgSKytDth3B8sAuA2wBVHZLH6i7ncxssW8BOkD8uW7OUIYFuQ+Yqdztj9QrqK9AjHEkpsXDQ
xrKiiaeHIKzceRd1KWU+rjhfhOyIHEoEcgk43mdwuoipky8a0TBD0hlmC3krwpvCJkJWPKTx+iHu
B02FkBgYruWRoVct5EUtKDeIxoI0KL8y/Q5Yr/XzEryWDYeTSwKvMv5VRyY4S7GCZX52X2MFUCCD
ZRU/0xEXXA9FoqbulrelNS991MZ4cZkjBgVyknKxHNZpNivMN5gzIDUqt25vIbsks/fuqCChrM/L
LMMFbTsHubM9/7i3ZCjxFp/0KHlbHvvZFy19cFAVqGNTMyIkvskw8MXkX6GDA9ZGxCNoxCTG6t7e
rEhYne96cJdlh5cEApYfrBIxdt+s0+pCYUnG9qHmFMKm4vNYk4hBHHlPBJmufD+E9TMqWZ3miRHe
Fh1Qut55vRmHT50KS172waBCRGVPIRZ+yovKwxwJ7mPR8T4hy62BkAwt7VrXqh9uVhQ62bXBqc+f
GngcQvfYOJzHfJZ0TTm9Ot5ZSjmFue5AOMPqu4mpoCZirEnOtgwKOeUSpqvRQHWByRa+fzlxWbS3
Xjk46oXH0y3wQScsXi6CJcHTPthxBhkhu6jBXc/+w0ZQ+ZYOE2HI8UVywJxaxGtxhbEz2KF7aGA1
6pprzz3mxcR6euOlkdBfM9QpZk+wvBlvmSeQYHPhmYjCmxaIyogReC/MfN1PGY4djJ1eClOqcL2p
6Z4myYQB0ICpCRG844pPCWlKQ7xbzW4QQoXuVY1VApaGLOLMV0QsONRmYDTaZfVJI4uzkVn5olij
G9COqJFBGrjDTNybWdaQbAtnHYCHbeH5eB0OgtxJOo85gyRDjPz3liEMeGzkIkTwWfTSz412HR36
+BiLwZN38dJ1SXEDs8tjdEMPZrxrh4dAJhd5Ntd1BPlmzsR8cDFMhECqCXd7w6QWcXwNkjAMAKq1
R3S0kywBXb6cPGIh1OD6c7WZe5gpt2xrHQDWXPT+dJpQt08vTi/Wj6rB7LMDtwzOhsFAIodDNzK2
upN4+euS5zyKWV5gxHBfOlnl5kW5y9mHqp28mRCA+mUJOkzFepquuxZG5iPu3dBeGiqe/qMMHQLK
7g1lon2JyNKGJtWlswqLvVNRzRLICEppuPQG3DREbQ1BDDqEGCoHhUCvVUu/1wpL0zrRwriklGdI
a7wrpF8tJ6MJJW4sTqlBHptBJv7ljOqxu8JmrMA12dV2tjwwPQhhH1SQh9vuPlicMfxQEBwzPHew
hjMwvkOYdC9qgHIBHkaguPNZt0yBuQXfOSPCiVhzpnvaQgmE2u3nYDqnLpMI8FT6hUY5DWcdLwoK
No44ls+Fi3LpqiGpYNyPnmHygbnFL+qXqmauAYGsn9QynMMHzkUj3nC0OMdViyGFG7bKcvqa0a4H
C4+gcEOxJV8uWmkoEDiDyVagfZqEjcaEFZDiHx6J3cBtTKBLxn4VOevO6YFGkMSFnAvGQoQ6AUtE
Fwo8Q3WbWfspKFlBsJqZi0y/uFiFOYTaFc/61ykKqXQIS04Y/7Hm6WNZX1tEAU76ZRBxC4Q/RUVV
ra8TBCiYuoPg3lmPReKVWNeJVvgFiuOshWf3QTJPcXbATINrCE4n5w1iLnIBeEj95I7wRrcShy5V
o/mIrM6Dot5WFffJdll17V8xPB2WW5+ts3qFYYF02XIAB1e9BJoGit6XKwQ/fnFsZelUyXU71AgH
dmVaZcSI06cM84fYK30Hfa88pxkx5Yr6U9FM1TjsnLFe/ZugjYK23csoFCOGxRw8EUmq3lB0yF8Y
zX325hpNB47/tmsf88hJqndgfYt5iWZMNU9VkZOS3vQteANWdQimngo3N+TBTTFylqeotqrCUae7
sPtEfQLwdMsMru4vbSz9sgEMzs1sdug60C/vHRATq92nir9WHDiIxIwPC/ghRLynTo+V0x45a2Xh
HTqlY27lVYmg9Z/gD2UNBXgh6uEV/TaH8L6Y1iz+xL3TVFBwV/yTpw5iUpTvudpE/j1EIJ4+VMgb
Z6abHhp+FbcxeusqlazAUD0J+brMLuCouMNoeRZvNXlCH16Wxhu3hsaYv2zsNI3sBdp77Y83GJ+i
+osf+QyrdoLO0btuRv58hrSZgeqB+arQIWq5MYoGDCkORAligIGAsV1dOwdioE++Rb53zWzHZXd+
zuLbzk3y6kpgJGmZrAbVRMCFjKOwfh7MSCOwHWZMkSu7K2XnO4ucs8b44a7OjW4pXVkxSlfb22mw
eeMCsBijJN7z0iGmGaKx1MNhItO8CndjlGHyIP0lRm1DlZcNHgMmVgfRlbW4MPcFjV3/CTKirq6T
Cu8uXI6gOi/CEcHA7vvAo9AksB/JjMTqjEAV0fU8TXmR4ofoDYhb5LSLT3PHoj7dVJASs+1QtVYP
F+lcYuqKszqdiBRu8H7RK0k8KHcLeZwWDgiaz3iz4F/D8h/gPusOmqS76HK1slk/t+QCxOBteBSW
m7hoAvoJp5zRozkV9eplFLc+u6Zcz4MA+aoYD7xwTYZnXM6ChMffgbYdLSFTiDywjdPN4aca3FYv
b4IdrVNv1ixAY3WkDWGDuw9aHHfTZiCPKMEnO4G0CPZMJqfeHvOVjoLQXl0PHcF4+BTOfHG2BzNM
tG7qwYmoOZZEjyLXan2AeWZuVmI+ohE37L3i9W6bbURalide8m4EqaXY4MeRq48xKjCXzn/RFivQ
K5Fk/mMG60HNgDxIpdKXcbEGfY0S0TfWwZ0JKr18DNFP9f6Jx4wi/RLfnETmyqdgiglU9SON4HHj
UWF4sr1YwAKv6fWIGXMsSBu1Q++AiaizMCzttmYQuAKBm9Ef4qle0gCjNcZUmcodxsTYlnsfH5sO
PnMcaIdpHaJhGmam5PUYr1fJtEoHmE2ZlyVzq6iZwupaqsbiD8ChU8M+mybiIPwDk5Fuyq/PysMw
uymmOM44TsfZEuWQyMm1yee+iXBOPOVQmlGqarJrvQJOaGTxDQQsY8hJJsPFht8Rm9Wo5zLQTiBf
FlL9KNTyKINz34+mdYDzjg6xEcgwUwIERUL2JAyPGrUq4aGzTNbT2GtTQw8c+8Dc+HKqcK3FyQhx
gw3ueZBxtSjrykNI9AbDw4V2lhswnaIqpccP/TYNcLVwbIKmXIwYF4jQgqkb+TqFD2Y+Y7SCQpzq
l+SVyzlsKtb+YV0n3URM8ZnBwmfUZuN4XSaCCRq6hmTmk5FOrGLgIWIMpttLoHDO/sWgcDw/Jb1V
8tGLk6RAQmGz1LlkbFRM4YX067SLbtbCHZPylJzloPi18prgzI1uGl1/c+bKBJ/SMaGS3hdBR9IQ
LjyMfBehnSa0D2YJhDX7LjDB1BEywhgAcRFS62plQdCo5lIvlTk7FwV+Wf4Eh4Qwt0T/riECDOuZ
8pNiSNkS3Li6zL0RVqR+MG/RB8flo84qz7PMxPpRva+IrdsZPN46U8lnSRc77VVdOGZ9IgWpMt4h
i4rCXDsj3hTIOYMm02RaEHBGx9EbZ5L2iPZb8g+ykP3w2qK7rZINCOKR/TuII9SaV6HN0CN/s2XN
ffHZHepsklcmSz0tbrAEIId5FLZxxbpcNFxSbvkF4o/ugRc5gR2nG3lmS0/3NtaCVLwgpQRiXj7b
npFelPXZ0F4yS0maHCqRUSOS3qzobbGbFGS69briYe1xU09xb4Z3R3QMzPeAaXFR7RQgMvymXGfB
/Ur5rG8Wzy9V+thKSf+KeSLLi+dz8OdwTZfAoIzAsMZpNafnpPzsg9szaPKfsV60ABw9Xw+t3U1a
NuRuzp30QdVzDc9uRGwOGUZXeDx7i/exmoYs7Z/n1HNEc+pZ9MTY9wuPT/01c8NiyrZeYBzyBm0m
ompbaH9Y51Me4ET+bJq6z59TVgNsFNKOeIzq2HDnuARqWqOl/+jQh2h1GqO+9VBf1irpmvFUOYqJ
uR4ZL+EPCvgVb4Yzn/7DCkg4r5mJG887RgW6X9x7Mg3ye2/ocrxogjNTEkUgS+Ja/g9nZ7Ict65s
0S9iBAiCJDitRlKpby3LE4Ytyez7Hl//Fu/ILjmkOG9220ORRQKJzL3Xlm1JO3bOPLTCW7CZeTM9
NJZp5AvThzb/tUAQHSDhMiBon6bJKYnUrgIwZeO49QOVkRa7gZc7ShQYg2lCdU/ny8/LH7yFy5y8
Lz0dHesbZhA54sLImZlofB6gD4GYN5tMEbRnDr7ldqbfgf+ITHhHy7i1KU7VyGoIYycipY/AHCRV
vQ83BwFrZx1iTReckUcAApndk91qmepgP/VF1JOtlBPUEjFrrWvF+EvV/GztjaiV4IQ6lCQ7HfJC
FyjKfUJEQGpFtJUq4vFoeifBrR3ZdpiLfQyQMclfdDY4I6ZKpx+8FKgS+kbE9FvOGciN5dYPQxu8
5yaODT3C08T0islNUGROprcSw1UuTwoMukn+nrClDUu9swbVp81lEMzBvAW3GyMbiisMGNkJrp4Q
bKEj3DiIVxnLkNrerce0NiQoOKit3j9jSi+98Al/IlIzuqSqHm9jYhXztU0BAZSuXllrNdDrN9Qm
dA/dIHFEdR4Zj0KPANlmkHTsLYdejvYZiAz3GHQD37/iOGDID3O8JphLvmWw2SkEBV1M+rUVGEWW
x9gyY+xcx5TOgGj2UcbqrgF8yM5KT/IenOGyj4vUxU1NwAp0hZ0QMiYbWbCh+u/ToteAOdZM32HI
AkDdktcDYX1UkD4T+PlnmEYhPQQDc8G6moZpCjL4y22XHLp+JA2FEAI6uXhu88kX1zlmK1QFZIsk
BjiqX3h8jDC24hbZTGwyNpZwwvx+6AuvjRveTMsBv+gSeZ9HfIUiNViaadhz9o9LuxY/qbyTKDkI
5PMgQiLEClF1hsGJiK/zeGoq1ZzQfyhr8xrZvPWM2mZjJ7d2a5wWuyb64pQUF4Li8rU76c11Nj0A
Y1Iu1uJQA/umxqGJKZhQjvl5HeCxH09CqmrtbKvYziyiKkdMOtOPeFpip3yRbWyQJLbuUlGMRzYH
NJaYpPTkaJ5lVyWaTCaGf7U3bd3CTlD9FZ5aCghYOtH2eOpEsZsiCW1dr7J+OCNCgRmSgnALTcna
ecMK+510XCyHBDQ2UZr9VLO57NoR9s83bovx124aGawEN0vUse5GmLAJDp5fG+Ceg6/PsH61pbyE
LTHR2d1zjPGc1Y87hniMAJLUpm3lW+4zLcqelOPAn7jB1VlHF6XbBxi7pZKEEiWLo7V7aodjwEQY
24mQy2NjD0HXnLP8eviGmtLFjkvWmgDt2wY+E+orviEhnfvWz3HDnXUK78hmIFtyCM6Duagy/xsL
cppFWz/3aCptC5TGUw81OmL2dMrUifnIofOI6MBV7mXRyAEh7YFIO1EnK7LM0eOQwR2Q9HiJP0Hm
+baeQ06pbIlp6YAWZ9ldznu2J+a6amHi0aBHLNiJw9H4+nnoYxN4UKbtwL4OtdcgWLUNJJgH4aRz
nXxLZ5EG60yQ1gMzOqYPVwztheXuKoopDoFUk8F8BudaE2sHkCtCZzMrjSn8hLNHOt6rkVgkvXHB
qlKQuXyfUsOyNSoUBxu/lKxOBxfDKmJgD8fWz2QZ58AnycGOG7r9UGLxajiw1In1RrdQmH0XDnnT
dHtGa2t24kyjV99hP6P1tHFNwwjiomH2AA1zioJMiussIWCA5CFFeFME6DTsYmu8cxxZ6+GadrRN
lk0G3y6qzzhR08A468KOt2sLlpBERV5bX7g3Y0/TVqxiWfCzG2K6PPuRxHRh5zuIRUVAnFPuKD/f
laFnwN6QasiB8drqqjq6bhbdCoKeoFijgtphOKP/+QMFRJ6KSyau+CU3HsFMAJbo0DPwkHfEQWb6
0i6EP97gvs+c5QfDi1XGEDvCbqAtc6gR0UuSO+BHSK5YDIZ7FDeavQUZkTXsfCpKcIIs83J5ShEh
YdVB/GlmeQqrBzNgiuWt+ylLlTq/BoCoy1vTAu4/eLMKs/zC6q3WUptktp2IMNXMAqUK7DoJMggm
lmiQP1I5cxiuaxFm35jxet0lczerO/BVRt2PmDFy9s0nSgVuU274oRFAC5U5V0tUqhrsdDhTz7vE
ahLSi6rc7/Y1ISf1dWxaGwCBqJwg/a7sOgG4YkV+nV4yPQJ6vs0bMrPOVNbXyyUdK9Gej01Oh26T
2GpwXjLeT5BA/jCRt8uIfJ6UderrYmZyks7NMG9LyfbJP3TGYLq3+jQd3smSi5r3tJjRJ51mSvoL
fj3I1zmBOZwnOElNqNBgrjKvBVBO05rSWpUjp+Z0qaUYdlEwqPQiaX2TnGNiizUDDpXCISjUDD4g
ohNqJKEsqEXuOUYnk97H89iO6No6jGhP+UxSzT1kB2OfMfJV+gawmjV3IF6toP6pvHKt1YckzrI1
LrVQLRkDpoBvWMf+TLTpmISc8ZgKTJhxSvYvf9fANHAx99cj3jnGDmiKT+HsMwI0dilR7Ca0kl5p
KdOd3AIItDD+iSEZ1EXGFAzkcpQmbQGAP4ROX1aWt1zGumyDO2oJVdhMVm3EDvDga23vY4I7RHqo
mXbEv2eLxpbedsCJ4/fYCk1yWjGPg9RodWXtjBsKl8V9qOYxnQ7SjIZ4YQaIdEQZD2Q4T0mHidH4
ujqy1iMCU7/TOJQBJExa9UUOeXJIaiyXdZIUzk5lXU8wEGqPeDlQ060we7rJ5lGPOY3ijrJnxrGg
md2iZNE2aCtmmkyvt8HIIf07a3YT3c9rfl9/XkCYHcdT/ik0AenHdP01SheiESwmM1Sqa7EzQC1f
ctI5fUxVW7HYPT8HHZN+bNYFdlGvUcyo29+5OKyzX1OOB/GW6sXivZryuMruRGiFaIK7tYi94JSW
TB35h4BmoEnUrFfvlR9O449cUlTvOI3xBp8oQi7Jfm3HVhY0uWVDhkzoMmhbp/YFgE7Hi+L+CWAX
ShGLNRveTmZmMZ90VtImJFON40yDVc1hSjQO3S+aH7SJrUbd4BsVRbtLZo6VwL9QUGUXUaua/qyj
NX1uGzjmRMJmqes1l7TPLXEbWA1DzaIR0qPApPU7PRGdrIKnToclXFZ+6I4+EdPbIKT2s3S33E1Z
yNFi6zUOnbgNMUERqZYML+iB9hROYEQWCof6UMVwvDF6VRXbOYFyS5ZPXAro1k05imbdSHSbEPTA
bJQIAJdetzOfMLgpZ5sg4ZBvE91Tzq69MbhE7RP8lcbh/L44U34Ts5N1nEBG1/81VSWbOQEWczve
0hJtxFtoeFAjOOWANta28hAaEOA0CWKVGwbu6UiRzNHhaU77vDsnB2ecfkzxHEaXLXTBbm+3MsQi
kMPKRJtnFb2H3wwWBTInhx4QvLPYJ6n8WsV0ylCJ0zQsrwJLxFSgWeHQ4zoB67vMz7ZH18ffxH3j
wP4ogxz7olw6uob4x331kwiOpb+THeC0mdOMAvnTmikNnubelP2hyjSHtr0l9GAO1ENzFe/qLMsX
96zCc98/SsmoaW+Rw9IAjZmnGEzHJFFXQGrNUhs5We5KczWzgYaPYRFmzVNEomZ7yG1G0BBHWljk
Z/266aOuHT13DToWxEUVu0KH3RgS001AEN3ISUgmc/COVwIekczPImA2+hA3cZWfBNKK+IwWFut0
HyBaRWwc5E03nCEn0FTbcY1CyMWp0j74ZCM27MLEb5OyYy9JrUhlQ6ewB4no5weqVpEcBstEub8h
ESoT0RlrZsE2VJuu8K/apLIYuTROQZsX+UDU/LKhApNy39D0JS+mdOVwUi5yEBgQOgVTbJuz6PKe
olCtw/U19EaM7fM6KCOGQi5yuUJuREIhFnXeLk77eXuhY6drnjtZiPia9a1cztwpW6zrKFnK7FoW
kFefSxZl5yd5n5W5TTPt9xcqRBR9lQ995PzKa38SZA+Po3gcrbqK1/Oxq56ngXTAX3zDFTe1NAol
zQIuY8HWmTa6ybbC6+gTbpppHr3fHERx/+RS0ogYHBNnP3hrWEA2HrV85DAsyItpv+p/JwfrTJ+O
jJ1xwj6ylMRwpRMYdcWWrsuCB3eiu5o8Wp3IgjvDzpg+Lr6T1vhlHD/1gdbLvJ3e56kfshe2/mx4
CHGKLmdJwwms3MWjPWAmc6cud0ewwGYS64ZhOUTLlWlVHSSKt+Y1IU4FxIHnJbJwUQZmGVqqyRQZ
TFGnmq32FlFHoAHmqHmyGX4gih5XAbgl5+ucJigSiIoyC2SQq6ijvi067m1iuFzwUnUunz0SG6sn
r044GCLIkpUmtJLIF8ZItaMLWnMjE4FiVzJu+5754UKmRpXbJn+nhVyaVy/2wdZPy8J0ey4Li6x2
TqpYbqCVzT/rAbxwlfTDqYCv/8B4eJbfW2uZ+5th8m7FlOv53MamU0Cty8Lo93rImTDMoR3YGQY4
gP+QCDeEjyzrpPd0sTBTn0a2C4muybLWRSEVNPG4cQuG2G9NZTSsmTBH4sqxyAPZA56yNUt4CATm
PZevsHDleduTkvJQCRDJZ3ggbQPn0kSDPjBW1N6Nh8TcvCQISBZ6NMIDJruNpwqMG7MywEi3WIHd
CVYNlR8Zv2AC0NughWyK58gux2/1oJ1fGaeK+Ar/vUZYA0FHmOsuH2jX4omzAR3vYgVn6LFNCNmK
dinfdBiiEYaec9s0JO/EJ2LkWO1eIIEmz2Qn8zQo7kE8T4hnR9XT9sZUZtGawa2IzJNUWNg402vV
MS7dys5Pb5HAku+WEEihdd6+8UHU/a62Uy9FIgLQJ13lVpEg2aONXGXI2wAl+6aX2BJPPl4L8934
PpFEm1xV7LjMazMbnXA1jM2BzvxQvXRqRlO2W7leZjhxaLd1t0x7Z8/7NlBCBuK+Q347VJcIE+22
PqkxBeYdYal2ntV7tqjKIdYxYTazD51lyt79KeE8ikY8YbZChUNHZRUbVLD2t1Mi2ggJoyw8+6yP
es4057bUuVffqdzQhtvaKD3yK9uGCXCD4D0w7IClO4rbsUJCc5FSvybmjJcdPRT5l5nnMbwhQK1R
kH2aqstvkMV68relHP4n6/8iQRfb1Zmfxlc5NHLC02rk7mN6E3pB27dgvPKgvA3aNCVzTqK6ia8Z
l1kZImZUC8QuZwKzB0R/nOT1Ghvq0DAbByYUgs8FjGqJiMz6ZjP64sjGcED81NlMH+Yl8owbLgfp
8Z1ZxHYopGn4BOv5yhuQRHdPI3YHHXwbyUb2UP6TLOVUWymmFsl/iycz3YGPCIc7Y8IixaFGl7Am
q3Kx+tAc0DA1SXfhW0ufvQdTJlbetZ3U/b5YbIfowBotuKIvUnKuc26Xxp36Xa+ENVq7wB3WqJw4
c0z9jTNyb5Hb1bexd65Ng/xqp6wlKN5qhojdrmjnWRCyyMfqf0/8pDQPGMRd2nNun01j8zOpwpwB
nasBXRr8KeQkXE90HPJrx4lJyW6UO8OaT4UonjuC5t0XxAphDVGzDub3bmJjP9gFieTVju0giS/9
2qnLV+juyFE3I4nh020zAdgEUD5UYQP7c4ii0tq1bR4VXErLWLyxe4YO4dEhOvaWjLhKcB8ij6ol
v0lNPhRMV8zYTrM6FU2Xoa4dK6sQxQNWjZRwtDQfm/h7FzElIvGHkUEaXy4GeeqT0p4qsp0gjT4A
eBFmHuQ7zApZc9nTwEr715JDlA3sfkijBpkGucbOb1m2nvB3QVq7TnzJghSyrCDKAQlLR6VNQcyX
PZPGV5Fa3ggwHZ7Lm5PUzIwJ8GCdRf5Jq+rOVKQilKyxMwKyLduJxVJL0zubutMeTXH+kuOezV1C
d1He1JeNpLVGjnBLHfHDqTjuNtdp6zhdejrFeYDYoQugcjpnTOjzxXqa7Tl70imozfvWVr7zbE09
ZzFK95QcPcxNMZ385i5lNI9lBc0L4/etDhmB4gBwmoJE3o7pPkuaqj0v+h3U+AOtzcT5UkWXjLNw
pe4F0mUHEl1udcNFbE+jhLw8ez56ZYc4pTtaWOEQQDfNrV8iaNzkl6ahGF6CRrXXuxg8ds1R8URf
yN5N5N7uaOZhMok5B3abOZaSRDTbG6z5B1x+0hgLW00e6+tQRXzyrWcv9UWvO0MkveqCaryYSwRb
2Y6Kmw1lu+SsovJsYqY/PKuERhHqODOKKtqoHvAHrJJp6MRZF0+uYTuP6HzduGVd+VcLCWH2o23P
SXOXpYheoCOX7KyQmj1mYtsm4yXCIhMwy8h2YaxIcISI143Yi5t5vk4jk7v7uqgH+L5zY/X2SwEW
pb+qWl7ePbAnOT+xThBQhKJubq2nqViNHdWAnmq1/YACOUe61kMxJ5g9aW+WWA7wEGfsCN6PWalF
Mup1bXo/l9aALHjaiaW2E1Q+LX3UakdDuibMuIQtnLxnRMuyqMb1ogztHM7e1WHUwiHjmUIhS8+U
71qkKCANMjl06LhLUA/xCuj+dDRu4u4bf+Y8TLp64TbnvT0mIr5C+EvMiKSdESAl7ytyrzmly4DQ
0AXhpSKxKMe3km7zcUEXwfzSo89KsoEdhkAJyW+FQLPxMFmlj8CQNGnp63crbhrV0DQ8H6KiiDKS
o9Dpyvh70PWAvE8MGU04dplQsPNPG034QE2ohGUbjb9VJZUMLhaBU7DDJAx/BeKldHU8nSWFtR4E
h2GWekWRMNgI95WC6t1h8nWNeKdHmmbZ6UK3yP4lsq6oC9Imabl/E1XMhHkXBMhqKeSojIhHp/c6
PGi+6Hw/xlXRvdcStR/Zp+4so8eWyHtQo4lJMoS47Dt+LLYizc3sbcALQxAcx25G+O2v0JbNaM81
xGa225aghrKx0v5AKGbkk4qiHPYBHUWg1E+Yq1VUfrKdw+kxwULPwUc1uXoUIapBH5Z57RcYklOS
pLaRV9XqIprg3GCBlugPkZwWc9Bjry8LP+32JksSJrhluOTsLosM6T3T/W+Lm/+Rgi7dFlQ58RkB
Dxb1WVU2F7QqK385G6zKsX9lHaLZE88KluQ56ywXnXeDOHXxH0ictOOznrDB6jkqGD3/LoBJqOWB
gRfq2INUccKMPAZISAtYVMi4qREtN19gw7Z5HILNbh0JVqAcwWZtgsQiXfw+9GO7sd5mu5kIm3Da
XMMcQogsoab2Bd02hEel7c7Taau9nATRdbgevVXtkM+ETEy+KZ+TYnGACWd9QJvnnicaGrFPg17T
ZJ5rReLKVT/5wXAeRQOWDYrRxnjVnUXbRZ4PSvjiZ4+pUziXtIJL55JgOssY2m74RbZtVPbiTFVV
Xp+ShVHJJ37/iRm3dFur/RHkaE1hWKKHRrObh50CCY3OsPMZY1SFAxKION9OHFAE2yXsViswDmlj
BtMA7J2qJzF+kcSppouW8mdYZ4U2F0GP/2PP7CygczQOLYPLjiG3JFt08DKqUK+hrJoPqG29isxS
1nF+6LnAS4mDyGaCmr+SOi0rYtY5bgf4BznTWC9EMqb5dW3sOudwFdkWMhG7SormwXGrrmVTxepZ
0rlKTdvwb/TsMpjVqEqC8bxjsgsnfukyYYIz+ht6zUQPq768YEBQhe7WNdhLTuq0GdDPKwpjvjc8
CzHmJ5w/RB2JgVT5l1YGffU9KUjvDEgv50skU6mPVF7dxChN/EsOvr7D/oTicKCl1NCzek895Qzz
ZuxwMTIshZ2Dhqpw3RkKUAlmmk2dMUlagaGzcptvphWdH54GeVdGEDQTzJSnqUgXK0BWRDgnfpYp
zLv+0qWWc6FL+Ky9FAYZOKmTgsFCFFzohtyTNZkcncBZ2hG4xBFlKPu5f62QvJTzY9z6sgXrO1cW
nDKnlCXuClaQMHavCweGVbirQULL7jo0FG1kQdY6DLfTxDdlI11nWDFu3XgqgIba/VSY+XpA+San
305FW7G6Shj29bxKfZ0QlEui1USpf+KtKhqKaxV2zJzCRZDivkxjNEbWLRW50w6gkSyOos43u5PI
Hq7DHHNmeoENqAzZ/LKuq7ERSb3CFybc2CSm8eIZ5252rJC/SRbw9NpDjUs50TwPBKvJ6di2g4Np
snUbA/KXpa8Ajb3oGq0oOyFKtVvkkLQIniIDK2wi/JCIJW+YV2kFaao4/4Yo1fX9zLHaYbLuZHLk
mLjGUycjDlxHxn7k4ivIe0qefe6hsP6dTkySjDZnnEQtp6b06yaocT99FOzQADp3KNWPYBREzV1U
BokD7q5kWmg5+C1nyItEzkVEcKI7MWgkfFsBZusdIa3yBHWqbmtvm9LxjEvyjGnE12vtlpRhByTe
DGPdrEC5KBXRBjm7tbSEH3h8t7/swQlH+8ZaSBQmQNVLmSO+yyRr+ve2bWOYyQ+fExj+h42pEHxU
5YrLBKClFJNBLYVHaqmn3SOsDKBgCgxWsmij24GTBjhKGzzXTtNpTF4KJRwSaIfF4D3ZGbaN3FwT
hW0H4YGcRKyZJ4QMwUc+qycSbcy9gzPCTi6ZdQSiY6QGkDI+Q4QHaStJXKz7O3yloWVdIzhFvca7
S6LEXH7rOoMudf/5zQFU+gMM5HH0khxIVCA9NK/8pUesB46+aT0Von3HheUFD4zrGpqZjO9d8eQF
mN9JZqLe119gNtZ/7J+P1PMdJtKOZF5G1aD1EW1gLlXkirrM3iGIzfMVTkwb13jp5woE/ed3eAw2
8HyaP4GDk0BifxP+0R1Os4V4O43y91yWTvucAXVGSxbEw3AFIHQIv3ig/7qcZOvid7Id6ar1gf/B
6+AXqzBjebSQFjVNdwRiMFGtsqo7ZGVE/OrnN/c3rYSfDzwnlgBKXEBSWBSOniPYSR1Ocdu+uZ6r
V9BzQXmWbwlVpHTZL03bS5rhHWe0n33UcrL7gk5ir+/+Xz9kIDQzcjtQruZf2isZ7Y/bndnzrRRK
5BvtJNf/3nEegXq8+G0DQ7mJUt+GTh4G+XfJZIPGQBMmWX5Ft1tJpvTZQhbv0399JFJq/v9IGV38
Isc/AGUeaSudP7758SBQKJBegXb6shhtlVroQMvUbTaVGIvIOhEl6vrvn1//w6sd8Dh85SgYuVoq
cfyTxJiii6Ls35a6y+wHw84+vS0+gz37i4f/8cfnNgOPfLz//fTu0bPP0o5Kqk7ztyIgCwPLaahp
YW7F2rCddpy6sh+r/YA2Q6sw7Zx8fp8fVg5+cuHwpjO69nkTj+4TWpWhAF6818il60tqCZZueyMK
Ffk37NyZf5mXszKvn1/14z0rlkCBKgiHkceC/Pf7tuqbbDdZgtfSCfHtn5Zl4QX3qz9Y0+2MqwAp
smpE3swbMUOi+O8fHN4RlkklQKTY3vF6OSP4MSXWw7e6WwKwUYA+Ex9DQGLjn5gZBfniNDJuW9Aq
5hDW7j6//Y8vF8gx36af4rH1i+Pb9zuNU0rPyVuKU6ncKBRm8Uky4lX74t36sIwFK/VOBb7tU+Cx
O/z9nBcFDXMQmfdq8fmkexUkSp20yczQsEQR1Jx+fl//upzyPEB46OfWzfbvy8G+xWKVGOc1zYt5
5lDNYSPbEPQLDWu2RIZS6PMLfnyPIP652nfZ1bVGfvH3Bd0pjILZrupXlHKJ90w5pNJzOgAW0HiS
rSIU6wJqvnOe+5kQyfnnV//47bh63SOkg6+MbuXRt0NQVoA+Qyyv2QSDfs84SQXvQyVtEWwY90zV
BS2tdum+eHv+8ZRZkVzuW3kOP+7RTQtijPiv3ek14CRRXS0GOfw7TuxkxzFRRd0X79DHu/Rs1gU2
ekYqoBSP7pKDfz7bRWO/LjpIQMsCIHKrQ0SF7X3PCplVpxizTFd/8dN+vEvPZkNEt81KAZvh6C7R
k9Hhdjrz6ieE+Z6A8ZNIot24l8xetJV8cbl/3aXn+g6ylhWsaK+f7B87YGfZKBhm079yZhPNYzKa
TJHmIJ2EIxzWkBHOjZ4CJBpfXPjjK+whYRJYvShNqQOOPtGQNk5sTItn3KRB0J2QTuY00BuhPbj7
kTkMxuScsjh7mwX/2Rdf7MeVyHP5R9g+n6ttq+OrRwvzgDDpsrcUb3hxq0RW0AkPUw6Ut59/LP+o
MTysTjZbqu+DlT+uMcaZg7oikPdVByWYm1MLhHN7k7R2AFwoKCPVuVcRqm5svkVaxf5z4xvRcz5r
XeESrmSFSHY//5uOnz1ZwCstf93i2X8/bEOSsV2RWY761SQEiF/76OKRO+REEIfpLjRRC6obyT6p
cruihqfo/scv2XcdVhCAnpp33fY/vHRpNzs9HfpfS5DRzdgg+mqWX1ZJ+Mdt59Kn/AIg+uE38FmX
oZNiKgIVxmd19LKhp3Xdla3zs7csTuEQ80+LKYFE3cHf/SGYG/5G9gqPB1j2chGhC3I3XR/EX934
uhH8UW9KMgHWokdiqUEgTDbB31/bsIxEl43e8hwW1njdGuHf4YyXP2Lymy4R8cirxkrCi5qz8hd1
3dGysl4ZsQQi6yDgQQAr+fvKUQP5O0Cc9VyYlTZhV95l5qGoII0N5f4X3/bRosLFGMVqxZoieO6O
PnrcTiuMPSxh+1Kiea1xt0k/wjXe4rutNSGxnqlPbCSxxa/P3+ujr5pHC2COB4vhQwRQbo8eLxZP
3uRgyV6mCiD7bmr0OP+GsiPM2+cXOn6huBKnTb4cnxMgAJOVmffnstmWhPlxRIpeOAuiptn4Bm/Y
U+bVyv8mi6Zd6BC2oZ/eyQioVL/pNXvkCbKa3r8cIIrZ9f3nf9HfoEUeILxYyCgs4FSQAUyDv/8g
8BRsY12Tf0eo7y8029sRjFvSWXF+r4JiruyDwqZv1A6p2KIfsh7PLhJUbfro7vM/5cOr5jFMQl8G
oICzFe64v/8UlQo9unOFrMSpkCR48NGeHctzX8Ep1defX+v4TdOcUX0hhI+I2WUDPqq8YhhefrOG
AMw2mptts6qGoGN17VYzQ0EiO5IEtf/8mo7DDfz5FXNRviLOeLxsK/X46FuSk2ABkap4RkPUEACN
mXikK6XhX8xb3vEC1XOxaCEuIo7vNHZNW0IyAGOhGFFGsETXv3SsUmfbW7OOXwgbjBlxoJhrrBeY
hKFL4s4IceQxGSTqrhMkt5b/NqGCmd0deyRr3JUPuw/QaQvNkGE3+QkWlC4K7KD/iY2a8SGiH9Sh
hvQCL4GotbSOGPVuQlUfxT8QYktCc8ZkcLG0tRjFm4YOvhdO+ReLgTz+KikRAwoZKNQBn6R7vPRg
HgqRxTfOt8URli1uMQ90vQIcUw2tczslhUDPiP6mcc79oa8wDTd11A79hS/L/oUGmeaxyqZJx9XH
PCPPOq8zmqD1pbSWpKwffHSgcYtwemC6fepz6lvO0WQWLaFfxIZN18LrV/G9TVLM9CxUJ8k7H51m
GTheD/Dioi9u+cPywNq35r6svTff+djYCDPA/wg+3CeGSLOvT+uAEGGzobuWAPK1BiQkZ3zKGeqv
fMbc6tylRJ1M1mkzVDkieBOjjQ3PPn9vP3wrlMzC8326Cn5AJNXRmhXwRXRzE3hPLQrETMAozurq
HPX/CFSZir0nd1cyuvtvpwXKKx4AW64taCdRdRx9LbZmjiQBOtyLSo7dAUkq+9MGGoiFPWIo5z6+
GMvAdsaLz2/3aBliBRK2pJlCicchSR7frmp913TOUAMnwHODpwT5Cuq63D2tUOKd/D8uxn1yf1zY
OT4s5LHtgghI6gdm3OijGL6gIKvzWE3nTjESG/vfL4f00POgqNI+Ob5cnEYtxqW4fGjJXn1KHCVf
Td05jzEKzK9e5qPXhttZ+8dsdBSx6B2Pj12QSr2hSU1478wkDm5iHebfehZ16JNtfMMpBv/Of707
WtZIm5kQUec7xz2wgXVCJnYY3BfWEqNmUoBQKF6E3ha1F0VfLOf/uj8IqfxqpGh8PAGlE233VUN4
T84EOcQWf9St7BQ711LJ6STugvKL6uFfV9TsWi6GNBf6x9FeDUOrpLq3rHsHmOT30sUqdVhdq/Ep
AUQc3T0AVV9UwB8/Br55DzcQjZF/NAwKMCkwSGd1P+CFWDbDVLXfqmiWd3bmqy8++KPTxfrC8LlS
40vXE2vO1t/7/1IypnF76d+z+eQnVTZ2jz7/coSuOHkHzcR879F8+uJn/NdVfdpafOrUZv5xRTbo
Ts65PXj3bayZ6MQkE24YHesb+K7FFdBdq2PoVKv//GBdDmpkjXGEpeY9nq5INAVgSipz3+HkPWfo
6PcgZ2waBUzg4i/ObR9fHC6GEgDS8drfco8qq6SpQ7z3sbgvVKPuyNKryOSABBzbSBIXfNNfnF3/
cT2qStoDmIoodI+PTXldL2MThcv9MLXBIeZYuic6YPkZl6uUE/m2PvmvX/5avlOhKvYAJhBH5ZxI
Gy8Ye+Pcx/2k0Y5RnfyOhhrjNzBK96vZyj9uz3dZZkjWYL9mDHH0og6YUlRcOfdkp5hDk7fdM6rt
4Aywnb0HApEePr+7j68o9aL2JOgEj1/QP/ruq4J9amhj517AhHyZmmbZLUgcLlM9eTeowCMQbEX1
xdd4VH3xNbpUEnQ71gaES5jI3zfpggUpzei79z68WPtE27TXYPa7pf/Fy7k+rT+q4v9diMMH7V2a
rpy1j15OFIE5dpnJvXeSZrltrXg4recqvbbcIL4WUV1A99TJeYi79IvX9N9X1q6WLOJM5I5ukURR
YBdIoe+dzi7AKxX1+D0KnfiiK4T1wyYZ88ZGonBit6r4YtX5cGlE5pyqMbquE7MPX8hocA12ACHu
VJ8N/WNN7t2wB0hWyvjM9yHxVztTBIRMichps3ZPOBFEiS/+iA8/Mcusyx/A8rN2hY8rHXSrrVhK
s9z1gZ/Kg5PjPCQ/QWU2uo7PX+H/Ra389SvTsXHXn5mzpsfQ7uhXnhaXMWBQtHcgy7QSzyPy6uos
G1xcYHsxTeAEsqCa3FO8uWX1s65bZkDY32vAtxscmQbhrcjwKm8Y28LhONViwSR1GeXtkmBlgJ8B
qbEzVlE9wzoWHl2xcglC+3LxJqk1LiP8yeYiyldj5a5d0mA6wFlFNQkEI9JreqFdGwegbusZZDSS
ShMpLwBrMNNFXoyhs9WMhmc4ymgt1T6oux6A5ghgZAQYra3MPR/8xUmvvB6cL8HhCe6dH0kAcOFc
hk3zf5yd127cyLaGn4gAY5G8ZSd1S7ZlW3K6IZyGOWc+/flK58YiG01oDzCzgT0DV5OsWrXCH+xD
NbkhnqeIo9tZuBsgyuUPSWtJOsAQUF+g61yH8Xjh14D3bpwokM6tiBxET/i4OS4nw8RlqTs5aYFc
/WnSjAwdE71RFZi3rjJ9xy4M4qADSfGxAAGCzR9S6ajyd2Mt9fdUP3StP0h2VON7YaDLVe/UovX5
/chjGXhVAftr0ucu13wHZSAzzxvwSZWI7pQm1IK73gYR6nqRDzV43Pm+aiAC1cVx/k6fetFQA/aQ
H8TsTb1ul7+rFt3vZsewGyERA00nlEL/oMxeZd+VTIR4SKSoysfdPgeqGDQen1LJLnVZNv1vt9F9
vYGi3DehdVabGMrUZ74xBnb723tzleOIl2Qfz0+CGDPzRThP3WqkqennHyHoQP/wS1s5g8MaECTS
IY48vHk1l0kPBS2hlbxqEXTQ8oe9apvpRzaYYh6jxEB+oQuQRj5nGaXU7dVWV5VNo9SguUOs0Ol4
yH//T5t+iCqRZXbQfxiLLtS+p1LtZT/yfzh/XYT+ss91Wtvt17cuSmxjPE8qh7LHKrfJXFC9llkp
uMLX4zslAUzTgRZ9hpkYQVrxk2wrnK4+oW3Tk0Z9iO6aQ7NyEV1AgAUF2Kngo2tSjkbvZ0PRUYmI
RN/1w/u4FcwLbz/jekU55aYsZhTBxbxMVgUYS4agFvIn4PI/67ggPetBoDyUTqD+ur3U6vqn5gat
QqpI052LarFjitqvVGQgxGPWR/ZjStTdCzVDNg9OHCKuZf7HRcR8o0G2fj76EFSJchZK02o5fXAT
aIV6M1iPJRIz8HRbJDrQMmm+wDds7m4/4JW1KPfIhumqMDhb3kMD4JHMbnrrsYfj7/xhDI2wFTrl
M5yLMQlKjLbfvKBFn1dqnvFn0dN4fSr0ccAT10rUx6QL8idN1A1T9JQuMRxQSDPp79vLrT+gnNvT
RbFoazM/X3zAXkmw9ywqKBd5pf0IQVMd83rODkUk0sepABZqoVS9sUGvLcq4k4eklKLiX5z8ZKRt
iNSd/jghCAbK27b/jIjrPsf2YB4TrC/5qPqYbJQ1q7yGDpFNe4FQQ5EKIuX1m40TGwSk2xuPQWBb
v7ohhyHVTuaOkDNM4POKATuQopt/lr6uvLv9mq+sjXSZTjLHmB4czOKrumY4CCuZtcciN9zPOgoh
uTf4VvxMNwREcWX7dxqOrHs36fKNDSXjy6vshoE2pQ6gK0cl0i4zyV7E9PNRiXyEyxY9aWrgYg2i
w5fbSKNWH9UxhG4BNHeZjzCWWewk2FGwmYUyPyLqFP4aWjf4CnaNhr0mmSte3JfivkSy9PPtN7s6
oHJZJkEqNyTV47Jb7jSkaWhgq48mOPsvmD1jWNb4ZvdsdIH+4/Zaq6/oyP4nZ5LLyqUiX+wgO8P3
FC7S9Ji6IvrPCWALQCju8cvoAv8hRAjzK1hf9z0ar/rd7aXlkXj1FREQBfdBe54oK+vJ15uX2gsX
40zrH2mImHhOTXl/DgF4PY+OpOjGdlifbq945cWChJAoRBv48WoigIBWZyDK2+PjLSBE6aJKOw9S
YPNnlBfX7cWuvFnacOQBOgeE62Sxefw6z8Bji+6R5Nf+Po+R+beue+0X8FV8tYbBGP+jqZOcfbDp
b+2p8nQ05uhZsXl5wYujiVsEYg05KRYquTo8hbl22/E0u0Y3wJbBn3lrYLp8sczx2EEMEi36qpzN
RULQ5H4dzUljPlox6YIHAtkGDT8mfX4wQX2nb/yOdBsFGQ8FHbcX1JfFclmvIk43W+pjh8IP5I1Q
fB+NcUIrBhHJ219xuUlZCtQFo0MSHkqqZUYnIt/AAGeaHnOGaB9nCMHuLpg6WAFWOgSPSP3V7kbU
0aT7278Hg0sErpPBk9HWoVm2OJNqmzQzpjvN4+xPle8ewLmFerizm2o2/voOEpKah0hMimZMaVTq
7COrUIwoHPRToLQ/bayxzXDXGcjmbnWZl5GXn0aKglANtyvjW3exs2JA86Cv4+wRFkFk7BAsTg1K
vslyDrffu7bYUhStxD/BNzYNZhKreUSQAyOPlVoaSfn60URy++BOtWD4VShPEUTACE24D3amNB99
q1I/t6qC5ifVtDiqNiKARp70R8ib6pNQg2wjz9cXh/vl14EPMCyNQpvcZvmJunYWRthW9+6sdx98
unKI2ICgwakFMes8bvEdwbCsPQlc1/e9MYLHjxBRYhaNviyayjsn7YNnZKKnsxqhxV2l7qXschX+
il/A4JopWHPX8eD0P6Ko3NFZG3+kDn84llnozXAjf02VBBd5RKSPt9/9tafTwY0B/mM8vO61D7PA
i8y1UQxGtC7z3AFWJVw1Uznqdo3APmqd8J+d2AkB2VruMdTcfSrsGoq3rh66vgXGP1lK/aFoJ+NU
xLb+AcFmH3dDu3eOtQ1XsWmkLDE8Eg91T6xaRrKmUmHqU1oakndcvMdoNOvThF47pJNya5zwkuX+
c8jkF6SQYPCk0qmVz/r69lFS0AINtO97K2rq4DAEEwgqdPP2ZDrhvpGcNgA+WJSl8AO8zETuwjWk
ELZqYXheYLCGKKxxSowgOlaMjoCZIXW3UxHaRQAVSbMcMdsT+lQhTPLJhi4MdQHJCuzJk/hvi4sC
3DNr3ujuLTIWIEx0LF2VjAx/6HVn1mLfQMhrUip4YNiz1mIoEhTp1xAtfjS7+l8hEOpwI2Atjyqy
M/g4gnCj+uWiW17ksIUrE0mq4OKCSG7hL40gdRjRwCwPmr3aqW6ykeKvVwQRpQIkkCAZDuDiAjCQ
jgmdVvhnBAaJQN6o8Pt2bpwJNLErmMzm4+0jsV6Q1J5hF0MZYt/qMhctesfCNLNLgcbtR8tpxCeY
/uoPCCb5Rvt5EWIZTbpkmtyoAGTkuGvxbMpsi8qdy/Iyh0j0eIzvtL+6ViVvyxFelnnpqTPtp8m9
LMoCEWNw1mnZRTFSC91PocEppV4c3J2BCMDWTEST5+nf88Zj0YQBhgP81qZVsbg5cqStkj6Os0tE
quUj5cwkVNH3ToUk6xMknhBTinnoHWNf5Vyz/02BMfWPlJNjkyEpXtDmj/1+6BLEelpEPG9/38U1
L98GfVnMV8gMKR6XXXGLHuMETD+8+G3B4K0ofcluayQTGI7rpIbT4e0LgjJEyp3ttIYeTNPQljM6
9Be0kkb3d2NVTrZvijROHmmi9AK5gtneig5XtpYle++mRkINoWnxDSAqoNUa9NEFZdJkvOh607YP
KOQMG3vrytvkWqSfwd/khKu9ZVUF6OYOpScuxoTWglncF41tofpvZO8Zo2xF81XYA6quwR4EWCaZ
KsvreLJzgxwtxu4g1nz2bxL/gPnXfkVu2Tl2Ufu5RIdof/sLXluTiRSVhNw4q1Qo7aEPYk8TXZIa
hA7iCOpuJHqUnolSNppHsbqzayt7ur3qlU8IZA8IDDUis+nlJ+yxJDBL/C4vLnozGFY7lZZ6KTpt
G+tc+4RyBiYJCECrl00iu2Q4QKmQXHDcCJ5EUznRnYU+j30YNJQ2d27T9F9uP9qVGEtQh2+gEdyJ
7ouCKUkAPooqTC5C70WF2k7f/0dGUP5IUxe60e3FltgfanpMJMgtbQBpsvSVL+CfVm2NBnhkzGRd
RPauRhrf7jPla2EKdPO9OkM59TCVohiP+ehEIz1+Nw/xx0M7LCn3ounNbiOnXD2+CxQGsKmcBMqd
vDicTeNa8PAjA824KH+afBVvOgJe8kjrd95i9ay2EXhu1dQYc7q0VVcnNB7NgeRnni+1jhLRLu+m
9jKFjP82UoPVIWEdUni6jA7ipKu+pqp0mlkiJ3fR8d08iLwfDiDZsZ1vmmk3oNLy1CF5e7z9ba+8
SehRLyBula+83Eh4ElTYLcbWxUaMRzsGAd6Du9gRCMPGPm6MG8945V1KHgC9TaAwUA7lzffPTjKa
Ate1OjIvbaLpHzHaQUkPhfEs21jn2mPJ/j7pFiM7Rhqv18Ew3PZn8GwXV+RquTMidGHh6XaDv7PG
0d0IANdWI3RT+EKKoQ+1WE1V2zZuYkyotJZ00xtGtfzrI4r2CN0h3BjSrN8gIDAqeg0UGIdg2YQC
OVC7WJg4F3j4TXqpE9QhmGwl4VuzOADHQGsYwNI1XUNeBFagPLAmLqkVFB8MG363h1ZLeWyjrt5I
UVcBlLX4WrxCQtoa+5UUNu6CqW5fjCZzYi+wtB+jqMSnApzWN5Cm6v72pr/2DgEOwEakW8bMdxHP
fIyi+6zw7QuKSyliXAVq3AciZyD+h4VI5eQbJHACV3i9DYNm1hTqDIG6c5kHBxbIlH2IQsvpzQ9E
a5AOgLC421fkKT9EfppdaFwSo+ZSMKYpU7xA16Li7vZC653O9YY0vITBM2FawnXQ/x7bQgBrTXtL
+VvkE8IbzhCaqCe16B+9eTGwD0QK2vaCUL+45FDaRh8BXMdFi5F1TPUpgZufGnTnGlQ9/pfFyNaZ
9JCOrSBeWL2keB9Y5qURZUjBHiIUejJyH9I/YkVJsvEir2xBmo3qC2cSePvyRYZJ51SiqgmEzRh/
LpzW7bwJ/aCtJtSVD2bywZg+MoBYA/OYUMU4YqXGZZiNwfa0ASezPbLJaIHNuY9m4e1PduWxyJUZ
dtKHZrS7rFxQ4c2kVVhyP/cuJkZx7oTvMQuIqo11rjyWBOKRA0AZJHdeJABmlqNrg/H8PUpMUkoI
qPVH1ZzV34aIp613eCU8sScMOhF0aMAaLxYLUN7FHWNI7knpsAtJBjN+NzgjAsgR6HW8lnp8b9/+
Hmnqy+SVrHI1d3QSlM9spYjv87lAtaOxZ6v/oedlPG8wG649G6RLi8YOBJDVFB49hMmisxahgD/r
iFXnpGvVe0cqXGdAJdAJP6Shq7cbNeSVlJIeMIkbrxQIt7MMweYQRhOmQMV9OCEeaAMzSECMeDRk
JlTrZ47oCXOyQdmD2YjxN02V/Gee0wb4gHLauDF+WO9aySSiYNfI3mmWL8I0gKdxREU6vS+1QXtK
S2f+0iIW+t9bvymrEFp06meGR8tJwxyhUyiQWrlv8iT7XeIFb++mqil/3V5mfTSYjQvZ7meAvL5z
yrrqC4h2yT0juMTcYdHj4IpAgYBstfHG6QmVgcG8j14/wAaVd6i/vuCybMpoMpv+pbCRAtyhNe/8
DNspinddKjHOb3003hs3tnmda9YMAxaRSe5clDFyzlhGaf81LYM+r8X9QWwstt4URGWeixWpktdp
Pw3tEdOW6YKUolrt/LnG1ROhnn7jBK6/l+ypMgbnNFDKLFNiBNFGJ0+N4ZJXZfEUx7r6hQCKr5LZ
Gp/f+v4sqGuSw+ESNlfDUgU8E8KJRX+hTztDae67CnWCZE6ewyHGBeX2aldeoCBRIHBKusyq6FfK
jOHTrLDaVM1ArVy3/Fq2ajftb69z7QWa1PgEEVlWLAdqPu04Cwuo4RLZufYrxbThy1SVwx+d1Ovv
7aWuPZJlAJeA4kFqssQQ5OigQwMEBmdWUf7BNoESe2oT+Ful4Doqk8mBxIJ0KFvuy8zHVQsad203
XnD9C89RXSZ3mNXZHxD1MR5rZPeP/8Nz0cGgNSTvm2UHAx9PI0e8Z7zkEyZ0u9oH6orBYxBu9GuX
yj3EC8okgVgER0qOtBcpXQJHD4edubkgaKhgX+eDw0u/1W3thuhOOohPv1NBaJdI6XctoQzNqyaQ
ExErKD/YUEHUg+Ujbfe5tmrExUWNVdN/9ZxY7R9cScltvBjFRvG31co2DS9dQpvwi4tXYK2dEBGk
aXn7xV3Ze45s09KNMCj+ljO+UdG6CYvL5tI0XJyXMM+F2eypqu0IgXeEqrMtnMWVrSHZmZIgiAzE
qtZ0fTTpQgaeFxGGKE2E86mMTKQu7Llwdw0KIFtBd70gmRY9doQIGB+vOgR1OwXObIbzRSuKDPQp
2u2XzGCqeArGElKx1ZbKRj24fquMMaktaTgxRIX+8PpWUUl01NSv1YuBZRVqxW5W5Ye6MZGBRVo+
TTcCyPpUy+qCfrYF8QhdosVyTDBsBv2xeilmag5PbTPtGeih0W4krVfeJFMRxGEkGBAq8WIdfcbU
KS6n8qI6wezslQkDogOOLVl1GZkV/7SQntpiyF15NjA/jC0ArVCvL0+2gSAlltiiuDjY5NQoPndZ
gMMF+r0bR/vKN5MVBuAm2SgjcL3+ZrhN9QHGQ/ll9PmfU22MebOvB7xQH/yuHs3DWw8ezR2SKHjn
ZK/UoovlBIdA69T50qs54OTRn8aT5iIg7aEFpT+9eTHycO5OqGlgDJbJahTVLUjRQb3UQ4s/QaJH
GOtglZjhfmY2yM++bTmuF9IOOaqjugH2s9gnhqb2SLv3BlKJudsdTewO8MkNyv4yRqSWG6std6W8
zP6/Rw6Lf90qQ6mVpLR0zTN4pqo4pU2PKrLn1mFQfdLLHCUjb9SUsNrIudfL6kDuaVcAAIZkuJwp
mzSxJPxbPwd+0LYHW9TdfEfaGnCPx8jdPceInTYbw5blaSCO0aDjjCPSJTXBFrsGryfc86Z+OmPj
WeO8Db0c54tZAYFw+xNeWYg7jrcJ4FDOXRenASSeRQVl9GfkKKPgjoZ5k7d76n30CTZOwpUXKamv
rvx4rLZ8pg4VfxsJ7e4MScWcf/hWO0IcGJVyqL/ibxKYpxK1qeLr7QdcYU7QXILH6EKZIEIzSJJv
4J9OLlY7ClLL+Fv4GEQa1V1Q2lHwF2RQH1RgcsdaNfY4GeTtL6alY/0TAyk8nr0qLI35K/JIbXOH
EmUV/RitMCuzd0CKtBoWGJRWDCGNQD3e/sHL+CR/r8QN01l3dCZti0PFFiTvwIjoXGDXc491I57x
c59+yugUf3rzUmhS0HNhHaQtl0kOx40bpBj8szI12RmrBFWc8AFzcRdJJ9faSEHW35/ZN3UKXR5q
2NUMvOtwRG0HQD4NfIRmH7Wt+TWvO+yqcBTLs2PRxnq+cZMtRxUSNUH6xukFScseWHx8TGkwt7N6
+5zhudF6s6tjZd0n2Z1w8u5Sz2F5oGscbXQ5XbbUv2NxuSo9H/Kelwi5BLanga1hspnZ50II/H89
urdZcoLqraYRDk2YFYC/aRSl/IBGvTM/TzFuOZ/bAO7CxmW3Pt6INgGJoRZ1EcxYbiYAdFrgGFlw
sXQMD14o39MJz5JZ39i1VxaSOi+SfEZncoU8yDpYp6JUgwviHBhYl1ZpKfd2S9zcv3XPwhdE9xpp
RunUspwDhbOSm9g8umdMPxnquW2jfxytMks8U6nUjeCxPouW7EXSGSdbACyyiI5Dk4wziYF6riFH
fMKhowgvNtWQepygLvgb73C9GuodrCKJwkTKVd9F030rA/t5jluU+D6lkd8q34SNQt3j6CvttMXB
vLKevL6ZnCDEKLGQi8iojKTnWEecYXDFAklk0N/pX7PtJgtV8Lr1KWtufzxtfR5Juqg/kAOCe72a
M8wYYySt5pbnqFHxl/DQInKHY1uAvPsY4Eccmp6PPjgcsqRL267xZl1t4x9IFUsRbMuZ8MzAMLlj
Doc7j4NPgTaaYXP2aRom4kSqRTcQP8Q0/alX/ElvzgW4kulBMmEGQLoKmHneT1mfVOm5aRUWguM3
1wdkc7X0rqQIqjwiaG5s7Hj5GV5HE9mygtYNJ5/p/bJt0Dam3Vs4uZ67AouNbG+Y0+x+xuvVAjeo
+8P0rjbEZH9VrSnPnnAvTqJh4yesdwpbkiyWn8DttjrdZdaOKsoo3Tn1Z5SvnQQZLS8KVQyPg8kc
7Y34eeWJGa4BmZKNV4dP93pjMlrTlKqxxzPWwcmxL1W8iPTBvUOG3nqvtdGdmiYPNlHsjSNLl049
BG8wJ1xUlD+Loj8s29YyI787F0GNJbeeZql2mOifDxvnQD7Aq09K1UhrC9UDeeIR63n9gF3s1NOo
4IXooqHzmE9mhZIyye30P6xDE4Nl2DdUx4sTDroGt0Hk9c8Ktn/9DvpmTI8an4W72+d6dbXL1yVB
JaDAeG1LQt4AtyGN+24843IgTkbTOL+nJhBfKuwwPtZF02zE5RXQ8wXnQQkB8Ak9s9V4Pk54wfkw
DmecbUb7MYSGmaIXkZYDxn5ZT5m5w9u4yj4HeGQ0Yg8ZOevPvtvnscAwsdLGr0ycQuOot1Ruv424
j2YPQyFmGUdFmfEX7hLacj+VqlSVp5HYUgsMjcZJ/ZAHBK2vPYZq5ocy9tH3xi3CNbOHyu3173WA
TdQnDWxNsUHNWe8ZnonGPL0oGTyXeayhzqBoW60+w67Sv2mpPXe7Xtsu/ldnnb0vmeRyJQAXy1Fw
n6quj5FmfY6b2ig9OCLaY1wldrPvR/gPb40s8qRZkABpITJ4Xu7QgewkGaqwPuMkiYvJaFmpfUFO
pZv38Jc3X+IqM2M5etewyKiP1yTHpB4bdaS3jH0sEtntzkcWvfsDqqae9w33pN97naVVsKmzpjiC
l0qN93kT90Hw1sRU/hBoJOhZ0VHn5LyOAEjW+H4DBPuMHH4A5QGFFM9h0Gl5epMXH7PElxanHWDq
t79wJjqS+MTjI6a9CAnoozoAEv3s7IxD1eGZ1znhEVSD/kzTOt0as2rGKtIx5Jd4XvJw0AXL3WSm
U6iAEk3PmdqEauWVcPDT6jhxeHvrnOPu7T6FIBryH/aAUle7K7LATlImek0h+n3SiMLGoBDuSwmH
vRF+fY5cfwg2bpx1AENymwEfh12OHZaDNaRE8BNSjeyMAlhOexI/5vCOiqnW/4MjBSav1k2/3DjR
VxZlLcHGl4pQiGG83gN6SABLHOISr2gIdiaS6p8Zu4wR7lcFzhMiz/pm40a4sia1vlRBfBFvW7YQ
h77ET8By8DrFXVQVe7tPbMgVCr4+iPCnwiShsWqzm7cIMFfCCrkTYQW+touOz+JhmRQkEzKy1Vkx
qvCHwzj8IU7b7COmlvZbr3FkrwDAoTdJn5v+pf76vfZs+tYcs/o8wDvG88UZUg3bMmJ4Vry1T6Pp
tIYoECymLeuMAS4OCnCigHeOV8OvtoxdjOnVaYMRuv5o7BF2m0QQyHbz4oHwi7EHuA/uGaf55JNR
de4HCTY86oUw7pPe2Jxfru8aFoOoKAESZA/LnVmHfudXpe6cVX1Of4oOi/rdOANl2IiC601h8DuJ
EKxC+F82fc1iqHtzMt2zkZXhj8w2pgcL/7Pw5EZ47RxuJylXHkrqzEsuGwPgtTKmUUaWix/iuVSq
+N6uzPAH4MZ0IzVZPxIAcEhE7D4QGKtUqA/jKqaLKM5YgiSWVJ7we0aKALnwqKjb/s3hnPKeZ5Ed
HJrMy5Q10M1y1ObGPudIXpsPNqzZMN8rlt/2d3kRjVa+EUBWN6j8Yjggo4HEP7lKXx8urFxCSv1Y
3IG5iHZoC4pP/dB2PwbM2z2pgHqqGxlKXKv41mrBuHHgVq9XLs/f5LIA4lZKNyjzhTBMZ3GXpI5/
rBotzTzVbZy9WxjZ59sb5tpaEmyC+wM160rprRZYGiVla99puNMiX9tTFsN7Lw6zUkQbzyXD36uK
gG9ILgAuhJ4ReMbFa53DoG91GEd3gY47T5VVlnqkK1mqd8FQdth9BkofeorF/XS0kk6bN+6iK+sj
+sT9J2FDNFbk4fmnS5pOoobzWut3ZThOX+hHwS0/855V6s5JIzU7BI7VV88Gjf66xf4lndON/uDq
dROzyRJAEyFhaq76w3aCKw6tg/FOL7XEP9YWjveXKbHQD/PMsveH59ufdxVVX7AnvGomXDIdlP/+
n0e2+aCdsIL+FItgfvTNJLjrAjPf09Pt6Ara/UYvzl5+YmCIXPPAzuiqg9Ne3IBJ3uLsM0TdyepD
/9SRFZDrleUhgLyxgzmsYehXjofbD6ldeUo+KhuL3BpdluXGihy8mGJftKfU0n7aszYYeHQ3nxLA
kBeca7Rj1Dr2u0gTX1StLT6h+tGftZYbJsmb3Nz3Qq1OjIz/GrFWf7OTYDre/oGrjYdeBSAplCIl
yHUFNgKYUCWTHjWn0c9tJOpCwkriBXHelfpO6bLeqPfDoKndVytVxLy3J3Uwt7betR8BZd5E0h8Y
yGqwGigVvzFX6tM84vc9TuZDp4Pm0o3RPxit4ezMsbK/FJlpbHye1Z7n6eGZoPEDd0fiNV7vQRen
stzN0uaUKVhgjLHZHyN9+B3Mc7GR4V7ZfS/PRiSj976aQ+LjAvbWaupTAeYEc3l9PuFxaz9pWEYb
d6UzOvaBMUll393+vqv9J18ryE6I+WgSr1odQaSDgcJS5jyngWamyKvSxHvElXVyBsYvKKGXXjDw
ZbaE1levloVd9AHh2wGCWaFtegfzQbeM4zMeYKgyaQ1SpMQRYdxVoapupJwv1fer+I2QHWMNnlNO
llfja6d10koJMAN2tTTYtWEGGQ6FmdOghX8qCNxe5DbqAaPj0svn+CG13N9unX/HVTS777Ve8Sa4
uRtX9ZKehzCa5GnQzZIuA8iTLXaXOQx9hQNG/Ig7lBh/IlXYtGDQBlBegQcyDd9g3NRxIzvTj2q4
SaMuRBRnstW4ucfVAZX2Hf4OvvU5HET9fHtjrH8daR8nH8074Hi0GxZXDsYdHZJWofpB+JMCraPX
dhha8Y9wtr77bhH3u2ZwMvxrzQH8b11o5aUxp+wD3f/yW9cg9LDR3l39JFJRdhpSJiQqVxLttoLr
zN3oPAy+Vrn1vq9wgnD2obQbivZuN5ol5IKunsK7sur91H+PL0aQCE/z67L54Ot6nzo0Ro1oUI/q
SFNd3QgYy3guqRRSdZY3R+OAr7qoBUKkplESNpJ3vq9jT/yl1DTQcXdKqyju3sZAKOoPilqjKOBl
bR+58W5K2vyvbo6u8QVTtGl4Hwbh1P7no3dqHFNAWnibFxgOmdGO9q/dvGdeBJN0YzMusm9+N2wa
iVenkU0oWGJKGq0qzZnWxgMyc6F2srS6sk6oMaUb22px7FnHlfx9aS4hOZ9LoCeJS4tLmtI8lJmT
pl7T5d2uLJXgp22H7cbHWFwbL2vZRDeLCaNUsF3s4GwgeiNz3yINZA3lQzk5GXbXokMF4p3DrGh8
b1ujH4e7yahS9dvcO1jfbsT1K88rgN7xuKA/USZdnPFMKyMUMrLqAe+g8L3rFLhx4jVZy9LD7raE
Jler8e1coHEuHE/S/+XuQwIBc6Im7B9E0Pl+vKtxLHTPwlS6QqABmFX+Rl66XhBZELIl8KZSuWtZ
Idq50zU5bmQP9dDrv/UZl9xDaGjZ99quff2t7xKkgE3Aw88Oihs+Cq9vY2t2Q7sUbvVAY7QPvI42
zC84ddHPBD76Flxt/WTUFSS0KlN+RivLqz+2dH8ua0O7Z0JgfCriWX3GmLX9hM6H/uV2qL2ylMRL
QkMEMLXuH+hlHYWN2Rn3fR/5T27pOIAm/SB9L+ZB2yiaXg7YPzchzH00GCSRVY5p15wlUPrFFDft
fO9PGuZ1HtYysal5tWtF3fcmD1X9mbrGat9Fjqiqr32Jy8ngJYA0Eky54qx17nF2xHh3VxBKxufB
zrS0RnimHSrh4RySm18LXmht3PWia8r8CCmLNv4uCYqhsPa5jTcyBlfd3Gvn2FGM7I2QrpcntCTX
WgpI87iLIweLKpnF2M/3TmJ1JbqZbv+Nzi1mKkkVBFsMi/XHQ4NBqhvLphmc9kXAd0YNUUm1n+61
rNWI1EHV/UYqBzUOSu56qz+4KO/ls8EtekkWGIYBP3p9BIQd5q5MQ++7WU1+Jhb+bMYc/ayatvTi
oOjeZYMe3RuJwKBcTbaaC4tk8WV1ROulMRHl/SqLMmO36nCfH9k7tel7jMHh8Faq/dnArln1AtBK
G0d+dS2B+iZBBb0mO3icxdfPO/bot/VwPO+rWJ++jbOFjBOEpy0815WPiKzai3wT8Ywb8PUymEYi
GhJM7X0hWvHMtVF/N2KDir6OwWpvXLUvMX9xBHmV5PgkCMw0l+07+viuU0Zpe6/qqQrduuiL8YDm
it+cVUBMeLqbRm6dNNs3GbzobdYeszqz22yXKxFuj/u3hh9ST6K3i2QWevbLK1n0lvCps9X73K2S
fle7mMPh0ZznXhiX6Ua9sX7TJpZhnBViEB5iyw9aJLaD0fQ83aMiIu0sNAekbDuk2acCZbtu41Wv
VwMX+KIiBYJi7bfit01om4Nq3ptUGdHOSlqA9oFWY4LdAKhr/4flUM0G9iL/WsmsDlZIxxkv1/u+
1FJEM1IxYe7edt1R92M6Q7e/26JkZAvJoQQXIQ0LOUBepDf2YOlTFUY8nIVQU4Yft7ELC8c9iAAJ
cp+g+3GuC/3P7VWvvFLcISVaicG1RD28PioD92/SRKp2P7qJ8Re8f1B4oivtT343UjK+fTEggQgB
2hSJK0waNECfQB+oMOYU9Qv+7Va2Y1rXXOClJluWp1eeTKInMMJCngAczCK9CEq0OrIShfy5j002
v1FBYLPcBqWkWtnSG1wHNqINYyWybiYhq3x7xn2j0pNRPGg0na3dKEK1ed9PIhAbba3/D16vws0L
qYVhJp0MmR0u9kkRzDgAuIX2AEm5NH5JQRfrk2pmjjVTGKUB1S2z9MzGTzbsS+OvE5mOcuDJ8+lH
Pg+OGXqdM85a6MWOVXcHpvHMuj0jnEAR70ZEfu0fDCmi4Qsjs8b8Sq3tOJ4fBqmBrDQaVO1ZlGig
R944h+PAokk3Jb/i2LAFduo9Dc9vWY3BxMW16rj5ToNHYGufZjWTmxPO0XOXek7Q97WzazUzmAqv
LG17wou+HwAReHUDo1fx6LHZ3dlKHDal10Y9qalXOeFUJ4cqTioxHciy1Na/S4w0jRAw0ho8/vZO
50NQ2U0jxA/cyGfVLDuv1IdUoQifqnj8zLwtU1NP8aemGu70po7q0MOJfAzfp+CkQrTL2SCmup+y
l3qm8gMj/hiVQWv+iTE+GkMPpSZoJe+GlL4tLr7sakv3YjoPWIApCECH0X4AF9XBtiZL9NOdO2CG
lu2L0IqnnzQu6Dgh1Khn47QLLZvp7LlWnGp4ikSmV9kOgmxfOPtq7vB8OjeNM/n+mU3FLGUP7Dyz
8sPQ5ehMH0GtRuFHM0BoPL9kox7En0Q1qu5Dpjldb79PK8xdjZ0BwnnQd7qF1TqG7RWOyk9G2xQ4
fpdagS+fz7i4ex4Nt56+R2oDBH1nxy3+TbRSKhWvcKSXkbbEnYQtph0TEpNMfc5ROTNRwR4j9HYO
sZPM85fMoUAadyJMbW04zOYY5NFxEoqS/tfm/jSoe6cemvJhVme70He+Nend0U6w7/zr57GaI03M
K3msXHdErLxMBNOpO9NuC/8JD6rM3COGNlk/ZWMoecTnNGfu47oKUti7wrBDR2VfdAgG7PVWQ7rC
b0PsTrzcDUVRsOcDBbPjQ2AHhll7rk0vMjiGEU6U9p7RThoNOwcmrzC+3Q59qwABiRY5ZLYNmE1K
WX0RZ/WgTBnX1A8CU6poFyR1QKejieqtpG4V9iTEiaROSJkiHZ3B1wvlihpPUVrXD63Tu/SYqsh6
pBuHnk5dWltN9iXcm6afBBjKAR/DBBdK8uvV7NBWqT+i+H2nRmOYPJT5hOxTqsZtecDNGRWOA8TM
zh68KCIdPAcNFd90j/T1gGvJhBZ0/6Ea0KzQD7VoR0X35tgow24nrDER2S4qkqjYGo6vvwXYPlrB
pKAkSasm6TDbGU2yOXqPE6g57EprCvST1QUw029/9FWCTWHL5E52ClDnYMT7+u3oneIjduYq73o9
qXDnVdrSH+ydLadq6S6w6qn+oYeJtDO7vfCSUPfC5WR+LXGETDZWRZMmAZOT6vbv4Ctp6TdmL0b6
sewzgzwmrzJj+EGsbVrL68LKtlJUcpzM0fdVH6PLduE/5mR4VexOVrnLCzO3j5URJX7rdVmqGEdc
nKOh22kpyroIaWatiH8Bt26c+aBMY6QaX91UNFG18T7l+3p19UF8kToCEqkodGBFr98ngRjx0GKu
36VOGKb/ccfUer1v9aKMHkr6p7qPaRPWhESV+f84+67luJF0zVeZ6HvMJjywcWYiFqY8WUWJpKi+
QUgiO5FIIIE0sG+zz3Je7HzQzO5pFjvI1V60oqUiK2HS/OYzzKluah1L64MD+OeUfnURaCGgBISz
Hng+ZDJXLxWsZoCmuPZvIU4oGv5jDhe4PRwHX3fxGbp9sWvlvZRmqA9IHJtxP3ACN4HUgbxjO2Tt
ONWUJh2VjX9uIc5RqRPa/4zwXQ3ZgKX6o4J73WCyhTM0hZKm7a3l09ga1Q1YWK1S4RZ0NDu8mFEV
03DpaEyneRv3Fq37VHH8/cs0Bkjfn0IfimEfEUvebDCYXOgKo3KzBqpvepdxFXQ6CjS96boJopJJ
Z7vK/WYZEA+/NBHKnB+Via/fOvxWoFMN3CHQOyvo/WqP6WshYBGu55tCVz178kNZVNHXxgqnUn22
nIZ7G+kjAAvvpFchMWKJZm0ntyEIpSFkY5xBeNONNfC4KA+QnNV6TGFiMmmWgWQCLDP8mlCdkn1a
o5Qbtieo/PqKX0JrHivIVb6/NK/3BHBNIE64CoMCRgBoxLo5/akPymoByu7SqGPLxBh+dWXo7U2N
rPAE9x7Z5QI1m0/vD3m9361DIltChApOBurZV8tm4P2CZiiD0iq03VydInzqA5FGPYTdL+8P9fbu
cMAhskcuAZG8N/1PMOKBy2SuPDaSlDhKUaDZg7Aeqlx1rXNoQNT/qLL39u4AmwR5b00p/mKrmwWW
jhyQfse0UE0CS1tHpr2R6vn9W7sG160qHugcgncKBAhUgq7rlZNNupIZoo8g/jZkp8E2GQ/gKKHk
PYOh9sUbwbdKYlaPF+T40J20W0KhLzcq+M9DX68fNlLhRjbwDS0+uLjr5BHXhtLmenmriMSbigeF
fnsdNcQcZevIOAenPjpPA0J1b/L7drd0IxMpI2MZ/fJ0Bj4FJAoUc5DBvuFsgLvVhOAuyGMB3ZVi
17WM8d0iiFsfa8LtLQrpbbt5/028nWTrRgBSA6TJEHdco1hrJRj62F15bDqbvISOjp9KRcZzx5qK
JE4Dg/YPkFNv4hw0zvD2cZsojP+Fq5xfgP4QuUVx8NHpdO6nUpff/NpDThEVJXRoSx6ZJakLm0C6
toYAwAHGIdFZw/Gb7MrZnr76IlD+tg6UO0MJDP20ZGy86o/3n8z13owUC2sc6x1VxRX2tD65P20u
iPi5goXOdFzK0IaPQoyccGntYTt4LUpt7w92XbwELgiqtbCFhRkNOlXXpYOywftB0R4iv0Ws2jsP
KtrWlJgAbUQbKpWdlnXiUKR/cQrUo1/LDJfMvD51XcA+f7W2gH1nhbShW4LreUs8jLyZQ6wFFn8y
AoDcS6D8OFQwR+KRM04J8gokkB88gOunvRYwV2UJ4M8QyIL09vpp1yOQWbWPeElIZdDW6xcWRyrx
IhbFTVrMEVSfs/ef+V8MuWo/gLaEzfUtVHB0JRrbHYSVqT/3QZnC7RV02pRXSNgG7OgTuJ4fzP3r
1wzEIIRB1vPjZ1nqOnNZZiPg9xnzo+sOxGwGJ5rHJOCoEKeQWKdzSiLtN6d5FJWdVY6egtQJLfZr
cijY3kD5R51x1avCMrw+w2DogEopXNvBtZa0ugxAMJYXuJwRE8OJCnc9fnDb15sM8HY4w9D/xbJH
Zf5NaR78EEbDRm4dsOu2YScelm4Jb0B9LjaLKL3d+y/2egPHcHjQQMkj8/iLqNIfPKZd2amtYLAe
VYtvbpXFyG0MDY49h8Nz3qM3/kE5Plhn6J9j2XVUFP4gWYKq3FsG+zDzstMNYqXFU2itqKk7dM28
IMq3gzzgS31eyhLJ/1IIfViisrqgWzEfUVBXyTzCF0ECyvTZMfTFIE08eA2A1aUr9L0Tl2JLPRY+
StTMciigyi811O72zkDYM9VetQ0Na9K4LvvvDlCObdJOdPpUjbLdL5SYBx+Fho0GaHvbw/7sYtu1
+KMGIADVBjONdzO09W8gKx6fagZIz6YgXD1OC0yHg9anX2GUjORxLCIvRX/Bz1vgz8KkmYGMIb07
XGpZWHlRhyaFLaGfEzCwcT4iWs8LIOaf/UFXd+5SmNti7qdjXYSfgdibnkPXhB9AEa8gBqukJ/CV
0N8BFgIYyzeQrGgG+Qp1HrL11fio4eX1AjsU1OhqEbPEQQzxndU25LbaMThVk4KtPGwD2JcCZtJB
MqHytY9rgKKTeLabbec0C8sC4zbu5v0J+nobwGWuBX5cKDJmxD9vD11eT6xgjrO1QkCYNiN8/x64
FatTgzicZXbI3U9LU9bnuYw8dM/K4IMLeL0gVxIz1uPaqsLyR736Ou8KyqnVKHktO7DLrTnhdlu4
Z6LIPAHP5S0w2k1IoBj7yAjw9cpcxwXmF1xAbLlYLW92eU1BXSp04ezCsLe+kMaNb8FdQEXJK2Sb
oeS276Vu81962iuG0APaE91jZJtItdag908HuWOMCqCPFO7cMgx2cdmqFxj3qhs30ugqVbKdE9IF
2I5CdHqSmXDnI2viN7e92lNgT0KbDkAy9EJfX4FvjfOkWBfvQla5+QQo/JCCzlDAWKCG1kUQ8vso
ENVHyd7rAw4aKNDSACJoVaKCghgaWa+HNdVCa0+41p4NvR3iPIH7i2NJuR3g/reHVFX0aEMVyE7K
bi7vTImwtkTF6ClaHOduGjrx3e/8HgWmsD3AcDD6oN9+PQlxeVAMAKIUlFTglK+Bu4CUt9Mw+PTg
LDr6FMRt8FRJq7LQM4khMEjkGP9aFwpPZCU8rJg+wAmAKbgu6Pl9MEPczOMH5fmoyYvB6ITXRn8f
m0Z/VDi6Mk7592jYjFBpQQHxjf6G1dhg7fsuP3SMBBMm+SAhIdB3yyerjKddNcD9Ec2oiedFLGmd
2KovzhZ3bZmWgRAfLb6rXWcNutH1R5gJGBiyrutO7jDYriVMz28DUFiGe3+Igx22wNnsRlgs1QCn
jCiVcAGEX4J+OS4IWLPw/v3FeD0nsQEg7lh7gKucwpsch/Bx6tpY6VvRNtY0J84gRzalRHYBu9c2
n5wf7w/4uuIR4a7BMvipfwjHBDRYr1Z/EBkARlUkbwvLdSBBC7V/+565/Yxae2mF2gSb2LKMe5ng
/dmaHUWnYvn+/jVcr3+svVUdCNgbyJEirr4Kbj1gKwYas2lXGrd2qk0BiPUjPEZdNNBCGMLJYwe9
G8NgrYng8YPIer3B/45L8AAwJqo9yCkBQgJI3nm9C2ikWu3QFdOOc6V12nA0ZmBiWpYfbDdX46xr
aoVdIIlBLoME7upB87BvezhpL6fWm2F95k7oTfJIoDf2/sN8Mw6qExBKhxwLRLyhaXy1qwUNhBYX
0M5OPRpn0W0kJghgJljtEIbM3h/qarJifqI+tz4zBMqo/14PFS5O65dOMJ4WA12TZKw9/ewXhT8l
aGr9oqA2ZNtwSqANicsEWOwtzhBMdQv0Nt2eI3cOg89uA55ulEa6Kdv9jCVaf6RpcDUtsf7cn/Ii
qP+ip/smw6VgpDA3nMvLMrQ+vAEB9FhMKilEXJ56oFmUm8ccMhVLMnYL5R+JOFzt/xgeKSRGXoF5
q0zFVfF3qtGyqKAed2naCQ59NbLDHZAOtrkvfE/BqMEC2RPWRO+/06v9AKNCHgzBD94rJtGb/SA2
rAsNJ85lNjbcrBKAn2irNjEbqAtpO1jvWgXcQAK/bXerJWx5niPwQD+axW+fPZis4Fv5ADdjZl5v
xojJCmfFkF9M3Tqr91tEo3wIlRyAel00GqG1x1nu0Hjot+8/gasFtD6BMAZSCqg6lE3fnAMomDSM
A5p0oVZLhgz9B4rNv9cfaSH8xS2iTLoiIFfU7Js6WofCuUbzOr4gDGnv8SMgNNZTYIYEReQuV4UX
g1Xrs/CXOIerviJgCthqV307BH3XG5GCrtfitmN0GcBRIAmPRXfUpB/Krde6UGborM7+YE+62ij+
NST6Fyhm4z6xnF7vsabsp9LmcXRZest2E8pKbu9DE4ybsWiDjypobx4scncUTVeu+wr8uk6n8WE7
WKNu7tDrFupW8dq32g1dJiPgqVwPTN4R1bhy3HLJJZxw358/b1YQiiYrwmU1g/sLmOSIpy9HyCZe
XOrqrQVZmzJtXGgKLxy99aygwu83Rno5qJPF9/+PsdGKhSwElvEbir/Qfm9BagVj2/a092zhPceQ
v0MITJ5C4YWPNbKYLVn4/AGa94omgXcLBySU49fG7IoIe1M0kb3fITf0PtUNVQe/ZxHAPaMboi7v
u2nYuv4G3Lpyb2QFO5IqDg7NspS3cxuhPVER0BwtBWxESNX0wXq+ng4/rww8JGC5UfDAVb6efEEF
CQDdtf4n6hXzhnD/e00ouTHg5J3hCmUlNRp87INJcL15Y1Dk2GhLENQIyRt9jsrpBviAuP6nKpTl
Ax1hEo4Wsdkz+Hpnc+HGH9BUvNcuhGsCg1YAWvAI3pFBvkkdaz1O4IfS6sFhRsMg2Aw4Tc+N5cfz
GZlQX/zwpSXYroI5S5C1rDNQJKgwTa2UVZNX5wVkPexcqgm2eGOB+lcWq6mn2yBWvt6inasgAOIT
i1tBIuxRkA2ri2hJqmay59wjA8omiIj70pjE0SX6FbCgs2kKGdSg3cHeviR7f6yhDwb6PzGHrmIg
Ao+AqM2fl6IIhxNcA8Whj4Ax3kTg07hJE7eDYElAi4GdplKWVZX3QIaAzF+WrM37JojrPuvsivUv
7y+k1zsWWumoPKz1baDHcAKhcPV60gy2dlkcuP2TTcso41UVPi9F5e5L2oqPzrrrsaAohvgClda1
7AlY3tUErbp4ai1p+8+LMxbzY1shInWBGYpU8OQuc2w+Utp6nemgkYHZsmYZKxMG7OLrxHeUAPcX
7Rw+x3SOt6BSFTkQE62XTKNnXljYhklXdOaraRc3bydt9u8/3NeLA3Zd60YBDOuK58B8vS6vAMLa
NNDMZy+FBp95byKfd5seCAr9Y+qhwnJfWE04fPm1QSGSs2JV/DWcQOR6DR+tBSsi2wzldwGXVZbx
URqsf+l2/rbqq1ak/Ww1vybr/hPsDO4jYjcIQfyFTM/ShdBGrPzlBXDYBkNUndIbjka/yN+/u+tX
ig14RVau0ghAyODAfT1f6wo+h4ZR50VySC8sCwAZd44NSnMKDKScvmHvCeG/DgGp5kygbePdTsh3
x6f3r+J6JgOsgG4zur+AoOCmrxO5EODjGgWu8g+3r4r+HAvJxcaxwsq9KNtFDv2Lw+F8X5H6MTDl
aAlelysCBN0hjE05TRiRkO63esho7QjgQXuzTPojPOSbu8NzRVoFKXH0OfA2r56x5drzIIMFRDt4
B3iwe5rLSpxHdxyhPCBcvWx+8fYQGaIqtrpnI7t6k16hshoqri1Fk3COau8AfFXp3/tWUEKLu4/7
j0gyV+hyoAMh14/wF8H0T+D8taaipiqUVHVQsx+Z/02BjpZEdn9vkID3njr00rrDYUqzQA6fIND9
S/WudfQ1A19rckC7wOHvKt8Rg48TBhqVNAlKVs0ZFDwXmQC5yKx77YsQ3GHLH7sP9qI3LxWZL/Yi
rBnUsN8qkhkoIM8L4qMyCUgF56QGkJ7oZIDmoGlMw+6jl/o6u1h5OgiVYNOE7A6c7TfKuoAPBNVY
kAK81TgcxDHgThM/zjiQ1Nf3p4/zZihEARADAqUQ8SB2+/XzPxV2oeBQhbCUtxBVlZxYaLVQYFkR
+ZQz5U9Tg5fh3zAsr2q6XeKehagBmbA6AAsLm9pcyaDv5w1IxZVRJwmPuXjMy6ku8aygJdW5j8Dx
Np5JRvRDQ5r5vullkHQBjBhzBTiG6JOlG8ZpgtHsbNcuPCCKpQoyFLip3LZxOJHf37/l16E3Hu6a
M6N3hwwuRJ3lGgSn4TZkSrfHHbPYFqTeQn2ThOi2gBxjNTmMiSBT3vv+HNwCKqjNuZ4qB8jF96/i
+njDVQD6gko2Ssvryr167qNnrRpNomOJV6ySYonFdMCADNZodnS5J7uY2yksUdul+yDWvXoAa6SJ
OhP4S3C/QRx4vQED76NhGLsQgIxdNosf3hKF9ecI7Wr/K4vMbG6dZojqOLUrRJK/e143u/8Se/gf
P6b/SV/ay79KZ/qf/4G//2i7WTGIVVz99Z837Ae039o/zH+sv/Z/f+z1L/3z9ttgXuT1j7z6DXzx
vwfOvplvr/6SC8PMfNe/qPnTi4Zm5M9vxyWuP/n/+uHfXn5+y/3cvfzjtx9tL8z6bZS14rd/f7R/
/sdv7p/e//rt//7o9luD3/pff9Bvgmnzn//7+ndevmnzj99C7++oJ0D/AGoUyMkg8/7b38aX9ZOA
/H0lzuND9LyBJIgR04tWmRIjRn9fpTqgTg3gG6bS6vms2379yIn/vs4sNGpQt0MlzA9++z93/url
/PfL+pvomwsgXkb/4zeYbryeM8BSrEgm8NuRtEHpD9S+19vEUDSr+15R5KHlxpms6otCn3DvAtye
dEwCYYjrgM3rAJ3UsNSJA2AXEjqn20R+Abi3jUi9s7j56jXVsx4Ag0NywY7+EFrZhKYRANl+WrTo
4bmsPdVQZ86c2dKZbUJ9nKwmccpyy/GlNxI9zyMr9Ndl8AtI2i4esodOZSpA678f/DK1/IBtsOE9
qEi9wPm52LpBGWcjbAFyEITn09IB+mGV1lFM3MrGuhPJoiTgErI5TmRpwH7D//38YzCmTW1HIgHq
pH1E9TvlbR/t7WDujoXIajY7IBnIHgiTYmpylGvGEy3pdBpikeORjnsbXvYShtuec6SoicnEZfRC
oElgrGY+9AO0XifKvveCh9uSu0Dqh6ROkQOafDZTnbix/K6Art/5cwsrCRxQaE0X8RnnVZm6UsWb
GqXp889/m1SJN0HpzRINAGwSfkPc4RBLm58QOR+qdpCw3+YPLXyOp4FZm2AqNrGovTOUZYoAhTya
1EsR5I2yZNrNVncpJ0DcETVG2Thhsy6QLG6hgHRx4ap7AO5oOLeObW2bApxxs+EeaTZlMfnpEteJ
DFrvZuiHryKk/BDWQIdC648MPoxqR5whXXDjRYN/qNC7Ql0c3g1o5J8Ha1ND0WDfdubBqbol86MF
rGZePtmlqs5GjmYP/M/XFqz8reptkBq4QyHhQi4NBjvCrAOxSWvdoFOpOHkAGcBGQVCHic95eSK0
3MIwh9+CW5E1Qhe3pNoh2l/OoP+ORyyCI5A0y9kEs487MFUmevM5Llh1Wbob1BjLs6nm8BzEX8pO
zmB9RUMOUEZ9nML+zjfjs4Ks3h4u77k/zuVxAfOF0ACiOb59ptR87YDGQ/O23nDk/0BqzU4y4yw9
NXzPhXI2URFNW5it7C0G1FwzdjIZ3H5HI/AJ+B9xqclxdv28gJBuqozoTwClZyYsm9002clQCJXV
VbkRUiYLlXfdwjPSWfO33lG3k2PUQ6xqsWl7vmtHHLGz6DPIGd+EvPUebO/swbAUaty1t4WUrJ90
0rqRSwuJioHEGZQQdkYH4mBB7iKBZrWTgVgf5pHqPzl+7e8qE62iEV0CyL8+FlzQZFncuyhSG+Ez
ZyMi9xh4YkyJILc2Mry8sv0O0Zzf7GouhkRA6c+tvCoNQXbJG4e2J4KaT9/o5pYH5AWSWvWG+P09
R5EJ5YUmQ4T/CVaJTz03W8T5B4oWeRY4fZV0M/VTdD/yWFs7X4yPVlGYu4n0O6fyq2xomwd7AEEw
sJwciIjgCAEtYInGOQs9Fh3iWO69QkjUIkeRewu/hQWkyDsWbnWkoF0XPNUQioBbheSZ0HzZL5D/
bXmFZmVDDmKyOaQVLlDS/DSVc3WYRd1l0RzCHrAvbkSxZBJAtoMKCEyOdR8lyxx+N73tgCZUFAmi
SyulJKo3vpirE3Axt64PMAZ02DyIReYOL53Mp4u3rvTm4sJ95IL8NWHw2dxpv4DySOeffV2PWaB9
mrOhDrYFJ1gd8tbt/T5pVFflbtA+AaZ3V1TSzvoiL4FlPP/8IyIQNK2nkzLbvu2mjQ4a2GYwHJTd
tIPzyA3gc0Myu7TetMgbsW/dIlwB4jHgYUIH7WVOUB8llAYfrIbkhLL6aS6cx3IY93xYgvuuWURS
de1Bj/18hgXqS0xEWogCM25skpqi6OA3bgFVnD7VJVdrIXrXDoUNAJ11in2OC0ZB3FHmBtH5KVQQ
g/alQ8HiC26EdQbsszwAcnpYpGmPiytSPsV3gLc7m/axoCM/tU71uZ/VslGAUNDOm3eIP7+B8qGx
1dl/8B6AWUff0tHoMwmt7eJUn2ILYEanJS9irPMAQMZbyQHm49S978aCH0fHA72P8dMszQMisf4C
+P5LjdrazqYiwe75vVFRtmrvpGSId2OvZQaYkJ0wOrFjT9sMp2amwnnIwQT6IgvI08IbjW4N/iMu
VMjdOszqQfYZHBmzsoYvbmSZDQ2DJZFgP6SVCnO5yAlGNPOYouuYgYTTpbAgdrEey3PZTiSxh6bO
446E6FchHNc+kFVQd/CT2gFOc3QcepT2TLayG55pfE+gZXd2OvLdRp0Ubuc3BNZIOzE7bWaKcUlh
6OakNhmH9RfuzdhWKQxt0Sdd5i4PFvRN22bAttWIbOhJk/rU3RZUc5yXZ9k45Z7CqH7lRp5iNwMg
BecMoHVJ0ZRPs2umrZzc2w77YjbSEs2WGVPdCFJuFtU1uSEFS21d5nCSoLm9aHdTdJiBYH1BOZyq
BxYrlcEIaM486T8Vk/OAtoqfxZbYEJdOmanRVFGO3nSLtpOl4VHe8lJdgnDMSiK/am13aPLFY1rN
EaSEVP+lgGBDUs0jrFkR2WXVOKQtGWfM1Ar8Ti2PyldTjpUmEw8lSjLCL9nDYVBJdaDR0aIyyFzU
Vm1XdpihuaP4ZtYTh8VJ62QCqrOg9wkwfI+tFM+0V+XGLKWfDOXZ1TzYBP3SJJPw5W2lOsz5cJAb
NXRtasU+JIfq6vemhyyfbbc8Ma3+vaD8iyQ9y7Q030hckTy0+0+ISm/cuQPviNYs7QWpUqPgvimn
+nc6zM9QnWOJq+IWwVaIfd32tqHw2zvLgT7wMqBvzNBR2GlwExLW1pem7I54AOBNKnnTQLorL+Nx
/zMwcp8Rwi2piqcNFIWPQFZePFfeA6RSHWQT3tNhQjhJoHrb4nrGjkDCoQhS8HTLvFQNmLIjnuXQ
De0m7CRyfbG1RRQ9G1BRaOt+pUW77OKoXmCWYv8Ym/kRkVG0cVjbQ755xbv30FUdG3qMOmEf40p/
g8T4oynm7qaj1b0N36ilhQYcYBWpCR6onOcEsV27KcStEc6cmKZdclcjKKwWEDMXa+hSTuZNze1i
Y3P9DeK65lOLSLCPR+e2hyMPeG7quyhBWaKhczMocow8HmbRSON0MpEN4GJ/nniEM0K/dCCwHVSZ
tb1CZMrsCxmY2ARV9YxDk2zU5GeBIu3BnaLmAaL4Oe3nxwlV2ioEUWSO4B5ddX3qk4lnqo/LpJFV
n1g0/oFEENO6trYWuB6zCOyTFVXOKeTQ3bAk6tWWGEneKi7SYIDSmiTBtwKGhbsWhJZEOp27gdip
To3T3JSB1x9QTBRJrZEOhHSZDwvsaXLpBC9yDuCQjE58UijVAu7IdkKHORA6QjUlEvvQJLZ026xu
T35LEKQE5bm1qEgtTOMMaHqe1sB1taULT61utjPP3RkZuWkfB/VtEfc8GcKCbVv1CexYnTVOZfJ6
lDA/jP0nH/S9TVieKz7cE2sPuD+iPNuKE/QZgg2mziMq+dNBW+ixkNHu08lfwsRwnTAwUzPsfDv4
wALX1B5RvPQw78I9dP/j3BTlI0p/2LesEvTB1cPJphoS2V2V9DNeDhpZVg6UpLit4+JLWI08V4sN
Jh/roHBSgm/HCgGay52EGNGxEiESB/dzUHg+4j8wni0yd3tEBuHtQMWckbU4qVEAQuSltqYCiaUn
JWbFAq5qG50huX4LVSyQRqf2U8Wt5Yg2N4KTXTzG8U08EDzwxmtSbMgXRaVGgVAuB8JKdGBcq8pi
GoG5JU49bIwSTfwotyy2bcqTXF4mpJb7Uk77mTflo0fd42jDPFZUzs1cUJrPRf+D1sunsq8euNOx
FBm0n1aNn0ek+RTvseAe23D4g3bF8+CY3xnBtsvbeQdh3hP2T550cIyCU9rXKZAjanbsazk5OxcJ
cEIXvAtSxUuKsP8zqnlYQYbHd+hGwCQCITS5GyJxCrj9WUHXLC3L8Is3T+nAbcjUBp1OKpd9NdX0
ADzCbdhMO2hbJVOEPGGSdbTpl3MDomsi0L0BlxCiKhPT4W6g4XdaRPMR+i6JHB4AfwZvPmyKJFBh
lPBQsYSP0TGAB8SDEWGDMBeueX4BiLQ1HiJBHxWgFkg8q1ufDyewXcYEF++lRRjpNGI63lqMPVq1
wuLHRjtNOG2p40JKlbxQHA1madwMMohJKwCZndEbhatglPRD/8yMJFk/MTDB1R99HWwMCrCp6nDc
QwdEQmzuqUcRfCvIsMANmo73s6G5Z4rMHQIDhrILTrKHf0UClAQQwUeQKROn1mC1c7Rbe/vGM0iD
4yXoswVF9IMGbVZptp84/dwhkjhbYK9bumlQuwPGEaKvA+p3Tkpo6iyuh2PBYNlJbd8w49g3MJpH
wLfqSPudx/K4B+eb2X5zgU7ZtkNEdmq0/B0yp/GGLcUN0zPbceMcp4k227KO0gGUviPxJn2sWtve
DLD5SEKnmff2UNUJa5osbkZ3p9x6PoDxU2c4/TbzAuhHUNdFWguy7AkDXJ4PBJJok/1NzW57slnk
byo2lGlRYR8KpeMcQfaNtiGM1jfR5OjMgn7KvlL15woIP/TfG/tIvacymp7g/TVuFuNm9aS9YzMj
VIMX3mfaWiQDjaZJG8QpaaH7fteS5dmDRsZFYIegkyhSGPD0p6i3hiz+EQSiOEGDYG2ebqO6kKmr
rBPx9TPER3kO684afjZ+Klz1oLvBpNA8mJDM8d0I0G2ijavwNMtdaCmgb2O2paX1iCdrclRe4Y2z
Q+90ypxe0lTE8cEePXVsnDuJKOUyu/UIxIhpAFpZ6pPfuU+cynuiwnonxgCiBCp8LlW9h9e5nze9
XnljUJMb2AZsd5GHXmuljShp5sWI9Qc1/ADE+9SW1rAx2jfpbHw3sTun/azGRqImNNHtCB/SJMbz
3AxDyBLgPPyNAJT8FNanrtiqMqouToFCiOn1bWvjy5VjjbcQA0pgqUC2pum7k0AbdxwGsZHMs9IS
hIvEriOBMgJwZZAH1fkSc3m0oFcgfRsUt9gbwPupTjZpxozFI0wgJQctBsFtqP2sjZo4G6i/D2Vn
cm9i5aabxX1UwO1ZFVs/5sumhUQOMFZ1Rju32eJhpfMMpD7s32QGIhvs3heL7hcfoW1BLhPalaVs
l82MGNRT8DIQesYPT7+jJdxuOd/bI9hws19OkGG19CYeCbif9ZpbVeHt6AovJfF4t5ZnnKZe4aVi
V+guq+AdumvAx0yCgMB0NBj6r4iHWDIMdntxSWn2xuF7Vls4ngx4b6HlZxGp/FR3lkmrgURbhO/f
okgsN80SZJOFice1CyPtgiTdULtZVSN+hXpDkEiNgVgQY3OhWpwJFAZTt3bvFk2XUxkXdh5CpeIM
KYgvLArhoSyFcxdgYYVyvcyhO3jAvaWANCFRhX9dEU50pzFZEDexc+fvzfC0RE6CNSqzriLoIAkC
oxCc9CCBn5oFjiseVAgT0B6jtGncbWMKtteC4aCmZkHtgN7BnBIa/QPjKYgoQVrH8HPwKzomgPJA
ZcgxU+or+7MPV5AcQqtHYFos4HtklI5VedN0cAwXRfc5YrTD9Ky/RLaPFKiYt0iTAan1VbwKAQQ3
FO3Raa7nLR2iOUO5c7AMvFREjNwTxLENL8cm49ibU/i+gm1pAbTShQlRLkmhq1htS2fs8sh6xjts
t8bBrj9309Yp4joPNV443ff9NJybeF7Ow1R3G4F9NSF2wtmCGiM2B2+UDuxTy3hLE3+x2Y3dezRj
wzxnVU+R2slTBZwjNDM+w2us3euOh6mHTlkWVeZLtEw2iK6pGiuejFo02/8i6TyWJNWxMPxERODN
FpumfJffEG0BCQ/CPf18eWczi7rTZTJJ6Zzfuj2vWlXXbWy225LNo9JDARYUL41dncl+ZqYd2phG
Bj8F+c355HJVLqXM42VGhD01zO56t11m/+2WoBW3I7lHM9qAbtvEeZ4X1mpLJhYTzIlx833Zp5QT
briw2o6Xuqo+HGnJrJv7F/1YncuqjmSVGljnfORJMQ0vvmDsL3L9EtQyBeHox8J60cvikfm7T3t7
fRv4rELHr4STOF2Z4IaJSfBorp2DSNzNz8PUfi4o1bO1Kf3EbJt/sztS5me0hJi14l4e8d4L56KV
xEKti1tnzF+sbc5QEWmipgSbWR+ZTRmRBK5SNSxJnVfGqekIKLa9XR3gDt1FmNxCldc/WbXWn/xj
+NhU3qT7bq4xPB6mJeGemC/8eFclhA56Kz0eht65aRkcXIEsCXL61HXn0Va9EWrasoYzipsQ6qrN
oJLLCznk97iKh4eRLS6mJo7IBmtuIxt0MiG52EYho5uhGrs82eb+m0GI96ZSY7R2DJxSPnulOV6k
tf8uKqD36ejtzF7HOhQIuLUtOJgDWdQHyymivaiMpJk8L9KBnSInP/oQQCkHbmIuV0N5EjgOYrPR
HrinF2aaNg+1mpU4r3hUO7mE9a5XbIZtH3F8VsAMnbo4O5u6g5QobBf9VRIOeK3hDRsjC3J/faGM
J/OD42PWXR5IZ/gT0E0Y7YHw0bjYXUbeQ1cZ974+P64AC8k68xSU5KsWWru89Ro/0Hf7n41h5I+G
2uml0p8c0l0iAzNe5PT7P5RnXahZMiKQmuAezTrrdItk5As5cWmb34vh/tFJvk56lVDPVMSFeXup
5mYOm754I0dkfK/XPAMLFRelT1aY714oaUe4Wt34VGnWnVD4yoGp/gX2PfPC04ruMKGHiIogY7Af
G7fo0a615VkziiYuB6cOm8rxQ9+qGuIm3emC+v6hPfQq8UAx4lUMO2uLPDKHWL7rpLtTtJV2qvHp
THjrWg5VLb8QDf/u7V53nZb6Wljdkz20qW+TpXvzQid6VRiACeOX3SqgxM26CmdVZ67PHJGf+W7g
9cv0QP7z1uEeydYNugPs6prWi46WyKDAao5oBdJt8OenSJG7UBz5c2vmcyJm6fIur0mfk0u2+9VV
7OO7q7XGqSTSG3Z8vqFLTh+vrEPOiNbxdo0zq7QnbDKZ0Wtm6o75nVs5ICuWO4ad02mpNVjfx85A
b8jZjgjPIcECGJM36YSYvIgXw1FxZbRHtraFSfVyNnRXnFPuDzLWoUVILcyWUgsd4XhZ65URfXAj
S4dcY2P1irO3sMzn+/yWG7N9mfBq8Tn2U88tRZKLS1s4vJuVlWCSe9I3jbextZ1YOWJMCVzmB87r
2RvP3da2p80MWDzGQj42U6pPIzgX4Yk+pEviBk/LdGpKWSaMjGUMjjd1C/7Yvi/oF9KS3gN0xuN2
3nPYHDT/9CzBUoTrETyjd/OyAkAxRkCiG03U1caUbL757ZT2G9HExjW/oE5bmeSa7qxo443I4WJO
1qX/YS5NaCESTtuq/dCs8aMzji1CtcwR5BYELh8d0C2vLIK6/I5c/wyed/s1ur8nfb4j9UGERnMs
YUeiDui748e5Mu+MXn7Ny6pO9QIyuvZmH3v8uMwvicLsCIXl6tdJwtrRDpE0c8adyTnVemZoD9v7
tBFJu3AAJIGos3LW+jNsoR5hktN/diMYN+0db3ONqaaZOR6GamhOttWpSGMqTXxcZn2lbWlTW5LT
Xr+SbXXw4Wr2KzUJYasxrEqiRH+JbbiUc3lLtlmui0XCPtICwlgIO04tSz0UapL3pUEPjq9lDoFs
mT4FP9FcICXxgLahwuTirdlWGCKi91HPblLpiHisOR4DENluWK4H0dYhvYx2emw2hR+zk1Jwymmi
TtQ6iUfWr58MlVtSKd1/nJtVp654WyJR1Ud8nFfcQcnu73/pmp2iUi6PmjBFgpkSRmPvX7X9paR9
LiKDigO2dcyY0X0PrYYDUuTOvT+YF6hLAc42ble0eGfyVtbMcMcx2RfQC7Pp08rRIEmawHubffU+
epfZwbFIvXgTrlKecIbryeERaEamjhETrxMiB37UpyGPXak4T/v1vJni2sqZXqTdq2NprV9VV+YR
+WSknYCc+pZm8kTbV7pzkXr67XLZjDGrc32803UmgyrYMq3cy2wJ6o9pCu529p/3nnjxpmVh6w6t
OvuNOgsUwZC8c7jZo5NshTOxx2EnWg/S8Xdx/CZTZ7jOxHqF3mwimSi3XwOcxt7nesyCDhZAkrgB
tD6ZWmYSYPZRGpxbxydgp303dnbA1ET8wyqnGXZLvGpl+3NwyntOsS2WbCB0Dqwqlv4oI37mvA0M
99L9qIexis2xfFmwAmc88WsymfTuEGbhvM6OSO2m/mh9YSVaTX1EPgueKq7EoR84HjUODJQzduLk
QiawH4QYy2APtRNWLZNMVzBSPVGOkeP2LSj+WpW6Y7d7JJvFSeTUP6OU1SIBKUcrlEEfQZW/tNNw
wxHcUOCE/WHnH1RbwXCWoCSWDtu+m8+w1dUzofRk6+7XgZ/QrGsK1RfE/czlvNpbGS1WjnekhGTd
ETblAjAGkviuXLWcjDLv9nVtjZohuO7NdlC7uTWPtlFpsWtsIh16/XdtHetblRcJii8rM6sGrvxW
qKaWfYyOZZWcQCzvx+qS7iRGI9ax5oZoejX+OSEVnmzvele1d9ZMyR7pdymBwV00skKGYIx9Ilx3
jwFbjARHCh8HY41M6QwZqpXloqi9jF27Y3KSQLOBsMqsIx9wH/9B2H/lyquvbt+akWONwwmYMWO7
/E2ic3fq3I2qPldkR+PoF15GA4Brkudp9JyreSvuyUU9ZuIGsPiE3V1t134WsxKclC/dVPfPRI29
2/iczyrfj4gGk0Qu7Ofl0sjY6v8jjafLhA456pZpSNkB/bhrZlgHBRFfqICB2j9QS0zGBiQDyUiM
QDgaeRlVo94+2OY0PImtGUI/I1yJd7R2H4BF8zvkUcGdvwcQH+6CEldZ8byWYBZH+7LWbX+6dS9C
bqgtEoX3bDUb+R5DezOeG9YJ73IRKYOQ34gCgZaxm0vEsJOhM9YYz2iKBd+6FEs+plDA4z1gs4iC
Fl/l6GaVU5IXZ0ztvfTt5r5VfBIXBUGna4kB3B7SaeEl2uL2oeWz2mGquzuscBr64lpqrMo8zEyx
RnUkztKDF6j3VgZT7OREU+2TCieLGPVNZ6xd5E5uIAujaUB7WHVf4D1U3TW4jRb/7Zj+fYva4nHT
x1NPDEVqm/0FfQZbpc+Q7s2/tF28WBK4FYFiekxr3HIl8UvtN3ho+eWUQZsFI72qANwwPit5j5Dm
LvQ1uitHeuZ5yXvWI6dAZqh0GhNKdwJ2kud28PR05oUAWNWSYvP/VV7rnqR3jGnBLcWl+dfay/VR
U9ZVmV13ztt3AuH3u8HdvlCFdTGh/DI0ewUtjv0wnrs1AQj+haQzSHng3lky56whYitkAD/bdPfF
x14y/SuNE9uUe2o1kOcW8ohxGN0Uu2BP7iTxrPgo68xxV+BDf+a7bogeyEz/TTYReppb5PbuGRuP
bLzk8nOsc4eR2YXHLQyS3H1Zkxc53eskbaT9CMV4cDlQ/5m4KOaiw1pf1GF8tgh3OHc1h+YINx6a
Q/CDcpZSzywRTQzVGTdsertjwnmctGRoyg+eG9LAQUzDWZePqize7svR3yPMBFpiagQsjv7MjBZA
AIyQsgRPrygXQdjV177lj6IiN0Yv0IOYgC97qbKm1z+hlsuTMfuPheZqqT7wQpEDzB9P8Rwky/YL
W+/dhpc/ASfSI95IEtnUniGJgFMu3aeyQcNKqMYRU/z+axnEhAtjjh2r9TJq3l+3vsroqSivk/lm
HnxkjUroaeC0T9Cx5aNOw2pMBESP8Gn+jZQvLle+haj2u7bTvwYas2It5OgdniA6mVRGdzwxTD7o
TldxP/MlbVi+NsHH1CUwPQ6E2MFc3CBSN8ZP+MpNC2Pv0wkQL1w79VcR/wrGZP/YiJe+zF7nRG47
72+i/HkwJ8eH2vaTtesXX6EtWZrDicHSI1vx6xrTCOlKcID1uLp5RECmfnL8YUic8q2a2QuBa90E
wMS8/Pc/1qGP0aQED0yx4Teb2hqhhzKjdtoiczb5WzRQnKnJZYRBO5nW/nXERRQ6Xb2eytrgdM4X
mZbAn5ejESCc4607GFGQ3r2WOXyMAPn38NiEXVCI8yj7/c6nDSj05zKgGQdxeB2IR41oIwvu+E3f
rTVZmg3lVi3/lJ2UMaJkjl53wxiilo6lSmR9roDXFQcuxC7Cq0FVF1fd7m0yPRO7t+O2L+PigIQK
ejlFrb4v4QznFM0yfy19iz+/PDIEmVpInBTXF5ndjjMm2FVq3DN+GTkuEV/1Gnm6/SJMFs7GBrMv
0fw0JTVw+eC9Nv1vokFRvJlEHvoufH3AwGRIc2WiCk6gY+9yXfPL1hYRooxt6owzbW9vpMz9QYxD
QKI37VG7e9dBM5dIK0YY/Z4tqxA/zMKXX0XdsLwPzXkevSbt4bADj9OuEch5uXrzrGvz54Mz7wRM
9OLV/+WkwHKM2lpFltYdRD8qjV8LcKzP3ytkoWmAqC4qNDM2bYj72QJiqaDMuGmc04j+PV2dtknx
I8KEOi1bWwF844yDfbYM+ywDZ7pg/EHcBw4VO0PgXaToss52tweS8vi8mW606OZjYclv0ooCCDyX
ReAem3eOQkFCYxFw+7zb4/w8lAujFBGGJ5J+cE0vH9bB9kG46SMYdpDNE5uPUMNxgwLp4v7nKcRz
SNjysCh7lXI21sROmfadMbRM2MXxZgw1s37rjGETaY29AXEwwjfDSKyN/Rnsax4R76A2CYs5NN3d
6Myp1k5LTOW3honZioJmhBsWMDCFt6mw8mYEEW6erYZVXyrUxb03Mrbo0GaT1kY9i2G4uWqK8/4n
xksOSMTskemefPhcTmFzuWt198UqGY5QirwFfv53LbRnrdF+kh1JiKlHjCS1tfejJ9HSkLui5lpl
A39QjbSj8Mb1gYbDqBpu2vxZrx7yZfqcy1OZ+H0XYiAmJAW9McYen9jjfI12W9wHpOAJty4yDDFz
MuTlGQglj+fC+oc/tL7cPqkh9Rdz5tarjLXd/q0N5sGnxOgStxqYICCd0sUMamBSd3ruilqLiUT8
07hyiWlUA2mwf+e6rTETlA9bJ85F0Liv4xacwNqgJ40b6Xq2/b9Nv3eJwSRlDlMTzQXC0aKx/vbz
GCldIFAreEhBk8KJHSPcgngOfJC/w38lyNSmq7jPzLHJrx/F5KIam9gTWicHRwn8PdEhzJWuvw82
l8wC5dZo6PYMZsBeN5ErEicQbYhcE8/fuBOcfUi3krmFXSg+MP/EbeB8Vze20qFcxxjhh/sVoip3
ljykKunCgiJjkGI3dmj+iextC12L2ehWtQppz5ywEDQ977rxvBPCf7trZFtxIDk+CpPue5ImeBOu
pmju/zusulePHP9wKHQDELy4UyuVJ5YhToYhH2UAfXbDTUmDSLem+nArotl3WISidqzsGECX+37N
csv6YEvMUzmZN2ap/yFbbhtKQGRqYXy10OBnpevL2J9KBEiIAC4cYZiMZ2xd3l3u+pQi62SIHtPA
GVajOSgNg/zEweMZr4S6lMWUdrXVwF2iCURwdOcXsPaWI/pwdErwJhaNzNCKDx/sJnbz7eK7G9RR
ZctUgwJD2cohZkwvdOaIrMDAH3vjzJu/ucdFeLfJeLyI7WVw5vFeNhOgCD8oEJhbaDrazp5lt/Br
ZUWR2TqCjXbR1NnPc7HQ493nxHkPD3Lu+hi3AkpDoTM78gtW7l0zHFPiKlAhv4anKCB6pnaCXLPH
k3L17RwYF7XbvP5coGevZS1uTRXWynvHlQZWp5vvuiRduvPWPNYN+1vovchw0gYxwqoldsoB2GmR
75VtXTprPbKGFLaI5oAs4KtO4xKqMUxlWJDgOARB9TZVQTLoHDdVjjGyGTxx9kS7pCVaslJ6D7IP
5ntNyPbcbv3Lrtr1qSLi6t5G+qsZF9HU4keps3+6szp5q6vOI6mPcW4wXJLptcGsOKAuunXPI5kU
3OKX3tLDpsmDE1M0zsk81WDpmwMZGnksrNpVcY+lJ0WhWJ6HwbIww/a/QPKP9+G/ZUwd48VvpJV4
BGJnUm8TZUz++zjvX6Xbf3jjoZJGm1oQpE/cYXAqu4EaXJAGEbRWNJn9CoI9PCyyeJs2otCVnj8F
t0NNrpaGrk6EugX80u0H7A30eYXZJEGD+9pU8KIWqCDPCGrfulW8S5P/wyE4Oxx9qznppsZ8I1kI
BpnsAc0MjPwFm4nFrxutRQHHSWY5n+ByuPDBjba8C5227i6NA1o6oauqaUtMedeVZ1SPh7t/DMis
UXeiwQ7c7c2acpYnE+XScsztezevr6SIQQX5cApb2++xtY1W1murzFD6Z1ibHMiUSntwg/LdWDh7
yxlB29ztXVRw0jwEuXnvrV4bc9YNmd2iVEVNfTnECkQaNJdKBt3FycHlGRBDQ5tQQgV2CZqz/TQg
Yh9QQYSVv/3dfPVzNK2bfruETauO8+ZzpfdW/qIwOURkNb+vS4DKWRvPmq3N3PbGA4QJ4TkvJZmI
UYBuOiwQ39EeOJ6Qjfz1tcqO0HV3L7rKVSbq/jwIpA6ozJKin4pzg7MkQTJwr7qv3gDQrIvWvOhF
DX5V1MwxsjkvSLSkX84PoiEdd9rKe5cfThS6c24W96tzG9Q+m/GHdgRIHA0+j5fdqB0ZSjUhxaln
AGmnuo6ofsJpY1bW9hkgnRK0me64cFwA2Ed3/dQKVMNbOOhqCEd7N6NgG4dw9tshggGwEBKGbbt3
sbD8PFrG7iSwxiTFvsaz9PukgRSNzOKiILDDrdwubt/Hg7VkXCserwJ6OBvR3DwpJ+0NpBuOUs+T
zl7vSZdAZO2XY28qXedVJVTFwZFoKPsGV76IRbszjtY86+QMhpqnHRENSGPcDS7NvQXii3L6t5ha
GSt7ctmyhlCzp7NXeYSq2Yy76FGgfwP9d1XtaKu94gd5fKlZA0Ygeufq6XjB6XyJSweNBg7l9+5+
LVstXV1tgY+0/7rlj3rafmhtdyJdKq6n6vv//9+1fRiFd+nB5SI1BxwBVvHHb9DhT5gN+CfD3n5N
hx82OiBD76P1o+wgE0J9uvSvML70NCr0xaXrZioaCKKKdKX/VaV1P63jDwA6NC9HleZ5fd4qZYfr
auaJ1hzP82KU6N+Z5o58SHV/fudEn69oOM9C1M31puqgBaW4kGATcQA9HH5uIV9b3VBHt6iKpQ13
xyzSQI0ND2Hx1TfOR8nUgE2kZ9drsQ2Gnm98oNEfkRqhEnX120j0PQ36r91znms+N3thOfgkUI5R
SVjEltH+HIvqPBeI48x5KkIB/BISUf7u5t0floyG59L9t4s68ppPqRcTmLelzlSxR4trZ2I/soX1
CcHijv52Xx6P/jzvUAyyD2lOfqh6+0McBgRqMeM0KRDiDGm1HT8OXXQpCSHwWNVPbzdHINP5j+/3
j7siJJ7g9o/VqFJ/PZoYFWkd5m5Ao6J7DpDeQA1QnFjpZGIvBN/Ybz3GyRPhmUwnisXHaXw/8qrt
z6zNSdX9nXafPnHVZc1aXxV/UNchufI2I/J2gpV6WcYw+RO3vgI+NktsatK8oEUA3kKKbKnZOunt
mkrfXcDDjyaEQc/gKU6yuYn2EBOHeMgzI3gu15wCAHfBmmA6V8g1SoV7D99dOz9TBJsYfvvS3P6R
JiFlXdN+1nWQJbt4sYZuDp1mo4KmRYjWcOHbgVmEGBvQ84jmWXb4MXlKQXTQ05HDxxK0t7/g98N6
affUbTqdOUdTYUfXTtIXaLYOLWxMpBjI+/OLtLFfm2LP/GW8q+T2FxWoiM057xPdGF8Ux02mdJQy
NWFgkYTa0DfU9ZpH6189xXvB4uv6O17RUqbedmxcANYHe7sVda3/q1d+HupVlYDEg+AOWpjrNITm
qvsJd8X7UVaZY8qvZUG+vdlm1CmbZWZ6Lcx8hD1x74+g/a13UGXloAApYT7E7bG2h+kN0Vpo2tWX
a9wMRkLemxYIHSpGDadGqU5DMa8ofKa/tycuEOWfcmp+68HtrNhzhsHlEfdkmB/6ub49jmtBOKai
zyM3/hnKi5kCqh2dmOMBPNckfiUYBcGQd0ROQg9Ophdrw44hATyFrZ125WOvLkCmeXTDFWJUCgvz
M0p7KSyO8OOI4OhUqaG6oGLF1ofH1pR3ZqU+KCuZuYwR88jC+CS4/qe8febz+afWiAP4OY+r3QNX
HPM/W/lzm8o6morq1PAhaOXE0FqcEe58kmrx7nH3hqaan6yGPSmCG9Wiem1kNHnHZ+ssftRSaB2a
Fgogk0+9kt0H9yKdLDZoPC/nUXvY2Zzhr2BzH3uZMUlcFPHezDXLk17a8Qr9zF9GygXSqFSrpzns
OmTJJIB7LW12hNrABHT+r2af14gR925y1MLHtbo4i7Gx0GkXPmScSVi9osXuI2zyr8Hc/xyM9lfg
3m43r5iTlYWbWO+v6sDyTW8Le+oyP3hV9dLzn0NDB7TKnctejmnvOO8cr+zg/73Ok/VQH7+tBbWn
Pxx3lTDPxzr/Ah0SSE8TT23fMDHv5DGg5Ti8l9t/ZK+5wT1oAUp1E0LWP1yiLo1RoDq1cfr4lR6W
o4VwXoCFWBb8j9m5ZzWhhaoxVPhCV8AMqMJwwG/0TUgr3o+Lf0tdt7X+kxj4c+Gv72h+uUU16kpp
/QmHDppQ8URjnXvLR7oXle5s8aS5qVf1EJ3+X90Yymwa1I/Go2SwPgAVQTu+jaC74XnMzf26xf/9
0mub0ja2hTgzTohJ3jxvD0I5dnfeYpzUeGyIqnkgrZdlgWhuc/+GccEcyuVL81RK7AnAlgF5OKCS
GW93E8W+I3AdwiY1+dEx+wwBTTowvTIijEiRSO/njxbZCE0yG8bPlZsQC/aZng8ZWs5+qsGoll2E
26Z+7h7TP01NX17jJzlXXjq2I9RTDVa5WPfmMX8Th8kAPwg/bY/ErZfnUnDmuxo2R7vIETAPLDE3
JXUQNN+sf0VMksp9MPWkg+53FPGM8eZDf4O737hWdddzAxRF81Gi8wsFIfzhMXdfdYXGcOrTcVTH
pWraD0EjwWRCVNm3dx+MHgFdWZtn40Z07IAe/319dki3ZQzrcSZmRZ7SN9WcSoOQ665DZykNxgNX
9oDWTOBkoxPnJLbYOJYmOWqHicwhGtccnXPfUzJBuc/rMdhR4BWcxAWM80JVRXc8GaadZ0FRBswG
hYJ9dBjzxAYt1/HCm4vGBKbbz/bcjidNHq9W+dyVv3gk/xWKadMU9susYyYsBoQIXvego5hm0hpj
KJ/EaaHozBXBWke1PY70Cn7Ett/I5ZCQO+pJ9G75UkvvrSlRVAeMXrY2EkHp5aFhwhRZUE79YPM4
nrbSe/MwInKccCz2Oen/dOt9EqJCW5TOJsP5SOgTseONfB/78jPQaOkF6Q6xhhWMrhizCbZ5Qo8L
E6ZehRdLMAhi5FHrDtzDhboVRiMraoEniH65X1g2ZMcO0zXPCNEHdN8e5k1gvmVYIJDX5jrq09nP
1+68bsAtxH0k5NXv1NkA4DhC/hVVfsI7+7SQV+cgWwkNH8QXcQmdtS24Z9kQd+C/a9Z+HbH01ZWo
IlA1BHFjf1qsTTshSHaxeL6bljLjwGXC4LZvj+ltp5brCWkGw5fvIIwzvDuB9gW7zEF2bl19m3uP
DkBsO49iN8e1i6qnsd/XfNAvsvqV9+bDpns8QLuOGpDhEvjmayo8LDsc77Ojo90GAqHfeww4V8A/
3dDCw7diTTjm3Uvgn5EyihZVJH0DwbFyABQaEmAoSjanJZGOPADnusyf1X1pcnWSdf3DdNsXS9tR
Ri83rnk9rWvAySLLU2G5P4apeDA4gxdUcpe1EN8gDSsroP9DP2BSDVP+ySVFwFyFzzmTf9V4wGd8
l+km/p4C0mUElj9u2PPoglVLi3GqCURYo8Ej+PckVuNppK+H+7yooPKIQCvXOWSb9zOupl50w3ls
ek6nMvPM46GFcx+89p42EngsyMxliFav/m3yB5Ya9aQFwGQJsnqnN5uOQXKj/KW7G4qL5jh/NBog
w4L0q6gc9N/YJLdQTQZRYPqZ3fMbK2O6Co5/bg5/DSi0IBiryu07HXbsBjmi8d728/zhaWORGnn7
2IKoxOvk/yntHtdX8X6TI4coHWkkQ1e2QZQnJSENLJ+Iah20lZPMFhtSZlqwc+t1Z0S5oXlxfio9
0ceHWYp0rIvUKo3v/76SI0KNGh3y3bbyh7k3vonWdrPBmexwkjqW2E1j6/LXDMrWrOnpLmWFamj3
v51lWbGaEWfHQPJJ5MN6L53f2wAk4fb33rAl9LGr2Dz3ut9fK0O7B8LG6EIoTkQTIkDaQB8Rqehw
3cFqAKIPSYBo7KJ7Ngq6bWQ989h6epbT8lTJ3UpQ0bZRy72qD4CComUfng7QC2V3cV8vPwnZnhJq
O8qE2k5EAn5sme6aKMDtELo+R7rjZ8tYP+f1zOi+M2uBXwqsOmmtYO7z6tnxjEfXZDIb+8EInYpb
Y5Mz2OP0iNURLyrexRERADAyZzLnCnVrTcpb2ifrzrS+DHh8KM4Kcd4W/FLMLlhCDBwut5zp5llY
VwMTTRIs68NsopUEwCIXDbEaT2nu7hPjeP6j6j4PY35dvalB4Ts/dnv/bDjVhQYbauZPHr0A7mxE
ej6+TEsFcOAy+fWLfhZuy7ZrYpXGUVM07QWd+4PcqwetcElnryNKQ07SEPecgifN7oJwcssWaA4U
v3VT5phvUXCVC//Ap05kgMnc4aEb1wBYgUDByDfnLC23joS5FJG1tc9DRUpyg40n2v77yEzQWKO/
Yvm1kVfMVoERQtOuzfyJzXkjwWfcE6+sP5ZWaqdFC5gr3AF3R0dVHrXsWb8u11X6Fp+4hd8fzMtd
9SXkcBRXwjYQHq4gXshNiqifKULvKyMjs0xFrLAf4CNE2bJA74uA2/S8dCfAMjLBKhVKbKYWVZ7m
Q78Ze61Yp6pNL8SSbQ2TbJvPjJ62eLQC9RuF0d+8wBNTALVHMPzZ7Kk6MmhkCfN6ulgaNhBhlhll
uz4TW0WkDfbmeKu+YDx48T0eH2+d0cBjD7HGOcJK8+J7EwJBns5wcHDZGE6ZYY4cXw3if1vlna3O
qu/2he/YHgWvAC2Jm7lBqs0MBzvyYvpew77Zn3kR6SwQ85B21nI3e/ujWGeL32PL49sA10sbbiFv
DTiAEKPpezdIFS/iuO990YT2ZjQ4Pzsv0TktD3qS5hrlrD+sYPOkdlLtaGDD0Px/h6cPgC84FC1U
nZrm3BFjNsVKeFDWGGxOtfbpthBdqCB8OvCOvwTzqExjswYp9++tRsH+Il7bAqBRKrhO9oQoEDB4
w9emX6uSIz83EIfXZfdsrgiuZFftiQO6MoFDRXiFAvzMN91azQemWLA+RLODDLB3+vZcsk3MTDIA
UoNK8OaAjrvon4atPymJkGgd4DCaArLS8TEJiJH50QZ8X1AfYZxG5yHl8kCj5l+7l2ZaBfqlW/kG
JTx+tnTLPeaZR3J3e3ym8batA2BmF1e2k+XYMOoNVBDZA6uCBSc95L815HrJWjvvvWNtV9iE/zF3
XkuSI8kV/RX+AMhAIKAemVpnlhYvsO7qLmit8fU8qJ41m+ldzhrfOGaTlqU6FRAId7/33GYphfNe
5sylZUjDuxpnEaEhc/Y0Il6aQ/xtyrKHDLLEppgREEOWIv3Uka9JyX6WadCyF95DR9hjMuCvHIXn
LUXY+psK2tmCVZG9tIcbo8rGp159Ro3L1MA4W4jDF8Ak6+UMbGPfyImgEyywYPJqEo73YwD6eq6O
5P3417gJPoimXQ9WwuyO7hfsB30c1hH7sG0fWG/UruxXmukzMPHE9DIyT183mKZeyEgxtx1tTOZM
mFpat9zNHefI6Zz95BGg6aT2S8yT2NrLLenIVR74awDctHS08YMA5wJte+JumPNwve6Tmx2rXbvS
5+epBjYW+cTkKY857VjUp4y6QeKRWfNGsBkZwxJbWVVtU92uUTCyhQgzRrMyLHcaZhiblMbtFD86
BRdOo042iV6Zlzz61BD6rRTtGFYT/6ol4sVwQxZ7As8WZeNVq4Ax7h5p2WufYWGAT6EjjOgThPHD
k2yExnjwqmtNu7bh+aKFlZeIzIlEeAxyXHajTQE6hBkc+1JhLFPUDytz3ruUQnN2MLi/eU4Z7UYo
6YzEywPkBGDgMQIyrdmxt2ixkQRbT3NTXNeKjU7mheus14DJBrRE8qp79VGEDWmNSSkIPrma0cVH
2bPKf8FQYem6UeguDVF5i7Z5S5A7D/a4QtSsThhKMz/2rp6XjrhDLHQHNhMCtmwRMtRJLvhEECSN
d3xGjONNoBJOol2ZFxKzUfXGemqIbdU9Auo6DF2G/NZmzMFz5cRbz+G6LRAHrwjxxKhDpsw20MsX
MM/FZmhwgJZhe0irIFtXqf+iWyYaaXrBd17WzZmui4Eu2aXT6UXGHeM60cFKNDXUCX5YUTRFjb9U
cbpz9Xrch5UVs62xEOQMkbEd51MrUuTZRxFjOsW0Y1071g2NUH9oKLSNzkSxmtbeAu9jv9Yb1W18
R3vDzCh34dAT0REPV9wX7C/LlL2WGvdJrSNbJpBkPeoborh6rkzxfUc5FhqDtR5CDUcDk06M+Uk2
WZc2rfYxOpybw+lnAGAAp5IgWraLz6ktSVGTRIylmrZq66plUIQHNnbCa93H99Zkb1o/a18xHCDl
jKy9OdX7oWbSH0uqwdQ33bVH6wqYen7QOUpMPJ9rMSe0+hLRD7Ir+kBm3jNk9/MrdTwpg2U5spGj
ZBrdNt/kln+tR2ap9DtxsUH4yLUf2ZT022igtgD2t4sLBuy1T2EVZDLdNnr+jOyXbXH+arXoQ3EB
0pwkrWEzlb6xCoL2yrafzUmaYx3XWP7D9FzrKQUxY1qNQF0QIsj1M1bPiAnkIstzOqlN9ELdTdyf
zXAfG7G3sVPmt+XE3zWMY5EvStwQ6gfLnMUmQaHzdC25alTz3aoLdGjJWzENXORm54phq2SXZ82+
LrJHwxDD2hcm7XP2lxMjgDRp3YXWERCKgJRaoQ3Iz41RohYaagPMQsiPsQrYosW7Lz2sXZAWF761
9NmK7SKdS35hGM7O8JKY77knq0tWEicemKG4X2Z2fktgGK3aBuF0wNAO7AgvGcgdH30YjJsw9MNl
0sVvrj32GwzU1KNxwQtsrCOKHyZRCm8OMPJvbTqdxmEYT0rTXtopq2+QYs7h0EFhmloqEzvwjg1H
v8Thdy5LyhEMDvTW7Was2EmutSJKTj5lfpVa0WrwDLlyhj4+Vqk4w18yn/puXQ9FgC6Da1rDiHbT
qpTo56yMzoJMUUgzokydTRDoAFt6xj127SH1QWI5kTOKoqFrT0wS3dSVx0DmDOkwRCyle6BdXT3F
TeRfK4Bg2G6yF1OPvZ30cAwlcWqvi2AWbiSOeWgxQ2YLx6XLEULo8ZT3ptvakylCdLYYNA+FSg80
w55ymYQvsV/dVa0uXzjf4nUx2AFmYV2SV03n1GIywfA1WlpDEpGyAh2vqlN6kkNVHH7dbaT1VDGy
2tDwyBPOybY8gLcrDk6pCGAYzY+otowzytKhrN+bXEtXmmd8CJvP08FkuDC25LxmR214j5CSs8tu
8FnqamfJLDvD+3sGS41QZho/Mt3CwqXCc1+XeycOx0PiavFFTyiQhBDDFq8g60AwT/o6/LtaQjcH
6xvdb+8ARVXfVrzpy7HuaQ/23hEkY8b1QMsf/dC4K1LZXgYogqx0mbXHCI97my7EXlepeuznvhbC
YHMdVpN6BOH92ZJROrut0lWYlcgcGbT1Rj5jNf9xo/pbIBUlemW/VqPvnCMABBxBdJs9V7tVJJKJ
YuU31nBSUAgwMtXdxdLM8ToZBFCjgMvvHJqxxJsiwdKDhgSBrjZvpP+eLSpztFjh61SacGM6i2fQ
2sOhk7qPHtP7hvRJvwEdmu7KUTwZhWWtPPTsO9ln1RGxjLlQXOSaMvDOeJK+g8Vf9UKJA943YhHC
2NhVgXGCtZGdMPVlp0oDA5sE07TyBr9ac4mbm/oUlhk4MU3ZT6FC9APEm1kyEbNEVSeHOG3Yb1Mo
U1kP/XYCP3GqZ7kPcJHPjl7PGce9BVNGcJH1xPPIBWnhsiFB35N/K3AlViN/PNXudFGCACXfR/Fa
BH14CQLh0r1jGgxdSd+FRb0zhNtso7T85Bz0lySxVxsq6lNFvN4xLok8ahkjHGpd1bfcnDa1YBuk
R9awYypEb1Rq7z6n+hv52uxe+Ndj3AF8UtlHb7OMVZiTi4FNSdx3T27assB6/i6sQjRftv6Gvrdb
BdqRdO9gkVtOuYUJymXfkdUGb2a/jCm3lpGe2FS0CacQaIOoLdzl5E3jKuX5BLx5bMt7c2MwRV7V
wXBEamWt5OBpm7H2kYTbR9E71Btlc0oK6zVt6BexAW6xbeXFokSpuPPCgak9mJAyN96x5tzq2fdl
UdrknCYIA4NdgSPI6FITSU94m4xw2qhO83dIadHH9AV0LUnBmtK2WKYNUgcOtZz23BODnekoA/0F
jwjrSmk9iGDs9h2my4uskg8oTOHehKPCLAcqgDIoqqMJXVI/tqjyRk52l83aBSvpSxuZj4p+OUIp
E4DOfPN1bzTwYA0ZYggtL3dzucU8AONBrKIFDxQfesvIjk3j7mFJWasZoLaWTDLSovG36ASSDTrv
BnlCtvVacDuMLRnpUU07uIa8lm0NzrVlmXERNvNZIjHG5aXOreLXDTGlmALc2N9ylLL8O+7RovV1
kYjTd3bivbJBt89Y5/dtCRgdUJCgUSXEwWvb93LQnHWYdvqhHg0mu64T0ZXFeuvEsJfkPHjpJ8RS
Yx8y//b3gnYFMz2d5aoZ752Yhok+VNVJmnjPAdEJUzv4iGUWk9mxjehj+mwN+1kv29N8IyQdKPKy
zP1jSh0slMVwticNBpvT0apS+hpZv1P29KKhy1ty4TOWINCflYMmktHFg4M/cQ0lDNCbQTyW49Ff
Qsh2iZOo3xkxThNP68I7Nqd7N3UOGZ2LPTPU4a6Bh7DsmwixbJIpXGc0ByqiEdezFLMOyzdwLQYq
4JJ6Vo9Iv/PRgYqdCrk2d2EdLanWnMgf6Yc9zmHVCzWW5d712gcwi1vab/hmGHQto9isF1yQcxiM
3m3sKNtJtGY2Xh6UXrYHbIFLL9E5wxFTtH0nNj54RJAedbnzaPCse470JTjnfOUzal+LhkoV5M09
CdyIYLN4RxPzShrzNnPp2ygNMEVQ31EMfRLvhpOKuZxbJhvObHQ7+GdZzqpFInDQj/lM72vREsq+
eadVUt+bsjtnRibWAHK4GhoyXOKD+llYHUYJ0+gXbnmvFeFRtxgZ52ciIKrVVJFeR3FULTqu6hIL
aeV14LEslF46SjLqSo1zUsN+I/WfjhL2CocdrucMJMhcco8d2tpQ1QMuiXGeGj/bFtouVAL+2mRi
L3MDsVoqklmZUWyS0ululv7ZRUib4/4AHmOdzeq0KTKtPRuSdM1fzChHmpjFuCs9VO9d8VaQzT13
rrAvIJxYJe2wJlHpKfZFfYg9b5+EPOtWxqgnNO9Y4a9cOF0UbdlSJhAJ1DPns2An6xlZuO1V7K7w
JtCLZ9OuPQTEwdIFIlHDMtL1oLOSBSktcKSfq6Yy7ZMYjjostpNfeSScwQkxbTX8TBUS9sC0X9uQ
+PXKdv0HWWPHiWyi5MGZWruexlKkGNBMIXMmA38isjHrzu6J4DQyLNdanLKKRxJP4vzl140etgmY
Icyj1qTRzwrx0HsGQh3peP42tinqCMkmHtrf9XZ3V2hdeoyj0rnZrfkxpY5/LLIMxJXQj7gzx6Oc
YszgefnsJ7S+VB1nO5Vb9qJ0TnWd0TCZ8p0fMteT/vjdFPGqb5z0kYoGI2SFD87MnBY1a+3i3JjG
dSdTC2lx+xxNwjia7cTlyGOarjROpSraa7BHt9AwkwX+UOyXuvdgZCWS67iL5AY0kJgDLOGJaVO8
dCskoRVKmZVPMc1OZVglja/AfFJrxuoGYtrfoNC2T4mL6tIELrKKhwwGDrkXG+a8H0nuxYcpgwhH
Hh0/QyrbiWorlM2gLWWHr9o329DDp7bzlg2E3jd/yhAqdOepzsjmMUnrU1UespyIzYDnexNqNeN6
m48uLf2BhcP4qGoGyvbon4yhP3SjnBiiBBEfjbEYMD3EMt+7tsJpQTFRsrQvEK8f8RV9d3EgLfSx
/5j/Hzt/3bVuvYZ8+DYDriEe0G62EFkicddidoUJh+uihgiJTyF+cFV0ZPt9GkNb7KvAZl87zbHE
hse7gCul9zpnM5KavowT/6NFgh5V9BYi4+BlpC1xATmyCsb2Q8zVfaE3SEVQWP9suDYuNeAOC9JE
t8pJ70U8+Ec/7ragCIdVVSMZj1D4L2g5LSSsYiCp04nBN+bIjloct9Pc+bUqF5Mp2hvX6y/j2OI1
1+kQwYnDkqa+Ub4Aawz9586PtWVh+XIR1+RcpC2agSh7kEz0OAcZCiisegwtyxON3AJN84LQi8Y3
p3Xhsnr3gasWUW/eeWgNrfGz1Fn5pmzGBA30kD3zvm+zS60lyalnI4ZYymuwhwj8Y13/I8XrDYnL
3SI23OhcMZK6fHTcWi17KH1hnF07o3gjL+ndEs+JIdjraR6+ZsvfNaOK1wQO3LHf/pgTWHeTG1L5
96HAxakxhg1PXgyNvBzYAHWa1BcuRLV8mhsQofVcTZ3EGyvuVfkmEtTnej5je+gW0oR3jXvCFN4l
E1o2sbxTWKcvXVt6sMP0DdZYis1B9xadNuxQRvIxWVzinR3gQziEsB/RziONyUJGt0YlF72WnjUQ
RnsfXKVvRjRo8gFKKs1sUX72nXqIXG/rdQl+GfvMyv2U5YTjqSCj8duI+0749yQChIBciEZEecYg
AGe3rdO3MO/SSdPWyky+N7ANF6M7C4fVc9lHj0yvyD5ydiksQEinlIrtMyX8w9TV4awqpJ4yDIxa
jnFmm8y1ph9e+4FLvjSaQw2ApC5QfXceWFhkuDvH8Nr9GDKVSdPgWuvWN3dMN5Ec9p3jnn1do4ue
mldbwn1iq7KiATtE3nfKS/xXTVegc8x/sI39GXYNQ6t2bVY0c6PGera7FOoP2EWvZELiss33MIks
TDluVF97K/bb732rnxqPPRNaaHKXxgVt5A83C7ZlG5vsMMa1FxiHsuu0s9Ebb5k5nay8JO1TO9Za
DPatVx9EdrxqRoj0xT9xUQdiBm8Bkpn2JvJmX2XBnRytH36EwEdrX5rafoFvtdWm4B04xjfLReM+
mhF1NdSTJr0a03XWTi8gyW4nunOXWQeU85ah1Z61jcfETK/o3DBPIgsA2IyNJzArA2kkA0QCD/ZT
6u8b2vvmMK50r2S8mLMtTKatwPuAByWDOJON30dE2FHIfmcwinTl2E9GhYwrYta40oEf5GVaH0RZ
XTjp9HWutXeBTIe1mVtcTytNHPUciQoeIX1rMB07FtGgb51pNFc0qql/BZ44QCTegaDqRZl25YVP
q1sVNRUywReYr9iV1GWebPD+M7OfnSyOWwTf0LI+dF34swui9FFzhhejRhY2Fnl0JVVOrvA/sdS5
WU6bBPTUrHLTAiF2ebjWh1Hbm2b23VIe8UHIZuDCVkuzG+3vBSQXSSngDIP2gyvYPjSvqhy7C+E+
p5Yru+O5F5SLVFLBjtf+FoOuWHcOmYMMdJCdp0jy8/bTtetzasTtvhxKtalNNmq5z0YXHaK1akz9
FXYxm1YAYRqQRXP0XhMgEBnTPI9M4IXHkb/KwvInbmlK1jb44aVvXZxcVGJFxzwwtyGdMCgMZs8S
gOQH/BBRcgYrS5I6gC99/5mtqKREAtziimbdtLTaHOF/70gKW5gq91YyNi/CQdjOvrsZi0OcYRbs
ouDVioKfukKmZVs6YMRh3OS6ODZuh5Uut7Z1Qdq06zVPk2PdyxqZ3QiRWjG1Is0nR5piR9PBcNJ8
pQeS3nKUbby0x4EcIp6GonqdMrG3apoDMHVG5AVpUT3rU2x8TxX9Hbs7NA5swEoA4ABbgEl0DF8y
gokQelQnZyoewlaC9OiuJnXGKAyYcmVHgccBAGz5Vavd+pyUiDIzQ7/7utHctj1EDsLHhCbjr+9h
hnK2VOzMZcpcsZmSCPQybRSroq3EtZ6oM6YmuZh62p/N4hj4AtRd7Pr7gstpr43edmj0A2gfsayt
9qmfAncr84oeNyJnX0XycbDz/N5MikMzKP+lTEGqRbY3l1z8ll2YKceiu64tS+6qUVTnvvtBjlh0
oXOyNGkEYrboJFWvehdR3W5SPFC0lhb4PsKjh+X1GPeT58NRQKFi9wZ9G0aZVsIK73VBvUGd/cOT
drkhh5SeoR9vSzezjoRFRRTBWCB1WPQPMlkyzS9GdPFVlJsbGjUcWaWq1iU75K2b+zgqp2ufIV3q
KxwxRlcvvUC0x0r21am24NE7eEweJyemm0/x88HcEUNY0X9SdEMiVPbrhOODnYcd35hS4D4WZrNH
wqVfYozkqwobMP8uCsO64qgppSIIsYmekZQ1zLH87BD6DdnfWstYC/fSxUGPKsfBPRIc8UQInH1X
q8yZGdOofLlyz8Fwf3yviN2evQuHGrOITclRde0irb1+3Ytq+y2O3UcThPkaKZ+4TgmJooucpxGX
fXHmaJmuXzeJMqczPLmlM/8ajnh2olWuHZRbpHvX5ULjmgVWS92sjyE61kUauckT3g37nBj5t68f
Ds043hy7P3z9TImca1mEarbQTyZRcnQUqpztlYqs8+Ar69z0drpqk/iqBT6w1VFzL7Np5JJ7Cb4S
0DgC1xAh53y/obyg4ZANyzoV1FLGUG5Gmo9LM2HwjuK89a8ZfPyvn5q5i2MkcO5S0ewZPuUnvwZI
VuT8gu6ExcHLrfxQYWya4L+Cw/LBwlm8fR2k3wVOTY3JCLq0Y29fkzBNODeidK2pAR1pGU4njtjx
BMHP3k16fhRZXB1bHee8Rg4kC3nhnL5upsLKaA1MGz9xn+2WfEr69065bwVTzUZgOYiEudXpvqMy
SDGkjI08lcrEzaGle9MrzfjQFfIliEv4clHJXsbxDlbE3JbwotPXTVqKf9zzfOOk19VcpvnlmjkM
I/r+RDtXnTomd79uED/+8eV0yzGTnXSS2mmXK/YoEaM0OIoRCoX5t5RdQ3XkvEOn05qnr5tqwKNO
1Na4CVyXDsLXN22KybIYsKJxJjs82X1K7NHKM/jXJxDpaHCSIx8xom8dFpk+WQwX4mODCPpOdJeM
CdnSzfh88wr5kOaWBh1qrd2YbfaRQ13YpoC3V8r3azRdbnOpW2NYAdOngw1Bo8SqvsIk32LbaBsI
VOm18upgI5ErLBmoUsL4FQjJRMfXh64dm92wH9x4XPamz4wriugAZN1WpObMZIHqBcI426bSdU99
T/tLOPTTKkuOJ8StVJHlI+tutxJ1T9+UOjssGHsAiyo3BLQUyyTMh1U6NYiqanukZeATvlDSqnFJ
9pobcesADc5GJ16HD9Wv12aHtw7d7rFWuExxamdcXRp10AYQgeNkeUd8XRFATJWdaYwN+A28jo5V
xuoy2ZjmdDe9FaHM11Vd2HejR3fEzEcwIAMbfxa5eqZ3xyfbooNBtlrz4jcobRpC/N7cAf8Czlv1
zc6MRxQ57rmQeI3iJDhWWq5/ulmzKke6rRyw+z5i1YKb+ux1HRflgnJWYohoe+0nJJKzJrXsIymM
N9gp4j2f/fvC75NX3mJ30aSSg54mJTXYkK3mrPSl5TXdfcrbQYvIKK+lTv6O3/hkZlgtE/jRhimi
snvUfcYx612JFcEbL34EnMLPlbrLefmrpLfzJ/rWNu06zE12TUdFJfaH5WjdhwQXUaBmAmhsHXsT
DSsILdjV9OseDHOCb2KAWjac8Fs9FQ1SFV09jzn7ZYoL+7707HzN8LS6RiOKozylgx7MnMyez2dP
KlO1V2EGt1LA0lCxf4y08DmAY39Lw/TWmIF+FO0w3cIYFJTsh3MlnOmGimy6eci2l4qMn00WYJlI
QdhsErzntyz0sa7lCF8qZgBUQvNv/0i72tkMKVI7s0RiuohhTS0klPq9hYX09nVT+pO7BgiJgDuK
b7ppWzgLpoymJIEgE9lNf3xvkg8NNl5aMu4ZmoJxa+ebDmYFhS4U9gac2a/vMdT7YC0Klm4N9gVd
n7qxTAbn1tN3LE7NOWBqlbNsMYpEuEt+BnlPFSpSoOSjtm3mWV/bO9WtTPqBRcH5bOVY3yBjoGjJ
TebXplvfCrM9Jygbjl9ffd2kLl16Z9KZNASpi25lXMWx1tw6BFPX2OGaxhdmVra3r3vaiMwh7nFi
TXZ+KJumP8mp6m5TExT7cX5H9M7vbkTOOLQbIXtVqfHDZvi45TKCwxyjPOeoURRrdhLdDWVufwNy
oK2ZI7NrcLKLiVPi1mRY4scIpkWBPQShuR1QlUD3OBoPpZoekrbF0dmo6NRp7R83X1/OU7yTIQ3k
C9IXy4L5+Cmbb77u2SPk/7Tx65VARw552plXODZkdo2afSiK8PTrLjpZCm6HfUTkNvrO7K1DHzbB
6eum6uQf9zAFc68f2Dp22UGfvwrpQ5wGIOO/7nWGwrBBcbJCZM/cf8LrC0kqjFa8Vns7RNoVjkt3
tPx5gtNnu1JiSG2GuANdwvfr+ebryzyuHlLfi7c17/WGd/5H7qD8LaAZTBZgS/bmD12jFRe8HtqK
DSKeRbyM53oasvPXvY5B/5a93tvXVz6uu2UbNxqG2S4/e6mZn3EGBhjvA/XGyNnZNmlMadwgSU11
IWamPDdmrv+614z1vS9TjwGRQtWd4D8KhnQJNsPbmPB/CLho31PPiQ6uDEcKBQgMX1lOf4RK/SUw
6eN/S7Pa/sznqKf696Sqv0RbrR7++/E/PvPqP84Pm8fff/P/YaYVKVT/9Y/cqH/OtJp+Vt+/heNv
mVb8za9MK1OQQeXahpBSWcKld/OPTCul/pNwKoTehkEso/r6yR+ZVkr/T1eYluFa6o8f1L8SrQi7
MlwgGkS8C/LxDN34vyRaGXNc6q9Usjmry5Ym/4rBjNUxTXLgeH5/zbMa22qw5VySO4TwrLzQ2RjG
CDgxpbpTGC2qnEGH3lkNLD+gdkHds1ZF16IqWV56Kl6NPI1VIgD9BxrmhqgoD1NzMnK8ABp4qJLK
fw0haNeYVrBKRqddM3KsOi26CQakB2piIA2WeQCgNvybaLnfYpbnFyeZ3Di6bhOObqGz++uLm7IE
UBNgc1ye9ptdjpcACSPJp5fGsb5J1T4wLnv2ci6RsrI/ABXS7sXWYrRvuAZ//umY+OPU+HN2mMGn
/Od32jAJJ+MIcE0QOw4hTr8F3UUiacAuxtlaK6PX3K7faie/C5Hl4pltEQDs8DBvAZWhcxr64BAQ
eJFH3Rk9xCexTtEKi8V3GDuY3ZD1u9TKCAEqrltRYDO9wYzYkM1nYcoInR964LzgxCAA2AKiodgT
TfE6F7JFAw1UJzSbO21ysLyE2ra3kn8THvt7RpopBYczr1XwWqUl5/jVP0UpokM2kMZRuOokkx1l
76utEs/WCJg6DZsZUOYZR8yYf/8G/9P7Oz8q3XsHlbtp6WLOfP7To0ZjMpNAGYbVunMXBfSOIwv+
7FRWy79/oL9GZNsGL49zFr60QFlukU751wey8wQFqNkIJmHdjllMue61EBUEEn4BJpEh3uCt/88P
aZJeJ3g0i5xc9duxQzPJbPQ2J3GaeLKjNlYgGBv7zk1xKtUunaKB8Mp/837+FnD69TpR+TqmIu/R
5U2dkxv/9IbqheH2Yc+cz1AUZol3yBnII8s49kVChNBwza1p6+vwLnJUDr8uJX/JRfzz6fIvjiHL
sCyHlwxIVcjf1iUbBRYUygw/YEr9UAzDbmQDE2Ux/rbIeMotDUNu9m8yZP/VgyqWXfgUStel9duB
q3mDR6s2Qrec4BSQj3QSj+h7Vlmn3oYOveqk6FT+/UerS97GP63A8+EEQV7YliDoUum/Jwq66CuN
uI7HtaXKdy30L5UvL3kIqgELc7yq0/4DidvJ0ZN4RRPP0nbpbBL8+2fxL04eW1iC7FwSFAXnz18/
awofz66thM86RJuCEw5FHsdXHv78+8eZ38HfXqzNAzmEStuuwfLw18dxZBOJCRDwmk7vskiwz5EA
ojoop/Yd1ge0MVAB5Le/f1BT/dN7rPiPFViyMBBV/vuh7CN0HwMFIShUWBmdPLjzNY0hKppwi4Ax
3cRD1+n2Xg8AygzZD47IYAmntlzkIei89I53fFj5cWEAsmCI5HpPaRVRXCLvT7sM33jyJNPgnMVk
nyEW3XWgxghmoouO2WgxaeLJ+ta1xq02GU7Q3fqhF/IGBHMRxtp2iB8BEnxUevwGAHnm074SzfM+
RPHVmScy8aNfmv3CThGRGQVK+W5YDYwn6sSZfRIoBZNE/0YQ+VlRlGSG/xzVwyeeFgqpPL2BdV05
8UfAdXcgO891wlepJVc3Du/KwbsUfbUjb0rTEeImDWB+cU9q7KMnxgNtil1O50fzIzoZ1UWF00VM
zpUQ5nA5yfphNuuFHjqLkuSf4NQ6/l6XNp0m/6IqFxGCXZ0LlR4h0KGhJ9JWPvaozlZA32385xUY
Q1V+V05rHtSgkdURwRxpottQBvilehxUUBMrWM7UIlB+ZRnqx8CbPHSi2EgTD/1hWTyFfdmesFnd
DVjaj6HhLKXAyytjxr7KYRaT+214KoUgKscwP3vjYqUFfH6teO9rBr4N24Nl7fn7POiSh0I9e4oL
q9lTjTcW1B7XqFEFep8xPTQHYuzSdnN6mRDaDQ/2D8sisDLDT7ETgRIEzmLQQMB1FSj8y725Ega5
v/mZLDugRBFSs9rynuJ+P/PzVo2Q1boX2oNqZH/KPXS1HWaeKCJnSGNMeDAL7dX2263ZgD7Bg01q
jUteWN4XGGxCf4MRNVvMYxxkld7Od6+dHxDxFlv3tgC7p5FLv5PUwyE7sYVpdu1tgkfMSyahz0M1
WybDsUmm8MXwylfX8u/iUq7FMITbNiBJYlBw9COxIlvxvnD7B0M+MUBpHjQLdXvww0cDvTRcAbZC
AnOc1HgwM0NshZuBVDMScQzCHL08k06Yn5mL3qvsrM8SpvYoqD8RlkcfBQkLLT4SzIVudw3pQArp
Id5pL5odPbcaIaiTa1orXTPKVerZW+kTSp+FxVPmjj9wKjzHFXAFyDsYMkEp0G7jEza2SQgcHuyo
v6iV3ewYLaAM7PoDugqoCYZJ5LHQv7mN6W8Edtcty/uVMWoRGXd0OdDzgTirAsvclpD+Ngk7HRqp
AWOqWky7PGFcyNS2XOtu1aN/JE9g5LDDKzWu1XhxDFTcrLfjOZQY49pweMsKeU9fBURkhIbWy2Hp
CqSHmzJzNI5ZxIx0Ube5XRY79DjtAZePBUE/vIsd3TpmXnwbcT9sO9FjgejRT2C5zk465MtsnJoz
usCYA7QEouTrb8Sfscvcyy58FTXKuyqv5FZT1duYNcsELBTdY7EUJvKw5tw3VXjouu4nvhCIx3X9
rvc96GG9aHe1DLr1FLkzBwylNK2dexf5wALQ1g8il75ltXFNx6XBM2bMgFypTfy3i5PIaV0zN538
Bgw9XYRFUqLLi8VHAD6S4Bp/nbt0uBrgKkI2F7JeTGZ7AUCc1lmW3vAJRTDF4WPeJxZjGakd/YZl
WYDFXoRRBl1cwxYV+fnWErQdm4KQDwacTPu0d7tIbk4fe2AokRH1MeJqs2r2rrUG7/s6pMl5zGh6
ea9ZgHE08mwGA3pLyTK+5oWOEATZ+qGu3fFxDK9Njea003Q6ml3rIc8HNIEgDcKgcrahXn7Phuiz
q4voVgWz+qZ+D96VlHe+f+G46/AkF49NhLwco6nnHmUKXa9x5LgVVrUldBzfx8CzClSEUgbn4Nln
1bq3UoFjnzXfzxLMP6IY9qUGE64qmneeULaPw8xmxguU1xI2uW6E5DLcGcqFaQT22qdMWCaOlV/H
wDSXmofBv+sREU1DAg2buRRcLZJYApR546Tdu1LTdhHDUv9/CDuP3dqRLIt+EQGaoJteb3S93NOE
kGXQezLIr+/FGjW6ge5BoZCZz0hXZMQxe6/dlfq2h3V1NEcatJGJFgaWzQBpNbBYnpAISnjnW17J
nrWPEa47kHdkIQwjOjXUq4nlvZphuxk84y0wPPhCHHcLN9WnpVvXeIxN97fzsyPe2JeRBA2w+iFM
xZqwEgcZEzEOPAEL6aN7CdIB62zipvAAmGQJP7KOpkmghFbkAnP6ov3uouakzB8rsloCA4oNU89v
12IlLNv+3IXZNYxacxVk0x2cJSyLAP6afCSp9sO+emnkWnrOh0cFXGU9wbMARFkeBRuXjSf751HO
0tXUfWtS4ClF7KCksz6rcRKzz/wNWINPhGCWLu0MvU6VVqzdYnFliryYrAfzKfWkKnRNkUWP3LjB
SFof5zdBTGCdBy4FFp2y4VeHovkQjX802ubFMoySx2TVCLhEQ+zcsFieWP/AtEjDn9LbaqO5HStN
v2eB+c9FXY7lBsi676Y3uNqkDMT1muwnWB7ckgsG8/MLPTAbTADz9jthNUe6jK8kndbTEzYNHVpk
/OX41XCwQn8Pim85eCwxmtThkdHHXzlkAGmAni0bTCx4P0xMbaG9+7+rNOt/Vd+IVimADcE0UAj3
f/ZVvuujgwtly+UDeqcj6Sx12n5D1CScgAD9ctL1GRYA6gulheqgldRB89QQC8z4NIyQ8/FuAKPx
eAW4e+O0b3dt2Y1srZ25TMmfPA2jk9m8T13ePLpMfiFTXPtBeW9ZIlYyTc8sVn8dVSaHjjCA0HU/
py6zNmkKusktNLUK2mofubV2rt7/n2+f/PD/WRzbtACeD+fQBIhkenOR/t8arg5Rq0hqaFtK/4Us
jnGMjnbhN+5nkcVfIBjUfmLrHsRFtnP7Cu4dV6+gkZ50YWyH2Usb0pQvS0bQi7jpiYFM0mXHADbU
PB8LibcNSu8P71i37bwWEYnFpr7FIewhc7u4iXHg40LT5E/5hgGsfFIkFiwGiEArQxX9McpxoJlg
pdZEGswlYeItLszk3QMRiMmyryobk6CGJghJ7mNwx/VUMK0dTO8wYfTCuaqqVZsZ04GmYR/EeYm2
eoNWQl/WDMIWk4AW7bvmReYFG0ItDNblRTOYVuDMXXeNk92ZV+EUKgBsJLgm67CJ1q2QA4NT3FPK
ytiHivjdINJkgZQgOUInQW7BdR85lDh5Hp4SoD6Lph+mA/vTYk/u0Z/jEkadUFKonsvInjT10H8L
Xe+514xuWxOBAFWlXiX8HNZE9VK71PpTNmYCEYg4dkPzWpVmuTaxFHK1tmQCMCbesAkXqxFFOHtt
IOXqU0gTkxrg7XVs+tU2NsxiWxJqs3IwMy8GysfjFJEmHwbjQTLT2uLp9JYU9+m2nllN2rlTJA4X
cvgoEMSftZRqQfcTMnzoMoLIyedsLPiLiAeIufI/akj7TUecWVKuVEg3DeGbbXbKSyastN3oY7iH
z5W+1PF35eISmgjPUqO6mrLpVpUe/+Qa8aJT4basnNEQKgv9AVLsaIpAULTyoxsEAx2R/lqloIdi
OmAmbCcN/DLL3C7fi4F9C2Jm/AYZPyZHxf2qz+qE/AEW2hIMN9RgVcOzUUcoG81keBeDD2LpNF4L
GWq0N0Hif+VmJA6153DF51DwgoGbGCg+KGIwllxBGckm0nTIwynJna2wbp0javFhjdzO2LZht/fi
aee2QXgwc+3TyO38SS+FwuxrA9zRNfUEYuQjbZholpI4M4ilB0IL+g28ZEr8PFQv3kyrAVZ7qLT0
OEjqQyar0Rnx8rQqS/9Q9oP2OuAY6f0kPTmpwweXEsGekEa+xR77GnQfHU6jzhsJsjXZoigPRn/B
Chg69HA0LOr+EXsXXgZyvWpRtcfSGk59SO8pEwNlTesaSyqndm9pU4ioyiXmaRC3xmEFDNk8XvhZ
PpFMI74HMgsXFjbcY57CFBPxGBy1mhveAC6f+hA1yJFf+azUtrmu3awyOfr1NDxVEnUYpTp8krAZ
dhrbbIaSF2twvWsstA1SgeJcu/2FpSTzLq3GFOuCvAt88AeZ4ZxJCP0JCtCDBaCWfTV9Bk3hHS0p
jsBgu30SmxfO07jLYHY4OfJU816mkzxJLuxNU9E09uEcRVka0DGTkx3Xw0ENf4ZKcjaHGdVvwEUk
8IkG7ZRsSpV9VVbwQzLXMm1JNy9Z/ZMFOQF1tLAXRAANNyWn0yriAlyYGbgJw3ytAClrzfBrwpnj
4oeHmHXtb8rmZUvydLkvwmAFAaixwuQ1sQdCigpyHNsW+5xhEutJ67as43IXpvI54n/0ZmT1JrKj
4sc9B2UAjRjEVbszMJ9hUO6n8h+5Wi5ON/Wejr23TmlWiU1iNRxgql5lFd2LiPMPrfVfUPTyN2FZ
kkj4festiuHbqr4/dRrvXehymgPVPBI/W/xDbYYjDPNnDoovL4Yftqa/mLAg19vA6PigK/ZRT2mT
XpLQlgusFsSZaC+DkR3GntTpzhpiAGOdsUtjtMp5ChNnJDoqHht73TQeIuWAjIMK2bZ2IggieW69
6eI4xC0nr1k4UPmb2OZ4DKCZKRIkKZhKzo5NXcXpiuCLeO2QjebgetvqMtWwQKhdCcEZFyKfvjlm
MdLVjKfJHMVSwDSwmSAfM8/Jea8MckM13dxNtrev9UDHEaH0ZSt4drDsoNsPdY9UYpMHNs/tZUai
1DLph2odnYkgLp6iIsg3VJi/eRIco65b4sxVt3D8CEhSO8VjvOunXtt1sH/sWlyqcdg2NdypaEx+
PcqIVWkB3gMZxNaYnlho2XueMtIga+AWJMkPyAWxqnCJ7py0Ojt97ZOlY4NcogCbGip+KaLiih9M
LlxNVvvA3OWlZt+7xk0vg/o2CPCVg578c7znyqdPy0SaA44pou0YYVgxJfkPdlWCIXlVA/rTkF0T
H0L6HkvjqWqgPfJRtvQnwzfbJ32tFE2SE/n7xEvAmEuPHDLs/RhnoDubdQvDIqd0Rkv1r/YxlnIM
0EiIQ2ukYs1MiKXKA3s2bLZW25DJuZgC0r7svLkgWMf02XbUgXGoFrp4CKc+TzhA8WcX6MCd4iMX
iB7bHjWXHfX9hjE9KTa6qzYOgOSa2Uk/NdNymroYWUB7VH0OYj2nRu5CZOBVTffocgwOdtQevPii
8qJfu4FSPD5U3cQSko5sOiQ/ZPBeytnACngUu+LAWmOKU/8JGjYUVjDPeD14ODx3mQp/OYwasKuU
5UMQNxlkB3TCRDaCn1XI2WwYaEOy0wluFYkAbZ4f+tbgdaySX+UT7+IahIxn43eGycFL2vehczCS
oy8o5+0rttxnwJ1wdCcaUjIriErqQEu4GU1+2Kd7It/BVfDX6VgQmKQHLHOyRQH3EPWLnW/6cryG
bhzNLpc/bw66isrsMCmN6oxJVD2xzDB4FRahR/7AMKb6iQTYaqnQIPOCscLOHX4IoNVmwTykvjQo
ThnLRSCKkL4Ydv90HSP0iQsNKxy+wzCCDEMSqaOLIw5r7ZjG1V+AZXmb+MlxGFxja2NG4k/D+iaI
hYFvhdCA1xp/pnX+z2S6hGBGCDpB1Zx9+JR/iZJByBrt+NSTJTOHcA2WyUbITGPqeEmxST1pn4o5
liOQOblhBtVpF9abzoXE2keWDpK+viPxkc/CK4h3y24axPyloXQs7zYZkuUEaC+wyLsZOM6XyF/t
HZzkPqyvWYKZdpxcbIQpxlOyf9eB4mywVQnfOI++TD2rjsGgyksVFedMuFfg79nNYke4SGwysXU5
9E/IbUnaiOBvORpi4ICUU7zaiTwJPUVQx90jpR3fUit9aZoQdqPSs11QqvpSZP57b+1yx7Nfaltj
2hW3xwA8BZzKyFyJHOEgDo332je2WgvtO5zpNYMba1t/IJqx5HsnIBzQceuRleYi3J7EjL7EBH7S
uxXpRPbZVNU2bRrCGAsHOJJWbtOpZ3CtxmtqlNlylDN8zuJ6g59/JFtGbvpC+Zc2d/pF3unDxjBT
PM12TWivrFejy5Bb84v+YDssEdMstq50k9poA9An9uToE3a6sVCsL0o3RDrV1+YjtbvXapres3CK
T5NNRL2P6GSJSBKfpi+fDMiUaJDPU2vnZ0PYGR6F7FHq47DM4u+gtRgFV3GEGTU8MpI259uH8JYK
nscAuMFW07+hTPQv9Ju7IUYi5BfNlcYJQ5jy6gUClOArg5RcHBi/keCpxchoTMY3Se99J5XfXBKG
Xy1/lF5o5XNkFXeJdJi0kRGqLuAjVKPOTKzKizsrLsLCmVWx6MsvMWfcMjFSrLSAUzaiQLlcVtpX
U/qnqEmzvw58qBsnGpxsX9xwFryXEMXffUQdC+n519aI8qPSMvVOsLvQLe3NHqPgWAhMrWRlL9I8
cZ7ajLEHyZIY2NzhhaDzbC+9h4qot6Lc2uiDCrY9OfEF38rG8esfuCAccWVJtIBzpFuRqykwX7qp
du9hxsylSimZJF3EBhdn8eLWfcBQkS1hKaJjhWkMvopukotGNkozBiitKZJN76RhRV8lmvq0s+lZ
+cQKBL37LZEGpkhCx1LH3Fz9oFDiRRjkdG0TcqCkYkLrQDZaoCGPCFucr/oBj0Vd9keBgujQaNVV
tX2z03sGhsDivsKh3Xu4ireQeXg3BcC+5Cceov6gmcULLMF2hw5O0tBBzKt0sEt11BOkNxTQrpyM
OVdMGa7oNlhj9zcfE+K2pjORFsZOBUmegAn14vb8aydX3YktDaVmTYZS2pCOHBiX0Q7jlS2IlWLQ
vMsGU23rDqSzsEyxnEjUQcza/EonO/g4287Um2uAr/h2cnZDcsrwfQT6wjaw6KsmvbN7L9FrIg70
ZPNMVly16sjHWOSK0ARf2l8OiawbJxyZakUQfPxGf5iiXLe1i28BmAErGUhBTWOsx1B2NLHJZ9/U
H1xr4CuR9cZjNu2icXzwRp89ymT+VL/hB1qZK4gG5IOsq7hH+DgPzy2mqYskA9uqFYiNwnY2147Z
TYBsXE4eyGp/2gMIdA6oHvtlWMDc5KRcgmctyfo1Qkjv2bMsC/LrUmahruX96TzpXeZrr4i9NYvn
r3dvUK1Jks4BTMRcFfkYZ3tVj3vc4j2gDzJjvCyCJVE/SpubXMPAiuozr4GP/HRmCtUS8fIGb8XF
w/Y1abG2ZA1LHWh/h2y9eerwww6BVjFzaH78wqEP83Q1r9lolibGrobvItPG0wIsAm1Tm5rfcX+A
1lCuRDGQ1JYpqIgVOL6OFBu3fB2dyt951bg0EWLHy8aT7iqOsJrYfr/lhwnwJzTM7dCqU4sdma95
AnYN/xfRpxA7s52slUMXtjYEE2w0/UsltWDDtXijFHZQkZOv7JW1WOd+9UyX5tHVAR7JG657Q+Kn
oz9dAKv/Sx0O67aoRvTWzg8tuUPjkZ0tnz3KwN7Ag9E2Mrriq2DUSY4lXfWna5PrVX+CZppIvPMR
PoaK8HSUHmFsMzDJZ3AePgrHwI+a4gEbtXyddxCEYt8dFkwIv0vVP7t9Tn5Y+8ZK7bMYgSpMUNKo
yxJg2IHcNKP87m2xm3qadeXqP2qKohUMWw/74bIpUzqqmsMb1y8+ofLDxAy57osMI6Oko6hdk8Ho
cKIu+TBL/6eQUIbcoPlM4uQfBGK+WBKQeQ9Q+c1QCXiXywwLCEPS8tnR6wmCMt+4mdZXXAoHkQKJ
RHUdmu53ZoPI6VVE8mab2nzTW9IBy5WRG39QoMl36E8ubPcF/RxXusJOaYlL4lgPne8ePPRba2ew
PTpyACPZrzRo2pDMN3FoDotqdF6DGAVTyyWLXhCesDWv0Xz5a3Y7kRLYCvA8QoyvZzdjCG4KC+US
q0nxlDH8p8X6KKfqir+N4zXK/xxYJKmsvFXaD1TaPtpy9JE+mmQca1ydeuL+VAFaeR6/ZMMhug2x
+y50MB0rz14GDvcBPSnwJ+kCyUEuyLm4wsr+7HMaPRF7A+UNsBJeNRvebZYxQMoPZmb+02oDomIi
l11RdqtSY/Y1ZRSztc8dVPZA/Gx2MNiV/1y8kcJxj3nRMWbwSu4Yb+t1eb/k7GKvbuxIYpxDkOGE
etVfabkvceFgoTf/IuWj4Y7fE/gxC9CX5soKxfMIL3o5hZxs0mZaMQ5XojpdXPFzkJ6BGVBrrHUU
FOXGQxMJsOWb5bLauDzj1qT5aJimdTtHmQes4RbTgL8GcpVHYXYIJp67IQHYaRE5H3SCoEgMAglb
j3Tks6ApYrydNOnaE4qZRONuOIscXwsZxGnwwyy9ZQLTqg1a8beuCd/z+uEEDPnTKUZXqplPiMmx
JeibwcJXipni23bifjkGBJ2grzYRQBu30IMIGVS9vusYpMQkxD1y7HlF3R0MMmgfMalYJOCQcYKV
hhF9h880YyNX/TlsOfIkXIO9DlemhYVPA91for69x4W69Yb223Y1pmDy0xdDazevbsnFTdLMk1Xr
LKHc+mvScpiNY8Eez/hEAzQTBO3s7F7HbOk4XOwBE/olMA1Cp9zRPUtoDKHPVjqpph3weGrZ2gCJ
SnK9W7mv/IkJbLxO9+Dwpi9qAidrZN2PXjpLayzecsPOV9YczRDnT0mCCNsv6N1gK+R1+1YQbLZw
HY8mqmUd+i8AOEwNyJyLqRbx63r1nBJg+B9D6WgO37GN8cB3yl1hlqwdPYt0df2mV/LFVflLlrZX
TzXf5G5vurh4GL7xatPYctF5VzNiwDXVsMRjo/hI+umVjfhLy/EQFS52gYF4nPFA9Pk5gB7si3tu
UsfOU3zKGS7PZDdpnsMM4yNXoLnT8LkuzadG+d8tY2RWkd3ZqaO7bMTR97uKXz0cQzg/Hu6qRXpm
ksONBhhrIdrq3rOB4mARUG3F3dQpldA8BCp1QIE52baRDVX/0gGVNGTvYpK3TlDmg8EiGGrDvuLJ
TYdtDQIp79Mta0ptgANnVwS6TSXe8co+1CbyKoPGcfInkz0Zji0nu3VNcEdUfAs53ZiuNQBrmR8C
y8Hsac7Do6ZY2rLEe5jzWxPTsVe5Fc9rdAOkGLRJRcyKqYVLr6ObNbN4WKrBeHEZBXV++zXa1AIJ
wYDpOJ2JE8iXqkPKEDjDBmQ5ZmTgoeAC9VDF/EzFNtQMGta8/4e7dl/lnBgemaW43SfKi/BimRNr
lmgkx5YwU10QkjhGJCW52WEw9KeAACqahteERn6V1ZyZYbtzwnuqe2ix5UqHMYnNmWmF9D+jTuFl
jcRVm7LXqO3+aYl+bNpyJfMRdIv6Qp7Medw/wLStSj1+qX2MqrPZnArjKUNstXQt9zH/Q23GOQEx
49aKmnVl4r6XFuR53YnWkhzg0m7ect3GBvhSO3jS0kZ/r8Pg0YFDGUELgQZmmF5Z5OyoslpMnrWt
FahJepcFsAW5VBPZCbmFnx1G/FISU84miUsoDrc+5k+sBt8o6882+v1lhPiFfaj7r5AA0XqR5PB7
ii83lgcwFZg3cyaBfsEf1rIHd0hagI7PIRtHnxBea2oS7rqYn3XcoIqjf7kVajTW4OSzudl95jnT
AL6U0dka8FizRjP0qroC3oHEZJFHVnmscVlfaW+uYs/X1WW0g3+HDTSclf7p+NwEbk9oR3q0Zydj
nVwiIsj4r+apKNPt6PQkC5MV5vlxjzaofgt8M9lGzAC2ple8Be6aCzL7lL7+lFIxvYy2lW61hkRR
s2m2CRbma+BMf6nFx61ZxYb9tltXd8/ivzqtfs2sOfzPD9c6QFNk7nO8hdshYi0tfCzxAwEoOXLC
vKUJ84vI8DENBF2MFsCFWVXaO3ykmU2QTOocA+E/j5P9D3XKLu7UWescbi6tX80R6qN84HYGnvqO
UZQ8hX3gwNVTfv2BoJhSh9RnBvkrPtGlbIiQ9xNJcuhArV3ANoDWNhYM/tD5hqs4rohstN392NZ3
jGrltgibV+FaDYwQNpKtWTMi9LHIuml8bDOc4OV/uAHdbaj6/K6y5Lspg3wb4xtdRnDjEHXlpx4R
F9aG8DD0z+VbQIz8SiHYQnehEfbGwmQxtrBlpYn9LMFIkll1vgFYhlQYskkNw1JzveFk+eWKVTQY
izDgNhCg7+lDy6TNrmQyqxGBEtW4orgbkj3EFvbxtFrZBMwX2XZj8Zk14L6Z3J4cARnL6DDhECe0
YcDAKZZrmKW1s0z1F5TU9FMOcX0R1oig/7BNTISjeEKm9Jw0qH3oJ04dkMa6o2omNgK8Kj/OgJNv
DxIlXYRbZYwBjIJabAzLc/ZazobBGJt96L1aRrfGrhHQl3HW6f7esEog0OGdaXVN/BxxEJToeNh/
VFBuBpHqm858B2dFThlfBGZijWxpzgXUaQC5EhRLowDdb67y0XCWvuXnK16pFyhmB8xa/iHuDaqI
0j8OXfBCo4IxNaMWiPpuJZAaVB7yjcQDLGGm1jt7fNxHcKMWsaKYrSDIDIa35zFGbi4ZT0vJx48X
nsyhHtujLoLoTHoleMcG1WWAKV4h+Vby4hbmDNskO6H1z4Zktjhwg+rdKWmBmSsB4gvFxqr1IEbZ
k0OlKdxtJXy5GHiYxNS/WMoQ+z7sfmL2/Pq70TfoXlzttQDrFwj5hzWF8yIEbOtWNycNOFZlefZN
AiGcKf5gdF2tqww4aDcN4Sp0v5Moqi62E1lLEQRX6Zge8Qk5IonOOsToFZBDBE8xjN4luJMLTbvD
8MjJscbEOwk/4BCD0wfGvRtK8VcTwktZ2BMYmRPXnEU1F4lDflPsJOts+MszhEqS0MQN64HZwAd0
3o5+QcHvSwe9fotenySxce271IZ6HAfrgTpi0+Hd8ofhSq4nM4fMJfanutatB1UO4HsP+fgJLd3A
Ms+K2HG3AddXcQ7MfJfoPY4Zi/myM1y7vv3xK4XbNqw2aQ0oURqa+SGQOqaFpxgVWuTXAFWmKQcu
BaN5C1/9L8n6n87+kI0Z0de0r0KqX66hTRHThDTl78xNX0NaX0niaN3Ki2aQEr1lPraIMNqVnpM0
QKKQwfUiftAe3gegmL7jUE/C+FmYTXiaA846P9laoiTaMeLJaMyHbhXAi+FKLyqtMVbKQVXqpO4z
ji9agAaVk00UZBGad5Qlz5HU5nUjkSl5fuTHSn5W4NFvJYPGZ496Mh1mWwDBE1EDXxVkbNVfs1r7
6JRHIHLK0jMNTAZjCf3C+N526lXYu5Yv8yioyWFzttBFjFnYypcF1fACtXY15PNPmxCXZeHzq6KA
UTidSKlGCJyMdJ/s6kXU6r0cxIXpTVJpn7UAwUgACV/tMc7rhoQE+W4BBpcubbRRo0b/QDwOc5cs
VbgjJlVEeUrE8C4iks2khrWwg1eJZtxgnsC1tiJgpWIEH4SL0Gyuk8jONSngcKvJvBiTg1WXZC2p
ROxdxbZdJ4piMYZdvqkqR2cUpb0ztH6SmXlonUIt7MnINuaEzzRiazM5qQFR8V/g9F/YED7MoLwK
i+LJzx8uAVl7Jg/OvDneZgS1Du2f76XrBs1qXyPiRZ6B1DhNC8gyv1NFgx5WTFXz4lNW3IcAbM8K
zBA7VYK33FTOLEQgN1DQTWneLCWdnQkjoLLbnavbC8MJSTmojHZjXTmEWK9FPsEprUsF0vRH04/B
6trqrVfFPWkBEPVGs+wQODj2ADIWH9xMDjZCNSxDWvkWJ/EKwggrCwCyq1El0TaL7pAmFh4LtGfb
I/N0zJp662XurfV0882M+40rx3FD6hdDLxZcT26MgD6pm2KBvJDyMqnURnXZuogS5+iXzt3w1L2X
07dKBbt8+PFSKz9VJXa+A+ZMg0rqdr1+ibSTM9LTgXN4o768UYbzVnjaDYkn07iay4t0Ryibc6it
ayfnmqNs4VQVgaD5TGsPDhSNz+XY52uCpJBok6exlS6VRuFzD4w6UqtAWOCoR3efkMZ1Lrd0U+Zt
TF4QTWBZ8teG3qPTjDlWg3C+Ov5V/l7vtA629xSxHkOUQ6LJKbD1H6wKfMD5WF972OqWMQ0v/5nw
FJGxJqKGyUYhpz17+12DMn+RBNmeo0Bf8fj9TQhPEeSx/bADKF4+RyMmwjnbtjbLc+vwbHgpQDVm
QWDUBtB1QQOdhgSoDvb7JnSBvipHROuKERWhp4S21iSnEMrnfZEFy0qSDuES6I17CUd2V7VM1MFU
xmaEoHmJZW3TX+jYtuuIyGAHyDBlZz5M1dYX/t1nTLaKa6gXzohYL2R4RBfYoQMmHSHCemPpy7Bn
kyz85OoGgFKmgZuAZZ4gcoX/t2CmM0qMm3LV0yQvMi18uHbN8ihdosCcD3cN4CzLE442TFqmfBXs
CxbMesfFkn0EXB/eCGjheb9j7pAsyHd7qvPB2jCP/6ImsxY9Y8xgksWaKMq/CA+Ya7p/WHbneFSg
f7K0V9idIwRtSyfza/4B+Sxbm7Wu8ah6ZHjWJgowtlmnOb4U6QrR6C2XSxvLtaWJz74eu7WTGbSN
8sSc510UfKdQdCHozEvqCE722DiHXLrPho6SIQmJ/0kM7YTomo6oeNK4pWH17KCDXprIvmvOPHCb
Qx6xokxB2m+FYNLrGzc133j0nPYCuTnYglrHj86MsYjOdc8GsOykvuojh8u9QCSBm/lYFVjO8OUz
aEKxjySEZQ2DMV5CyITemLwXAsmjAmC4obb6Dqew3sK6fEs1+aFSGKGRMncJ4LWt48jPAVBpmjSA
wjurXZJx92Lo+YOLsCDn1wv5RrUNhGXmLlK9OLM+N9Ij2EYkeTdG2zH8yK+9GsSO21JQz1+mICKi
NWWuajhJux9d4idNtAaTIO1AJGin/Ojqt029UxjjaI+IRIf2FSb40nOxlZY4JNOwHJo8OKFWlte0
HW5h29YAxQ9BhZEFHvvDTvoDwdyErLlOvnZMVzvnrlxnvvObGXDEG1TPN+YA44kI6IMVHScN4eyk
D+HVt91pplyjfjXrC4Z7MMtpBPkp1z+UxSaBJ4lR4CViMucU0UfbcFW1QE5r6+HH1Av5FrYq9Uyz
M/Xm42FKG09x8xGk04sttH+D092HPCRjIDtBfWCVaxvPrZdvxyzZKjTCkVgLfg8isJXXUlJ1aoNp
BKAI3ccILzFyyX1JVl2hRWTrVC8/JHa8VaBfmOfcvax5lEl8LwxxTbyJe3ZVjfkOAs0r3gyW7bn7
O5rdyxh1N0cRU52P2cLQJl5XUG0EfC6hu7w0ersqbF6MVPZMdov8KyEDncUkt0764lAZJd3AGV4A
tYvHb3QuqAnktZzWGrygPPWOXSpeO+HeZ4BNGUenxDW3INCKPjimAH6G+YvvreSj5/kNrQ+QKlvb
iJ+NsPhjNfPU5s1b7xUffRPfazlcapP8YsrJ2B+OmakuVuRWzMG7++TILzA0v2ae/DPq+hxlTC3E
YSja1zD3SpisJCeMvF6keb0F7FFIQOZaYv63NwAyD3NKbWj0xUptkKu5LCY9ZO/uBOGI341sOIEg
2r5WXf9eWfLmq3Db5x0bCnfYoT7Ye1N7Zou+m7pn/FqnCtQ8QruXiI+u78/sBIibizdBH8KwrN7D
s9cGnzMoMpb//No/E06wMYlECGzjpgfWqzcLXJg1DdkL9dBKi0lhMLLyFNfDA+xkF76IrrvKfnr4
watuZ0foLjcit/4p8NP6mWTUpzR6yaP0kFnawYZT4BoxcVnarg20BxTQ16EQW3C918rHvQSg3vMP
VSXvRqARfueTXNWqswSxtPI6NYN/mVANxldgT29tLN7bHlOIuXEDbeeGxiUD3EIDZp5ZW88P62UK
/ZOA8FVVTF+YManUp973/ziqCfbdQ9jceuRvlgjPxnrmDXTMR1F8zLH3ndEew5i1XBefmLgcvRKn
VjGBREJhAH8NCvxlNF9TruEFzamzBLXCus9+zhLj1OlopNvh4gwNrFKxH2CeaKzuIgMdDmP5Zukj
rC/LkM45vgTxc9EwOam1e9oVb2TEnkiWfUyZz5Rv2kFourAxfWBX2FazXEcb71HgvdNbPLu194oo
smPt4sYZuqLkLPjtNQxUa+r3wrKfyrJ+jO9eHfIQsGOmiezN3TiRS17hTOnSD9OOP8rBPc+vs5m4
N5qOp96AGZi4GGYhW2lGmOwsesjWCp9LM72Vo35NRXGbkmEb6cRTmzH0+PwMyOWUuQS/QDWd7Pph
O9YbEIRnYfE3ZOkOJP5OpePR5XIkGYC5fvWecNOs+sJ8rqFgtJV+rT3xO+A9a5BtEHr7pmnle2m/
6UZmbKGdJnTTRN+EensQDkVIYP9VBVdpp6lri/BuAZKXY0NX31bX/EC6LZyD7Lp3U2+/ajqmINd/
5Yw4K8iZoN+epS3jE+xcjBHDrzZrdWsW9lko1r2Lwq4Nj/MPwmS6DrAemiRnnF7lcNrC+kn6BnY6
ubfM9DR/hG0PyclpHxbW3LIxn9tT6NsPnOyftpwYq0AAYzRcZvYHoTdRYL30ubgZbvc+hca9SnTm
v+BQ6+zumuwYZda8spY4eVp59KTaLv+LuvPWshxJr+670CZmQQuDztVapU4HK7OyCoiABgLy6blR
M87/c9GgQYPOnc6e7q7Mm7gRnzhnn5mk2CPKYCps/dHm8fD8j7iMTwPuxLSI1yF0eMv3fuVO/NH7
YufbLfKVYC3QENb1i4PYV9Pjy1C+dkn+FDntSY+8O/l/6MtD0IE+nLRkZOml+9Wv0tOOtTE+Q9f/
LlDN2KFTIb9nJisb5ysJuxeASDDab2x297P+tkSbaPQCnEoEunbYKaM7ek6way0+9Vl2Jhu71rxP
Qu4+9FCuLKXBoRUDPJvY+2I2uU4ZmMJh/lZWcPMb/1Tm0zlgzw5YnLgzLVxWZX4j7e0N79ahQvuU
5OhKg1vUS1BkBYW4M/z4KtaWsWO8Q1L9GiUPS1ICgEnJOml3Fi0nzfemjK2zGbdHKIwXJHJr2+73
wNrWqrBQsXbUFNNHKNIPS1m/JkG+WQKh3ttkzH90SSgGkxOUkWtPzz6w65FPT1ZaX5OnMtEFMo1g
fXUXFh/kQuysNN86yjvk0cHwtH3X2seGT0uJ42DBgAtBZb53rRNDDmb57Zoz4KgIn7PDYzmlV0ey
OFXBwzQFCFkgMcz1svTL1w2OfbmbDzCXC3qa+AFlReyuf0FCRxYR41jyAtJ2HzXGHq/mpbfIjOCc
nJ8nw4q2Mt7zHSe59jS2wxk2/SMneVgnTXy0TmiLN7Gwt6nW4emstSXAEWZD9YnbJQguUYG5pB7P
8w+D5XCbgXqvddLMsm4PlejuE3bWFvqDGHRI90n8xJJpNWrhB/ZSipIABUZW4DPzLCwV6R9vMh/8
3o5ZAUyKWkVkcle/NFLcI2SBRa+W9Kl7dsjv1Pl3oy5++Zw5Ml/Z2ScwoOV83xvteB3r6Jp6OEJZ
SZatfO1i6mDd29OEMdyi4V0hB67B/S7CJoOo/yec8k9sRS9x39zcsbtL/eDBW0IGgYgqaHH5TdYB
KrfaEpa6cTB4rQVJNJ8t0vUmbVESpN1nXp91RSJR5/iPukDOJ5oQAjIEbFF5/booGaZxp7ziFQtl
rFb14DiHCQVhZYKJxktbMvLmegjCLN24Xoy8J3ed++R9884zaBfGe2hUwG+A2CwLVi5XNwm2drJr
0GFvq8Lvdg0Na2Cvx9KKbiPT3aWs8rcMgBwRmvCAPBWsQL6D+iwJOi59c9rn9XDwJhu5EJKR0Y/q
Xdu3HMntIZYtTQazymSawNVL/XOyZXELicTR+reYJWA7hvqjls2XhcVxjwvv0Psl8ii0FmPkeiuD
fSVqQpnuWrD4adSVezjEAMEbtB7YgspVWuEqUL3zqoamONAFM1uSdZ69sg2gks3Gj1iGDk+2yDeu
zv5gnNcbwp5jDgK333UQu5a6TbbTiIMBaKZvnzVolYK4qSCe/Qc1cvF+AouOPsEYCJsBbI24FsU1
mVDRR5hVKXujaXpBMHy3h+LHC+JsZyh4FoNdm0wU0LvURuGcmVleXAU0zA27Xefq45HfgBdt27L0
rg0N40oNhMAkkHVZOXH5EBLEgtbSNvoQ5GQkDVcdP9xRloK8c77v2NUxP4H48pvhqknZk8M+Qq9F
0AMyugd7YlnXqMuS95T21c9cSh8Ctk+lxQS2MFx7LRTRBgPefCtroKPperppOgMUtWyWsTLMbRPS
97UkIT1VGT9xmRn0CWzcMYNJ7c202PzQQdXTUH+XlrvWqVRbjzFkH2XvAIG1W0aVSs5ZckC1hzxZ
sdel9T+o6daUcbrRIv3FSIw3CUEVRYHt7pFV75VTj4+pl2e7nIiUcKdp08PL49nejrXmLnqNxZt0
2mNaWFsAmae4s38r7Y/eTh8UwqBePAvQvoM8tMAe2GC1HNv4IPWcO8Jj3BCr6IEkljl7+u3QHzG9
SH/XPtUVimTlatWqTz3M2gHA1Iadb73LSUwyjIoADhupALoXxZVT4t2R6bEL00PqJ7hImNqQucnF
muCvlQXJUvxv6jn0b9O4b5gX/P2i6JIPTws2Ije+7ABRhZERi9uOyDYq560hXXg2T6xko54neKr8
y94ZSx6xXb31GAqaYsyKX64hLkIdMxfPEW+sT1yOZq2V57fozFb8Gpu1AeAKM6D5SXqz3EJlJFlQ
k+uA8mGZJD6pgXHmsB9FtCwyDNypCzHL8Vc+coJZW0QwLTqEshgPdTRd6D/WAC1sSF0swYXPNpRx
XT6/qwjiAM8nOamEkB0apCj8loGfg5EyIcWgzfS/MC1I0k0/MmE8FVSQOguSJYiAds3DJC4K1JNo
AffZDhcAT/umszWSSfF7w2anAxmqj46f44wa71GZ9Qf3xQ1M13epyFZj0AKxmaW+P0lvGYbaKax0
7uGm+t0o/SN+zXIj3DRh92om6cnUJT9J8CfPef6jwg1XVaj9cmBTYNWO99OyNNiJxp5EB+WEPwVL
MRAKPHLOu+dsxi58jZvqM9TdfqVi7OrJ2BxgGT/1g70fKzNcJir5VRfRfl44l4VxNLJmXfoNQySn
xZLOR9Mu26eJWXluMszvMUOtiopFjUytdpN28kmrXlp2UyulCtheziy61HLG1nQHbJJXuoT0j46c
DBWjerO00NtFXXRyc4f8KwfDeAvEsCJWwO+f4i6vTnCJPKqwncZ7ajujeRZa+RPX0NSlT9E/m81L
92cY9T9tFN6SidSQnMhhgtj5sJPM6Gh8TLKBoXQLAV6K5lJbxqOIkrM91T99iohC3Ias3Nuk0Cod
WV6I2mjbEUd9aFt5Mbt5pAdRXUfutqJm+fFZtiU20nybB4axGNLLARR0H/KYWJn3PFXjM0t7Z1Eh
50QkdmF7eoIsRu+hWxgl4KBHsxAp8MmpyEgIiyD4LaiyLIKs2NmiqwHZSnSfyU3Y5jo31GfsltMy
ir2f0sr2Wd9tiqChSrXb+xjYyF3+DBkzfqaOn5H9mo1so8gCeXH5w5k97wubXd9lysqLpWfXXkDm
17o/nmR45dgSA2JGglX73brTTC34yUr/ijHGGafnyh3eOH+vBZrSqHbfeOQwpFjZp9WjS7bdbSw8
Re9P0P3IMJVQCAk8ZpHWTBbLQWKEnBRarWEbGgkIXnLsJ+jx8H/NT6IdTIUSN7m6XfFUF8EXFF6f
rb6eYxA0P+Og4NmxowvPer139f4s+T3gK2JTz2JXLLyArT/znhAkX4UDb7B1IhyCD7/tfjRBMkKR
PBO3DLJC8TZznsfTiLQBD22cw0d29JM2L9fz/FS61s10k9/JGDOEYNEPfyquUa7kkBuxM0H++Dsb
4o0I9fQFhQXsymh6imLYr4bxiuToYUs190AdvE80qlH+AxbvGMewdo1yp5fhfQwh67G0HtJtbr1X
Eb+dbq2705p+YAXyC7aHPM5/L1IMq1UKqTRcjzl0fljSKNxXfpY/TFXvvAlcl3fNrWzT+lykFl7S
zLi0Tvbs2HhovB4oIOOisJnjj4OVrQdb1oDP2YCMVLnGB6PVt0aniHBZURGQlBT1lyrqjS+1ldao
hyXDh8BVz+M4vmVBeaTm2mpC/4wdc503hcXHANOSKZpN0uMDdTJO0jHiRHO0TcQNGpACRmlPIi0a
kQDHGB9HVeB8sXYaQ+siJqoTcQfLxXwFgYeHxnJviIlGN3r2zPpWkdy6cBIelKFbAxm7saSBN/sr
xJNDyw6AtxH3OPJYn0RnRXCJUW5G16ca9z7oOt6sbHix+XxkU7gv9AEtRH0x8z1QtxvETLmoVfTt
FyQtgympvU83yz/TEdBBHf4uqoMeuj9NV714wkDjMHbPVs/xbBWsvbPHxG92sOjNU8VoIIiL+5i7
hOqwKLcj96aa5FbpaKCS0BsZ5YktKLIrEoN0nqZ/98RCtRLSZ8KRDY1sr7J5SB6ab1IzL7BBHZ54
FgkssQmQGO7cw1+YcH7LaF9zuYaD/UH5yOnWyj9emZy7Qd86DBqduf6yWTUZ/BqWRF30C6bxQf3L
ki6TJMkp/O/+gMQCJyA84ca81uhllrGGVkg5fX/+++K3mrPoEFCELoM4ZDwSAoJYlFo4b1yAqLjq
PsKwWFFtEiusZ9qaWEscZ72AF72hkefjY+clebkAVPUBMxxr6NcGgrofTP80rM/4weh3cfsntqj5
i/37X6Qd/lcu4vpH8Kz/H6AiGg4O9v+ei3jGFVukAljT71wJNc7Awb//yj+xiIYR/INHj9wLh3UW
pRbAtp6S4j/+zff+4dnY4NEveqaNaY0/5l9YRMf8B/8J0/ZM8CmW49jA2f4FRoSY6LieCy4Mh7jh
4oL7n4ARCYj7/1hVXmAG85/v+Z6OCJ2L8f+149d56wYBwgwYrDb5XX0Zsqust0YeVy8QNjYoxcof
rMZz3zTtTezz14qBMHlqHUHG1h9ToFEwhGF94NpeVRHZvGGPCEzlor1SJmh4d7vj4CuUWqzpvwoN
uZUx3JoGKaNrj6s6LbRTUtNVMkvuYTw33XVyxX20uZZDGxW1N7TBUoM+dYm04eHlVYXhmbhsBLcF
XWhzVyVLrLidSFrBoP2wUZ3pc7Zg5qbIgEov3HW9uS09ckfYc6TbuMOubioSURtgaIwq1904tPua
HeJT5bV7zfcwYQmtWA4mtbRdadeBjKNaBsU972IESp73NM0vop8LLgtLuxXEeMod+9Kl7F6BDogF
eRHTQ9OGi4Sxe4T1W+2pSwWFv93cwkQ1CMH5Kw10s9XNXYpn54dYhR+RxuGMOyva9CxxMSvkmIaJ
6SI9Wp/ubBocnNbjKc+HryGr1VNJzr1dTGKPxvs3NL9v1yL4MdN68YhGx7lzKqZlKh5//w4ZLGIj
3DjEfjDDkg8laqQnLkDrrhBT1lUFPrmqfLYasb4Wja4DwxHBPfC4Wlj1OpQTpn8fS0WwUwRtkjjC
sJtq5IEk9kSYZe5w0RAAdhqGSly1yrmbqebdgQhaiAcCvPVFQakteVys3r0XNhnSSQSlv5m/lEnK
dL9yexQpMTbHgBORLXO7TVCdr0n8IW4CSdPZml+w+vI7nTCPNlNhnw04maRo+eRj9pp3EM3Dapnp
hY1unYOyss74aBnhFQgf/hIFqhkr4NXpGkU0Q9Ng6lCBcd7zJKSMJtDAgXBqiXFErvH3r4oOJ07k
G9bq75eTV92MqYr3cBeeGL9UW8GWNypQmJcDDlJl3IrQql6h8PbXLA6/HWb7WnD2G8FIewJeNI5u
w9sTbZqqrS9KjGjqrQBFYwM03KjaYNGTURT1g7rDOKBfDbIEf74KN16vP5ukHhwroyhoO3Nx7YLu
JCPbuY4jdB9cjxffH/j4jOZB888yMc11MUYpFi45b4m8hW8ynYk77vS1RXyczCNxCJLePmbHTIn8
UIYI52WJXTwhjYsH1eNzJqIbeQ3xQWQGmA7FB0hPtU8rxfmSiNZFuVuiuwo6sTLtur02XjHuwKR9
x3qenmCBs0MWgRaftN2g0Q4NY7Ab0zA5kaKR8AHW//XSIKsnPlQ88Cff+6TvLnjNfyozIf9m3rnb
eDWO3VRiK3Pnv8TWUuvutyDZHkcSXGN/fonKaE1yNFtSow6IMt+3WcIaEfTWpU3pUnF0CGAVUIiD
BAmd5sRzgcH/MfRNscJwjSPFiDZk7rlng3iTc9Dp7vnvl0nmVkTaVi9lR92iaf6vHg5dG9vD1c5Z
tkSd96xs2zvzhCTPhkVmjEyZuiiFMIiuLN25FXNJg7BdijAE2ZyY5p46ZSqYS3tu/xrbvrut/X6f
Gpm1dT0MobaFki/p0W0Q00jm9QASIkLlwU6MF4QrfzI/njataxVrclGmBVdWfWTQXa9QxiL38cJF
Vhf6NgSyRj2IFs4a3U3JLnkRBv8CVtszzlrYyiV8h7Q9YTT5uaz0Q1QkHra2FOFfnLDkC/TPwHS7
remMuKxwC61TnrEz5Cvz3ImxPCtj1fXphE05PmNfIMWWoRHIOvkku7Ak+ytg9W+ZO0hK5dorUAEa
HEFQKfDT5jhHfL/dEQmdsqcnwTlSmJUL2bBGyZM3xBuo1DZNP/kk0FfYpPpqY3QmOMHJuthkp20w
t3QbB9EteiZMBE47Jq/m6MBySuptbyDQM4KxpMrGRlVbCc1y4hnl6e/LYLr+riaZET1icUzG9K56
I1/l+PJ8kmAxDZcEppNTQ1D3/BJbRbvhe33FRntnZHcTFnGGBahaQw7BY17VW6X2zIgdoFZcM7Xn
q2BIfznMss+dDVZMBLF+zF0YM5ZWxwe4yNhha4JGCJ/aMwk+SDWqpd2mhIa2afJKO2wtlD84Rzit
r5Mfi6tNbkceJED3IueWyv4DSbo/mhq2iDBfgirJj2gv2AGa1YdAC7XONC62no/KYpI+Kaid+uWA
NX6wqqbVtNzkwNYrfASZ7vAmon7Nk3JX4s5Atx2FXMG9sfALOA5jQtDLYFW3PDQuZVKVBGz0ydoq
MG6IzJZnHtp1E7RMonP7j6pqjN0BaW4mQlQkBTanEm7FsymCLbnqxocZKLyrg3bgDse9nvIhCVLZ
PItkWveo3vDAUaSbmKsnAmcSHXCamQdLO51c9gp1cOR9InLOQGdEZbbl9PfYsJW7zqTMQc79OpY9
svnJ07doWv1zG3nINXTqET+uriUBB4vO6X+CPMwhQsqnoWUvZFJB3ae6yZcJXhrSaGSwm5CVm868
kHUOGILgwKuIZjYu5aqJLTJn0y6/g9Kdc3FzwktVgIJEgQjcgkVe9Jb6bvFgmYWproEkojywumTZ
tibf0vzCPObbdBSBCLV36c1n3zdZnJikzROSOYEz0V/RLM75kIjuuMDBHIjhozfLRwDtjhbCwkKJ
ljS2u2pj2gyvU5lOx0w3zyhk2Eyj2DxADrXRcMqPPneqCwJQWguWspxOg2WcuiR2353K3+X4bjZk
NomtTqjNotYCsCDKP0VBwFFk3fNGQpENineSRA1slSuLg/LeQ7hctTYTn6Kk/Q7wHqOWpNpxvNnz
5cPGINp87OIN5XN3TwC5Q11DretNq5qCdAn3xd44UGLrEgaC0dMVhmEKltDp6HgjS8f90/O0NgNs
jlySyuawNyNOlOzZBH2RPST6tqiQwaoOQxHRoMwOKbOkJ9JdXAWYBoyjVgn/pMfGpmd5sJEVkuBM
Ns3KpXleWHruI1NCVKNgZ8p2MWZS3xqTMujtmOMODu15NUoselGB6QKLiGsWxXvjNYi6zI0ZlDun
7p0TQRQtciyxdqXNgiSM6UYBpeI+HOUVsxbaM/B1CLKcdtc3KkLNxyzHp8NYMCpsj103fSjPQXmV
Z2fFUmjhtrGJRthNX3LLfS9AjxNGQm4vxhtWcYmlnU2vtfFUQHDOPekhTuIFYCseQ/PbyHBIuhGs
bdn05ufkYtS1woORYOwvqFJ2Qzix2sX8cjPJBN15FvZXaaIicMUgwamzXvezcDrWhWFsZyTQqQy5
4rSY6SLsO44zF09eF3xk4yzkZoKZhdXVGr2HRvILtpIxOHud8eTGU7FXyPSXGo7mkzkSrCqI0R6U
xbZIGXIJSoSwMSGQQIbZj6qnbecDnGNjrJNVAwaQ4I5rm0QdHhzc/kZv2muwSSQI+zgXdAdB7ZDU
2XpE3LZuCFMJZ4ua1Q1fHm7/pdtK4xllhrEM7dZ69vKJ8ViC+EW2CXuEEoUAbMHQLycgi+qlGgNx
V0R5+SHsiqjoRqRYMmJv3hwdyUY0JH8gP/LfG++Mp1kwFDbcKmLvj/o0fuAI0JeGKapjVWZqAy0k
OSRDF68z32dQmfUeBkYjOreO/1aX2Gk6OEU/xsZuTXyrTJAXZU0QBiPfUzO/1NJTpNu76TLsqvJM
SNgbCFvrytu/GEzZkOUHH8QsRbwcOXqPvWaekaq92By8H2MVvXUUog828aA1LHlQWt+9VZla9aWZ
rPymwHkwzDAgIetXV7HHNvX9oFURlSz1fK7w6xc0Y3bPRGskuMz0IJZREBylHe8x1EU4qBHuydhE
yBYXJwc5/Kl3rPhg6vUq0rrg8PeFhEGGNmbOGGwoTxOrgF1d+1fMK7MjIYDpCLiIzHGyVdKqVsu/
X2I35aHsCFkNNL0++OTfYcThhKzGBQQt7UCmm79WDl6mpBAry9GHg57FJJ9p0elvcEgxJt8UgWrp
ek2xZv9GFW4z0Apt76RNcBZr+pM9QtPfFnFPv+3sHY6COmgjl0YIREbigg/tTL+rNgmXBtE1G7Ox
2ebFh1KvzYtRhe0JRSu3uP5DWpG9gVBvLA2PqGuswZxdblbtYhNbYVK5xkuKEcUSyGXTF+wZxDXh
akSqaQFFc6O1hIqYSKR8MRP/zEEO76PIhKBGrdsxs661zDrGQ/bStkpsGy2+mWUGojZx7QPgFLxs
8YACODarXccFuZAVkoOq8eB4jCm6BFJnNmxHPI4CGa2Shk4yDJ4QtQ0rQcwHJnE5HBKjf9Jq7c/k
gYR18pbiSTEa2zLquqUzOmi0c67Wqj+BpJoO9QTTZYipMnVQV1ZL4OzfF5G5/aEprZfRBEwz4PiI
DWB6HiKHjM2jox+UnuuHDM0nkcPRuGkxYnJ1Z8cuEAfXaF+NolYfbKxYATApXWQY75aAWpFA4Zys
SWPoScDlkFwk0iHO0iCyLI1vieTyVKtmoM/Uig7B12CO6OkhlHe9so+hIOCEuLDK+5YzUKd0+S2T
qnYMNEBJjQ1OWKuLfi2GSV9b4BtqxJpFpicEo5dMR6YxBv01vnMgcVgPyiYElrIg08v46BjB6whL
Y0lWQLnm0s/XltX5RzwJkTcFqE8ipAmo0btUyW0XRUjiq4b8x7Y6666o2K5QKWdMF9Ze7WXcPg0G
qdbImLDWaL4CwH59ku47s7bOXVCHSxyVq7jvh4+yeoaxOr47gsgUzPUbLAvoA4AOPMpeXjq9/5mE
UzwMnEfHXriIrgSqAhZZ5lpaFNlTsWgyxspcoo8xnt5mfiB3s9ewb6EmFmn1PpWjT0UB4gIv9rRN
6rDYduObbY0bpLYIjnwCFc14ildWP2a3nKA3P0Iu0LWChV0EmCaP3f4564o5+oqyTdl/hErLk272
f6oQjcNgUICFrEQr/BBlUupINEJ7lfc9w6ua1D2Az7bANeEXbnUpkl1eEfNlZpga2i7S771f+Idh
zhaevzJ7whpDE0yD31nD1UcsH4rAPjcJjxrnW7PNDFmfK9f8gB3xSDXlQzWWE1K82SDPVBnsETLu
yIjspYMC/ExO3QnzrHX18sAFtVY9nJpq0QucixpDeRyLkLJR+Pju2LTUuexPtGMIqGslV9KPIVIN
xfAJS/BdvGq6FFvXioBH52gehrx26YIysfcRGzSRvYv8djq2jeBbAQyCBnqfWk51dhtEZ/jDBtod
0nx6gPWL3hkybCqUhHbOB1af8+j+vnhM9DD4hbjcPKRpqaouujdheanK8WwNUQtUuL1XsvgV4Uyi
zsXLo01yWnUzpqnzJsYoOKgBjh80I7yptgku1mz4bzQoPKz2Rhe1EWrQPVQFAq+HS9VxAtcV07Rm
ICJ0CgN51BVoJz1GAx0lWbtmOLY2hzjCrwbLJ2v7a5mQXm+HyUtKytmq6oFUO9Z468z+La3ooMGW
T3umdO6qVzQ3Xt9360B5KzVP9pBKbOKWnqST8JREAJXBalIuUadc430plxZUu5PEmzoQrEYEFZLZ
wsuhlEM5WEo/dJ9hhm59u+K+LZpthIa8tOziUeMTvOYVWk/3KeoQzqKUoUV2U2cfWIAKzeSPG9vW
mjDDPvPhBOT5viPp8uiO1D4ZsWsFKA0xpEgSqmYTqh6lTFDa59hv2nXWIlsZmuQsyv49cqcfULew
RlCy4MWgtuckI9AcnVkuUIzlSIqWXaWVqwmjyH5oUzJWZiM4ntEOVbfIgx0FpEYQ94i+w9LgO88L
hjB5bYv+pnQHS0M/vnLW/lKmOyyERsauoBMNHT9d1n327Scs6hRP5SIPo9mX6LJ1VC86NoFDasyT
WGhS25JNKho2/WQ6U3ACAL7zpMPxXTp3tn31zh1jIBU68gOjdhg2uGAX8pZdUv1qOpG2Hwq5agcO
wmn0f7uKqFfyI774BxJEV2uUAwVhm059thw0SlbpGmjFdVwdDHXjmNFbi0ByL1vvXro0gvTFxbM0
1VNWvepmavwawMEw74oVIrfC2XeD92t0+W5s7J2bMCgfAtz5frDVOpyS+gx3AlGSfXY7I7/6UfjV
9Va/lQz+WTYzJ8kR3x17Zl8syQ+WctHqcK9DvDa108QcOWKFCfojFif2QjKIxrcq38Ls9qsweyL9
FzD33wxn89anKl1TtcAAqV5RhRNuLG0k5k22AY5Wr1rEPMtytJtDPWo4Z6Nt0XoJGsvtxFb06Cd1
eiyyozRlfYjnlzAYP4ohSjcD5fmxq9I1Zim1S4MICR1LOsBx0dkOQnR+Dsw20ekJjTK/8NwJsNO3
AlIaZidkmZEOFAr6UWCZe9Zjxi4e8RkkysGvmWouEEIOlwKfbtQqgsHI+3HTniDYls15g9t5lTVg
S4dJ8RZh5HMy1Ry9rNtqRVYsKXOyTQGSyEinT23wVmGvl7t0VBjVfHW0E7NZhbKuD9OkrbzGLw8Q
z8RpajNJW4snE0L1Q6SZtk0mCtAImWlrEPU9wjfpDHFMteIplnG0bcyeTG046JS0JNBWfSOYEmIe
Cmxr5aTFl1kW2FQrfW8ThrLQlV7R58x+BIzzOFIMdtlJIw+YanqGMfYlKW1W+6kxrHvTtbdCs75N
Twabzsu+Uol+0tXbfhO03FzKIHra6kAZmGZ0TCNpM95gaSLErajdrZ+wz5syjymxnlG41+mTFRck
wtqsX+rY1fb6UB6wEKbnLE54MKDDq6a9ttOOQBdJ4FML7x5reBbP88zhMPlEKoRp+2ZBCF3r1jSy
FmfGwJxCQwvHSjSVz2XbNi9pMH4WrraF86KfRUiRUTnGtfNaTKRG651I9MOgWraEI7N8rthFSKqL
fYfKauF5EtZJVh/SxGeV3jnvUyf6fT7VgD2LKtlOlfosHDAsPc7ZxlhkcaxRGP/xJw25Te1sXCQx
ladFW6fIYLrNzQyiPW8h6H7XLvZwrLNeeaw7m5xHoZFXnoT+wdZreB4iYgSk9OCAnEME6TE0rRlK
eHKuiLBOPc6HKyi7HVRjYo5DV63rkT1FbycbxgkA61jQoKfD42q2751bOavCHux56jVibwZ34KBt
R2fpzoZqZJr8YXx0ZutRf2rsCH6B0P1dVBcfWdvA4LBc74xXitLT5M7Kk2PGW2iTAbnqSh1Doqmi
w2ghIh/HmjvTG6EVdBrOSmXu675+uFUUnfMqmbCF1gHe1K82jOBbeAkDqQYmWur5EnW1t4WzWZMH
jDPPcUB2Fx0tRs+1nNI0xVF9aIOAf8+2mZZAayBOFeK28hFMLfH2+mtHdhCSCh1EbIa+UEfM5qIH
g0sXO3B20pA12dkJcRk0832Uh8Sx2EpsSJwkpLIhcDrDJo22UVtG2WkqinYNwOoKLPMK5Ro7f8Yl
EzFv0ogCb6r0dTJpoFvd+B02trvrUXMvGh9VmSk67IFJBY2mUOCquPT7KdrZjfmKqhSTn+SHbbHk
Bb6VbzjpEXy51A2aj3osZfS71JxbbfWo6NM8Q9fsPls3ZNryNoyoe4hHuyWG80trZ0Nj7OyHvPxj
aIyTZhAueJmqZWqIQCbGFnRI+EYJVK83ymy+BeqChT6YrHwClaz1QFIdzq4KkmpXMdKorrV2uh20
kErLkfpr60cpIL8ySdY4hy228nf5CqLOn+02r26BlFuzbfIoa3T/TcfsK4jfjaw/jIaaHbYpJNuC
gYEqCQuSzJlg3zQHAfDDdHi04Rc/m271NZgQnqsUL2VRd+hW+d4sjLaaVlhUkwmzuLA+eoVBmHrF
Ngq9niLgwMux5kfgrBLP/9YmUG7CfWc1if+ynZ7iCT13jNQFZBNKvQzPUJWKg9ONy7hyXvtMewlc
GLa5mQJZjy6KjwlcMAm0PPV2bvEHZny7GidzXMu54sqaDD8KFbTFjUb/lqIRqrsD98T33BfpRqGd
I9P+QXil7VL8mVZgEmySOK+cm/reZ+TQYAxamwWVWTZLl1Ek0ap61UtsE/dQ2MvcN7JLMYQ/YULs
gggw7k8i7RDeo4fKNf86+C/mSDCMUebb1GB2HiSk8AoPjw/zSJ9sCZfdotDWqc5+UVE6L/vYea9k
8MuDI3+HghuVlMNVcuvCLjjCLZql4O7Jy7SWGXvxO2zN6iAQhgoZY5TM6quj+8NRuONcTgoGxpn3
k3j4Qopwzhzs17iVxIJRoNwKKnmcymhIZBl1205FcOXDzl21rSg4ZUzrhDDvlgUG/HoS0FA+kVCL
gtInD7lPbM5RNut5p/PfS7DUNSDE8Vh5izZLa6xPyVM3MfIYBzrQ4lKOVI3wFF1+RA526nKrycuV
Huc72vhm6fQoztqUQiSDe+C1lEc0ZeBpOB+XgYjJsgK7mzfhf5J0XsttI1sU/SJUITXCK0GQBLMk
y5b0grI9NnJoAI309XfB90U1niSJBLtP2HvtSO8lruWcISQpqXQgNUOgglAUhY5FM9yQEKp1n2N8
d5l+Hauk0I5V00ugmFSiRjWPn1wYGu04313qxq1va2aNjEzTKv5exYbF5yvMGe0fes232CizfTJc
lAJWsylJh/XTmCvtkOYmBkqmbwGbF2gBZvHqdAPFlSi+D5oRFY5pnpO4RmztqmsC7z1stBpnSSrd
oKo0EeiEze2H2rv2Hm+8D3i1HrtHXDTF/39Z6UHbacoPwAclqlOWDvoKQmyGQl6RX+BWGavxDd83
+dkmbCVMZZrQBdUNXl6XiX4wijYiZwEdbhLfHRzAhxSU7i5jUXLG15ajrsj/eN2YnxtN0ZGCQCGr
g5HNhPVK/NWT/0gckc8pBkbclVYoEZDsbMe1gpalFWV9/qffFqbkEAYokpkGp/AoWPtxLzY6QoWR
q8WWrcPrad9b6es7m6Eem2BeVoMCmyUKAyzCjXwa/401089uf0JE1jHTnKn8nHkCHilAkkLzUK4y
Q1bx2t4fxm/pOp1MBXy69+ftbcZSwmuZUJktsedFQr8z42CgtfCf+5Yr9670z5kNOtHrSIOhaMP6
vDJnXigSYaGwce+N+7zad1eU8iXRlze/1szQdhI6oIL6aJ6FG6R+XkYkWtBnWP1LJ+lcLcYqQeXN
5cmast8V6lLIXoy4NBdGoT2bP2JcamHqrdgaCF/a5Z1N3F1XjmGOtWV18jiaekxI3En3uCFiGizJ
o048cBBVwPOCb6b2n+wOmh19OvaZRZyrtNMfmnjU6K+CBk3kzjRzuN3+AjW8XmTUTOl/g8iAfGQW
FCRGvHeNlzVWeoFnlD/ZM8exVr7hIWIkoE09nqSEDVwyPmvwc3ii2Vi7KTwnbTAZveHSflkMcqa0
2v/E3cebVif6G6xfI0jsBfRIX39QHKo7a2Dw9j7TRNqB+WooaoDedMAeazr8Rehlv+3uS6QIaX3b
ZFZhTtXDziZUZVZQaNr6W9Pg+ekpGrZatbdmbvwX7oQ3TwfTMLoN10GWgEhtnAOZArpp+h8zNB78
D/FLa5sgwSvj/O9LUo0GSr/fXaEbVIStee7yj7Qbtagb6+RAjfgXvHDfdu2pE/A1SwF6StZLcum6
zehZAyPnbts52l9Mc/NJNKoPUcEz5y6rh8yelurso8lkql4Qs/wt2Mwwr7L9M+riam8M3XQRiKdr
T7yBhVKIabdIJeghs8+yw0RMWsdcz00NvZ7jRaWpGwj0DML0nt6EQ0XLOyuoYzKJXIhZjEN9LI3w
vF1j/Gkjzbn6uXvTcyhKpaXd6XoeSF0NMv4YAzpSforeuirTyk4dtr7WFyLiFXBG00Weqv3x5owO
KV0R5A7sl1g5BVlpOhfLtIyQEACKu6IfT7k24reOafdN3b7Finh3C2Eq1LLRhSb1Pa1IH1JEjn7r
GflWyLWDmLX0lZBaSVJpNKL6vy0ZaqhUNwJdduXdTpmiATIOAaoan3b2ClEANb5UjCp7dl6z1bs4
ZIT9w1+bo6+t1xynxVsPkbvi/L4W+HLksupBqSU4APXaucKj/T1Xa+j0HedEbJvnfvPyuR2LDRaJ
9gnCFjCDclChazhdwFRkOGUJPwdKOHahuXCeGZoA3Bh1NMMheaMaUns8AB/KqHHgKj1/ygFnUCye
jhW3H/60RKvNzN7qZnjxbHLfdUTzEwi/vWdn2HZ0p/iQbv3uV4yAFV5+3L+GdVnndNkLaaPwFhqK
/oY53OT3n05lpwHiBF4/jY15Dzb9xWI+Dtt4em8F2NnaFT0hV56Nn3GAWJNPZWR7xjfIcj0r2xxj
EJXIXrb+8hid8adY2N4TMmXinrxLHJj3ZTKM+6qB1Op9N+qT4iC1tDxhsyAxHlN8YCJ5uORlSwhK
VZ0aTbOvZFlhtElxwdrbP4Rg15OikfDjz+jFIF8ehjb/pUYpX9gMoy18MUcsMwsQFLjJIqfuRH6R
TnF2MvKyuhWWgrVJn07obgc2CAJkvtrHrk30awep8moAskvbVN7mqdiTk2eEtVWzJmzd9GH1LBgR
Dy/hsvX9DNzca738GjX5b5lXP3iUd0KgbMKHdDRipqplpX74sS+u8Lv1PRCofZdN/ZE+I39rsizi
I3CebJmc4ZwmpwYebSbBN1o5jw6RJEE9ABrhhd3AQaykppKbZc50wew9RpDf5MWx1dLkjGarZ6Il
yGnOjG/uACODgBlXczBI50tQ9eT8CbKiyBJbDolvigsurMBvIHUVmJC/GNhBD6ZCN+L0+9Cv33W3
RZmzqvVdx45Sdyve3LzLbqNBlzjo5Hm1cCaaEVKw72RrZDkMVpMx18lsG6oT2+PupdPhM7hPm1KA
Jts8GIwwg0Y3eB/xNQ7TmrI1pXgrqRgTz9e+8TiSJ0Mcck4m7hc68pPZr+X36miRc32BW5wFI4a4
ZNBuGcMFdAHtwvhGwJcesWE42AwBOdReVNrghLXY+16tE+4uSR6p6RXaFNJhMO0YEvp4G8Q9a2Dr
pqzxuCj9RareYzjFRKuCdNoh0Iqcpj/DSZCvrcCHxRpxN+myPbYHskiXE0l2Agg6bwN6tUJxXppu
KR5+pzATjkRgKD+dH9PKLNUTTDj//dHJksLZGWsJL6wHQjgZx//P37chfNWlzbn3zW+WZKwBfowL
spsjMuYwwyAIQYWUv86MkAPkWHPYFhklwlTIvUhi7ySTPDK0aTrBAfzV5pUWGTH85m1e9P8vhcqv
Q0ljbtb5cWng8yzMfu+DabNzzN1o9PIDQUxJgOMC8rruxMEy5aivmNVfVb76lKameJK6WRFk6aCy
ymsRGXMM9amGrSfy5B3ZbCfGz5mp519cSyQn/ukLC12CNRTMp9TBZgdbpik5JeuXctieNG2bvxuD
BrsxsRo+ZSZji24czqIb+qvSy9eFvIYgXVzj6Wpi3BtNRoJanSVbMMHVSSVQbdNL8fqR1aaWMJlk
dtfH/pq52vLTc0kVttfLVHvY+EUFi8lkZVMgnFvCpkHY0NrW2TZKcerT2zA7XYjghtwaAm36pFvR
aJiBUaz6j9TzcoR7AgKLDRJiqUV/0BMovjolnV3Be54rZZ90Y6wPWut2x8q05HH1p8DTY/kjWyRB
nYZBLS1FGRZWU32xOSaGVO/fcu1RpKNzKVtG/fWi6QiqaFkBg+2qYW1eSAWIb2wp4A9Vwr8vVgFv
NWMt5dfmfFQGN2mBLvietLx9s9RwlZJBshuGYnnM2c+knLo7kFXQNkVcfGkryHGZeOURjbeGwiw1
IrsrMOJPS3LPbJbWxDE9GOg0MFBQuYhV3WNBMt46dh8jFftJxoM6xPpgfOnyP7fVTkWvVW9963nn
rFa/nK768vre+9lgM7FiOJZpUw1H2WpLVM8D4J0RQ0U+Fe9jitJh2aZjvI/orLQL4K/8rNIbOhOT
+LpbkRbejfG7HyTLeoMG8peyo8SdMOnsC58mJLBD6qT+lyi/cnwdu8Fufw8jZ9uibKzCmjQw99QH
iC4NLV6FD1lBd9KN/j/2zw7DYRIKBuU3nHMZcGjlPViow6D1OAqsOxBO59qvUr/Vg0X435CpQ96s
83XRW5KlUqDdRg5sG+y8GTTG8sfVpPlcjZ/dbKhnK7L4TN7BbyMdvShmrbsrjHx9MWqrPbmk/P7/
j35p+SfEg3xQfF0nRwMf1Mh+aKiHiGkZah4n8hzuTKtu7W0ca4XzNOSn2LO/9ykb2aJo/J3/3kLo
hGbvvBXISiPBRu8kPfMDYe/B19z1ZnbsVgaK2lAnw+5UFNSF82g68DBAbTjsWQ8zH/sBwOtSJ7+J
/wzlpM9RXPMYl62LE5YUZJGz/jUUnjnX+Ba77vTa49nhP08l7cTK0KWLzcvgz8shJnQinMBO7JSp
ddHMxj5ViKKGjvT6IquQK8AJ9PXBxCOaMFFw4ZKAlE1CN4G0xvlz5IfqI8YKpw7o8i2JV2A6VFHK
Lfdj3A97MZU/W1ttZE6igNWEM0/BVncXAU/T9MWB5DLushU4gI53Cq9eMdbVJUG8NObcKZMF2wHr
5YLUFpi+Gka6GJT8xXT3enFLKS8u5tD/1nMH9HwhQgPl8GEYDX9PtkFPEGf7a5p7Xg1TaCcH3B8a
ySdyjnJf+FoWgY0IzLwdqCbrDFUjzi99AbOaIUXuYvcL5uF7ksJ6G0qewV7jUI8NWv2m6rMfEpH9
WuTuLw8uOhrSjvo8R0LfdXm4kD93zUx6koLB/aPDKsSZpO/R+sITI7DDIGHOm3WynIZpP1EhgiKu
brrpRQwdUJwaMVcf5ujnwPffi0UsYYnA4DlknnlexfAEndXCHiUrhTDQv2sKNp5J2Iu+lXK9orhz
htI78NrRwtQJgs4lpU30RrxJY77HxJpd9VUcp6mVJ95jxI8qJieV1gRD4ygOfDb9o1NwiVb8H5MR
TflKNGq0iOQ0uvGWJcjWNh9oyyr2SHuW/4+FjChWCgCn1vzDjev+3ujefwVmpd0EsZFRvxxQKeDs
5K0sQqMb4iN6T0AQuEGRgJ+U8r/nJQcoGT0oYDepe2bGPzDAtYF0xOaTzv2NB93cPMfLrjj2v/kZ
kIKVvhN0wPQ+VHFNtKSdHTU2xfshGaeD3IZp2Gy/RtaKHTta+JfyCA+kOWpsO3zpHB1TQ/KKTOdf
j8jhorJoGzLkXXMbcG8k9DeYi5nt8BLKHz6SbatX/ZeXgdlZdUs/ITX8zApybFckS1OOqRgFHWdD
iS031o0z+qL6UHDunLbx+yT6ZzbP/7mp+vTNNI4gsgRAgfqzwZ4osVna9dUDWbxzamX+S9CSvPqY
8kOJpwq5QRP++239jenf9tg5+R5jgC4qJi4OxvNkLORNa2Sn1ezAZlekXLt26MvGfffHKhRp9ZWV
dcMyMk3Qz1QYOOAPLfW4bIZUI2Tq4h50v/uTexLuZH8iXbWF63TIcJoRS2y8OJrDq+HfYinl2+iz
gy7IYd9xUn5KbexfkGflJAmW+rFMSNZS6/xe5sAS2PKippzxFrr9N02Pp73b/UIs7oTKYEan+j45
Tk0/XnmK96KovkDSLD+TrZwrbDD8KjbOk4EiFFnQZ0PN/itXBDP4YsleG9RlqsnSC5kvzIspx6j+
PBbhHdvcikIHVYrZHBrgumDQcMX4bMMIIj0nUFavaqQEdVtj2v9MWeMFGbshzvoBMn+7Dqy7/YEq
Gx6nVcolbFVML56WTxwH7BRSrgGYcYhJVlc9EeJRVdRwaViytcyGTpjtQOpu+uV8NokkktoLHXnU
aCLeN53EIDTLBeRC+V9HHQ5epgTkzWIikjpaFuYTA2YbzK4gnM+NcH5rm12HM2wMDBsvKS4pj/zW
S0GCxSKHmm6U0aK03mbepxvy9ORKt25CKiS9iVwsNEXloYuHH246FUd3ZFxa2DBeZvOuAS23mXNh
GuBLmktkI87Chj9HAtEX28an6Kx9ZxTWY8JLOPj9OYbiVSz2Dbj8Fg7ZN+qcSfNnaXzqJV5Zs2TD
pcCv7sWKvJvLBXGM4QI8t5uNhkhgw4Lxo/ubeVn/TSwgJOJ+0QKyVTo07PrHqI9vcEQdBJoNanOD
NAqSJXjcUpMFq1kvX1I0BTrr6ra2VnvRVCsvsxtoCQKQbLEuhllO7FLwbEuHp0z6aLDGzgLvooAE
MCvvWMiJT6fBBrIAhYRUQu7Wpk4RmsvGw2/MyK3ubU5CAoj62jGuvL/vsz15RyahkQls+AwTtrtz
Ax8MKkZ8ZHBuXCZcYc0zsSvWpH8kVX2s7eFX39sdZaqmvYykQL+oLDt3FfYqbOrM7XpUxQy9pwtW
Tckw67Yu8UEQXobv3SE2x20zMjxJ6Z5NTDIxmXnc9rijJ8Vgiioqj1rIgY9/X0h7Vbukm0KPTI69
1aLGMiCdaMYREjn1GImOTpF71xK54Knshqtr4UUoEuhDo5+OV33G8t+56U0iT+lS9TA6FcD7sqD6
Fu7OH0x5GHvGoH1rz2FZ8dADKhX7OR7M18l1fi+LvBiL0UROZbioid3kDODsoGkuiYzbT0pjVWxe
4CTdp3k7XU31pucwZDoua5T1A3U7qgbyIGDdllUWtAhhBaDCt5Hd0Y6GfqW/Gtcj2V7sMbZooMXg
kB/itD0YCxJsgFMwRymq0Srl7BvF2AY6hMsRa3hDEpPrvHkKsHWL+ICN4nCeM5YSWIXOArgdI6MS
WRG2FRIjcSIJqxuiaQGTPDhuiBjF22lmjgTCFL88BGS7tpfFgQUS2w1Hr89Vb7ySoXZyGb1bNn+3
JkETaKLkaN3k4sOEQQuyEDCq9mhrLnx6UsZlbv1SfkZUiuNTv87Lvojj7kpQGfWPm2SXWvoXKUHR
Ul0u4SSqd0JD0630S/Y9SyccuqTPJijLzotAcAJ4sTvRaUMeKHTIotbwVvJ2cEs+Km95adhgHix9
eF3Qz901bTzCukf5p+O3xxgHz6p3tyCecT2AVYKYTL5EqPO755aORAlCiod6/VF31bek04eI2UZ/
n00Qw1lTR8S6DRMLcgFv14MscmZH0Gxa3hod8Twf18L9MugTAsxbmCFaWKmTV9jc+SCkbQt2Jo4/
AJWtES1F9pfEiJ2pbWEQbh72FpFsxexfO3C7AXlk63VqCGfIPPxKBihMaxjbcK11BNBGtu/Vt06k
1qUjU+9S25DRjHrKQmLBtHORYXeJM+80FkB7mHOWobXJTbbUW0kI8W4RXR0Oq/2TFSPSoRyxC8HL
oA3X7q61hvkgVclD1+7MKM2bSZA5NUzaSzsddMEWDSSX7wNVU+zkjx7n5g7Yev0KguHVBRO/r8ot
n0n2/rNk6GmZ7efIldWYKLO0LSq61vhxBefIIeeCY1O4JYy2+YtYfvHNhtNUZAjoSQzyx9oNEc+t
Y0vF3M+HUnrjU9MBBheMX3c1Ecy73hmMm9vbjPd8e8WVzqE8bGRenvX0OimuHcRDbhj3XRoKi/x3
I/OqkzfXLLFx0JfmWJ4dtICyytkGJO/0aP4ubcR8tjnmSPwbAqNli+/nA8SFxD4kOvps1uFn1dV/
MMzm4Trrd82Zh3NBeBxLFiJqmeekbMEaCkDqSjeoM/tNCb+N8lgWj7Khh8njgeh667WpCHH3UaXs
3JWRT5V6WDbHBhvnUpOTxZrLLnhWs6lOD61qX2sP/uU0IEZudPhjuVyyPXJYdLTm9FrcFs2KdyVD
37PUtIgZoo24FvoJa1jzacOw3BOtmQ+qfRFYyMqpV8epHVgumJz2NOMOfoKquVia1wReo+DRlMbr
Kr636DH4uOjHEcxMTPPEbYEqe8SB8kgXIv5EqV7IhH7Sw5OAnkPPGPr4ZZ3GKIcu/GA8Ojxwl/WP
vjbeUSG5h+Nk/igmt76lZsuKhhVAQ+pquCYVEzCz8PeDhDJWj+3nIP3uZgDQOo6KtUPbV1glhjGJ
SkOVJ9s1w0Jl+lH3W283Sf/p5/N6bMvuTk91GLwFlQN0tcplf+wYMJwcgR1MTCxXoANJdsryOBbk
pMw10X4FNFkkhdp330KCZK74fId+TujclqBOAHVaJbvtVrgE2nJE4939JIhLZ7/SoYQURdSw82zW
itcuZpRtJ3lyQrqBHoP5HmmNkfTc/hh7oVx4SqryQdkZtFsmdkEWnTUhZKIrZwCXncZGe67r8LFg
Z/tNvR/67KGWaZSBl3CWMDEMoW0dlsKZI7t3/MAx9W/eArhBNxPw9wi16wKbQGUu9wS7TJQgoPBX
NZ1ix/6qvPreNGRRt6C46JqUHUx87ArKMPq/AZabsfkchqM+C4tjrDHCvgXGlJYUV/Td/lEjkuB9
LtbXpU/g5ZjK3k9T+dnoHYxzgsUPnUCkVuYWTTbDJ49hQAVBK1HfxthYjyYqUz6EKZmu9VcyN5iO
Sw0jHw90no5Rwk5Kq8S5cZmlj7DfOTTWkzbjNugZah6G2gggTW1jKMc/shq+OclkBV6Vr8dJEmjB
G8/9hQEUlYb8q7k4eh2nwahaNJcxr54W7Sf7ODFDlFlvNeIbE7cmVRsNOaIX7oziopfqQ/YumGY2
u7nTUuOIL4WZMYhhyHXWVUvYqsZzdpDxH60w6cUNZtNa/dYM5X9s/H6wIRAeySHo618d37nIop/Z
GTDPzbZQKCIDiCpfOOGTzSSBFcugQe9K7bGwjOFftGiMZkTQxWBvOoktQM83XlSdthEx8i8zdSwL
BI9Kb9GIXZOLdkzXhPWpGb8nBfmlupZ/iI5/ITM54RUb9MZtP+yh/lXSdgGWWf/a9or1G4RcnyHo
mK31W9qkUVGsirXt12LDluXaY6Sp3RHVfNbJygMzWFvmauQzxUum/t1uMSsStXXx4pT7ucK0Npn7
Slnf5zh+Kwv9kjFBsxZ10sit7bIEkWi+H0z/R6fKNpigce+bhKSPccg+Erq4EDJ0JrWEI7dAxm1W
yx5j3LcUXxhBDDmjatN6h2k8U/wMbpQbTkl2DS+XraGaE6544uXr34mweAPcnT9Y7A7vyubUrtwZ
lZinApfe+sSu4q9DX0RNqrN6GgaCWuiGD/wOHmLX6TzORMqpxhbXfvviLyyYGjzcmQHVhLbqovmG
CB3FYEL6tXMhG3ikdF/NJGEEjOgMDJ+O0QC3hYCRQ8YPXmVFs6gX1LEmn7IhHsBwb1+KjcqlTOe3
UhQ8ABOnoBuy/D47w3CSUnwubrKcQMh91RyiKPun42Rr5ZX4s/YwJ03DeIjdGfIwLKQMVuhShztZ
3UFpOfErYo8Pc5jbSCAiZ4zG8gV+2K9cDtiKYQW40rQOHsBAYtKIbGD7T3dTn4ko/66ZZYcezslP
jpp/L213G7V+ORmwSHdFT2AyU2F3T92OjrFqw8zr/gyGfs/p+sPWcNE5ZDCFCofFgo/5fNdSDNN3
GRxaTvqpWZYVebIc736bUl3OVFbppkklNaHp1W2WRsRqw8akmaA2QWKE5qcrWYLjwdCb9GLhPYy6
/u+/q7mZ8J8vg/NZytI5//vi5ToBDlna7nP4jTHrMyy89fTSshEedOcjcxe+28hUHevgBYv6fPn3
V1mKHs6SYwILoe6fBhoXWJlg0vOCCStH4Z/MksQC0PxKPA9Ra6YTzZTzBqKA0tOkT6NOPXCgbVo4
07647FK+5Q6yfNd510cer9okOadz8Q52bfnpVf5dango7aL7Beg/21eTx9ahhWXhoVgwBd78fKyO
aQE9IO4As0PfE6GXUpmNeZEe8lYal2Qd4SBUBgkzm2cH+e42n7CIW3LMO5BTNCuiaI+Er+yypHVf
oUI4rzkah1DNrDQsMj/iFKBHTf8EDQsbJFNLg2TpXl6ZjQpsf7DHLKN6zFCqabyJmTewp/As5Cny
Nf/ejnUf6Rlqm8mPwFitrJ5uDRvHE/AWbtOK6YihwfOUFTMxTTuzxfWRMs5vLm8od67p8SjqdHWQ
tK/59mXCm8c0H0lUWa95lBnyswVl1nkOEgZcxsVGB5Mrdwzo9e827sydGfPbzMygg26W3wxQKmfL
GJ552sij2yYHCUlxNdLkKciWC9qmPE2ZKAJcoA5XSkcsAnAIgrygEdD6IVdEq75nTnYskVFGsxSP
DZUZ1Ri5dnYWa4fM5NGEeHCH5AJZbT3Sm1c7IAe7cWYThmxa3WcStoZkpeOmu9jZNo8em3pTn8YX
kjKweNsvmVs2D1YziCRzE4BDT1BzZ0dCOodam4r7WFvDy2AgxWGATInvgKWHXHok/UQl7REaFrnN
aPsog0aWqEp7t7EOXvjd32dFZ2J5gDdB9/0c6ukIQ3+9uv2WfB+bzxQtomejG2SuhWeOaEm7Gp3T
3E+nLjFFmKSsrmz/D1om/TAsKD2LWMUPU0cHHutoYdpfCibWayGq7A12F16w3meFsP2RjD7szz69
j+2XYev2662BdhiwGC/gHKBWVTqBhXgJOliQJ6fNFxQx3aZCSTeneIl32AnLWXiHRdc+58YL6wVd
jubXWA8b/GpVh4dw5YD1HOO7v3jo76DgnYzFeu3tGGkfQLdTx97WLHGKJ8CgZy9Fs6T35T7JSXOh
BLgJ4JyTkZwTc3bPFSLY3KGjSnSwvjzkS5RieSU2h30NSnb/jAbLP//7q76pX3XXdQ5wOcCsddZ4
gERMaeT1MF2sV9/VyKdAuMWunAVMKc3h0LQI4MyCmD49Ll6rerQDl7Gr1IqvSh/b50jielD7ZXEE
RPq7pOo/LW2VoKmj2KdtW4rQ9dr3QRl/POi6LxAn/Usl6vfUN0fG7vp/edPHnN1F8VK43HOS1xo1
44yvBv0Z08dT3zLqZ6lBcFt+ZN7khpNygPtkMvL9BIP1nPH+gie0eGOZqcwM60qPKy/3cEw47hln
jbuTE92Q6IB6rAs6uXgYsUl5jr8nm88Kfc2Wr7lihD/0GJm7X9KyJxy8GkntOJerOvmmI7nbd5XE
AoSmFHe9h9mR3Esvb6rXrfEs+4VObDLPtWCsaaZ994pb7bJmCH3xT8aBRwhlwCrsw/Vtg6C2bdsP
9m3zsJNpEzmSIoNTPr52GqXWSgfYCb1765VoD2KB6el4hLkoHztYHvvu1eyN8+zIK8NFQKBWZ+KP
NiIXv9VZF+Qp6hKVGWmnMjH6CyAJIoGaPyPP0gOj9xg0Ejdk4kYs3FU0TnVP0GeOCYQdnA2tlmO2
0c5jN9w6epqdMyxY3wQZLRWUHgbmZGojFHnD1N2ACm19AHioeaHSoFxXCUiBDy/Vi9dhVOJQdf5/
i98RpVCrM70IVM2e2thp8rc1J1vebnMLRg0HSsGmGsVTdbRbbPDEg9uPbdoTG/nv2ouBtHDa49ys
fORW/r33RXyNu/yTaYl+Uz4RKo3noeHxmHZJvkykrqEz7E75qA6rVduXTvffcmSl5y1FWUnr5GJn
OQjltnsTZ3DEVtDYpOA+c2bcBA6furxMf5iNIkVtEe8NMc9nhM+o4s3hnNQPgZaTuKQXbcpbZMUU
1IPhkufHVJeO682pEYa4ynVCZ2xPmq/L0+xLQnac5O5Li6wuytyFBfB+5jQN7NadQzOPOyjH+Eu0
JAWm2F3oCp7oxtTb6CWhqhbOap36JfPuds1IknLeIBrHbgMmAHqgzWHNJXTHFdge9bX5m5keptF4
2HKn67uUww9tKv1rtZKjWmMlDtilNoEBrDQs4v5orlgaRWLtYbAXZ8+yUyi743u96WvhHlKKOTig
5rZCVRBbC36fNX6aLKo8r7Yp9G4snuZoZChl91N1nOr2La5wk4ykDgshCMKTPorjSXsFRvqKCio9
eaJGUWCgl507Sv2cZNyBHvCht70eQSEGmmo13i0dCRoEHLyzcbZfpOUYwWIhkDSbrt1XM9wOJc+/
qxnfk0nW+j+UE9OLyXGMo5mMZwaMMEIwcSbE3jEloGOsGwk3qjkwJptYOpPTgqcl32eNrC/LpD9K
TMDHwdXvTYJ0OfZoJKxerB+YesBybilUjQu9sdNVwUThN/G6+t2buZgGJeShldXrSBT0ya75lVWB
GawmNYsUFeR3ufMfHnqSRwZTD5NRfVD1jaeecerV1YM07W2w3jw+VW1/OIX3wh1OeQgg4ZnpvOvD
9F2HoAgSXR4dr0SAmxT/lVqVHVYXkTq+5y7V2fwu083VCrjyBgkWkzSPVqqb73V5462oD0M8/jFN
6ynIWAKTO8z71XOXC6lVPvHA3p/EYXQ81TojKoCbQd6VPxU291Njus+eqnBPT07vsDbZeaXs8rta
XKQxictCKF+smhC/TbaTkifUYFYZUK7eGVncHaAcYdzo8RXFEkNbKau9id/t0jlkBIs1T8IUtvn1
3ybVsdeXtl2wc5bla5WBka2XOr1p3JyHtc7/GEQp7FuHUXqlsP+3Vn5NHDzrm5Ay85dX5CMhL0pA
HpekTkl54Bv3La2m4jQP8aMkJZaCSGQ/PATSp0rTqyB2tVM9DdpB6/r1yJjyyTrJOelzDqEAXRNU
20tpti57YHTiTc4VU7RbEhiZBXGc6d+K1N6cRb+6uHZOVJNLOGc1Ylyztq/b3idVXuT0kAmUSz8j
RjJs3EwtF70BQ93byAAILQpiy3rmbaWdU8r7cLLdGY+tKF5i31LB0jSYX5nrlw5NCeGObpCgsrp2
VZ9c55ErcXGpjVH1R9OAiaYtFtY3LvP8LP+JZBmyuoaRC6AGxIT3Lh7tPWrl/do7zokz8AtZBwtB
b2nCtHhpU6d9mhic8IVrY5Dk8E9NSGV9vl7t+tB3U/tYC+U/zMR4RYqsIqG+993gX7Gj9K3xTFGa
PuNavnULs35PzL/mGl6U9KyfBLMOUTbJFpMSkznlcgB2BZgox6hfbHu8Es3VDbwZvVNrXJ3ETio3
uTjISlmr3Dj1PpeRSlsxZ9Wh+/+PpDPbjlPJgugXsVYmM681D6rSbMl+YUn2NUMyQ5LA1/fG/dBq
u+9tWa4qIE+ciB2kVWm5EXnBTFJZT03vLydPjYDGohLtM80p6TPpW+d2r9J1v8OqyK6DJoHiLqg0
mlr3vQjED2sMx3OR08oTBkv5itZwsvmbXe00fTWxOrraCn+qAqhR5v9JY0X8trKv8Ljmd4obfTIu
ETfcZ05kFKzjGN42KF5AU+Tf0c+jvWvwgKgWI3pYJr9JMpPGnjAyTCm1vUN2neeiOPodoKgSbDf1
v3wxhjfIQ03fDB19GEP5HEoMdUpA3XWaivRNKl4XrMp75Ibggeaz4AGzaPAQ6/G9cef49G8BUXbc
tkdvX/AtblKEr5Fu3CdFoyJshGXvuPR+O7lBVekrIIwuNoHBOuFLDEGLMdWH3W7SbYAMkz4G3sJ5
CD/JFnp2TzSZZG0yhCc8HQueDvUwUUxOc2BwTCPnXmMUO5ZrF6thJXnFHcKtzmIEhwwgQ1AfHsHf
qZKndaXZpFHLqpxe28zD01Ua7JZLh4ugSz/tkmVwN5IG6NPswgQRncIoxoSi0eUHh6Ro3eYPU4uG
11VZu6NoCZcVhicwTOs2zC7KC6UJeDrnjbKala2cfhofaiJWrY8JaDy01gx/ZbCy01KBspx/Usgp
rq3hE2Y5fUZsSrWHCm1uxUZqdlyPIn0pe45aoT0AYe8HyEFV+L54ZMfUpDCdVW+YXl8buHo2oyor
L/+pA3UVtnSCOgFebWn780a0WCmGABdhw71Y07bS1/I1TcOP0g3UYUmc9ybaco4kP5bjjHU4Cm8Y
Bpshf+DeNv+huxS3Ifn7aouj2SOKoUOWBFguM1Mf0gaIPGKmu7FHdR2wYWwIbK9ZtTDYyNad93Tz
YBjonGfOaYRqoYAkOzOl//UV9iey3WbKkoM1puiTOJn50E3bsCqT7diz9eJ2+t/cTtd1n8lc9loj
gsdW+M1AfICN3KHVZoTu2+aS6dcUxhVGaKBDWVqegZDvZIS4qCaccSpB/RU80yeX5uUycqkWaCkL
JGGNBXL07wtbv2chKAqDfh3jS5VPiuUUfcGR3A0g9MeZTR325R00rB1Mkvo6aRk/+lkxbQTyOMGV
4oEk1HYO0ArbwP8YrPiy4Jl9jtAq9glkvEPQip1s6yvMtpEiiqa5NFq91Ma994aT4jSE5jg2yds0
JBBMCXO9OV4P5Ma1d7rQDHDMa2xaaywPq703Gtz/4rj2nik7CB4IVchtMag7H4UF1wxw7lEShfVS
WrZapxF7gla4uOj73gEzpuCvwO/mCpnv1fw922380PvlGQb08uDPQj6t5yM09i+zTHTH+1LuFx/e
01gQ1ZWufQuzZl0bZOlxWXhgGOYTYJj2s9JEw+gpQGrHm7ckOr7jaiZYNPE5YVj9k3ML3hST/dPm
rE4iBypCllLvFKn7PITIBpG0DmWymL2nqBaN3PI1MQwhAQ6TF6e37ompvvKlIjdakqyBSXOMuOT3
9ENgNkd1PnL7/bCtIbjTSNYdyZ3y5Cn4OcPp7IzRTFiMm4Ix+Fbaqjlz1gkBilWY9mYEAE78+dUR
lJ3TFr1WdoBw7pL6V/YGTnY6270ojiYiXzqGWz+s8+uIkycDZf/CLLBpB48bawhlLMkohBjwFcC6
mLajAWijContN0tuBSHYtrhEZERurYtzX+nnurLArjV8oIauehVr3c6cpuKU+kxGjXhhJ8wbAr8Z
MyAQA7vL7+UM3idYmmuraZYiWedvWwudUrOWb5a2IgC0QeVkSuHcYbNwYKfBo5iSE9HunGDyaQSo
Y5ZNJmYjO0TPUSURyHOcxKANCQSiq29rf46OOTml1gh9cqblC+SOtR9ttuJpxR5YcArlKrSJUokJ
BiEgkYTmTMYZ1jqqYWJAk4s4jiex/StY/LV5UwQ3F57cTq/kKbv6VY+eJI6LrRF7vVYL5ipLqFvk
USAR9N5b5X+62HauSYoBC5eJ/Wj56rkLF0khNb55lrrXTq03IjBsHzxD0EfLk4j87z6zz0lM85cb
S3lAFPsXkB4eNeMADjMLtruds30O9PLi9S9+NUKjx9DMG0/mt/X74z+7SNbxbnYzVwtFaeu6eWEG
6aAOBW1JDCNwtoNX8BCtm2PSVj/7kbj/2Gmm2AWmRdBA6gN3uIOacxlSPcFz+WYS+Ds4ivgTRiKI
FRFe8dE65fPvpUmmQwSOdm+m+ssaNWpUm7bk9FWCockDhWhzqg/Xis+uXYIjFqjXQaNVR3HxNES1
c2pGvNi4KCm8F0u3i/q4vbfZamQE+kdkqkfRT3atSgidJixcBJ0r+5TuB3uWuH+YyfC+AEcQtTlU
ZeEfpsH6FUkgjsHIapdHcbiBQk5KwzNPxRIVxxhMkWUw4Uba2Jt+rn/GJo8+Wb2SafTuVkBGrO+Q
XSIcvHP4oEpoLp388tSkHytiUljgItYs45Y6EflU+MtXWrQcnBSdyXOewp+hEboNHzOQAYR0amsv
2vIUE5w4luGQ73WR9L+mv/ABD1RJiZ8z+R9KIJ3znOGSkaV+d4je0lcPNwvW8i0KWCAgiYZXWblv
oYX5RpvFO9ssY8ihFiHHOPaklWZrXOkA2Qf0Fjb/HiOYS2LWJvtNdhXHR/vKOpz+eppeWK4IFrf0
l2jdcB7v8MdBgQkE+y/SKU8YCJbr0lFt49TXUKtfyjP1Cayuc+9JNhIDeKch7iMeAfwUuAivE8o9
4q1h0MX4pSe3hb05s4YKbZpqsZdtl7AotxaNm4fEpsIXy8h3lOJPzq29cZbkC0Z9SwV7IG1zkeNM
wWHCkWX4K5jZbh1SXBYGzAzK3SEx2ns/cQAKGCIWEdw57As+zo6TwpeCqa34GvX0l+tjOs++oW1B
ssCX+JwIKwEQ7D3sAQn9OZ59o0SkOKi58zYWaa7XZPDOs4X3i0pk2QzgauYQ9FiQ7Ya84VwCO2eb
IigCbTwRpsZtu8aj/4WWpsklw0673cFLsPMjN3BP9axwq7A8PHbD4pzrNHsXufcW9VVxFV6IRFh0
eEMREbFFATRKLKzR5Fgp1eGWZLnNe1Uyeess9Q8dDaKbMTTJ45iV6SMgIn8TJRNrBotdAdT9iwZk
fhvK8SM2w3zwhJ4volnKk0f3LR3INXlXmHXTbNwtRjEWpFPXXGQhmouzfgGrARrB4g8Ooz/L6FR3
2eRgsiC81TrepqTQBdHFZ5etPy/Z0u+GTL3maPsVbunLUjv/7w5/tvP5hFOFEqVqJK5UUFntq++O
kw0rnZ5CLJKkBR59f5bj+Z906a76ZVSWu6xroxMsA/fCqFcdIGn88krWDOSDarwrbnbLdJocZvmA
7N9swq7PbzpjHcCyhB/e67vntlTjye9oaC31nYhrQ1AEI1Vps/DCqAx3zUkK3m0bmZkd5NhhLvBs
jjCO0/8qXM/Zj1qmO+i9GRpG8lZO9Udjm+I4Bxj/JRfmpl853Dp1vmd/oNRHFuWhcr+mpn9FWsVo
1DogP4eePxS39No81uH3/Kor5GW6qIieAuB8MXrU+5xQdO9V1QYBaHwMPeuVKkhnVwNa3Jke0KNR
+1Zzl07hll14GP5KRkLq5ibSuHyUSdM99jmcCtseWdpm3uPgOWjsa10jTj7GOfmNY6nDFquTR2hj
BA+z/Ebf/bzrJal1CLHlEaNrxHulpq1Fz+6SRuiI67fpgr+j5GyetIFmKOR81ffjYWwGJh0ZdvgP
OJyoUj2VPpYFf03MJTpYu4fkj6DBxgLj/nFsve7SYbcgISoPE/TkK02XGEfxm0FaIItnyAA7XdKd
cMNDiF9Nkf9+NWsehRUw/X+WMatEQqi4WXG1+MdhCWHCCqpc7VRRAIingme9F7Jf87+tMZ4PYds3
nHX5hMMMBxDMYoDWzO5IO/nNmefmhBvv6AwO3ZM9oBTTzJpZh+UU5niHu/62zX0Ci121ipVkMch2
whULKrOvBFa/BF775d+XJkrl3gmW37VXvM4cvO4WUE38QGjraa7+wKNlqQRs3VEZSb/FSZhx5reE
AiuKVbozikRznqK8OnchwbRqvDpeKU6FgYvCR/LJWyno/76Izp4p1Fl/D1gWEbQXbLhV/AmZEFuc
sE9TC3evZC+1MaSxd6prSMR5iTjaJdIbBKiIrFGZ7twkefac+RHj6HMCF+lIEpTtkACfnYSYVlah
Ll/C9kJKC4ZVz6dlbqobtZ9PwuNTWc2E6TEb9VheSl602KHZG+roZiH16AKvmKSfvRIaaE5R1H1z
HHvOwvxYRvbDPHZMskLJDWbhHz4cjXApw13kRUhMbr0bdfXl8tLxkcIhE1jXkvIeifV7F1IIB5BQ
HyVRyI1vlL52+Aiv7vqrIKvgd5bWKVhdlv/8ll3IbTstyWusLqij37OpmHqU3l7a4Y7CuKMknHJP
ouSn0MCZPU4Fi47/mD54Wv8zBrgiahs6TB0jv1icHKb2qcvnBIWPbdZopw/T6m5jHEhJCbGTSnjp
8AAYjS1tKKqtoFklb3joiii44gH9PeazdegS7kcIaRy8a8k/m5+d/qpLyjNTD2FwoHpcxKyu6NW7
13EGrmf9EqOqHUksXIkaTKwFlnBXpkisCBocPINku6jeP89h53NfxrGRBKmkd4rjdNTCNG8MUoTK
1PsS+wRxekkYU7W0zQmWLU6uH1gNAN9IYZrX2FeShsDjILMLewSzlS2WoRIXhp8/EIN5sx2oX6qe
+52c4xuovs+RUOB5gSHYLh9ebY4D3REHwM5ys5R99VBRy879Yn5DziwfSPoMz6lkkztO0HNKC2Me
PiJ8YPml8XncI8PuPfyC2IrgxRQ9Dq9svHDp5mfjQARpSwDGQYotjtA4W/n14q8YaNry6icc+RCO
zhnLeLSOsN8VAspnOAB2VQUXED1tCBR0VVTnsuMsjt/ikWANihciKnoUqzq7YHccFh9RkTCMJeKG
feGtznEeJRaAHm11/pvxOWv04RLzyQqKrdf5j2bS3NwbLMfhcJuWW2AX0cFpmc+KH3E+mIub2Wzf
V+Rn7H47gsc+OZ6vAYFoG5TMBdh24X/OUj1mUXJthpaF9SSdk5qWBjAC3Il0jD/FHL64Dv5n1GOC
ofn8ywZhsNe+yzAUN+DQZ3r8jA3bxkP0x79JUS++jo2KYFZ5FViYtvTOvZ1ON7CzaK4ZClgKDWkL
B4urE3/EYaYyIre6+ZR6qr4AXCPBLnqWzoQFD039h2JH2F8ZziINL31nxy4qNOqdaNCLOs363EZ3
2bcjkkAw0nzSOOFlts1/dc1s6EYH1wGRiRtjj1BGYkkSu8iWjrpup1PbVH1GRK0O9rLey6L5zuJy
vNBBseNNEJfJwCrCk3GCTuBCRE6ac1+6l2D9XUj+6NS60z30eVRPvl+th7Qz8DLzvDAbb4YWvyG+
r8McZM2yOQamBAmcpqdyvczaaKloLnTSfUWzwiPgMiAFTkeaiX0Xj677JA33BB70y5Fmmccl0BjL
2hYvPHmYc08J8qYNGr57h+GoWM6xrJnoLBjnoU2Tm13QBmeFw1Y3WHZdOZKvj6q7D1QFQzVDIgDS
h2bMrJ00aXaiduSjm6tXrqlPzg/yuefgqqvk1qTen8bmGLpignwr6x+NJcw5GvUbvPt6M8w41GVL
okcElEaz0iiyBKhynh5E13a3Yex/sMrGjkHWh81nTJp+5KDn7vqGF2lyONcm/qde4NCkhCU4O3P4
mOXrZHVMw8gcz/i6lL/3YnbXchJ6HxfpH12SThs9npfSvAVzqsjSOPqIgJOANQ+HZ0wC+5xqU9pA
aLdMkbePizW+0jB1yRkUOIqlb4kd8mBL208/xSZpA9vIWabU/U7Yacs6owwOH+kIC09Q/GpwaHP9
zTVXZ8GJ6G6Gn6UTE67EbLYtdeTxUnsUnMCklwmNh5KdynGAX3nUk/3fOJXjYV792IoI/D71RALO
CsuAq/Gil9zeg5wc1ZAeDHT/bVHzo4uu/pUHst6UFgmqVuhsyxsp38IBECuVBedFN+OrmMkVxUXd
b5ZIgyCmEAJxH5jliRvy/LAkz+zVr4l2PpcsSw+TKWMYYfuhzT2AMUxxo2judi19hJjROWKj/6/0
5E2AkwXvQd9oGUr/CvgIdZPbIe5vHg+gC7p5N45FfcsH2Mmz5yj25b9jxPG74AfyBOmj2nVAfyVY
yVXavdtiJHU6Uhubg9QAi+USKMVrRVggrIIQhrN9Smoyk3EQRQyL4XXKYLFSP7Zsh9U4VjWBtSms
0OzxYyekyeQEMH91b0GPtZm1duMAvvKowrG5gINXUXKc2aVgbBt+CAIhIHzVvBMZp7JY89nsmo/B
FU/8Ja09xnl4UI51K8vhi3Zh7+DmRbLNsljuhQUCKvcas+vm9gRpsUXg0MVx4YiKhcojfpZcqoHi
t3FcWSCScZkCic+g54PP3vvvUiY/bHfkSEzracpH+0Fj2+HvuOx7k/50m8YBCFkf02H8ckqyA1bG
UF3W+me69OaYaM+99pV/6If2xUqw4dApd08m7O1RgGor3K+qr37K3tyjrjwTVrTvyUALuBeTIRv7
/5acwgc3LUB0ctNiawf6WqDNUK/QNV0G0sZwjFuzYrFX3ihATbd1A9QQ4soG4+PkGxLdMvi0VmAf
nZ5cNlFECjECc4lB6uRk6bLBqGtdLHAQ+45++/2c1Q+ZtRSHokQWLIBgWzVJfx2u6C641GAv/Ucn
V/l58IBllRKHku1JDF0rXUaCSTwa1b+1rS92amCRjGqIDXwM26c6bD6VxHORiwkLgk9bqMDFCSP2
15iAtmlhJhyAzYGIXAHCWSFJJnJVleNQQt8ciq2fRNwQR64jQRfrzirH4gCHEBNOXJ1BsnP7hl5a
d3R7MAfsSqJn2wIkPg8n5jh/VBYHDoi7fa5vdBTgSxQ4T4R4wJ5TYav0U1KZ5sCODklAN3Lj8hij
3obGmVV/we7BhaMMKqzwjujqRALEeAOq51wCDKMr8TRC3cWIwcq9c/JjT/ansaqfbVEu117FSC41
fdLe3O+nuPfW1SlUV8P0JA1Ozyx55FgXvPXvbQm1LqLoQBltnhLMmhzQhd4gioC4ExrjS0R3rIPx
UEfBs6OBmwweSMaWalFcGxesGpyolfcF8fRh5LiBPDUcSKpQ25elf4Uo/xJYm/DjLC910buQUmww
7fRcELFX4i65sVq7vMUEr5T9GcfC3jbO9ENpIC5zTh2EHf6p6v7XAhpwm7pExJgktx5Zi60TqxDA
7LSj7XDaWfHEKXNfVoZiWcaCbZ4x5fg8Exsf1QZZaoUF+dO28KbqAHXrhERQHshR8nHvmaiSSG/N
OP4qJ4vcA4vcXaaBllNVMTTqZ2j4liq6VZX7DSLZeeonHV7LnsEiDert4FNRQLvKU6OH94TeU4wc
fx3n86WZMBXTpP2EXJqsgucVcQp8MyyluaT5Z8gp/BkmPEkkz1evz8r/Kc5QSeYX3s0fETF+YvsF
lhnKFPsA2rw9PzHKqh2mEWurwx8YoyRePR+vXWP4RExIMX7mHZb8A8IyeqQ7f4c5/Wj/vmCfKZn3
6qvs8vwc+9NuXJ8iWZ79HV3B4jzrBNvVDmq6/e56PKXjrHxuI6NQ3JhZsgozQBvhCCzHkWVUnwy7
qQcdG7h6OqL94gAcSTfPOv+Vun1z1H67rd18nzr8/WyvSznK6PSVSoUILXJT/3tPs4pbajDRkW31
I8uvWp1Ny9gyYQs2mNhp2CHhWgAn7jr9ZlH0kKR8zAOhSBfGPF5k3raHBD7jdiRDZ0XkyRKO5oWm
CK3Oy2+vGn6alqRyC4TwpniGLFPwa8zpvnA0/jSvigmyRpTCC7I/sWBOA6At6S+29mXfWHtGrYwe
ZnnKxLTeE+GCZC3mfSLa8wKMCqntoLKMdawV8uxU/DjVNP8uBzKkrUs9tdPFG9mFmC7gZqKoznvZ
sABfoukHy5QZExKvD3GRhnsG0UtAsn4kqbrHl0EPrQ2H6gh0iV5mHIP4Qzp54oNiDrUTU9rhLzZh
phZBgn/yALz8m4vjZaZCefT77yoaWnhQJVdxuOCZg53MUmIPaUZsMJ98mIRXF58bsQFeFeA2yaOu
vfqgyJYfmxCyG4/w9xjT3xXoC/ZiOXDVYo1Su3QM3pH3DzNNsKQDoQzBpGLE4MBb9MG+BPeGM431
uYWTyfsFZI6L3/sEiGV/ADK+wdl8lILQb7VYf2buVVmElYcX22zsaCk3UqFbZyyg6S4D1CVYfAu+
lSCBVJISr73+0Q8X5OXY/juHhBCatD07Q9+CJxqtjRtl99bHcBKxzZlrFnWqxIMKLLXaNN6uQghr
zNdgEY4O0iQise5kbDzjz2Ui3dxY9ttIO9iR3ULgl9YLvFvsTMFzgWy8RepMsXyWD/i2/4QaNxor
l+dU996nyDNvIzXJAibwAr7UQqah/k2IjTLcGGhU4cidWbp6a7LEpiftVuXWqrqmSN5DuOwSxWYg
b3N6/xQ7ItSpYCQH7UkeMn0xQIHkuuUnzDoWpKZELZN1dRp6piyPa3azWBx4SR9MHgm2jNKH+9S4
31ad5ocyLqlYNBleGavZkAbAbRRhOGzwIiG+We9cYROHZbkLojtAUnmjcmPj54u8q6C9lmlF21hH
5xSNabcIQ8k+xmQMYY0bLBIlbn8093JyeEvdnW+877YB/y4llB9ZlQ/SS5tbM4ZqVzrvY8cTh70z
CDo4WtxF560tRHdanJkEejQ/+KZTp9GhV7gp2gBLO0Ql/lu4rjigKx+SOvppd+rS5QyZutbpPtKQ
GlpeeWNZkBJ6zPqmfXVfGsvlD7AMCy9fHJBky0sG5+Da0EzRqSk/JpJbvhXP47b1JI3oC26dtHPp
jEAEKzsqgOXqhemwevCwJn7m42MtdPIpne4slWGHsCynUOO39hjpG8UdMqDDOgN8Vmc11QCYR466
K3iokDznoRqanahzslVJ9NmSWMtIVlt25WAUoN2xgURxsnxEuxC7zcklYslix6M6MqL5DIWAUh/G
1bogQ1u5Jx5dcDvA9c/kZ5jub0Pb0Flfps2xirgShNU824KXzQa+DHjFb+BjZb+GbAWPh+KDbQXV
jETt6OSxwyMafEBzkwXXz+QAN+XyStfbPjLZ8g4R5yHggjtyRKeUqcEFAfInEFfLqctLFUHFJvEP
U6FQh4QKmXge2FbS+vDDo5I+Nfi9CAwHeUWp4uj/pJPK3sa5IAai11wrRkM7Lm5T5kX7ILUxx47n
IWjZZNFXFnKz2FP6oiPJOsIUD3mW/ed7NpErv7h19BDuGpL2W2FbxDObWvDQjh+IJ3KImilXrtNt
aDiYNrAfz8Z3TwO5+TqH9YbXtz81QZAQcEie3DitiMnCKyEotbXwq191Yf3OWxYkLbaDDQdx9pPS
e07LDlBMhnczZpaO2oe5duQ2bIHTOzU3tnxp2mPTzTy+nWm8BdLFB5/Ep9wFOutxC7BzmHfpYIDU
sWooXQe8WbVkz9qwdvapFyYbBrSQEwz1g2Pzy6xmo4hAqtIxAXUaXg/u4lGwUJ2k3Qa7IrWIMBrY
dLDc/jWkmiAaCdTzYLdkSYKsScuNcMIWY2XSPvo1KwCnfbBzJhNjKTKQlT5VU/C7UQCmAYFvtMtZ
H2fScpQpIMgI6gsnJ3IAs4i/ZUwgkkZdzNTD1EFTCi/set8ZtItTRPKRbSUyTocmoTuDA8DL5QfO
wfpgbOsr7BrvhA8aSCndlGjLhioUhCaMaCV+RMSnwdF/VZOenYlBPAAaxJHoJ54zcfcwqmw61VM5
oqo7iYwTWFifj4gjjqyqiVQl7Z3s6IU6oAdZBsuzPVSXOYScmbWsNn30cT6+M6qtn9wmB1ekxO9+
SoLhVM7+V+ny87nTdODSeKwbZp8lnz/zqT1qXJtNSW4gLSfaWhvQejwwflr58lkkHL3slhlnGQmo
eKndIxMV2T6HPsDqpdomHSKvGqkwj2rPvlqpphGUAaRWMIPaNFLbBDEi1e6bs/wuFkGvBlEFIwj/
NLlBufXnnT1KmMtvnRtrQGS0jlpIMJdhKI4IPNRwTQUfueEtW6OASrtnIQ0Srqg77Ii/BtWwF6Mm
fcFN0ms7uiYWHgpZL5cZWwpC92kpB7OncQeEaTwcxpj3x5256oSV0erlTK9OL/5Ok2XeciVfpMDN
nATy09NOvE3Ap+1mgpo8DgZn51C0zW7IJ+3ER6Bq8w8bJStyUoPxaaevPWeiUyubW+aGBh9epUD1
dVBf8meaENMHvxn02VmtnhnOJby77gWeKLbv2P1dB3m8J6KD5Bcdy14CfJpxgEVkCbLduIZHF+CQ
dyjzDk6TDW86PJYYWdNEFluJYt1YBPLkRT8yWE1nsjTjAasIox7SDDfn4r+8bdatHOgRkOQIsiQt
SQyP0epufrek84o3i9jSpAk9Y6ON/HbaiVZyDPdt7zSb/jPw0YzAWm+6flJv5JgaxFQzJebse7nN
7hii2yC0xWJ6YTuMdcWiHvDqDvLNqUFV1RFCVDx3j27TH7wpLN/8IYZtbjN6cqRmXw9QcKyxWQQL
XetJ2f5IqFTcxVQG3vNpOBgIpudknuqNVcuXAXX8BTQT2/gChgPgkmPpGbZwFTFWHo3RsxIUmIZE
OxaHNcsy6vYlYHE7TcyPvo/VoqRfbB8k9XNhC8BzzGSrH4VMB2633PS/5x621Iy19kQ3Ig/RIgwf
7LqhESf9sfBIecQB8ycJiB9UkZ2/moneQT9WZzV5T0mcqqOxW87RFVuw0Wn0g8tbRC6mu7qkZEKt
DxrZ+r1wxH4UNSNuVT8pGMRXViwaFfDN4E28FVGMbjB4KRtL+xBqNzi1Y8gyPYsOc5v+pe9I4H+2
9FYvTPqcjD66EUQK2tuTMhyoSs2rzIDAZoLjH/+mdw/IG+5q5ysGIX1wAo+LwsIynOW588rmddgv
aq7PFilHiDEZjw0NBz9jtlN+aO0cz4K+I+kuigjtZyMLPEvhwvNrbx9jSjvImtoXVjh//YqNZ5a6
l3FhfRS5CUB89Y2ETnOtH91lwSGFjfMNAdnfhb7BPf+7d6gq7CJ1mDiNh9HRxe/9nrI3OBcE+TeZ
96NUvfsS0b2x6VM7PpBlg13hQdDxXfcTO+q5E7Y4BCFlERQMcyXRudG77dOQY6mwnZ5UoXwri6Im
0tbwf4XYzJtUQ2kqAf5S98BBxYbgHU3jfrHKR0cFkA2WVf6dXTDeuQtx1X6JnnWsIFTq7AeNsLDn
UsZnRsELXLd0j8uqe5my+gca9Ec6adxAHY9TU74JP1qHFIs1MAAILmiUGpAFlPJQ/uNQYGCc/jX2
i+oQOPBm8Y2z3W9hAmluM3ORcfEE9BvCiAo5JC7m4uvgVk7F+iaThgnbBgeVRbhs8PVD1zYptkhx
1gNo6t5dNoP6MaDGg+/sD5mjhpNlxV+dE+Zb0AAYJ11SWg3uhX1oPmaKGbeIqvY+DdGx4+ZNGCv8
KOaVGg6Tjfs9a5QGn8lupsKlGwVbCFtdLSLYSCvWzdWzd2XXKK+qss5VVNHSPWEtigP3r0Pw7d57
ZBD5CKk3Z/AuDomjXZrdKpuxyHRwW62WJkvD/EjG6qddJvkPHgR6MOe2iPxPYKykBL2UjZT7HxbM
9pT0Xfw4dsWHYpaNsJXxDqbkEbi+rkCjsWBQ+aYT94kaODSAYDEnaekvtUALM2CuOaL0w62kDOWm
KRfZMvQT31nQ2/vKewtrehEWys+GKH1a6pXFosEvjD2jJwF4mpKgOdWVOtpz/Dipwv2IgvRk1t6Z
iMKauYOj17Hg5bceSnrpVhgaQPSPTp8evPGx8GA+i4qgEJb31auL/TbMHBjGR6dwoEE1tOLZAYil
RtsQXkL8mC1d1KL0WXu3BCjzAntzyoEsSjDlNnhrfdYKMjPNxlrQd5ZOWYis41NX2Zcyp2JYarD+
FJEl/MvglQuD1Ar2irR7L0hLUqe3xx4lj1GXfBsqRbsOnRH/vBV3+r7U0buLp5/tF76AwJ2QgHIG
fqeiylOQOXbnm+HmiGeZFjYqfzrKZNps2NmCgFU4cNPh8Tj7UbDJdFfuZrtrrpiEywz4vGc3J0DB
2Y8cGGAeEdRj2WQ9MuSQOoNkHqJ3sVSOHnCCMwC6NXbrrkN2N9bPlKjcpkFhOITZGw0FePQG5x0S
DtjWwECkcBAfKu/FWXOhwYhaR9pbIadG7a6lVrYJ+uYyNNkxprnoEAXBM32ixdZiK7ZldYHkIHkO
iAkbvsUcnqRcHFl2a1MZ3PymfRItgoy/cC4DOE8pOtZ+dEiAOxRSnjHN8A4WSboPZxqWaxbXQDhE
gShEEt8n03vCzIYLZbqw+6e6QHnLyr7PcKu1zDAYh8dQUDUKk4iXVO3mI+MhFNz1S0B5JbP9+su5
c6playHd55ynT3E9VpdpniGbp+oNOk/5ALPnBdO5j3njH6sH2HBSqPaV+Sq+lJGFSbL7GVALBEHf
70/KJmYCvugINEYdgmX+O7H+vQunNWcSr+9ZgAWk9iXmCXbVhoj2mA1IPUCVkZI8smTkrOZrPvPQ
7pPxOjZ4+5z4N0xes1VVij2Tc8kJTQVwJrRzogVHyx3MtcaWzXwRA9YqMMvkKZAf5Kd0G8V2uROq
aK7uNCq86yyleavtR6/HqaGb4UJPp/P/L5UtnQvWR5aj//7Hf79PawoRUwVhdV1Ypn6f7ydPALst
OWjO5GROLulR3NrZtR7j7PrvV3ZOs509vOdTnl05kMPgmOsBELBh1v4fZ2e2HDeWZdlfCYvnRhaA
C9wLlFWmWfs8ks5JIvUCo0gK8zzj63uBGV0lMWRSW7+4kSJFh2O4wzl7r81ctvAotd2l6OmXLQxt
POQTNfUevrYoHXoNyVZnhxSn5JEjXwKXK+2b3CZJCQLLIpOswagcNjhjuoxkoPBSGll4kcWdFnTZ
2iLEGdq6PPewH3b1TEvSVMxNMjgH0zbpZ3B/Z45251pxdTtZ5A1ORUPtx7QR5Xbxzsy1WbWftFdV
nqKrGaBuEX3GMNMbZAkQHrygi5IsjGIiP9AEfFFqEZXBXkJ+nPDcATOv1pkGOifUzq43i0DodtUz
/NNmTXmloq+TdKqdPrshm1HdaSUtYJniSC47bZY4DRcHeCZAcZ+gjIS4+JHnQ00u2Jyqz4nqkQ99
KtlrB+I0JnZ+n7r0wpo4eqanaGMuH+SF/b+8jFSJNp2ur4cxcGi0tqTKzkwIS6OfXQBMKvRrMaUo
ue2Ira1RzP7LaRnb0ryXmUmQlo28X2OEuqoUwwbLCsBRJnqR5roMGvuzogMGqS9aFRmMeH45YSPt
j/uy1l7F/N0ECbO36qNnzdW7MX7V9bB59oLqOYuvnKIutwNRd5tWm0c92x1QEN5CC04v82Rd6/FT
pwUEalwlugvXvB3v8sJqcHaHTyzIMRa6Gvr4iup1zWCjQeDayZhhJQpBcRUiO7vS3OdZUh8zNI+m
T361CwKNIkBO6FxiwwyFRFfXEbMrSSpDv9Mb7s0xZY3ShIOkS5o/+/ag7qdZwjrqo7GZatJZXYsK
ApXRFyBL031swicx/OEBmS0yZITPdMmaVagJiGppC7MoUo+DUbN6idSWjGMHzNQn6jTGCqxtQWsD
1alAxrrQ4XDQIzK3UF9uyxFfX2mGe9YvN26HRy3KxCuyOkzdbRvf4PSwZoEVtArD3sbsAq9Ki+uK
qIqEXAjBo5eKvRdcJ91kX6U+xTo151HlRkDeTMyAEuautWyQBQfQoD/jajk1hlNuKeou8nZobjs7
vYFt3mxr9voHBNvRVlka0D12CrGJP74ZcLtDiIYYySLPdEPmhXmnq/vjrrIkqBl71rENMjk1NTSi
0at33gg9oow7dO9m5p9k9hqyTV2KxijXdHHmNoBxGTM1Lgb0myuC2Ch3eqJdd0EEodJiZQJGBh0H
9vBmnN5AzS1VLLy1SR840oA9zvtHszsV2sXLhX/NGdIJzrs1UeysJHWHde5fGq+XV1oVJKsIF9rS
09N6R1Fji6Hd5L7CxoFsMLp+fzHGmoDzijp/gjcBwVmx95wbw0WlKaeQEAokFTzFsDo7VAH4JfSD
UzcHtxmcc07RFpnEsUCPPOHrOtZRExx9x2NSAOHIWNivBhuBRju8to1ZnQjw21LE2Rf1ALuWIBbq
kEC4nAiLfhfJvcG+b2202AYqQl2qQQbAcBy8InBfdvZIzNJQqifbc7VLWEQ7Jizzdsq0I1CV/rbv
zYklnlVtBUlkK19AeEExVm49l9sBJAPKBfQTtEQohHXsfVMbewVtWNOcbq16xC7nMTZV5ii/VNyH
VtdE9316Ji69OsAeWWgVqAkIKtnBaSDTpFp/55njBKrSjE4gr1Y5izR6VRY8CchUeRiNN57FIxuw
FkziofyE+Etj0nG6q6Cw7GumCNhJ87eItijkhEi+aIO9jgGcKOG09uH9KzObhn3tHArzUTHgn1vQ
hXYeiofepQTz4GkmtTXLG69FNxdNomc9tToGAwRuvWvhjoG2wchMG2TfUNW+1HlBiEejbFJ+2GZT
sPGPwiV4bujs22qIs28tEvwoJK0HZhOxDenwVJZjeu2G4IUHzFfNgC0pQ9Iq5T1xvQuV9O2aBDwH
qDtQgZDZi1oGRuKcLaVVhNORRSSOoBwLQKeSl6ZwHwm0QVqokc5TEScRRAv6iAV5i3n2UoYbk5QY
YTr4a2AQbnplsyMr+2xrI42B6whcS08g8QyDd+6FUW0iK6d4H1URMSu8QOxYlmDgjMk6Zk2PIZEY
KSRmwUNdwC5xDfA16KwOXe18MXPIeyw8xEKM+NbztLqLZzzLOLT6kk1RvGSKOY765B2CGY4T+TaQ
i1HbtaDm2VC3e78ProomwL8g7PJch5gbezKO2JdqCLhcfTxFUeDRkWguY5IrCpk4cTWaQ2dHeOcJ
4sletTcahQ2ge1d1xbU2YptOe9dIHljDBYsyZWebE7AHG34DRELi6q6HAzimT6YNkkkHPWNOgANj
sqGgUdbXbJOXtV2H98ps4QSaNP8yIs4jLSFpl0gLLU4uzMnJBW7Fssv0+pARfGLrQQPZm16B7+OX
KVOwRpUOmmyyq5c6KvVNQFuVKGJQHZB8TvbKZ+t6hIMFEAtF9LrWIs5me0PvcjxiDWtOAKlMVpFE
U2mAEM+JhjLTsHoQUnN+u4DPubJLcEam2atNpaPrQH+bnSfqM9TXPIrbuntpWW1v3wMeceqXoDbz
28gNs12o2vgsA4LOydTYwmzIj5671KRod0SMbWzvBQGLdSAKGFr8xOx0bEAjHgrqFEZj9qdmDlZG
p51t0BsQoQdK/Ki/v6Tqy4CNbqMK1zu+v0xBrzF0oNIpmaBX4VfkHP4+r8NHo/Wiiy2GV4eOKZpJ
zIXjMNfE/cBcDykotqxL67Om2OABMN3GnrjPdJz7Cg3TwBYJ5gv6P9w4Bul09EZTKuECjLWNxLyK
GH0JV0iO7y/4xJIj1BBa3u9fvv+j5Q9fAAvBJHjHKAFUOroYB4+muQ8mSVzJ/I03//P7LwTNKndy
Rb5YHjoUUmdwAQzX40hv7Dg2SHGKUN6nTZIf30/p+1csI9m9vH+feVVKvY0FUotoJEWlMdZdRpxI
TaM1xGi1dCZr19ZQDHwQkUBfZ61eUndPFEZfoKATteIk3wwCF3aAbXbV7E0KxgqlunIedc/sjzw7
LIuL+Qfv36sKa1MZc/LTshiO6Yy0qkrzpKQ27mgksjDqbIK03XgX6ciwjTF9GGP3xpvjbEZy6+jz
1eeiqk4mHLC9V2n1OaYpsyYgLVtSqiuvQjIZ7KJI17mR32gVqhgKNSXEnko9m2wBdkXc3zslX7go
GAxaoWc+YY5eBU9HRGDOe+rqv6NXCw9GB/TtDSMC65TYOfAYFkfyiABtWFyGqbgpmrraQVkYB9nt
bOBkw2Dn274CZj5fLneHkio6JvOvv/+fdoC1uHz/UsSxOFBWgx2WTQeUudBf/M7cKWR4qQipVTBJ
spdo78M4BJgUHLuSiZo4Vw0UCV+Ns54fRwct6Vn4/f4SSPOvr/QOe1anyrky4h1M2ndAuOlqe5bg
bmUGRxHHD9K6vA1jWBKknRCXpIvxYDWv+kylSmSCgI7q/YKovEPKsm0XDCzWAQbsCEnGh2JlrUF3
vUIPgCwTmxZhPgs3bMx12MMONCgK0nFW1LSEzMOrKYNxEaGE/O7fHEGsDjt3YpIL2uTs7YDW0K4L
EoQIXpo55/95URULlonly1omySfZ9dSaEvfcqw5JzPzV+8s4f4tQrwpF8e9/wd6MNgtr34KN+k2d
y21HnR2948Z2+3xvlSLccH4I5pHhVmQVSNv5nZBuTTjtFOdROfX9NLOEUvrtwOBQLy/e36fKrEOr
2/GRZ5uEQmQ2NQBr1Nq1dk5k+lqIDrD/LNpjEeHPtPhs73ffqqp+MEu4bUOZfNUHaz+69yi7tS+T
pCJE0NaddEd2p73zUkv4gaIJ28+xLCtUfaFzRwXOXOmy/QRJozsmvQOvV5b1TVYat2lKmKkV1gGg
GbNbdAFu1l7iY+zdqjwQRjjtM7urj6qPMasmCT7XfE/u6XA1M24PUutxO7GzFGNSES72raNgvXNm
pxCcNmT4eaBf9S7quCbPBIVIK9+4IoORyCjICNikyW4uE4TKo7zTbEziPKHEKY3eP4Qog7N/Zd5q
FYxiL8GzBc0h5Oz1aXJkA2JvCbynYeUl/k5za1AmlbfUMv0pe0z76C3NSBXqHRiQLTWcRVsg0sU8
C/e9GPOtNQQ3hhA56LrOQEeDzmLkfcO+d2COmdYi1wsX1CbOf72MUdg1gOP03sOLM4FLl0l/H5Oy
gq/hzizH/r7stVfq2g7jEz/qZmGkR0N+DdFqX1bxeK87U7ij80BOrxTDPSu2mCz39MW3I29TljF0
QrY2N1KfTehVss10wCk+jUhmVl6qOA9Ru0faFjWYfpPNLy1cpsXQZgmai2BkvUTbShfVN6M35Lo0
yO2dwktTq/Iyuk1x8/4CxhoZbDZev38XZz43u6ffsvTF9QFEb1tL+9WPgp7BIwXGk/b1zD66t61c
nUt3VOf3r95fWFfisDbU5X/+XWe8HkiFPwUTWzyCIFv2HyUaH+WczTD7QtgY5pb5gSlbc2JUIc6Q
5MTkyqTcvGd7dJUn2C5Nj4ZbGSb90Sz5wirKw/sLTRFMyW0ZAbCvJmqQs5vE0A1Ovdlu0+yV9uJ4
wk5EGcYxOu9ggZWkixWcGWiidWNaOKFQO66KFndcqL2ZY2RfBQKJEYb1vclu6KTrEKRbidMPkHpw
zicKcYZVIqUqAhrG1mAv4/kHzrBmM3NxnMGkRm3djQA2tlI/sKDPVk5AdHEm4jvwbqClTDQ3Zv3s
8iythpboSl3QZ5eqrFGO9S0mQqBXllMclBd+LVySpsgD6o9od/tjF+qvg8qpw0/jbVxnaGW0rpcU
wulyFA1hLFJW1a7WJT3o1rHwUBFsMuZBjmFhksXJJn/nZAWWRa2OidSldhNbJqtTpiK/qQC6zOXC
95fAEX999f5tQwkNQ4IullkK4px1LFYzZee7AhvyyvUBBcPO23hSf23cWttTu4lWpP5tRgfUAQCi
Z01ihPbQUqSTtfjzj//413/9x8vwn/5bfkElQMBi/a//4vsXltcQVYPmw7f/2r7lV89kZL3/r//+
rR//z79Wd//7/o9vefXH+W5z//E357f77//In//r7VfPzfMP36yzJmzGm/atGm/f6jZp3t+EA51/
8//1h3+8vf+V+7F4++efL/DAmvmv+eDX//zrR/vXf/5pivcT8e/zMP/5v342f9J//rl4htL8/PpW
Bx//z9tz3fzzT9f8h1RCSt1UjjB1YfDX+rf5J47zD8JrhLBt2jTEakh+QjZsE/CW8h9SGK7l0Jik
KyWE/PMPAiLef6T/w1aW6zowg2xXd8w//+8n/+ES/c8l+yNr00sOp6j+55+G/ucfxb+v5PzJFC08
1xUUOXkf6VjUh/n5y/MtuIT5t/9X6rPZBuXCCk1iMm/K8CGOJKojbU0Osk9qTGRtSE8FvOcxfIE2
dP591/xw0/xwBHzIH45A6brQbctWjkJW4bgfjgA/Q8zSlXoqgbRkeBsIcMMquGFpxrqD3u+YMQey
fNXWNTJjbE8NmBuhLExwNtAlQ/v63dX76xR9f0DOT46Hc24YjnAc15ov1/dnxKwdLK1grHekXeab
LFGI+EKoOLFR7h2lvupWAdGvhQL96/c11N/f2NJNYZuQerjgcj6w7y4FscbjVEgTeTQa8pwoqgof
zDRvYnQ6Ki79S9H0SypL7SIUKdCB/rGCu71QucPA0ml3dgA8sIUZdPebI/twShzOhqObiA8MxzDA
H1k/HhmjEzhgm7Ky0XcPTmDhO8b6hMg9zBdVUhd7ElZfamgeIxVkYCLuVSO+DDRk14XvqytAL3Ku
OWeFcy6IUrQNZ/PrIxTuj+eOIzQpQxqWspTCH2bNt/l35y7uO9ujaoX5oO/epCIlhxOMmw002N4v
zF3uTSHtE6phYpQ71y6AA3hzZJ6z6tNPppZ/jsdWbcs5Tcetbno4FzsenXgZB7I/ad1E9kKoViZR
UwQZNQP2ljjY84A+YuPLSj0GUKKFu6mYLfw59Xk65acExg3LnC6/ksUOeqW5CQw0aDpN7bsIh/Pv
bqAPz/L7STBNnWHDtIVp6B9OQpjbDJkJtMLSIaXOKzWM6HCLy2e7tDuk9tbSSUBoek7xRC69dfjN
NfjwIM9v79g6REzF2KRb9ocHWasap+kAY+yCoog2htMN11RPoCG10aHya3ZxUXFVtAO2W5Uglnes
Wzmpow/AfxEHAfpDHdXd1OOTz0ISmFymXw33/74T8UPRj18VodLLOnvMRGRvHUOrH8MSpRmGzyYv
/SfaE1thte7OTKbtzJwOMuwsqA6M1a8/qfx4t9mWQNtmScXoYBjWxyErbRXdVCQIu6rJknU+ScQx
OcDiGmJysSLXxaTZXTUH0yT2FDptSvLb6G+oUKkd+74Mu6lOxUhOezVqbEdpfueuHp6UV1+XuAVI
cYrXjf0UO8bKwrKHBOMYsrcLx2Ll9f54qSyqoYZVodTrt4Atqo1VuASopMVjElRHty/EyVUkPZmm
GLepUz9Agov3Yy69DRJ+gvBQk4Lcy78OY5tsOtxxKDainV6q5OQg8B7i0rqg2QrWflbUW6EEFvnJ
g2uIGv3oCGreul5Ya4zSQLii3lzqtrhGQmEcHTg1NAOhhRRjCDWoi5+Cnsafhy7jnERRvTdS9pi/
viRqvrm+m8ec+ZK4pkUV7X0I/Th4Fhi4mALDdBe74nOHSmNjy1RHBmY9iFA1XICm25YiQkTtQ8Do
gG+dbI9HQqQeIekVZYgK/oheaAmgj3E4wNyic5gretV43LdhnRSrTkLU0rRIYwXMR5ZTfW71JjvK
4M5zhwzBFUKsSDTsqGWQrC0vlIc4W4OGInehGRKoCGOylhqM6QBoH15Ek0TbxJArG3OZ5dbhviL7
boHxfqGIh3Bx/nRe5dz0EnJt0KAOY6nt7OOaHASvEvKTADkdBwbRL8JVzxj6TrSNnQXpS6hpM/y4
RgnxSsKBgzPRXSKuoMzy5EpjH1ppmrbE4NwSVEm6LOoRAu8c92SxldnF0UJVdb389WVi1fL3q6Rs
0J2sbnTlfJjiWCZTiJljlP0q5A3I+sUfz1l/3+KHcvfrd/vJY8pWg+2BIaRrsdT5cVJw7BhTK8cH
OhGP5tiS8abFhJspFPGskdlTTsLVzhypR8qz/7sJ/cN8Pt+SBvQTY544hSFN48e3VwMYIfT5kNZI
sYI4/6kn5o1jBZFnwRV1qEX8+vMa9t9PLysXxxImj4IE9PPjO6YDLS9R004iMBKydPglDNyL6qV+
XfI0kPREPz1Mwm0gFQldE7J1BMcHqih0EnMUq0wPtwBurn99WObH5cN8IgxpSfhmuFx188N1EC5r
36TJiNLqOzQiVLttbCHLSR+p3EOjXgAE7E92XEoKqp4PWjAkpdFCzyhtgxFcA2iw2sreqIgm7Tf0
sBvk2AZxmXEGaBMvnKlNcoWzt3hKjci+zZGGYncB6eK5FqZxq//NnfXTM23zoZSwLVeyJvrxTGu9
VFGnA2hq8wTzKE8vGKISD6cF4YDAY0iF1V6Larx6ASNK7tvuqmx7b50Z1Cxb6AlIePFaZ235m5HQ
mG+rDyOhwRMmLZfJCRPLh8Uams5YsncuAPyJG6FpJ6C9J6vGkgfDYos6ID0udslo9xsEv8nv3n3+
6x/fHQHnvC8xbNOVH949c8KyLlPkQ01Zeee2HZYCly4SETyCQUPovYOwyeZC0yMwS+fgK0SlcOSK
dVW4MQYkKNa/uf1+9lQoEwSjwqPNeflwSKWDwdfuWYJlcypsAe0jYrG2S3yw03YHwBfKIn7GthoU
WE2EWINKvHMQ3fgNJoWsp4Veik1BxCIxKBRj2554J8z8pxg+SuwXOnjNaTwVhr62+vahRQb3609g
/Oykot+xkYMq21DWh2Fzqh2v6xy72FkB9jo8p4tobPwzNadFmBTnvLVBAsKbpPOWH6wM56Q0R/9k
UmhZeRgaFlGi3/x/HJOLK4IJ14XP8D4hf7fidlgS6GXNE4B4Q0HWVMaC0FEC8jIt3+UN0VOAIEOg
FfCH+oJMHNZr5DLifNs1rpXcVL1Ov0xzVr8+rp+NNa5rKp01qFRsan98MAuDHmhMwNtOZTh+wGwG
yEdSClmsUNLqc9Ymj9S+yt/sP37yrua8jTWUw43vmB9W3ojdKjBu6KeYSR9GmRhUHUmsIdkJUo2M
WNXhL9b8Ov7Nvf1xzzjPMabOQGSCvDVc9+NVSBjEtUIjUKDtv2qOI056Qa1XJiUdN5+2ZNBWGGhI
Ni/wddDmGgG31i0jInsU3ydC0NBBqPlM+aiByrdKi343IPxkEmbtwa7AwlXPDu3DqanynqzboaEe
ptUXry4IVTMKvESze7fvdLBnXRveW3V9BFXXbFvyDBqzmfZDh2EhycQplvZVnBsOUhu24grl/zpP
fSInNPn863vnJ6sT0xI2nEPOqDKcD/OUxugtGiZJpAISYjEi26Aw1iMZmn1H3+fXb/ZeWfkwUrIy
wGyEdto08Rr9eKd2QEPIO4cXVTkBGI1xrGBXa4QGt1dBpmgbaZg+bnpqIOCyi2GfauaynMmkvz4O
+yfLFCG4gUx2NKyW3mfv7x7k3MZpWLppvnMDygyTpT9wwGsz78frhHtprEztcSRUvuAOfOwAeW5p
IdIFs5rHciyGT4SPTpgIXweMKdvOLfyruC4pX4BP/Bog/8dZhEGVao25g0pPWZOM4s4wDgq9/DnV
fR/oGATbtC/V1tYcpilClICIZIBczdi8zWOw1VHqfg3RiDukFSxkJz1+IWLVMm906b3NiQhLF6PL
wQwy1lexa22soYQqijI0JrYeZIDurNl9LMwTarHtWJTant7WBmATD2aOVjNywt+sEn56Zh3LVC4S
A6nez/x3Z3bqrZJYbS3bDQLGPl9hsDUyG/JkLXdRikpsyuLf7MLfV5UfbithWS4qOuUKCoUf5oqc
ALpkGot8Jxx//FqNUA88zyvuStOqNyWttLhBhyOofiyiQuuYBvFKRr5aToX9uW0MuucFjGOzhsQ0
BMknzQqrVR113Ty54UcszfwUOKdf34Q/O1McsUtZk0HUcefSwndnCqAqixTVZDsoWZCzG087iZbc
uNSwjKXMEaFFlTX95s43fjJqC8nASfyBQCH9sdInYkvOS3SsQ3GfYf9t5aomdn7duFi07LcJqz3C
Jyddp6Uc97BUH7umeMLxHH4edJmvkDwmh6xgB55P9cEkaWsZp6n63Rj/k9lfSJvIL2W46u9rTVdj
Vz7QyNwpDwCMSr9IC2k+DKhgCQyLWV/DSG3RZ7TdAgOgn9/nRTbcdVN7r7OIPhu+u//15frZgoSV
lGux/gYeIT5WmibIZsGYeOmOnv7npKyNg3DLG2zlNhIeInAcveyW8FDDnTV5T0zCj7h4op1FKooV
5nfUuy+/PiI13yEfb3sqk2IumZsu260f7yDfxuyXTDLH6m3Zqyo3cNIMZXarEPWsasMtzl2LR4ec
hg4IgFQvNOGXLKx2CaqH18zdxqmO6ois30ZQNxnJhzigOxG7zmWbFIXVVeN7/g4o5wCgCy5ZIJSz
5tM1S6tjTUF1+8EoDjF0ROZUl7CDoKn2gU2AwWSoAqhhjNGyIbzYQea7SwxCKNAfY5NDv0luBFQR
jaiJzWBSWJYmDI80JKGoCOiv6mb62UA6fJmIlqDxqXUHrSzYzsX9gRGkP7jk+619z0au4zvGcci3
AL3sazuzNWy6o7ew2P8tK7SlmxGr3zW9ncNoDM9OJtGsGVm2gttIJSIbrmw4afsOV9ZysMsICU/6
OcQJ8rvJ7yeXywJv79jzNkE3Po5SQuo18YM69O54MNfE4wDrsQ6VqEIymfV+5ZU69QHLeor97hJQ
TVmYgyC7JWkFin9yKX59+/xkJJgX1wwDJjc0tcsf7x5FqR88RJzszCz0VwT6fir7weXKBUBtJaFz
7gsomvg3q8afLI1sbnVWqfQNKBTMJ+m7UW/USxge5pgAiU2p7Dg0m0dgnFZxXUn3umlqsVAahkR9
YB7+9Qe2//6JLSplFM3ZUEi0hR+miTT0tV4fvAqD9ohUo8HdC6BjBe6BwL1kfOoSpqxwip+tugXi
M9kAsCJxGJLeXdo+RcmgqOONrrvtKtn4epB+SVw0GDjMaR2zjmFy0ettgZB7YdGOfPYN6AmIpLLb
MYbpXycICFNZd58meejFC4C3pSyopfu9QjwAw5anA9Wta1Tx2omlw/Ijkme0P5/tqEp39KwWCSPB
JR7Si5zw0hEIiUWtzYhcQfYfF7rGWtEuT3XYF58pJYgmwxCChz40omjX4+1emNkeJxf5r614/fXp
fb9/fxyOLNa81Ad0hNaWIT/cUKUFh2Kk2o+/RwI+aysKP+R6B662Y880wEzK2otuEIDD+sTu0psu
s/JtHlrWysnx7NS16nGKVvQPysk+BDoGhah2jgkfF/OEvo8NT1taDd67DofbxgQiT4hl528QOJ0o
erEbc+ovg4jPsNuvfTyaC/hQWBIhtS0SlwI6hFIqy2CVcxaVK+D6e6y5pDFR9lv4o04GdDC6wKub
LULEp9JCmp17PWk6RKv08rftL5saxd/GcGXbhqloBuqCiuY8EX73PLiT2Xi+b+Q7I2Rnq0K3uCQN
tf3JJTMtvXMhUdzmRqZdhxPit5ooAr11u0VD5+zB9Z7GmeoV1eqT6GzkawHGFzJg84XfBt7O6o0a
lv01EGGdLQVV8bEfnsD1BsRp05KhCur29qcY6out+cnRDx/LphOX/C2nrHSdlJkLrFnv1kiFXiM4
ZRZM+QWaLHaxTnUslLdzlaHWlKlJgc7dVWL2EMXdYOfAx6UkBP1sGI+tnn4h/4e4JxhmLREO+PmR
2riQu4KSuQGp2dYjeECN9X3lTtMaa9RDqSf3Qy4u9KJusf5Rry1KRL1Ir52MMIAqda8jRyywni5r
zV6KVvvsFY5/8or+m59Bzqpal3TbHveAFesoQalZQZtocBzmi7ic3jCmciTgYVCzgQTFakfWu2y+
TvowuxgyFDJluKuJL6f5JW9rR0bLDp9s8Fq5nrbyh+rbCNnAqzxsvN4W8f+3QgXfOsQMS9i1aL/R
VRCDDqhAM2PSeCtGDa0hjtVIT2VBBkb5XCB9WSep8xZ5BhKpdN0MMSLp3ruxPMSZ7A09Em1440YX
ZF8j8ET9dEmLimJ+LR+EA+vV7ye4WHBVcNeV666d1EK9CYtNHC3DfM21dTJtmHN/4RM19p0K0CGm
BHI57ae4kO+EO7x9CWtmx+px9AJaWZVGuA5lvu0YwUhZCEPK1f2jD5ySdvgb4k4wZDmco5KWjYHM
z5s08oQjF9U/hFLZ0TKQunwNuxT/EVhqqpbaSgewxlwPYLnXKS5VWhkvRzZK64Lk9VWVAFAMnGWo
GTXDMoopVDqLLiWryUmr7RhNNtJJbA3SJORCK1/qup0O5kASi0IurNgQYSiEMgPprW8ihGNxuKRO
HZKSaq7zxO+hmhn1pU8ubhVXJwBTzd5v5ImQFNjO2A5W9VjtHcji2HxcGH/ITOrRd84IiIm1QEaw
BpaMaCDQDnkukFQKQnsD45tAzAAFYsTKJUobmF7UHQdqDDvRuQfE9mLrZOVnTYOu6KA4WDRGM61q
YSboc437stGzNZsphE9ZszKG/kXkxWMLI3JhN2aOBRexkQF9ATuwpmMybF1Y6gHxhSN8CVyHbR2Q
P2iwF0zLV1TPRy/MJITAm37QtR0eVnJrx65aD8ECIk555SI+B5dJ48q54u72lzalKQqTxcht5nhI
k9TWIbnTc7JXX7DWi2beXJ8167iPgWqQ3WMqeSUKrqavtcCEMbi7E6AL6z6RpCeExDBwG0VbV4AE
oAxibzu8zcUYWFd5WV+iip6AqMwb6bdvyilPST1clc34ZATulWZUzaaFgrnx+0+sUzcwFR+UAB6d
JHMuDDdg3/pbQ4X4ZPwQHTDu0EW6g3v6TOsu3PfJuDPNxziAy0/M6QKbRLuoNCpT5La8pGOL4R9n
DNgISkMhfg/Hu3YVskmVBSsfQuoCzMMefwoOlwSegCquA4cc7AmQmFYqbQm0YV+1XoP6DzkU+MpB
ZVCdWdfZVmHS2kpAAGj2nY3N8Ex99kRfkdwNg2fHbdQlKXCK62l43Z7lQLSiGUwI5Wv9vokaYpeV
5q8yoKpMsKSq1QCXbd2Dzqvyc5z3F7OYb++pPknZXYV19SgGB/hpvZy6YC3weC7qsn0x5ADytbOP
xaBBNya+r5c9FdH5Kk3dxRPTo+5kAbqS6MXRKFT0VrQvA/0mCOG2kzRBYLSascxB1iFFTw427DzD
+uoi9l4wZn+tTEbkqE6DTUfS9BJijVyqHKCml9RPozBPJtJkNrHkvnuWvWgqQjQJ+E5WNWujDuoX
5jLKUTuf6h7rFlLH0xhChu/7ODWt6qAH3eOYhksgp1sbpAODZv7m2vbLgDFTIShkarpYjpku2ac9
yIRn/GEaueoJ5nXXvCJn2CAYtE5XWlDdT1V/1GMWP90E0xtSlWkpiGbQGJeG3e0BLaf7hkxpWcFI
AizxhFT4Lhbynp30ElP6xSfeM5hjd0ZIChWbpwUt3YVOCTrQ8dbklDXK9AXkSLnsHVj7QZ7fs3WK
AFiAUy1i1iARfYOV3ssH1ze7XUc8buIMYqXmO69Q2WHCOJ+kNVQswsWSdHT3Lk6I3CoEsw7AQj1k
n1kjltM68TZK66W02s+sYO81YOdwBhjniEuBmDWse50ZQ7fDE03bcTsRT0ZM4bEm6tB1skfXz28t
amskE9wQews6yQ5thlhFcz4FudQG9yN0Hc2ACONxL8xnmoR4fkN8tg13ZuxgpUjK/r5o009sXkBO
hBE2DHhImfaQD+yCu1C+SCPcMQh4CzVU97bNNdRE9iUccVsAWKIK9KV3oy05Z5/MlCMvRp3Qc+7a
cghXkUdSqDhWI+CSYKi/eFb9GT7cnlwvgPFu8DTFzDLRJWJTuhBFfDf0+NesAo6aiq5sEDVqnmNR
gdZk1KCdcZkJhnVZyp1VDJs+NF9LIN2dAF9WwKVqQhgzsSHukXpTVTb4LdAxQ39VTZNzEhbv5nss
BDqc+anBYkc4ABzBGewywwhOFq1VadD7GqN2Z9XmucyHT63RP/Ac4iYYA9Tbw0mLM4xi+g1ui10N
UAoz7//h6DyWW0eyIPpFiIA3W4IARSdH+Q1CLenBF1AFj6+fg1l0L3omJIokqq7JPAnNKm3+mSQz
4JmCIkf6yc6DJKUXQ4gv7zCvKcerpa6Zbf3fbRnith9ib2KHvyTawTbLt6zBscJ6hGSeqQSBpT2l
bn/w+/o2j9n7wFYwSnicdpODy9nQ5XMgZj2EWOUjTp1+7dI7yzXYO3P6CsiXqIQq2xiFA16sDItn
4gJoGFba7Mwj9cYBuOOQoUYKIZERAUSk0J7yX31G9lAmHt3TcppQm8NexAPcNn6286ejRoK42bcG
/9+y37UAqfb67J1KFMaDCYobaLe7kwK8UkHoguiBi3hiI44xB659/8sOXlvNL0OsknBbTK8/JOtG
E7YjoJ/3ia/eV3+QoZz5GPPlnSb7eV1JsgVjB9IJ/yR4E/LXShBygREApehrFQOnfUCDboZ1ieHE
W09+6j+WC+CXlqO3Lpb/+qqtjoQrwL5qVb9bOzA4xOgG4WBSgkvuCPw7QCdb729Q2PWHPvEBG6Je
B7QX5iWZPVmeHBu4lzikiR5KyWx3AoxaM7KYGGqrCLsgn4B85MY1xSZwWUhuzQr419MVl5UdAYBm
ULLwWblkTI8wHvNUkJOFyMrn3TnqFsUB4W5UCDOQBAMBeTaXUd5BdJzdabOeJ4/QibGuQyM9uhM0
zq3wlUYHBbCGiKTjti9xtO3TtADTgH/LqltgFj7Wmpk6K6ScuLa1Pp234qpviGwxFk6iEb0MJQ7F
GESs9kmZbs9AGl2wo8xnhmgTincI72bbUQPI4OD2xV62lNSQBVruTR0+SFnuKiVYnVXeuWlBXLUl
Ch0QVRoyTGNE454sCSmrLdo2m27bxWWKmng3cHhPywH9mzoroPSSx1ak45fD4Pm8Ntvat+eeDDrk
LHoC0wUj52SZv7AtKr9DHTwRYje73nuZbU3XKMhKTa37pdR+5YwnPbX+I48Lhx7OsDzBIiBuHUT9
namJZ7eoYyZqVNXOm06PCWDsdbSnpz5fskg6GuiTCi/1dzFQKGmqfc1MLCicrTG0q2LhtbHpafiZ
E+S67KFI5g0rGhH2ykOJMpxq+c+uYt2q1TljaB6lj2b2jZ0tOLOZGVit6S98pkipufTWX5xG1HXT
sO9I1nHotsiV3hHuQflcYAy1J2pXtZrXkaiLHfiUD54ePpCzarMT2uBzPyhgZQ2IeDtd9sQLowXU
OcFIxZat/sL8muqysL6GSsZwFz4qP3kuLOd32EKiW03tTcXFNNvOb65bVCICtl991oE/E+gb1eSP
N4V8SBFD7hIhPlM/kGFn3wOLxVRjlweIbT+JIV55O+9x5jIKIZ28bPr7wpHPY7NylktBes9K0Eow
QMK1quKaVz4OxYR8tKyH911ZrI8s88nXxF9P/vOOXA/AoAEDvyR9HDvOMsYz+F+mSHbJH6NZNFqu
8dYV9pOeaoDIqCNdbbjptSYO/gjWlrQFn4tbZxa3pdvQ+StqEUDDCS+PgQYwbFzlr3g45sQDzDSG
bH9hbqyOCVL7AWfjrrbXX39OTvqSH4MRotdIyghs9SamKLh26aLtjEZ7X0vwciAd9sop/8sm57bC
w92tHnuMoP1dyvG4YnYMXZydnhZ8Js5UHSXg8H2ZBfqeVw4ZVTyvFrDewQd+QXcxRWNZeJFLjSOg
TkKDxVMbYGTkgOWBLol7iY0gex78ErN/RrfQ9+4fvth1P3vl/ZoBFoRVAxnFycNcuqReMtvRdgNK
ZgZM/sPqihuiRwKAur/EQMJSGdnVav1/gw0mYC6QEZMoGoDGSKW9b2dxUvh0LwqoDDgTVC+Wumj0
eiUoPLOtV8irMiKwgVEtpzK/O6W4DOwzQ28CbIuCSVY9Ez4zOzGZxu9rynPSFtx7k2yPwsaXI+6Q
ixkHr6cHhc49dX/2YH9bFZFArSNOlZG/+AE/ulnSd5C19n7aPIScdepGSFUadYlAoVO476AvTlrv
QCDAn6sxKtuRaMVOTbk/2ur8KnI7wJ+WhIB43l/RGnt42dp+WEleVPlAEdUFnyLDhUs2MGbCne6Y
XXzUtI1hqUmm9K0GVCxl1Ec01cHhRJ9SQhMqsF7XpLCWu6Yr3iePS1FVn1yXJIk0N0fs0wnLR5tv
sAwSWndGN/Q4m+OxXd9QVRF8ads0r5wmRC3ll6DlUDJyCP4YfvZ9Mb6W9iDpF5dv5rr5IS2XWBNg
AGqoBtHihkAknjFRX2vHhgSfwPEay3W4k47zDItwb4iSoCK37zGRaocMdk9ROpEog29JG7lPZW/s
OZye2pQxgsfIqcVgcljy9A6NIIECGpA0HXCNkaJ0Uq6/y1PjPe/dNHbBcC6gz3Paa6/MftxM/rE3
UYikWuo7xfXcW3Hv6y+LkOA9ABSGcFIWcJXCjJMAOvF0mVq6pnFb5TK86WKGLqDQs+JoLn6w1ypn
DQvHaUPZFbe5yeaoy2ZFOgd/kzNu5PS0ePZQWt2vpvgoa+XtAs+RYa4Dk3LdhPMFklZeN0cd+E0r
JDEbg/m3Wm4Jrd2u0KpbGJ83jSe5VD70zp6d7laoUxH4lAXZmB0UDn8kigR8CoqAjoZqz2J62rM+
cohDMruz390nqYMvxufszchNDAvmwuwAqvc8Gf6ZBm/fLOaDlpvkOuWFEQeTzqYY1lKNVCC2mbnh
lYMzkKeUqVssoFLrI6Z05tirtV+Ah475EoFqx1gmeMaMNvs1igyF4EAzWOSESlnoSQ/lfKELIjwU
illFVGCUbjCQwIdaYmX1zVRNB8f9Z+xhrtobRDwVGzHQqU+ZNt0RwW2GAN66ENrqY03C+zEZCYEV
nXsTEz2PDh0VaxdKt9zZaO9kr1U1f0RCQ1h47i1jdMQECjY2CYGPo2ONjGDoA/FCPWcedNyhJeEm
B214TMBZR5nOdzYYff8GxPCgmzMpOgs2TqBNt0SQr5dAp8n5hhQGDP4SORYSQMpHFKn1CIvdRBPF
2o48itr4zfL0P7kaT1NV17FhNAXR7kh9MpEder+Tuy9AQQCF13el3fkNjvnGffW9nvgs+r24ygZY
3TAFbb5nO78wnvAkfvmcRaSuUXgOfUcKANmLHgdXi/l/8Yzl1HVUPZn3mcj8JctllAgyrDToo/uC
1DXmKdzhCaBBYGuWE7EdFmtA+OMMBnys3ftR53NAMvuHE+xkiDHYBfnCNaWqu0Rz7Au5F7zX2ZRF
Xl2qJ7BsAAb19GRS3V1mMxzxr0fkDSehDi+Bsa71oelmtBA8fOE6Rp8yFJ8B4bRhs0JTylLmajTH
PHjz/VS9jMHMVHVTXM1Z8Lp6OgPl4FgT0nRae/eJ2TXQP47VXcZ45rAYyWs2yTePhfMu6Rk4kgMx
hsoQyOeLL5JANEDn1RBK8l09xKyR1lQUu2q6otU17lrAV9c2vx9F2R8yUbwgL56jGfP7wW8NqEN0
7BYAt9LLixiqJVHZXTPvuwo1mw08MrC7W5UHSLk9c4yz1KKfEXTCAT12U1Kej5jfgX//P1Pk0Q8W
1oTkFg+Am0K0E1lo6rQIVhIAr7HbZ7BuZCaaqUnoHOG81dy7sVnI9wyqOSGw8eDNoTlQ4oIJ6jmd
EBdgtTypfmSGwVYixU3RzYt1yQZEeAypN+W64d7NBV8OlE7BM0dwVOhYyVl/asf5yMzIuZA73MxG
8wr2+KGZW4Ao42dCrXzzBUYVLF/3cz+cU7ukqWR4C/nh0owYVxxzsa9ZpZ+DdE7jSvbH0a2Iq1tQ
PReVxpFAKGic2w95nX/QAsh4Rqxfp8Dleei+tZmw6NRMSKcbyZxkisHGxZCUjvXEfgTHvQ8qfjKW
twnYnoHJfldWs0fclBE7SDNOnBgn9mpWNJfGC2EKd4iyXvT+ock6KPKeeUi3cCpvoh9LozF1n6jK
UCnYkzj7qrrqjHTznO6WxzsoiSlGom/tV2BZAskGM9qZL5FKCcIknOjSZzMm9f3SMmNSHRUWgTxQ
o033oyZ46WYWUW4XzJqkeAsUFtvOoU5fq7fWHO2LjU+cWo0kF4HAtvMB4HjkSPgA7+QcL1SviYX9
GmJBNML3Xauhuuu9NaGeUhhybO9hoMP1Gi1OdD25AOFhU2UA+F7yna2BxkI/EZpNVcNeshiVOVQz
trd8KSPLogLSxG6eEe6YTO2dvJ4iCsGbHKiE56V/G5u+jWadQadrPUrjjKT+a65GLfaq8SH5LGu7
iBWCmNgY1uIxB5d5dCuQhXhQ2NFUVHebxXJkXEUyDbvWLiK2N4h0i2+1SUz7YZHOXcpAXY5Zegfs
AnODnr610CpAvRGQZMi+v2t9GOOAAa9wIYg2dklYdXOZHjFqcbexr6YTI4y7sKGXkF0hU36Fv06f
dufm56L2Yzcjb2pVrHyXdO3i2pT3aaLeliHqnHx4yhvvvc34YJKpeTDdZDwB0OTY814xMJNT51vt
Pmvy/NhJAmB61bKEMY1IYlpQGsY9S2bHkWiMyOuaSAxobq2gYNxXnocSQBE1K0jN1QwbbbjotkSX
X2slBIvpEFQaNU9dgcN11i/251HQUOoXiXlNTY/ZaEax6PftXk4NFx/Ij1H4983IQtsU3QlHGHX4
aCZ3U9e8pwYQbFGjJmNdqSnVhqIkytgnXjonOjF2OgAqk5YcXYqmfRrQ6FCg648DKAKYzyRcI084
l2VvHPVEYxaBdC4GaOsSDsMla66zC/Vn/tar+o/lth/ragVqxA7ZK7Tg6hrJeKnYoqwKFTBw5e/B
W4yrAz47ljo3i51Ts6ElgVTDHqzegBX5lHVXVbt22AZLpPh02GbFrqPlBzUbTO1ytUPamkYqx2EM
lXwn/baGqExBbVZP3iwvDp7njEmnZ8zpaQy2XZjLWJLVy3TK+WMOme08Lq5qDmYHqcTji8iwJHCP
cEC6aMxt8MGC2Tohybt+WMW9lm3OjoGblCLmLbiu0Jl2yUzWiTMtOzjhwHUSQOiTIx5JUoN2O88q
Im5rT5LpV7LyKJeoYsktsl7I6fpW3lpEPgCe/ZIUtMPsTf3xYVL+gzMQ+OVozdEz3SxeVhL4qvwh
zdrlaGnpB0KkJs4LJo8+4RRY8fV5rxBM5474l2S52FdDwah5YgycmWRF1R5MfS/BfoJWQPObOdKz
abysLRUYLorLDHwNASQ++V72j77FbTqRq8AK2Ih7m6yS3M2sOC0o0chYYwwlPDfCcU0cR+vOJKs4
N73zaBvh/hpEpj38/1+LXpUP6aGHWBDh2JIc72RZrpPxnPqefJDD+sHmo746ARM3CfqJWFf4ljYT
+14BAs+1nuhXUgcwFaKYQ4bEajCljKcvYM24+i/VsFGWG6mHQxfs9aInvmc0FgK52JnTNzm1FpyK
TLIA3dgsDZcRersfubLzXWeNiigR3KZ87TZJ/iQ88sIC1lHKZGgILdI4srLcQ685BE1rHTe4A7mc
W5hum0NYVZLAJo4OCGAAg53XnG0AayqNHOA0rhtlgd/JzVf1a3eqiWwXRGQLpjzCBdmZ/qmpetbg
5XyVxXqugmYLR8g8rrvVfNSX7KsmG5OSzSNprhvO4IqZN3TTqfW2RfZE5KzuvvNd527y1Z05SOZV
KyIwNAQhmVdW8zzrZDUbSoE3a7gUE4nIv5akeOpCA68a/NPJ46bMP4zNQN5A51wSCx51Vhzg0Q3k
+ELhXqCeHmyrZOIlbTonsXxRq13WjnLZUuqHPyDZj1pxNy2tOoJUeSsYtJ+KQpD+hcJpnNASa0Df
d6kNMbWDG3JCeXwq2/Y+d0isK2rLpOQRcWJCQEpQWFIDyvNgkcnaNSWzDJCJhGTHuWZeClYCULWe
ilr8g/MEMxsg8h6UHl11dWam9gwxBChxN1z83IB9oNtf7AnCVIfR6tQ0rGTRvbkbj54oZ0/06Y2g
S7lLVWPGk1pOrk1iIAiOiC4Uj6r3ltcLU6LR1mj5OFFXCyxLYbxMbWJGqR18IByMZBrMUV40GmMu
/hjQSgCYNCpNJUDRTmact4TXQskMor7rsXuzB9Iqb4ucsB7qDF+B0Q8Fg3yER3bNgDiwSJELrN90
NCK0j94u80kHqBv3w+BbB1/HGwg9GZYdjdquE/UQ1m5+1HOTTalsPz3vpVpsigcNGCoY3hNAiyev
IhukcEoyIddkPwQJMQ64ahFKL6Ro8OVKqdq1QtwaFLsd4a2GGTwjOAlJLPdgzf9ZTfDrJ6xwPysy
4/LCv9YtpQG1wxUWOelwGQMUwYqi4mShYSCGyL4obX3nw1tDa54+zDV/VqVDV8nIcLe01rKbqPyy
LWNugubTy2cieptLzT5PbYo+T5aQpusTd0pwWsYiLq3mg3b3pcjJFQRaBjsF6BnS22fdTcenqmUt
a4oD9DdOWY8IZezbZARAA4zYgxEAUdHNi8agHez9fUDeEnEy74S9/xUzaGZp0pyZGY4pMrxGq4la
jTCVbub15HDaL6r3gqjxHnj17WryAFR3pE6AutgOaHaEF/ZRWdTZiwewVb27E6Zn384vGdsfp6Ny
BKEe0MI4ryo1dyaLuvNIgd6s9f2YO2czK8Yb1JrHZHoqFJFKzA8xrLbkdpSsiEa5PHVcWwq8M/j4
KmwTkBxNcRHsbnfCGzR+0XSBsogcdGCAbnaR6/ILrX5iJl61n1NrviduwaTK83/VkpB7ag4n25xU
1DOQG4WcTkuuv03WtP105xEtaBo1WzTtQD2ReMlLjc67H6HliMoY4oyQucr69/+Xx7MPJYuDiXsZ
bplAWrESXvvCFglzuruFrqs40JyJ9y6/yS1sofeeFkkkzujzDS6YFhDh+r1aK00JcENdg0ciLZ/1
ow0ssSy9TzZlLJjc5E4m47oriEEeWMAkJruS5uCuphuhyKBXxlybVj+AxL9BJnofegUFmDn5gn0e
hydPFaE2KJSopXf+Bmof0f/15idXuxd23vgvqYL+bEHLsaT/RDbvt2XJ8zTx8NRy7MORD3eeAQth
OxlrZDK1LgqY1Y44qNZ8LVlRspgfyZ2w+vSTxEnc32ZxylbnKMDWZ71kJlJ9GyOhPK74M/PSOasp
2wv81KeqqkBXt/43c8y1h3dd2B9i1IK4q6eK+xd+MQtJRgo8IOQk/Iqqd878T9tIAJGPLTBq+PhK
GXaBmi8Z/01MEAeXQU9hUuwC+clnFQu3+rM8oJF1SrLKNOmRte0XV+On9VndO479yHvs7FR9m5Lx
wYbDW/Q4aaq1dqgxvYPbGu/NnL+uaX5NVP+XFUzgfL36Y6H1WDvkM02SyVYDPR71R8JWX9y04v+w
GzeqG+tv1iJMt4KIjNgOJJ1CMxLRrT9V1QhL01Vc9uoFBd0rrm881sqheSUcSgfhyuD1u65kE1mm
eGGyuRsmUP2JORNXwaw1oGdHo/WR1y8zjylLtw9OtK8RTRH3jbsSpzAenM68H1qeV4Ar/wzjSzdo
9zvO7R3TanDBglp61Ig3tYyTjeRpIdYJuXAjSb1d5H7qbBZZ0/yhifFaOd1BJtW/othkfq0eTZDt
wi5J3wt/hf5KZ8L4Y1mJI0VtJXFppQoEJpETxHCWaEAFgCDpSJ5ZnQ1t8eTXw81z8ti1viUbjPM8
QEjwEeCQz7jrpv7DnijlW7ckC6gQyMJGRkoswqlgXQ+U1TYwZoVN97CWoNbmETE27/XUwUnVjZSX
Vu3qkjyjYv3MvWyfUOY9rlSyFcRl8PnGoywK494xjWPWALde6MHHFKgRAhd5cuQZ70IQ+hJDejkO
KJ2LCTYaMZI8ucmNVCuWUfbHCGcxbm6jDvmrRYxGdQZDBKnItOiHxkrlrna6Z8tkPV1UfcZBBT+6
zgiE0thaT32QEHSCX1On1Su1jLW0V7LCw8o7g3HAa5fzkKFEGySp5KmuXZ0xiW0HiCcYVXtv9dgr
JkpELAeX2vRH1rnrsysrvhx8mjRWb6ONnqgKasCybeWzVGfnsvYJx2WGYi4lfJM7ZiArOhboXqJM
BKFbssPTcs3dIcjlEBGlv+9WEs1qDD07PwlQFshPJggHrlUrYjPP01Su3X5d6+8kce+cTcbTBG8F
mKMaiJDxslRGue96ywmLLEPV0eRQstVKIKt5E40Oq8gJR33+bkEyRVZXfoHoZZg1U4pjpmB3Mmq3
dkW8HgwDRN/qu5lBCk5u/erI4UVwmESysHgtpv1X2frNUQCzvD7/sgyIxiBRDkatiOjJYRQT5xX6
XfpECOybIoN5P6dyJgYjRwLoDxd4N4cl1ZjcIfDKlE/+x/Kq2y6tiLuqo+10P12Zgq1hwt8OqGSD
RyfZojCSxTybo8kbOvb7ts1f+qyLzVJdmf7wnR+LyALl0Hj+hrRyBpKiVB0T0nC0ueXwfIwPsujv
udhJR6Au9jx2wSsJvlwZKgwG+bfYQUEMVn3tDcQwTm/14MRa0jDmHr5WSUnsBl8yY22XezmRZmJ+
VVOQ733nXnMs54D0nWeiAkMpOhLNCo4JMylVpNM9x3mmOA106vqM9FiAuF0ISZ6VW1HvUgZ3PMHv
lXPXuogklqGHab6KuBP2vwk5XrGMN7vn5lkByY9O/2pZS2TVHjpCZgS4GBkdb4JCK9z+YcOldqYT
jCfBEZEExo+Of1aOHepAF41NwZWAgtK7ORth13ILWOLq1++TM5G7zl1HXutdffEox7nv5OOI13yv
A8QokN/c8sq4567cix71rccMO6Onquviaq3+RzYZ7xq6EErBihKh/c+c6St7lo6yW6nNPfeSTyqP
uf6oVq8oYJoQXsNZDeV8MuYTD+wYBgUfp0Yizo6w8TE2EvfLTFA920fTse9TuuM8eTK9HkGYx8Cz
1TSGGt4biXbsCLrsqXKYKS9mSq350sr1vi20M2aQfVsE98NiPdtFgn5DJrGWbffW4F2yqoQiQS7W
zH686kAoDDZ3o6mX6EDyJDSlQKaifivkhKRakILVCs6SATJDrLUZjXbg9ZHnJqFrpX84EfG9WX0X
EVX/WsCF38GqgOHS9OkhZ/Jt8q5wmbU85m4W1klJnNxoRWaV/SAvd6nlCZD0tRJVr+b/OhryeUvz
9nPOb+ehzo+m+eeVBgWWGMzdd1721lGCLU5d0oiSH0Gh7KuGcl93a9zbkWx8M9RsR4vagry2sWPK
h9xYxwq9C4p12g3MSMeA0b4uynOvdfwXbWB7JUnFxRwI0b6qbnbqMGWqDNrW2t4vgvwIoXVnvVdT
NPN9KCXr9+xettt1msQimdgw6929vWab4nP+Gq3lIWhswLMirhLiccf0F1KLy75ch9gByw0tiUAJ
rr5Gb/yyO5Y4Hlk/lCfbWzIRWgQkd7Vflo5M6xG495bAiKwu9R4V6ahhpbH8gU3M4ahf7YIOXCSQ
SEFnx1YR/MpFxKk0KSrR9jUNU6POhpfPPtnpnI+sxdcs2+SwdPqpSu0D07B0p4OZM5F0U1xHc9B+
OVn56Fm0ptUS/BQTX38I4XNkom1HUA1nq14eUnN9RVu77DJRvyxIOuWg7R1vhpFLEBDEJr5rYL/L
ttoD5T8MjglumLGqB+mQcvljpBhnCDnxmRIP7DpuPDi6CAWj89gZS0xt4oBh+2K46trMPnFTBBHq
cGVazfo1OjZ/wLoJCQjgmrMEbpvpZg0zl8U4hDYah56gW6lz3bTG2QV06CAU3uB3vQIVOIzOfjXN
t8Ruo4C2iIy19IlsAW2XNpBixWh1UGt5viqGhivjHJKa7FBf4NUWLn+zh6yToIuHAT42fIX+ZdnA
jw62ha1a732118wG7l+LnslJnVc7iUrXKCNZOz9mwa55GDJmmMujK7i2nQHDQFX03IpljTZvTp+0
AmkQGpwHKjDg/Hb7JgeXifIwv6vM+rGq/l2WmCBMrZ12WRDQxnVi4fy2RvABjBrN/JqWWcOSar2H
b78lQC7cgmv3T1USVwYIdgQcFCSACWJPry5O7d4NW5J4wbL5QtYzmba0b251ZOHDecH9dSSi9l2w
VSVmbIhnNGwSKOnObtzfMmD6pfX8J61knJAp474IRswb/fzRrZdMEOs7qv5pWg0T6o3HqcTkbpEW
nh6nvfZz91+OfzNUcZY7Fp6FhPCy1OPsLcs9fvHYWXwGeFyvEUaBD2hXUa3KItYH0UKHNngnMuDA
PoHYfcugz7UP0yrfR0VMa43mKtvmb+XoLweYAeGYsJ9Y3vi8vZ2VmMTseBkuolT82IVjHSwXhNqC
VDz2DQFJfzjbbuJSRxUntOf3c44mN7FpOIHEWInvx8R3oKg74BKiaev1sx4sd8Ac630/Lhc23IIv
nLpZBmnIVWlQM6/140BQLEFy1YgSpQP7WRnRnNq8npVfzslolMN8N/M5hNrK22q7q7+HIxmbqQ8k
p5OAlJfR22fOGmfinTiM+UC+OE85wUzTgt5OL8WXKQJv31C88mJRqRgjQTH1pjxBV9h4eA2SYIRz
/6/wpRnrnv5eN3ZUNW2wS5oijdNFHolv1hj3avdjZ92UnrzW6/9NOXKmphz/wWh9ayRTz0Cpfxhl
Q+Hx+dBWE/oE38uiIYUaD2yb5HgG8rxhJVIywUhkt8r2H4k0n+gECFRYbZYHDH2MDXOd0WkTg+ke
yRXnS5gG7d7YQmOqtfrPHavXujY/qkyfTuq1edFGHBpagadabGMb4oqQ1oF2pTcGFOQh9MvTEXn4
iOCdeKBns1HtpZg/q2EhhpbNHdhL47M31bqntStDZ/X/GwVzcw2TWFw6CXudpMCBsiryMpQZq8l8
WDM+Y9nbf7YOS5jN0xxbc04fXN+jKO+hOcygBJr1hnJzi6ncM1TbNuhEFHgJkGSbDZDL4FLmzr9V
o6JNl9KkEmpQdJr7snSHfTskcTcO/2r2PHclFmiEJO+9RUULRuI0EtkcG1isQ08vThZLnGdK4B/M
FelOczBYI+kAkdVpSOgqYhw547D4RSA3z2sdfGpl+VPyhgyzVh9Tw+IH5swMpwF759Jbd0vKnaP0
dIiXIXhl53DSp1sxTQZnIu2EJj6a3iarQF9VWOcl4JjpsTdXC1IPIueOuVHcYIszHVdEOWDg0O2a
v2Hxln3R2kcqGvasoma1M3qcLfVRXwMm2ZN6zWtysRhC7HuXHZ+kyYRcTLxmrq/gxDy1HLSq32sA
5REsrkfVOxBMU/3DK8cPel/0OTKpQw2hwR089s3Aohg7yGNSrfhsEMLvqeq/skJ8gmyVO7AATkgS
z/ugt+7erSGYp5CnqGW4DCaLxMR5eDcTgXpOuPxc4wAugMrfhe0qrKfcLrc3zH6r5uU/2kaEr13r
x7zlF42R11m3iDOzktgN0MP1LKUm+zKqWh3yntDcwYmAiF7cbP03gaePAqd+rwQjWNxHr/B45nAd
AMx5tc1szgCPVdz6kYgfgewNRhI1MSAhp0+ZoYCYiwZ+6N7VRRpWrZg4MsyPjaFtWzS+g65eoet+
rFl28RzyCLHxHVBSfSRGQ2BGl8BM1MIWHaKF1TRc8ThGoiOfI9eyKLO+TbNe7rLV/JoG53ma53JT
gPL7ifGdZg9d4rzcJZn+nPu9cyR2gTlef5nYC5Kp7upg4bK93nYPOmFQoSHZDzkrT1jaeCU6rLI4
tfr8YghkpEZivHm5CrueP392sU2xgXhhenpoO9bW2igTYuGcY9bWh3wZSPCbkd5YqVInz2peXSJu
YS5V0VwFiA7Oo2VesbjKAw/Hsl+Fy6bUIk2ZvJVuYpfhGnszZ2BQoOjEgXB02vW3qranCicIoabU
qcnQ3/Xm9FWlL+AKfmy/wzgDADnEsHuydeZlGeKhy6DXyXYPpHiFunvNv8/QvMZsqpp4VssvDnQy
VwPOqOGsLIcYCo1clY25YmSgHQqDbhn+SR5Ji3edHZK7D0TzN2KZfhErXEZiBklEtkdWurmHNHVa
D9Lj6RsWquJZfc1Dh6O1YQw4JNq08QCWsHUMbjyfryhwy1fhD1cY1Tol7JQM/tEG4nau2WuVyZqc
rQG/JzB+iIH6TtpBdWfMTRfasl8vVkn02xzYEX7hX8+f/Lu1zK5jys5eNYETDYyJAbLNrJI0weoS
NxnOo3WiM/Z/JktZkVvqV5/dyS6D8ho6MwMCOZG0QcXhHpw0dfbJUAPk7BOMZzWgVeld9YwUzr7Q
Kd6yUT+jHLvTS2QBS1AfF835MxJKpsrmfM4tOmmCyxESEbDoD4rdBLrusgZiH8gK0g2OoazVaLBS
Aum9pj0kpqVRbNi7AQ3dI8Ecn06+zfbq+35Lt/Ja+wMR5b+UzTTbJk7tscb+xDr10IH2Ys6Mokx5
RtymCDKYG2nDqu6aeY0hRjkXPJrPcisOUXF8TU0LRA4XPOvk+tw+D0OXHuvt60Lc+33Zc+GVBkWh
PWl1VBEdhxqe8HRwOHj862tic93kK1Ok3A43v26zvJep1oXkgrCTXfKPprLEYZ1nNF5Sv7b6qMhy
9fjUgicqCHy0IK4GxX3szQXejhqvYdPdYYYaGW6JI5U4HUI3fwsCxL0CKTrzx1PSOS84nuzIruqn
1Js+yGujmgZqtiN5jXu2VnslgrjSkACRCEjV1v2PsvPsjRxLs/RfadR39vCSvDTA9AAb3odMyGR+
IZSZSnp/aX/9PlT37nYpB5U7QEEopUyEImhec85zAKjbt1JeILk9t1pJC+cGuLdZ85r5BYAz2Uch
WUmdxpp6gAKy4PrxGhIlFPSsIXPk/yvdJSoo+tL0mHyGgWMc+Yd/TVT9FJbefZfYEip7ht/sXMEI
bwgNLXGRSBQNqsmupRFecPFirnZ1fVV1RCMjHODSEe8zxQsepc538lyYThkjS8w+rJdFaTHptYnp
5E1lYOZSKxE/MWyVYe3QQEGjBENACqJchJP3rRGMBYEGEEGTWIsmDB9zTohVHhuk2aGibPrCWiG5
zKhu51pCx4kROQ+jGl89hLBLSBjpsjfyda+qM7JyjMzRHFM6GQwhDf+IAF9fNznRr7Ln9NeJZiSq
jIFL+M1viTt0OJ2wZfPWIZCNV6NTXykV33MzTPeRemkNfJyDyaSFnn7exH7JImzXIdTkWLXfO/S0
CanxAxq2dBi+eyVxFlkmdmNeftcj5tDImSQlSPo+eAJa1qxRIrcS6CTgBqPbGpO/VlYMYYTZb8Np
yVSwu2t2xNYR1V61T0GVwT2lzzK7q0ZrJwfnagTNvqdHnIXr99y87jPfxjMdbkKlUMBTFdMa2xld
cQVGRZI8n+fY5dX0BR4dBwd/HM3IrZfRJS0N+IG29jKHm5XsZX0LyUthZj+TaELa0o7nrvHqozCH
751I9g3aKybN6n1IY2oik7nTlH7HGpKtExrIJdlFIABIlo5lawP+87p12/LaDmcN+ToP7dlLL+JO
RHudZy4DTy3zV7nzSOMBGz4Gi2RP+MG84C6WQi4RZjAXms0BXLKjQe5kxQYqzfIrCWN36SD1ndP8
wGXr8+fGPU4QvX2FKYEQRufux7UfcR7fpDvVqW/CR02nZq65xDlJH62CFlcImeu7bgxWo9UyOtC+
pWP2qmWMD6JouIHW30+6/BpZzkOORp6FIvr6bHzPWlpomR5tYjkkPVFHfjIjZKYRbrOo9PCLxV5x
YbQ1HiML519oHoM4WNPzfrE9+661bag73n60gx/TSHvMJFbmGSkOSXy0PWdJLtSDWYRqbVQ2zXca
LOz+zrarg4+/ZzEfOkzM+m3qIV0zOY6Zm64GTTmEG2vMKNphbhb9Crn0+MOqDB11FurbMDqqoKxX
LI2DpT18Y8K9qNrkGUVZwpoh+tmGOfuOCZGxDPd1gLB2jK54W9l4M/Yja9ljT8BtB43tiBCd+Do9
cx4UytyNSRb7ipwzJLbwO4JJLPqRHLcu+9H7Kc6ELGf9bIU1uoINrg/Rv3LfWChPMefHpxBafbXR
UcwzVv+Jf/un0LalqSOFJZ4MmMfZRwBJdkv+FZ/R/WAzJ/eRxPTFrfJtG0DLvJeq8axUmpOgScUb
7GlIhYyieS/qnqwf6g6dMnFlQLOBM97kRP2MD9UeJ14HSpi0QtsTj0SGPqVvnV2Sr14wAZUNl7Gu
lniOGUmlo3MRQa+tR9O/H8f8tZr8K0dRt6J9zdYlTWjrVfnSM6h3u6DCZZA3i9Jgn9tPak9Ggb1k
shlznCCNGGbpRygKUqacd0KwaHfJBi/sHk1K625mLgim2ormuQ1R84dvkZrwM7ljt8z7e0JCwhXV
yKUqtC9DZb97UQIgoBAJJop2pQz9vrYnzLxlu6psa1OHvByEi8RBJZgm9e26b1CFTwapzZzp1j2a
gHu/4CXsOFXHkMuoqIq9qwbyQEaOIM/Lz7SAHasPR3OwAA8tO2n6T8vpf/iyoqFoa5c/+6zV2m1o
/GQTDhP2v/JOl6S3B2TkYcV9jaKiPg6o0eOGBaSq6RP1N2Un76HLwmuwNiRCIfl5G3FYtcaZa72z
6WAS0LnKEF8ywUTEOy28ijM8NXsPEKeLas0ewQp8jxkdLsjrfsbcynySDfz80I5tPJe5c+pl46xH
rgbLIfDuepC0SK/2TkhLQNDW7C7wjtzZQkxX4TfTxX4AXiQwEf5wRSB5KCs3MmWba/RqLet8pxr9
0pLaBq7uyYHOg3y9wfPCEJwVIVPsBo2oo6tvMT0nLpMnRwcGW0vjGcw0Ka9KrVIFpJs3ZMJ5uakV
fyXt3Q5f8YK/u1/LpDujsan+SURp5K5uWf9bbgL3rHoqO6KqCzws1JXDCxhtXgt3EkgMlllFrdD1
6t5tynBtzcSQbJ4xGTnti6sifUXSTMAsDJ9fgMM989YIilgaWvZ9YQ5yVYQluZlCBRQ03mvGwG3h
yjjAU7FlfR9t0aaC68BnijDKWBKHsRlpxDMN5byRY+rJIUHYxdkoo59JMb4j279kFiafICXrzG8u
qmsf0ia+urlNoYVrzuN8XphEgi0s/NzIlebTHeFyH21KJ6UtNVW15s/DdCIRpJkFO/vxXI3ewdWz
cstAB8rTwnentV8E76PPXtgJhmcrCslZxr+YoRrox3jL5egutSBxz7mADgMtLblGWv2SSGdL2Eu6
xZ/COs7k+TcUtLQv0ZasJe6Tyc7USqTnDandjYNVpEpyRMLyja2OAtdnsHzr03rtIEWKxlitiN30
dp1B0QKAGB+Y8GFBRzhkbAkqL8u0lcdOG+xKvihzE9C0IeN1WP3o7OnNZWdd5/G7MI16QduDQEjC
tXQrzg1wmBR7NV6O0QmXda/CNdQQz+HNEMh1V3TvGTRI2oBSWu/kfiEBju1XewyooXS93upYGC8F
Wnc7dTput6QSjUDwMw16mBnk7IhTZEFjM/n7tE0uFRbYFVuzU8OlKxBadi5KAxGX7YaHvra6h5CE
KXzKOSPMxFtrFTQg2CH7soJd4JWVtxobOEey1Z6nPmO0WWUvKuumJxNhD5eMLDIpgwnUXWuM0TZG
o16iOD5oUea/ekcXvsM2aX1ygg9uukoea9Os39LYvYvaLD763zpoFziWsYYilxH7XrJutrQrWZjc
djTERLmfrjH2bFBpBae28pYKhMHBaqRAHhIKkvriS9FmKQwFVnIhXltwNC9hC2qQF96kTNeupmTS
LYr8GpgwT922C2cWWLZlpDQlNVsvosGQKaCRIHkLJattgn8PUIcLUe5xp39Ds+/xnOQTvTpEGVbN
SUUAcmW21j6W90LI8hRgDlu1JBBA6XTjo7TTm5K06AO6/axIruDW+GQYHmrSA28Q7ewl/D+H1VOC
VD+ym6MT2medzueE8GpZyIBsK4+ah9GpeawrtRrK9psJTJFoMFRCGRP9usv0S21QgCJ44qYYYMzH
w5AskRlPZ0OnpdCm8ant72eETRJbL8Sv14+MCLAo994pqzKOdotoJJdlYQ16caWpZNiGbKAHwj6X
o8rUqRDW96DPiCMzE4HG07dOBQqgReZad2YNNeUltIPmnmVKuK6MtFuTMgHjpdXTxxDJfJ7I8M6N
vPxhoC2uUtAWUtje0RjYpTrVwEvQNOGxEBlX0v4W0cVc08mxLpgYDlrr3SZOw+PEqC0VPsHKQwfS
Hk1066Mzxl3Z3pGAk2MNY3GFMektjoerJbsBknufrchIXpPlppFfCMDHaRiYIP9m2WKZFzs1CW4r
mG2hAbogqfCZQPnf3farrLg6aJ46FPSRi6Ipvb3ugtBCPRmskyJl7243/SW35S2qc/+UiahZOkH4
pY5ZDwF1o2ebwGKNjsvvbCyGag2SzaaW20YymAjJvGALOb6CJ7nzopacQqWWps8gR7v0uIOLRPRb
4SO9tNL4e5dN921WTaeYcKKVish9Jj93HSGlrgcwT6HLIWlozrgPbJCMLG6Br/0EoFUd7JzZbkul
uBXFkKHEH17rwo+vEr/aZpA5eXhpkbpr083VDvcsmmfDqR7oW5m7WmB/Gz3/Bp+k5/LsuZfNpOnf
IOfkxxySU2zl5hKiULPNvHZOM/Aw9xmvcKOefQMVSKdbp5734s7PfMYVochXYzG7H1yusH4UWASj
njjt9Z7mLhkH7c7LMWTpTX3skvBCFeZfUv8UgRM4wQhLjhHFNu+vvcMCuxJ6+NXv08egxVBExgKE
CwliMevMn3pKJxLp7bOp190xFK9qFBlMrb59SUzwConuY+1lIk9wOz2Xoc7KrNY5fuMlCje1tz0S
afOiPOSFbM+dsoZ7SXLVqEB7hQPleE1SLqNaya6+7CE0WKwoc93qTl3p7LgdGmdS5ZoHLOh7tFMH
gxmnOYniqx4SBvXFcb/jPbKuugaVAHKcIJcxTq4MGOPeLdYyqj223gNnai5/kFBQ7TwzXWNqzB58
meenHtENDIlqmTHafPa0EgRco00rp0jGrewn5+rqHJAwYATAGeK+urp57yzxwsLd3cu0LlbCZcoe
yVkYHyP0mlBkl0hc3LEMrsjNfig/F1vDTs6lmoKrM/6oDU2/1wqxytvQpPtlzhAWrTjWGjk/GSXw
YspmT1dR3DMc/DFmZvowaAFdmkfYdpL1iJuNjZYE+KWICy49KC2VR7RkqYEN4N7JHeeQJ+/ZNIf2
hpisMkfLL8l0DGZHqysVQhjq30VuBv3Fi8tjonXPrLO6XeRaWz3OvIMxexg9JOJ0bPHSTCckB9CB
FUUdecxq+zNRwyKvTSaA8Y+y6fujrUeUxMolkNtntBeaWn/NqvCnbtfq3EtTv0F4wH8ymUzDA2M3
Uzb3EtLRgtEl9aJds2I0s3EvNPhdRN+KS0C31MkUgyD70pXtI5e1EMAsE4b6qy62zCt5Y+3YhQ+j
kz/gj0E4ipqZkjzZEuBDef3PoSbDvlmQKhoyJevaXwiDnTfDqQvmw2zjugCjgQuQqx1oT9G8Sp3c
qkYHx71MKUs/KffaOKBcIE1Bzo3uldN5149jRUAJ3384OWVLUnysPRkN/wNS44070gZiirvMbc3c
sP7+Zphcq4QS7d6InP6gm+gow7BnMl+gLB1D5LEmdyEvSPeIvlOq0GneXQ3jgRwgUlbdFTof87nA
/jTpswAFrPNji6i668yHYHSM75RGpVF2B6uElanDEgMRx7E9Wd70BuJ4BgcHLbt94sw8LPl1B2DI
rkV9n47xczXli2LS4ZSxmV/aZfslNoeXuPVxQhbOY++G8jBNSBPs/jtKxG/goPStYMdCtjnbmpjg
+f3Ux7tJkCSNX1lsVW9+GeIaS59THKgYppVf6o99i8lPVLI4OS6jV9Ebau1awYsxwHI1CwZIRsba
KsMq5YAOwerVN0uqzWahEsYoU2bH2zjUXDgr5S3sShSpha8YR2Wk7arRO358wJS67guQ/4YXmE91
y0AvSbuIvO3iQLginkENHUY2+fW6G4ir0fWm5FFKe59o7OP82EJrqgykjcobDp3YG6hTdr4dsb6b
eSi6h5e1gMyChpgJLaEz2YJJ8ZOdxmgyh+iubZSApasxDhH565AS6mi5P5TNrQX1Ctg8w7vz+lpi
KiDvqmIOOubKBoeEWabi53ZJHj2qVCtBRCdfxrrV7qqSi6c/+Ke2yx9tf5qFuYMFzjRSbM3uItBp
QTglR0Pl38kE1Pe5CECoMHftGoI+PeADcQcTzwyYyOc1Cz0isLYe0+XL2BgVqjx3ONqKFZbVBccm
RHtdKZEeOqP6yTW7TbvkyWqLcJMTp2kpyzsMgXi3PJT2rJjk0vdKorfVwLi1uBBn3d0l6ENxZm8r
L2YzPeLZhVGIqAW5f0A4zi6s5FefiD+G1bp+DpFfk0e1EURzsglBcIJgO0xJmsGi5Y2Q/ep21g7l
R8RRLm/4NdG91TCEX5VwXjSHJQxUbzyKAUW9CtzqmnXdC8A+OgS5IYet++Z46HDQtKS3DKsnja8I
DrZenOKWZiJoMvveUge2yxjs6viUtd13u+/f8hRQKJPk/g6199Cp7tZTz45VPfSYKsWtLXOb4DJp
ntq+O8YNunmAsz2Qmda8pd2hYkyNVqFBZiX66eq73HOx7Yu1tCIQhaI2Vo5PkAEGSXT5g25fc7xV
ywG3SUwYK2NfQ0OXartHGtJvAtRIX7TePh8qevJWm8OktPCtcVHKoFPjfA8dYoJJjqvTr2HmP+dK
1VurdUkLl6wChWOj/XdJq0hNrjy2B/52cLYDOlC0VFWGhy9ZKPNeHyfyRCSDbre2ieUc87UalVx1
DCwvfWLeZX1kPZK4wjq2n05F0FAWTvuscpyVN4nhTkm32BiAERE4IOFykq8mtcJlAlZOVSfbZwm8
HxcFXKKGm/ACwdO115HuFuN8He+6/uDiB6OWCg6eCDfAYe76PkRQEo8XFsJMhWqcLZpv1yeWa4fa
1uwVZW91cCtooobMsmWi095GI4UqnpHq1MZRsTUFD2uVgqlrU6UnsB7BArBTtoWegIhmMMs7YGnV
3ZDgrnUC41G0yDqsGOdDG/nREfodd89xNFEjJPoRTWMLXFPcdV2RHcz8PiFy8xjos42raucFvtrq
VjYstClXCJdvTkjGnSJPmRR7+6ssYjxfcXMA270aGbbvbTwQUxaTpS1jDhc9fdEdGAEySXbkyOTI
4VkKzMWDPeUHWnl9D0nZ3Fht9pYJmZ5saYq91ott17PhBLnEAtIeyCMr8Z/h7BwWaY5CxvRObQtf
Tir/EnmceIg8iNvDH3emoXJXtRe0rBvEtCpNwghppHAKVjQXynlrzeiR0VC7mUK1rFk/nbG03ktL
L26UlbhpxQlpDCKKMkd0lbflblDlU94SMGePHlc84YfHsCh/RJjiofFA0OgGDBWJ6dwzMAgOma1/
YYswp+CGp3hMqxu59IGDLL4Y9X6Xatkh68BdD0F5GX1xcRtlfx+TU4qS1UgmFsrB2cpUc+wmdYcx
GzpEb7wwC9zlDLoSPJ5z6nHCgFHuB6e/kjx2LKp4P41etQ2oeJd4Dx06CILmCYDNm9Y46KIjSFW0
9xlFqnLEY5N28iDGZG+2NDGiNzG8h8EpSyT4vo4qIxuy5t5GeoCPvUWm4WPeKz2YCJq3brlGgJXy
xvPHB9NItBVNn9pZyc7OALYNNrQnQMbhQWYB52rG2IVY3Jvt12Aumn0Rg+zWazGe7UCPcS9HFb0g
q4OqQhblm+MJ6/jWSJCruXYwXlJT7/aCF9hCt4hvSXIqG0V0/vjg1/XWT+1+TyGSneJ8QgkVY4nH
Y0nAT+zsswy/fTZm49Jtg4HRe3qHvcE/tnH7pNuNefKj7jzCYd9ZjGp3RCb81K3G2aYDmSyThqVT
6XH1zOCWG6FzbIPS+9q21bgI+InIIStezcJiNrCbmU4PgRlqcUkUxVBRWfbzsBlAwRoNKJN5yxWn
RpK9OKblwSizmtEwfFQLezieLICIGsUmHul+GbE3DOvx5CO16Ej5XqFzNuHkFN7Wy2Ho+IF3s2Ct
PiaaWOMGf0U2AIIU59WhdsGcOAtSlvSL0Jju9K5rLMaJ8CgfQSgXH/p2ezbFd9ahS/3kQQxmAEqy
axh4AT6wgBiOkm+nIg+YNJukTVRavMHbEK6GxLrZhX0b8WUvw9EKDtHc/Ot9cfRqEQEm0MUms/BO
G1kZrNyhPnp2XwQLiGtReIhJv4aWBtnHSaHbRU6j7ylbq9WsBJX5tJ6kdZu8fnx0R/pkdsn2ndNg
vvfrdu+jVN627jC+NnpyI5JD3NvGEUtPc/Ar2KNM/6pdYnOBCsuhW1o16jHuTQMSNIGd2fbCA8Ph
AKsVsG4P38OrLtC2DNw30cMQt8Vw4k5luJBWpRtdsmoIH5u+7UHAgfptzBHlsYdMl2npDzp+sfN0
LD2NbPOVUcVPDP9R3GVp+1zOweT8ip0hi5843JINQLdZcFAMlzS/MmCuVhC5OZHibqrJTNaR4Nqz
C0SmzcLsYQwgRzqMVYQp0po9AZjHNzrRxOD8/Jc+nRNfq5A0mQwnqdHwQXec4YVGl19YrMPOUlsj
HrKbxUqpDzm0Cp0XN2nZ9qSlg4IziGHxtAJW6xxyUeDEClxVnKkBELNv60KhyQC4gsC9m752o4Vl
rbtNgkTNkPneSY0zImdEyxIjbvbZY6/JbSMzdFTJKg9lsGxhTh78NCC1YYCNgJX2MPkYD5GcE2Hi
13hpvfsxNMWXstw0nV1/9aa+xsGgE1xiFs3XGtCWi+PeEdBpYqBtyzAGWxSYw4CvVcivmNjBIHbu
vT5BYTImMEpDGzGmkoVBkpcdIgYr7Vf8Z4SEV18A4bZ76cBNGcj6M2k5uNU6E81AhbTcZS3RCk4/
pQ1UZaX/bpCz4cBlZyIw2Ps0BPKlp+ndmGfllZwY4sUDa8MYZeNJv7wFvaLrnnVnFbrbuHLiBw3L
RG74MUwutrXqhuDP+ALB/sjK3bmJTHu2Wv3FM7TmDgkT9BQ8P3ljOHsy31ng+F58LBvgnYEkYFYO
1XlKTe1pFsEtleW+16Ojnz2va1dxLgkDEQI4Yd8+ZnhMqEe5640xuexRyEWiiU9DH+M0RQx+cXVu
i8KtUfNN2Mks3PLTd2kYYilgJn3pa/zWEfehKCngLBHEuq7BDSwxWqC0iP3x2YAwgiqq0UR4/fjg
jd6zL9AEs4HVV4ZOgB83152GopVKxl2BFmSzhXThkLBAuPqgvUnE9fd9T0wO7qYYxQNqCI018Lrs
kn5PvMjeZQP1wFnBhITmiXURC/fCQ0DICn+rTHiHWsv50dEJ7u0R+ozRvaNQah7LEE4f+6ZDYEXG
yurL6gspBuzsXAcsnTKoEPE5VX3rHppo0gBRv7eOTL9FYURmxIw6clqz39lkDG3KIsa92WjVOtLK
H4w5mkOfuOUa7V53F4ApWktMW1t0IFj+E6N44vCHxytvo5lp68HmZBzaduA8D5O9SAvrXuAgWsSG
5W0RHBlnA9hSZxXeUXcPpjWaZ/as5Wkyxp0XSWRZLvfQQDPPoaneJOFDN/ZnuFuq8TROubcyR+Ht
aSux1Q72tzF2zI0e9A9Oz8tm2BXDwgxjrdO13+x5oFPnACDcmFgAOYKNc2CBLFWVDXeNczaNrCIz
fbqgZqVyCJmyIfd5opD+nuGk2dYZVSLEBcEm9hpVFiA30EEro9avVsVYmqKBLS0pOupNvUeyR1BO
s3fvtMPeZjl97gATLfTmrggNWEqajfZCwLtqmugeksS4M8ocLRBuYBrVixgDqGBNRTciiS8VgKaK
0HuXVm4/dFyEEYyxfUTSs9BrH3QTZedm0lV3iYymP4ouvMuL+EcawF0fLZcKhY4Zi+CIcKDW1zFy
0JU0o31WlEzu44abMKoAs7LYoA7uFr1kj5o0JSZ2yoJNEbU7ompR4JlxOm4+OPz4uaqTgk3EHg4r
J5qFQ+kSLzz6NID4JR/yNn6S+uDdPOShjOZri3K5adnmGzoCCoF4DfIl+pCBydoKw9isT8PG7dSh
cYcSZsfVNVw1fMYgvPwJ9iU+KuQoC7s1whuzJIG3HnyiLpKL60ifvivMNvjd1y17uI8axzUACJDp
ytpNn8yjVleon+b/A9770vZNvNtMDlf0XgC31jTuV3oKEqPFEnnQKdspGny2RHgXuwg9iyFZSyQ+
qFsPdp2oizOOkubgmQZvp76HmpA9GGZBLIelrgaIUAx2+FonM9q1enUpf3Zl/E0N8JIdK0RgJOqj
1o1Yy3kqh9zuNkxvd0GpNa+yQ0qnTSbUf8nVtAza/NBm+doo2u4u7CMNj3+MeRw1TmTCwNSmw2TA
oPHCwlmKcvIPhc88t7HA0ZA/OR2C1sHkOjH1VW7MzLJmGhxjpzOoEd7yGqmJGoo3Vgj5CYVKtdEY
jJ4iTptjrOtyY3R1+YAFfe9m1TcFnuV7lZ0TLvk3XbfvQa5G10H4X32UoHuCLl60olQ4l1Szj0H3
r7oOLkJU1w4zCbgIstabSyu86t4xzB8o2MVN95s94SLFxswrex0Vyr117+Mk7Z0TptFCaPlTkbfT
E7IDnGOFOk9aUmzsZgp+E7Aifs06cSSNlk3Gk0k2n/cp64QXT9N118130sAeWFkzC65keJ/URrWq
1PjiTgH0aCt4wKlP1Tg1rzH18LKdi1QPI8CJppkteJk6QMMwA7aobjoBV4Vr+0d4x3/8KZK++a//
5PPvRUlbEYTq06f/tX0vLm8M/v5z/qn/+11//pn/Wj3+r9vffhb1386Pm9vn7/zTD/Lr//Xwqzf1
9qdP1rmK1Hjfcl99eG/aVH08SPBezN/5//vFv71//JbbWL7/44/vsErV/NuIX8//+NeX9j/+8YdB
7NZ//Puv/9fX5r/0H3+cx7c8e6s//8D7W6P+8Qe5l39nEIKoz+HQcwnJ++Nv/fv8Fc/4O4FdhuPY
NOQUNi55pHlRq5DHc/8uySeUgAFtMhnFHPfbFO38Je/vCFjIVnMsSh3cQqb44/88sbt/5qj88x3h
dfjX53/L2+yOCGfV/OMP+Ut+GL/NtU0dn7hpGbb9KWQwtZjTFfWQ7lwnpGCPNLnRalN7Bk4rdlz9
jBUeJOz43BDX5I+Yh//3oYFqkZZDtcf+bR0++jsTAtYmpkUg4TnrbtTYw8K0y/D4QIhQeRgVgjqn
DdMnRPDaIfdvGBKNNcxbexdr5pMOE8GEDs0qs5K+vw081hk4f8Xx4/+KFKEXBlhufH5w7VhwfQTC
55CLD17Vh8uBnAkmc4iunUQjsBVPPnDAcGP0cKrqgGFNBMnAyyEWVgUkp14V1lMwgvrLffaNognR
hKjoNxFtv0be2rpr68zwhat7giPhz+ksTBrNqDNLmA0ieNXGbrrY460eDP1KOhYCBL3t18jscDYG
bXPpdB+XRS3kg2QpasACrKxSMryKmt9EGf2SGjM/LwKPyW30PNcxPqXG6L3sGZon+Q6xdHseCHje
2FXpLu2qYwiX5I//dlL8N8far5GbNkHjEmCLQbQzJ8N8pfu3lBq4KKOfu0huyszttgq38zaYtINb
N1/sDGGGAzIV1iI31KZdTeObUOTLWml0IE6hywcIOVpgHzOTfq2n+fjrZ/fLiwGWRpgmGWfSNDiz
5nDgf3tywkHwTo6Iu+2M2li3PcGK3FoBYubQ00lHKX6XoTf/wj8FHXm8HK5rOhgITQdVxZ8f0Cw9
6bCFBIRq+dm25DCk+PV27EXHTecoxEHmPA1Gj4Mfnqkhd7ddjc3v+Nd/969HJ9Qli//I0dRtLgGf
jk7PlQhLdLC3wwcSIbAfZ43WTnpX2SHUYU/lqDA8l3C5FrbmVlvgkOS2Dz/8sg4fYcW9Z6NZ/fzr
Z/XLZQlMn8dbwexISK6Qn14c0l+BLgdq3MaZ0eKUMp7GVBZbVLtcRBiACuVs//oRxecDwEYuxp5C
N0CQmrZnfr7PyignfiMctlGoLYGlIN+tH8uG617iJrdc6i8lCDHy5xapfM2cVl+5CeNRvw6RvGbl
qcPk2Pp+9JvjxJgf99+Pk/l5CcOySQW2LY6Z+Xn/24FpKQcYae8MW9eQ9X7KcNOVU/PuMas/T1BV
2B/gk1WyNemGc0TPDW6DsSteCGvf2o7OnBV/oXJZ0eZSrUOtpmgUtnvJoS8smKR2R6/UbnWVsvHS
xe6vX9bPaWk2S1BPuDCWLQcx7i/nfKT1btp4xY5gPJDpohpMDOdhtFABeA2jxAQcFuwKVlHAK/o/
fWxuqjZp9MJCXijkp1fOD0ZSDeDS7SK7HjAJht+0RoH9wBMgG3apZuMfHZxg/+NHRcDvEGFm2oT0
WZ8O3YKc1clye5gdmg5GlEgOJNukk4l5T+tAyl9hVEj3Ns7h3x3Cv77Y0rW4j7tS/6gVP5/KmSyd
DAn8jvHue8ZsCnwLeAIajlXIOnli0jF6NcEmIzTfDzmDY82rMNT/CMPd+JneFCM+Ouctb8ywECJC
0Vpo2W+uOb88T8M0KTqE0B1uQdwR/nxIIzvPLCKI4l1glcmzXzGRinEuSb1g5mhP5T6lvodt/ZuH
/aWUto25xnEl1xWHxlj/9NaYmkl55pOtGWbRvupLFro9mUKY6+9xsgIgD1hCQ8I6Af/n4Ow8VE4H
2WRbpukji8x5TTcVzNLdaoCMS5ZlJqPXSB9+VzH8cs4b3CMN7pDz3cjkzvTpBbK48lb56G+LJg0v
KJtLRLsIZ3MdomkKZefEX5keNMM+l0MWocJlE9bIGu3IVLvboq2e//qgFp/vVpxF3BuJl6FQ5bD+
3IUwdQFHN47BrvTMY542D52mIdGLO3VqcarkPTViDeVai0V+C9qBKebvAnrNz53Q/Byoig3PcT3b
tD7fqWTfMNEsSK0KbNRPU5Hmx4KB5D8/fHw6eD4q8I9/bAkY3TgSZE5htoj7famtokQ06xhv67rq
Y6whkztg+vKy3VAlIOeU62KwxqVB83fF4L9PM+GdzDIG5pRCCiS44tD5GjoEa0w2blEGrNE9JFIO
7j8GhlRO8799fMFA0rPnWg0td/6Wj3/TsNT85mIj/psjxaKUIgtbGs5cXf75SCERcbKABwY728mM
HWkfL2SdubfMifaEAsXPsasIKLPwhIfzWjbxyBdIiT/G9cUKCHL9018fKL++R+Ac5yej09h4v5RR
tZNUjq1qZ+v3EC0dr6mvgANmsDECQeUa/V0YoLaJfdM8e/jTflPS/lJj2gaPzx3co2zgiTifXo+I
cKLCjtky21F5sWePkG/F4iYLKPdV1ZwmLmYJnGMSspwN3Jp3mdXhhW3+Ou1DOJ0i14/KTq+aZozP
8EnOf/3y/BIyPT8/V1hEWnsGh/LnYziSGKmKwPTmNXpAVDPOu6RCRBuGAFuizv1WJWL/UXCBA0Mp
3YD+wEDg9MP/puy8dutmsm77RAQYiul25yRpK4cbQsFmDsVQDE//D6rPhS19sHDQaMFut60thqpV
a8055obWKHQtbF83dRWSjaNwZq2MqA/Oo1DRccz6o5aK/If6w5gX47/qD9MxDfj7Di8Lv/qsm/6o
P+xeDBgnEuZDORawNiLfFuIwjsDCRV8U5lxF19+4pZnteQee6L39FLn6XxfNdIlaZWfDuGra80vw
x0coeKxlO0TaVpbOhUnk1T7WYUVKU5yC5n3S/OzCMfUBQkcQEfiHYaMsc4KP4uwtJw/y1PiTtzcC
4Z5Sw6NV5aXQ/SbGDWNe32mZXz1nTX777zvNZvb9wrHNEcztUvc4wvqyiAd6a1egNoKtHcyBYr1f
vnDSP0L0Ub/J79kIkQevnGnDZTiQoal14mSmhryxxurWQnLwPNGIBKmEgiicGaOBzRc6UP3/voDX
SHaE3z1FXQI0bpSIXvWyvkjIgRKkLV/6AxyvKUMtgpMSXGdb5avAMLC5T6Y8Orl131p6zzpGpMrC
aiGWO06uWLhjHEZEpZytzoGrV+LoiZyCFBjH9w6Ghaqv4aC96ocCqI1G+KcXXqTWGF40g3rJBxN5
eRSvsFXq2L2CTUhTlJDUjumZJRgBD3pyYkFKzn4EdZdJ4iqJ11kXilkefOXHzrMPeYZGsPKQE9Fs
NCtNoYdW9onWK15TMrrSwNgnBkkcCJfibaXAVNH57mkQIvwjrOom0CfnBuLn/5ZyMtxOppo2VobP
+/OLkQ/h3rXoFAjIHEim1CkhvRKQLc179EdLc3TKDY3Hd8se0Byw0q0YlJKHE5Fj0sWWuQ3c3j1P
U+ae4wm3PAJqRlUVJTqFpgc7vDAO0HoufMgCl03yw7r/H8usJVjoTIMukOGKL0dpfepErfTS2xKC
spnMPDtDu7+op4ZqoVICo2DOBJLQ1UBjyPDvJ3uukr4sCBTzlAOW6TlsPl/aBooWml2Olre1uy66
1GRiLKuuCbZNal/++zt9HvO+fisOPZRrPjsKIsi/X/zSgeg99jkjdkrZ7i2gNbRJkzTeVzNkSPVj
8QKb/K3zLO/N6eAsArcnzhz4BnHntNdDY5uUZHZaApTR7CS3Kx8SpjY+0K62DnHGKCbsphGfiDQP
ZSuPoUzMzWdZGqIp2OrK6C4LaTqEEZmPg1Z2dwlpRGEiuhOerA5ngEPMku63SwKt8nWgvPy+t9de
bgJxlSSQ+EWcrWOLwBNy37SNqZJxgWvOJ3SsMZcoS2EdTCSOWSiillql/bLROewH3rUtGB30p1V0
B7kTB11Kc8JIyvJZG8dxi1cV2jRji3XQVsxUfLryLdpNvSTr6t+3Yd4zv94F3/Y8tnXfhV32dfnV
rcJgJXM5+RNlnIloGTJRXEUpEUNDATtIm6Jq8+/vOS+O376nZ3q2y+mN0++XB9wtFdi+UXO2I2ru
y6AyD6OJQ5KQRHyQtIAO/9/fTugcoCmlOB18K1tM0XptFilv25itvvRRwi/mUfdKYMmcUZk/FPj/
8dMJw6CeFoJGmLC/PNcxOQ24PBKPcNMiO/foO9Z0p8RxpDrp5jLl3z/df9xAFguaj7xDtJO/7kRN
UEszd1qUo3az1iWONs0uGAKnzBK05NzL9oeiwZrXgC+3T3ASnWtAnRbX3Nr+c8f2iPHq2cKIi5KV
fXQRuQg4GyeONT3aQaDbXXXtEKNtNcLcV0iItjFoPoxi7C6f+0wqawzUGWD13huAmU4dwWDlrGvM
icrqbZkccy/0rz6/4PF5D1HEniOpLlkePnQjcu7msfCKF36lTeBvNYILi9QarssZzSwm/J7/vsj/
VXoKWryGbfNfaruvp1qUb7WPGWfL8LQ5wInyoU+zlUT5rEybnfIxWWUHLYpg2XZIGYp+fAMoCJXc
k8dmukWJIG/oTl/rVqYh7I2nH16q770kOvyC1RSPLyMJjnN/3xbmekFY+7697ULd2hOS/uTUFexE
Cgs5hQrXM+tJWpcGLWERbQzMiYcRnXhYFdNxdPLpEKU5iDdl3A45+IHK7sN9GOOvbYKg2CXQcux0
x5bYGGW4//f1/WyIfnmmmIP5yB586kDq6L8/vIUypSMEyd7il7ZuOOPDz2yfI2nAzq28B6/y60NZ
jAiEm4BqHwcXaGjShlS3KUtcqFMpdzmuPr2yL8Ypzw6SdsNkZxq2r2tSwbRdCytwWWTTKZ1M67GD
p/zvH8H4j9fCYyWd638TBLj15b23G6lrTuG62woP/q73rXbZcNLFQdzaG3RNq4RiRJE/cbDTsFlr
PSwm1aZql3o9cBDmjJdhI35YHT5b218uLDYsDvaIo+l8+vNq9Ud5nQ2OKNI4cLbU9d2FJzWBepn2
T0oCybqMiN0czYQacRpNYtJi/GRWnT4YExbFSLbOOYkNFKiyqx5L7aZR8FPmA+vWc/KYyJ3EXEoJ
DEcWKBdH7PzbyDbcS07lOcIgoL+ZrFB2Rwzei3jwd1mUWJjt2N2A9vQ7i76kjaf4PPSoFQico+RQ
kAA6SFYSwutLpuqLlhyflx/u1feOB+46x4C1q1vzeXYug/64KnbSR+wKrEw9HqN9Dn8J9KadoRGP
j0NuNfvebxJ6R8Sf1F5LPl7d3lAR/FBsGfMj8ffNmdcUnWYVj434VgLhjUQLLmJn62F3aESZX5C4
kF1MZbVEF5XUCyqFDcc3Y0vHLjukbmJflD7C/C4zf+jl+t8rPz6LqVtoO2mUee6XB8UvqyjEsOBs
NVRUy8Sj1tGdvtqENY6D2PXcTZHW7WEmU34GT/kIrHa5at/pOVhOka1cgM+nGrVOlTneTgkrOFQE
f2z7urpvDCc++zaE+DFzd3lCb4CVbDiNXTaebIllQ5U1ydikdS27wC1OWpuVJB7xhV4fOSGIhc6T
uZZxYt2nzmM+PLsdqGEMjQdjqg9w++VBdOazpNFMmo6/kXRODky97pGqkmiO4W81dTEaiEk0a0vL
iz0CV8KD6ARRoTyBmHoUItLxhvbJViM66OiXOfOood/D9uwvslaqnef70tlivUZqmXryIiiBvQ6m
GDbCKLAmRcOb7QPaY1xLyuiAhMWu2dHiMcAjHJflKXDBm+HXOHjERFxHNcGE8/qsQZH0OO3vmsDO
iFWJBOp1UeyKQnTseTUs4fZBWAa+xNatLpOpucR25d+y5Qt8Lkiiik7+9HB+P+LyQDA74hQCSIPR
yd/vSEWzlCmDcrbIwAh5rnlHBqMioqrpjWtX6LDVQTaINnA+8trcuRrxgf9+Tb+1ki2dDYESQ9D+
oufzpTZNizkufT5kz3JBFTa/zE5MiIYHnOuajR+n0eNjX/zQxvk2NmdiTsYv43wXyzhv2Je93tKy
ocQCRL3YCnuJCKiXCyQyuy7oHr2+8aGfokuKKG63yoaLZgfGk8ArxBJXwCIt9IE0I2NmIs6//PwS
dea7y2F6b6NP2pbo2sFv9AVAhWpN8wFwT/5kKse8t8wAR2vuIfeaVa2Msq5DWNVqoQ26va4jNe5T
98YOOSoX4v4zFfjzi0xqsZ84HE/diC/AaqoV3ACH/i2J2gEneuSY2x7mFDI69GgNdK2VmI94DrH1
N4wkIanMx6renBNCkmGdOVb0msEcGidTXP37vn4bS85XmDOHbVFMcX76ulVqphyZFuvulrYFtFOh
JTc5VeW1VxHj4e9bPUe9VEZX3hDiQe4ljmsJQW3gEbmscCODbMnJkiE/9KdN/NuKzCdjLWO043Dv
KXH/fugxq3cJGCN3mxu1fQyZjZbYkPqSQJly9gHaiNr8IWU5ABzADLf+GC2exnQ8//sSWV/fPiQg
9MIZ3M67NxvUl2ffyY0kiSt2KGesx3U82yVCbc4z0fVtJdyrUmoPtj49fK6Ifd1W2KPbp0DE/e3Y
SXUrSWkvLSIYLW2rF8AaUt8Nd3ElsJkPnbEz8Z9DlITeUuctEUM8bovBTo3d50Mi57DDUuD7KIDa
nF0aTT80Ob7tfbPGhUapYzO+cAU7z99XWgPCg8S/tUm6iVZtJq/1uIieeyP+lRrjUxB1L1kDNE26
0TWmb2jbGXFopI39sMaYX+/4/Dk85pe24+sUz1+FEijgGyhj+GRqM2nOeEyGJXyKdF02vYs8Ge8m
oJxsw4EeM1UbRqdewaz29faMzO1jOqCwgRwpw/40kFhtpqyJDUdf7AfJg4kq2g1KecQoZv5wDPs8
Zv1ZPPDBOYkwzGWpmjuoXx7VGIeMEzFh2no+nJ3cDElVQotE3TwktPKES8LLNOyqAr85wLFuE3As
vSlxm04mdPzajr31UKnyMkDdNstQ+ZXjXKoxvuHYF1yXGeQb7qC6ysmHWwefBYmpEU+UDfk+YobD
7L5NjlPT+2iWE4m8AVZUndRPxlT1v7Pg1nCi+qrqI/Cs+CAWaS+cc2pF6WG0824zjw8fosG/wgIW
r4PA6NZZFrs0H/Ps0pRIiq2ZzjgXaCRqbFtWbGJ34uYIwaJYE/2C5G1Ur209A3WSNj267lsV4cL3
WoC1YMr6hQ6+Yp+JCgYAOSD3zH0CwONj8tRPfBuXVPe0VcfJpI3kT+plCpwH6DTthh8HK6/rFStc
OuLAIdvYiinB1MXxMm21Z0vV7qbWy9d/v/afm+qXm8oZ3iaVj1OQR4jR32/FZCSeKxxpbC1Lajst
TsWl7RL2xH47kbdZnWoLNPwoiZhXKOhuipgt0Ayml4yTJ0RQoAGhVh7Syb/qSX7eEAGNzbJpsVvm
wxP5mpBsZmR4jE77wTPCo+NO6cmbv3z+qvGzJUL25jiCUPzplZ+fyG8/HIsqswbeffG110TOpNLG
tCIOBtpxQsQU3EfQVASH9RdF7XqbdLYIlcQWLKVeRwfdC50zklv7zAsJtWrQINrmyfxqNQ8+FvJN
51rtT0f9/1h5Geph8GHS5HLe/3ILCgMcVgKrftulWbyyY4MmXohrkoe9OMZV2Z3yUIM+lYW48Sz9
DQ9B/9OVmlf3r1fK92n+og7BoqF/+QxQXmiQxZ6JZjzs1oM+kBY1ZT6UxgJnITmJa5Ncl00s2vDY
kZG4HUSsb+3JT+6Tnie3G4If9uy52vv7E80tQpQqXBimXF8P6BppcYPJmYwDOhF5ny39NBT7z+M4
h+Gd1TTBZggtA8Aimv5/vxZfC0H2B50TLI0Nl50QreXfb0VaINgeyKjfdtn/Gj65Go9xCYciyJqr
kSGv41bmTzfh++PK2YxJNNsvTQn+8/d3tZrWJM4WA7s7wHIsHONd603tobIinCqtcxObtnPTlhbI
4OZF6WDA8nnSEejD1ibh8qLXcAQFZX+Ow/pGs8fyh6bJf34+LgZrP0+K/nXcKLwyJ+vYo4+M5+dc
SM+6xRQULOMRP1jbmeleDqLd/ftWfJvXcS+4ERDeDDqO85zg76uij7LnO8UGQaxpvUHqYVwY0siw
3TQc8seJI7xeW/sqsA6duK5IVMUG7OUQOvI7jayTJUK/4QEMFvlZ3Uj6QuzWtCQIkbMNYDwMlY/w
X8Fv//C5v79S1Bgmg3QqO8+ynC93U/Xw2Cc1GFv4u7QlzOI+zzJvpzGFWSad+wZjiAadaF8Ivm1W
fmTBBEUTPkcIRuAcIZ3YHk6d8cOFCXXVDjBQezeFX0ty2wXJB/p+aLX//a51H//94cV8+P7y9jFP
ZmNgj7N0NON/X3ShBcyCYNluManKhV4M1UZnLAcalCCmtV6I95oZ2dFj9LiQlVPeB6kHScWrfxFN
fKmm1ITfMRiM5TjWQMHctUKQwRQD4xnt3rwkG/6YR9l0KfqGRodzadI6tvIh2QVNPa1hBj724D6X
6K3Da9Uhu6I7GAPN6utN2Bc340R/q7ZkdTENWcZuZagD4XTpVR2LZwHs8qJof+sApRlXTr3YBNOM
0YQLR+PauPn3xfrWiHM5UyAKc9BLzSX0105GaDpui+gfUI+mNDhOUb22IX8t2z4Klvw90ECKuA1O
5uNO6bY66d1+LJ3sFvAQdKsCVlpvXv/woebX4q87yIfyhO7M4iQ+2rfXxot0zyXbd6vp8iEMRoJK
fIIaAzZczhEl9GEftLif5S8jldlCOQCJ6VWY17nx9sNH+bbBsWXSxLYEElUEy59v+B/Nr34s/9/1
CR1gIAkh0ytnSBsoZiXMbVXJI8XEGd4rjDTrPDmj/cPC9W0v4QOAypkFfBYTzq9y3IJU35ZcrWk7
wiciXHLyTlYuMOszNEhjOthB0kxgzgl8yAf/h2mQ+H4nDDZVgz2eyoH78eVdIj5qhIfs2lvDjoNL
PyWVxtDzGf0B9t2qYdDJoqsPeLTLXdoxkW87Uk812hBaNcIfEFa0S7P0t68E0bjK6vYi9YYbLhMV
YQh9v++zVZfR0ViYdE3WDn3QlVEnamYc68gArOuR0nfDSKHYhsK0gNaN+s002OvwyfBEfUgqjJtz
SeazkIaSeMa2awkpbrHKKoq5tRkRL0qSuPtD7ePT2Pn2nDK08meJGspcNFnzn//xcIRAGOk8+ca2
9Dr7ZrCtBEmFa1ybDUZV3NZqr6eJujIEgnufSFIByuWhlc24qe5czUJdHSXlfTKa3hahX79q5t/G
voYa3Bp3YTGizey7mISoaimzPriPDWPnxpi6rKi8acKkPkdD3B1jX+hLjmDeokYluwMBKc8N4RYr
k1xbZvr2R28L44bQ6oJOs3QW+YhkIYq7bp0zHrgiJ/UWrICx9GiKL6cge7fHkVy3rJ6TlRprmxkE
FzsUzhUpHjCHuyGBGiV4EMyJyDdlrbqe9mctukPfoEgXYDASt3+z4vq9yvV6wWeeI7ibR9q1NSCD
dlmazUc5Bb9ULD/ApzyWRbmN2iP4G6CoFXxln2TzBarS6yA2q53RGJuODmVoKaIEiIGlrAcIZhjr
xnfP44Qnr4o3bk2+F9lzpO52Y7SglR8t2OYJs1TVznGyEVkeSXRqqgg8TcEzuDt0IWtJmp0jxGLo
qtu0yx6hwvIvtMZM74Ch4d6Sn96S63UvOms7EBAt6wdiO7a0AJpFLMht7wuFls7qXXqUgF/COaXd
5V9UcUQ3c3IIAEmYsHvppumLmf9a/B6Qxawn6zfqyTsvQv6bZjnMSqNelb2gvwCLgPCjGlsxoaIQ
BRGLjR4GXbB2IakvWRvMEONOrGQqYThU69orLlVv11vbIcepyi7431uCOI1kgd1xqRkQwcIPM2xn
ZQy5VvpjlGDV8hS8k0Zr3+hpjYt5Q11IFPeIUNu9aNHHRlrxIvW+2tn9L7MPwZH2nk0MxvSKn52o
qp7RHlx6SJSaAewIZv4aZM0NvIi9INZKT8jjJgrFp+jbhV69T02X40mETS8LCO3r38Jh+B3Ica80
hfd8ju6GbbcyjPKK0uPNAnPnzdG4oqz11VD0j23ta8sJeIZbJECse/nMYriIsBLvUygesK4Ac2oM
TwB9EIopGujRxVGkpBG0gXciOHpaBnXQAc8H1eYpi6RIMlwiiMOrVEFVoiiD3VNzbpfPzSBWiv/P
2u2KPS3F3xoadWCjJenjLXRxvHczuqR4tDqfS4DPp3HKmVhOv42uIAdrnkhDHy/LVD46EahLG5sP
ubdFsRzAPpHQNsOdQcU7ldav7ODKkXlBvD1TU8NOwCXNpur2EFfEBfYEBW8yydiyrkjiUzgy8qoF
W1I6q4FINBBYkqaUdVerbdcYpLyK+CGJ3IXjGbRqQkzzysfbOYhigwDkGhGFoDkbJlw9fZe44jeR
ktbGzElRyYkf476Spp4H9BpjDwOpc6IFoS3JGa0WntvzPHGw6msE1nkadJQP9oqzj0kud3EFTw45
7NQuexfmoIlbERoW9O505t9h8dH4Wz4w9VQQ7EmXHnJlxS6mzZx7UwOnEeknt9KtbRkZ1TL0CC/w
p3Xl94+dTlqCxUu1mmImacJ6p38xrbshfCnOCMfqRT+MV0PPFmVU4oGYSeLlPY2HztQWaLAqxZ3y
R9IUGEUzWamX9I1w7ov6Fxb/S5/J6oh8YNX64POzeg+ekCDN2LgZ6PKvs2qiiz0cqk9YJ2QOwMhM
gbFqFQZ3jHi0rDTztcwNQMJl/xBpB1JyFhOL9SjcfE3AMmGowts5HVBhmZrZJWiFJVSSCzvOW5QW
5gPNLP7ZCrJu4b6RtnQx1dCh579tshKtyEt5Cf3JX6WAHZEcmzRV1S+tqVn1uweyviEiDx7p8OZb
lpNC75C7wK0cWTWgrMaIVAAKQiTCMIva/U0WOuZf088AM6yzMHO3PepiUMDy0lWGvxj0AGWLegS1
yHWwSNEahDwZcDoBYzhAtquzY+I6s4eCYLZarod5y/38bG0Wv3rZ9P75G90pw2VVqYfB43XLmaSu
G+VvEyf65Srrpmvba92oXrvI2cKC2Ux1vYsxoizdkRemjOJ3K7SWnx8NUiKzFS4dHuuqWrtDsfGb
4bc2kExYZtuapviaWANwW0yh14ZZAWNaVUQMLfGTKaZm6kkGwU2LNZcCRt3CD4LjxzgslU6xGSaX
XCXyuLK0fsfXwTxAu+vbq6lhmjh5gbPkGLZjFgKkeCq2duJ8kDCxQfXNQwQuDjxgPS0ML0jWZWk/
kHBAgEg7g6Dz/pLX+VX44CEwed94BRDzYYqLpRcQcTPlu1DBVQ0qdJmzeT/vYCIYAJZIbg4xwBlI
d8CDePA4CY9JC3iQhSkPemu9uR5g51SrHnXwr243Jic0C4wm4aBx8i1RiQ/uxrILtALNTCU+mEGc
XyRgNHuEVgxUnYd8JLavMXEbw7pce5M4lKV64nm/Hlxg8hrdQwaAgzss6Yff6x2uGS+/jeKiWXmF
fMSUiBAiWLhWGJEUoJ6E2WCqtrAT2MVT6GO+KPsUfpkX24zDsxda7mAo3WJdZ/JjlOOOAEhj1dUj
WWwNkQwSIEbzFHgOqaguFV8ANHeqxls9MUhnts0Pxyjfqxm0XPi3dm6rbZ6CW2rHZ9K05KL0SJoy
9PpmLMd7M6tuPN2R6zHQzlEC3zXShQJYW9d7XSloiP6HiJKHYQxf/QqAWifADzEItToS0NtafViO
xtFtXDdt0F8hb38aBGnJhkZkvN0y8xvDcaHP7cSZnp+b3CQ7o7NtJfrJ0ZMHHXUfrzCxDfl7gVp4
yUd8NdPw7CTuGsDcDa3xdYhdkMYk3yQvz52odqKEQOFXkIC9Mn2cBhPlaq5lS1/peLEngcEFNJhf
jksjYFsNBtIc+vEOupUDl0bPt+gWd9QP4bp2x08DOn8+jy862eF8ZoqN6dS1FsHUHCWbMjAfMm5i
ouvUowt7bOlX5SqO5SM06XDtxupEn2dVejjea9gOi0IT0DCdPmbJNRM6AX2KTmlcNtNgASHunyeR
3cc2YQWBo/EhrYxAodQlscfCj0O4xQjsBqNteBoVafUMCxd40ek0kkKi0S+PgymjR5MRXwtbopxf
6ToiVFNAjWEhHHoNakxEHjTx8Ne+hirWCeRnRgS5H4L3kW9zykcyieIFA6q7SLpvnz9ik3fAKIkE
9mGHMy4idCFqzuO8JFcKPW5BdviC6UTDKzEaAO8H+6attf6Q5+7eQIG4VoPZIvbY1571SyfCb4OH
Zc9P6q+KjCRjDSzFRPSPmVO6BNUxUV52WdbijfHhhxjH+wopy5I8GLbNHeXfladgvwQTHyt0UDNU
2UtXmcfYmvCJmdSjftO/17Z6Rv3+PnLi2ZjmCxpHsSlJ+1awNODH82FJznqPe1Uspygf17oLpot0
HYoSTO5j5e9qqKmrYoj2lhzeKiTVU2Mt8RsR6+2xKrkKwGLE1HOYkE9qhUMdMOFayJ2z1+bbKfWu
qDH8DUdf55AFxaaDQnggD29Jj56bJ+TdXHTBxobppZ6UTSwCqdJ8Gdt968SX5PwBiUT3Vrt0iaFa
1Oz2izFJn4cPZQTugbU6aSqTld0FaNmERBtUIDeTJFmzw60T/cNFPQdHmiICSOSlZZa3JF+U54Zm
rh+HtyDY9/VgvhmV/HBccoaKOD25PqLUOE43jGt4T6v4OZ/BKKDkXkNNEvWqFCTv6wlr2CrGCjhT
3reNO962O4ifpC3bMeglxQTQD35n4VSSimRX+Dr8e4cLs+x02CmyG67wa6qFgfeQwiR96oy6XRJr
4K2htTCER7SjT5BIE8LZRYx5Rsu9FlcthZ6Jz9twA2DNbk88o1291ExmpgRmTg7Ht897f9PniEGA
uO19LR1oCeK0jHudN0Cs3cwj6KPxz50JoU4jbXjBceRF+ASlAfqhT5IfXJPivfR/21VPkJaK3mIh
WaskIBFKoq3jc0g2YJ6NWnxnIbe1+pDYrhEkf1n4FzXZUdu6cl+kOEcO8U4Dk/cur5Klb8frJgaH
6qrqGWp9w0tcgjunDoxfmiJ76aVz36SEnfc52iUZl7+kjH9BFiaGsiQGB3YKbNXmTgufy3o0GBuN
W9fu7hOJKp7dCciPS3xdTY56at4BPn7SzGhLcUr63gST1C3epU3Wmutor5Enf7lh0G1UlZ/NSn/J
/G4HdNJeaCwmC71jMdJTYOfac+gLTOWZ9sD8tnIPWUpKm1d3PqfHh9DmOUlslsCgg/KkwfWEvOLE
9XCb8KDLjMY9jiaxjmDZz/OlhelZxA4rc140iAXXEFk75ouFzHJRdS4dXNr2ALXabuFVjbVITPvU
6u31mIbvU5JtyiIqKHELDitSU5wTZyaNgr6Z2D7kEJntu4gxNpOfQEseHQMKfO4NHw2Op6AaFwFB
7tdpzBAmwI8WEs3YhJs+nl6L1oU1FpdXQ2L+0vz8DhTIe62nvHQN6S8yQSqlthMvSxq2d4WS+UKZ
QJGk5r14nAiTLPiwamM/8H4Rp+V7ULuCRQ9IRSo5rrSguydjYTdqzVq43rCyPPkKu+h32QEmjVuQ
JbYUsFD9G7yOKwpxfI72BsjXtrASC4FAeAQZR46nByTT6QMqkEHsXB/cZsxeVEjNXFSl+ih0DW2P
RGEX2sDp5dJSEQEbVRLsq95/1KIaqLN/2xN4HoRg/l1YvIh7770eTApCyTl9C6mcSSEXusU1LZun
YQQcpsKr0iHlkmPYlrQMNUnjivyY66mf7tNKO7L5JuvKVq8WW/BiSPPrwDMfbR+rhawoROYjJS8X
sbTxMu6gMSNzvZFxnm7ikVsYB5KMSah8gqMpwl331NbreiR8w64tgj8au1jnrPSr2gzNJTF4L3kD
h45U20tdhidpYkQtkJwPGj++SSgPgGLKtayJNu7QcBOt+tj4zJNmCjDadH+Rg5neNE35TNSpS/1C
emOiuAN2SmA16QvrRJAyYUjvnsxD6VJS5zmXLboqhwb0GQCnRe8AGmtMqiJQhiySIPiBT/FgBDOy
Mq9uoCkYsHH1ZqmAVnKIMrJ9kPPUjDVqtRnZ77dhsJ6cF3oC8Gkt7T2ivbAsAE4uAPv1ywSiznjM
WowzdBjLNRmfe8g4tO/q5kr2KcBZ3dzZuTkuSijUa8bUN12Hczhvb1rojKsORc7JAtmlAFbkHgEw
8wSyqcHVkXdC7tSz0Cy16G0ggQEoY5GfYxFhe8S/uao9zdslTnBnFjX5vbDsC+WvJWCvVR1zuE3q
QaGxz8kPgL7kF9gGIZuqZVDY+bKfkufcZc0vQWyrzKRCIB28hZZ2OfmkWY7Znn/p6GYl47CRH0Dp
hGsFalhKUy1qf7onLOa333CqSXS8s7zgR0a4UNE7TLipzM4aUSlt47DBaTsrQvWTaO9jTIiO5XXT
cgqjHRb55ODmxaWZJ29hZZ10nRxwT545FXFJiDnVInJSg2bOmbcXdQJCqfU0lqLcHdbCKeQSlz+m
kPht4Pa7jTEQDTYYPIb6bW6bV2Yp9j2fB4jUuAGM8Dv2KLi8DP1eXaqzMuwJjDZBWmbepPSx0KvX
9dVkA73Gwoz2LuJ10E14Af1r4LBD1jO6B//UAYeBc5HiM22yObNIT9rNVB1US2nYEM5xIZdJ2fEG
dGW59gw0yOSrLJs4IG2psbeiVB19BzbgxmcDbjW2Kz/Xt42cDrRHIlZPoyDmJqIXCypNWmaG1sH6
VY/5s1X2pB/m2vyhAa+nJrEuEwl3GfJIO0QI7XnH3s3cS/hBOJdQ2e9oAg4kDpq7iuYd/VQP7vAs
7Bs71AFxmuGv9Jo1YnIaTQ7uLCiPIcGApUEdp7kzuY9YFymM5BCnOseFVSlJDgtLwghD+8JV5rAf
I1rYtGbYVGzOfbEd4XATb+CW2a3Y3XM/vHQMnmneDPZyb97e++7kG3lzHCz71vb6C7ntCvpkzYh6
Y/TtC4ISaPpIDiF56z/pKjtWQ/w6SZ4vNNlXakwo99LrzpYaY7L6ks7ILbhlVvu6tleJUx/8NL0o
J7K1nYEEIgVC3q/48zTk53bacN36SbquOtTJyRhvmXYzb0Z8KUfDIbA1vDADDtp6dBvNWx/CauIo
20OTOYSR0xYb6rhfRkoFpEHgoGmdN4MynhhF98WorzicoCEaiMSbDAqRVs4hBBe1lhNRm2R3IwkQ
Cz03Tk6uQ56tsg3hObDKlbwcK5IRLaf+VdrAjOuscDfcCYB99keTceiQXDKjspejdtu2Sm3HILoc
h/73ZNEJABxu8gPcGdHcCErShWX1r8w9T6lt7eR83XOJN6Me9KNHk6uNQhOidZsuus79jQYhX3rj
1LJcWvqiY32ILc3fm17+GXI50jmQ+yhXzyK3uk0VW4eWSCgkdKtEf8xkNq1w/GdrKY3+WAT23TBR
5fpWE68NhZmLxAeybGDMEwJ+kK1xb0T0SFPyCkyafbkxAFuss7t0nAGNw9rGeLBoPIuH9yUYiIKk
h2kspG+/wTm5SKat0uOTKrPrQlwnGZiTCe9/KONXSR4b+WY5LX3AxstMjMcBOdkqZ/YGYnuf3ATF
8GgkEYMw4zzqlPbS1U5i7HYRPq5wEPfVsU2mAmiu+xHZPDxtgfvP8G6LGCS8zDdp+n80ncdu3MgW
hp+IAHPYkmx2kFo5ekNIslxkMadiePr7cYC78QDjGVtqkVXn/FEgvDEow0PVE9nNevVk9li04bCH
dM9V/SoDHaimNn9EU+f8F1SL2E7wC+lQcKrBHLmPK8mTZs6B1uTuKU+nm5k0SByxCy1oRGt3/oPP
/n6iuCTwMQ4j6Huzu40H2B/eBKtQub4sBNRhYSTBkfgNj4BuO1qaD7ZFTnxN/FRUZZAMzBybWXeM
mofGbz6VmXpEbZNvXdfEwi0pDHPf3pdqXc++Kh8poUiDLvYMepONKn9zpaoiOgcSEWRXU3YU/HXr
Q7ekkT5AKhNhAIFAoUuRjUw5qwrrpXjMO4dSE8Hw3VvLrYtmC0vpSDSfxa7cgWSSWvmtNT4GvQCk
dq6751437jPFtWp6J9XIg1WBKHQtDaFAzESnNbHoysfN18eIEO7TJJu3dJ1j0zXypPR/AgrfxjWe
UUwDmMtXdrLP4D9SQnkXcJEz0aJsdS4OXMrXMq9yUYgrZsI7BMa8Ck5PS8qsd0yLmFLlC0TWs95T
8zv9G1NPPzUYUBfeBfvVJRU0SAn8r/aEQvNgE4VLAGcJ+VSi6cYBxlM61WTOL5+1vb5b2rTn/tmX
et+ECHt57rpfXaWsSOTu5kSoSsqx2tXZu33oVOXWiJXYZhYd60BFOPVtZGlsQAYzB72vnIh6mFjz
xFe+/H/p1dc8NoarzojLo7/8WYBYeVhjbPEDDz6AHgW4i8wq/D/yp3CzK1fYxzbrB9W3xF4Qdb9R
apsrojEBbujce52FkfQ0KZgQ/yP8Yze8k3Qe4xu5cbSUjFHnYo1pEPb1Z1DRpatnvUWIRnCiiwML
tHnS7c9C5PcmocJ0HNffRj4zvQsgh8X7E/DXF8hlYoRO52wj7Q6CPnKn4Eq4Cm0W/DiIWbkdb6VS
gq/NepjqASWSWE8umHZHZZOoLmLok94nTHqtuDJxal5KNx/pDzKAj8flnbDFQ59WaOk02+Mjaz8J
Z0/cvVubVMu3bmBrWzWeC6ugvkc4r5yDr7jXuTvYSaFQtv59K4Hj/Zb7wExfxp4DzNn44prL2ljn
Yc0f+e+UXj7RFP/FTpXoxBlPFY0P2vI+OdkP0eMntFYAI3mbNIse71WCWWq8aJt7qOV00lt1lfn8
ZWvswB7IN50D/9LUuZYKXKOv/05mMmGHZ/ydk3Wl+QcLTu6/sfZRDtbEaB2dOBunS1E2r9Z4U2rL
Y6fV32anrsLuX7omYyDRxgfLMO8r17uhpSAZFu8VfuM8NxoVBGKNR8N8DPL0wevK19EWFJgaM7nF
CPH2L2Nqt2jx8IKbKzm/29uc62eJh3ydpptOX1NKKhb9oE3+q7nWL1vHFYvn4d5Q+YdwFki5zsO1
e2nb1g4BFEKp6Q510tw1kHsMheX4afl54oBYV8ynQ29owGQFXH0xPaxyfigDdz1YGUFy6T5UOO6n
V1dP5D5ebXuAQdTb62wSterww/Lo/c06DlZn7LMoJfM/NGYjmWf+HuoleY8/Zl2F0h0vkLVJT7xE
oL7XZp+qtDGLafrworat/vYy+C16PYhKn72bhi5gpunX4Li3CUjdYadKjN+VmEigFM17pW/3lSfA
N3ZgBtr5TjUtYbiY2/X9ngqEC6Q7K6T4vIdDm8UFvlTggibsN3XVSLgAmw5FKe+BkW4JjUHeK9JP
5dIMPe8jlmO/lgpoTW9faF29qZF3e2yEtLd+DzmtNMizqL/SyChW470tTGAFWtIoZrtzm+apqRVH
sIXPBaG7RahLXbRMxsIggG8oY4rqH351QRKFQNDDSGD/zox0E/G/VBeBrKUCNJfP0p1oOZiAQJ3U
jkd+h6HavHerH9+Ub17La9qxFycu0s3/eivKJDU6mmb85iXYcXnNAcvMPoKsp9t2zKeztT43dqoi
SpxO6PPoUV1LGTYpvYUisB6UgKWcxunfsGncFV36h5UoKidzTXAKXnMfaahP9BrXOM5QtRY/RNuH
jeheUjX9BvNyQYIbThR66d1w4CnGAMlOOjUAP2qFTPQzhL6jSTS8o+YutngqJ0aYxXFOWj2CyO7t
ikSVFcOfnOeQELc+LA3tux22e9wjbpiOoxNaztjy0CY10/wBr1cXBuqfGuxPwQXKCYmsbDwtaf6H
MoOUCfU6D/nnOrZDourur9EXUb50R3aZAnaiVveypcJ85FMmv+9u9UHurIxWHR8VIDAVNeaOdHDh
mSuIcfHH2fZEW9bbaAnclnCRGQFDWr7KlqW8tWDPfcA4RXsKGMFMdsOnab9nEAsRAfIvfeYTJ3qm
oXovvismfhn/YURrwHoGzPOFAjGy/OxRbqAGovIfTBn81UqJIQfU21Dpvb+msKBVd5evTpqkWOBp
sRhj1V5wSAP8FXzZ1azfk1C1ILoYQJmcOxKaXu2O5gRj+Fcu3XddpM+W0q8jPZAaN0LYto6etEX6
MCL31muszkVFrPdIozFpSbiM03/eepNREBhB57Bc0PMd26xiVEMbP3ah3a0G4fg8Hoe2Bx5RTHsT
wUJFEdToxdkOt2F5d0DD7dl9LXqTcnF66Dj04PfG6czF2h87E2fF3qxbyvRduRBXbXGvOhcofX1P
V/euzdMmTKfifgGRgqrO7i19g1vrzl3ex4g5361eO5HfexwmnC0NYNmilxdzZghPC/rGnHkgN6Ce
HqH7noIqePLKsQkJzj6QVziedkJx9jlUZhiJaCuMZzy9WDY5IP3MM8PaAVgcUnO5kMiJmAXtZbex
fzuUQZP5G9niH8G9oSqoREVd7ERzFtxYRnNROYwUlrmK7snHPq3bqFR7VnjgnshVA6gKeqQjkGHF
+D3UzkbcLKe3UPfBHpklzBoNwQK6ahvTc0rhK0ZPqpPx39Zjw1A1+oSE5naFXIc6c2kXh27zKH73
AZmMqaehb2WjROiDVVSld40a4K192lj9Lant8Yf48pe6zeltWY27CcpptbNP1Q5ECtcSY18e0D+V
c4gMiZ//VjM/uMykQt1omudKARQZy9tUckiVqv1Kmz180qayc9YlbKACackmJi53ci62CHCmK0wV
+yc3FOwKNg/Hwo046Stnc6uOSrh9bGcnp7GnOHNbCnTEuTRWWroInbne991lzSHoCERkMM6Kf0I3
ie737A/4I+rD222MzX5DyqPT5eBuPjHZPlfp+pcqEREPDmvEQtB+J5z5IK1DtTo3yicpGPNMexGE
VkOibLTJorW8qty68yj7GTSaISd9/lWel2wz51ATjMyOVLSUmk3nC1YyfqDaW+/2deIGRRCm5HY2
ttwQBtEM3rdfc82ZUzAIISyXMY+RS4caDWjisBlFdkuP33cm/fRgbCjisDfey2ydeZlRws+LvHdd
iIxppHGB+Oic/8e7pxjqjFrpJReJpoPZExxrHGRvzaR/Di9LVf9zZmrhCNU9DJmiJNWN04IKE5G2
AWAV4TiuMUVw2gSS8+TQnYg6Ufy07opKSjsjN+T4sCdoOtf4N1Gj2VBConKO+c1qyiidg3NBq+yt
P8PvrC5LqZv/tShUtPJlPJd186dH5FTT85AsdMzQZB08DZr3mU/zHckzXeRnc5mYI3m5uaR4Zh0J
TOe9qVT5x6PDxknRbgjdGUKWPXYUod7nEZEHEB52oZm0nLx54XAiyz1xLUkA6dLzjaVaZDnaowK1
j0d9oyWcDkgvWK6KilFmFoVeWpBJHbgDpOzAduTRkBEMZ+hqenUmtntd048umQNkqSt+H9NCuPrr
cy7K7rZrQOe0FkFpy6H6mJfUl4MuUx4Nea4DD0zdu9HRE9dpXQHRbT8VRfVUWS193P2KCsGlVXvp
Z5KCi+DZH+wTSfbXIt1XqiHDv1dQ4jL0l87tOfMH9ycgUjW2e/e81P7+5rhR4zVTaNRV0uKBYlSw
JzAmVkxqKYh1I4woJTHMXULHG7DwjwEGlSp72KrpQvRAFYveFoclJ6bH4RICWuUGKNLXTVs+EO1j
hLYRlLdN1GqpfUolMcdFCq8OChbIQJGryXfsZtN2cEfZcv/O925KdrlG0kmoZx5nE6m2fEVkAOU8
VWyttYyHivvYI4EmsWnmSvWM/t+Zs8IqgXv1DOEqAbpluiS0A5VhPjTpgVp0IskK99ghLDJEwbex
QCGPsn8Su1fIkptEbL5PjXqB/JGLvZ45GpeSCmBTdCdbdGFLpcyFgLxjJc2e6YJvphDeyfC8X5Ze
PXSmWUVjWjwbDsgrx19/NNHf2cO+e89fWbVsJ8gao98rrhq0MSnZ5hESTWYneiiPueeeUgSTq7MR
wFGv99laIqZUrR7j8KYfpUtlMs0Fhc2W/YuKqD/QQQnZ7G1RPlbeoe1iqp5ISbUmwRyd3aVDd09e
x4Ptdx9kUm0AGwhDWsOOOHnkIRdXq6D5Fi7pBoenfqMwKJkaCefe5BEDXD+ZJvNoLXOyP1Apej2p
TeVMvlFa7u8vvkVP4Dg3UbzyXFB0UjrqSZV2EQ2t8Uf2aDYsxNPeEsQtDeQ6V0EEiPA+BTwybd/h
IVMkRe0IR9b6f6nQolYgcxCoTg8G0oIorawr3PcfHgU3Meo/NTLeY77oX5XXHAtSVCOUvE8y9ZbY
NIpHg4CVBO6DUtPcTsbKOVSd1Z3k5kE3UAurCp3cwF06QNt7KSjx/buVrrrm2sdESTRvTTkQX2ee
JmOMc/SsZ9esXuaNR4KKUBomMmDlpqMZRXekeZztMyGuI+oeelkJyAfPrt2LN47v6QjisQ5fYmSt
sTbVRxJJTo9MRRM88lqdNeGku0WIYSMI6axarabhdsM2jSwBFik1Ez1Vdbi4CENwnCdrrsiUF/41
AEBhNsc0bEnUqUvdnjLz2ddyjMWGDmSm9deA0gaK7nv9XM7wTiU1ZpWTIasYDF4cuDveJSQYzmqi
jVyPjSjhqiYCR4yChaVLjKB/t+ye1OFBGUQo8QIzE2d0A5wcZNZoCb2a2oEpIsPcfvHBzGhq8h45
8N51FP/Xdlhv63xFgame8nE8wpJWZxYneLPhSVYgbQQYIMgb7io6+ZLRM0+rzjBYcIWjBF3Dti/J
ZsM92Xtbe1Sj38WZKaBPm5tZH0qK7nQz2jxiFKVJP12ZrbEzU7eCCmHQyj+mEu1xOLB6UHLhEfGm
GqeFM0La50q6Rzhx85G13kfZmIwLQuhZfMhtc+K6EddubNhWnLttrClyZcSGiyU9XbZVOLpOccXr
fqmQTdyWxhyEhanOnFdF6DWlnqDGZK7SY1uUB4DohJfhkqV06JXOONzaWKUdn/YFl2vAZWEAkBy/
XVv9Gi1Qs1PTDWupo8l7s7fOQywSCvhu5LXPRj8wOy7xsFIP3C+Llnh2f+vQPH6XKSiQYarORu3X
nKnpnWf09jlDQ4hyoj40+oW+Yra+YQNWp46LjImPCqXItBr0L7pZwhZsxDqxsJwxqr1qmc478gcX
f8FDYg23pFokc8vZJebsuFkT/JrRPZTlp98vqPUC/oVT8vFv3g9kPCYzA5lyR/45A0q1JTlQREzC
8Ys7I49OG+pngrSJ/KVZY33UfLqz/N+g3UPiO+t2D4oNq12AZBRFRA4uI4TML07TzTfbbHx7xq2T
yRc0UwoFrTqONL1O03xqpVBJajU3ukM+//4W8CIh0zi6JOOzYD+Z6CMOMu3f7OF3qWgPk6yXrQZg
KP0f18sPCICma+2uX8ASv446BfaycDqN4CrIokEJJS3wIz8jc43JIeA8qc2kMlo/cbVhSiqcVaEC
T0FcRUGTNVKFJfU2CkzzN+NFh+llw19J0tfX7IPKPuR15FfTpsckFSifjryk3QJxyBYlYvjwHgyh
MkGZZ0efb0xzT9mTv46T/bOVKw4S/m2zGU8qZ4ic1Z3iVduL0AOlHSvqQZCKLTHtLSEuo6tfa68+
TWtdw00ox+CQ2g4DlRHETlWwrCwqFj4lInwTN1m7PgrSxaJ+hjUmyoLHdiumZN0nAs/+9JSYUOhD
qOk6dWWOsm+5OYrnfiqT1ib4opiCW617JvIDh7PtXaf8imJQizuXvM2B4rxqA/rbio8N9wCO90GB
0IIeuNSJny0EcgW5WEyrlGSt8bpk00l2Y2J4mx0LUnxgnWMiwmbqj20Laag1UY524mttnzZoDvRs
nHOOPT0GtvvtTK4Ruxbro+cdKqPsTx0hI7FPDQlxZLsqXaaR6IiJLNlCzbTujqbWnM2R1B9Op/tx
JAShXRI5m78+xeOnlDrucCNJ+ZQFdLtP2tTEe0ViPeoIrOeFKh64QyJCstOIZakzBNjbavA8iw+H
gMWIcHquOvNi+Nq912XPwnbcs+2j4iE2Ezm7gm9IW4p3XDfx3ZtsW4ZDUdWXrHcIoy+hRhp7Bs5a
rIsrYRCJm6Du5uw34yv9yM9SuxAD+ZSuzgc6ztwwuUXSbzuzn4U5gvv22i3t1OThBcttnfHVdtTc
1RSPr1zHvBHskDG5Yj/lHlKOfPfTsfQu8urpo2RirpV7m5b86GvSf5C1bE+qy5818PMG0mAxSyYB
zTrrnUvtDb421k5vXD8Qcj6UZnE7r/ZxUuplIE+pXMsDKZKwOn8WnQIyd/ryG/NBSym205yL48jX
0jXvJqpNUbiUv6payqjTm2dN/tWAjYe/JZ9ZEySeL98pz/k7k/Ki7Ae5FiYyvBGsIJuQL86vg4O/
3fuvXNEks1Dv+O7BhYIAWfv4mIHx6FVxWClqOmgeN8XO4qPDGRSN8E6/3KxmboS6JTlQLSumo9Q6
EY4fqt4wI32Db4VwigfDwwnuTCAbNG8aW31DJkQkChBibT/R/OwhLaEegpxrxYLgRxnHgQViiGdY
e9i6GYHDTPGy7nyRpq1FNiFIUenCQ3YMrBrxrmyhvOUOMqSwe/My/qG5NtI/i9d+3ozjZlOOtiHA
tadOA7T9UgUBaC0RoPd1CSey6h/78VxpOClIUnD6/K3VQaNVl32XvfU4lJhmyI2DHvdUSBHkL8pt
N8b4QfSDHW9L+i9bR9h6ozl7GmDmcMGA/UYZn3VYBpDYoDl3lC1iYK9ua+XcGUKh5wMTIycSyn7g
JJ2KMJi5sGhvKRNB+m9Ri/Ze3wj1X0S8dPpbb6NT6Gamo1qzfj2TQjfs1EcWkXYBil5pVh+39E1w
7FfLfBg6jg+7A4p00KnSQ88Xqp0Lx9GjMQeArDqWNm0cT+yId1iTujv103ak0AeitskmOxFq9jAN
tbz0Rf8wzcYEUKrePFqnUVv6wcngxAykddaoRazW9GusWQbKnj6lZcyfOG7vxMzeRKVmA6eFJ8Z2
t1PFh+ebE/iNqT5nzY7a2Y17msIikEGPx3N9IoDv4OEwiwoNjYop3LPPmYy5Id05wycEiB9bVmeE
rvRRVs7ehZT/p0rsmqASkWHXIfyWhfsMbcpDaYqfQM/RaIN6kA5naBgv8Bj78ndjYc4mhaart3dc
Nf1DItBnnSJsmufmsXftxJ8sIl7LGP+BD0XnH1ddWmHRSxlrhbwzt4zORx+McDXFZUBBFbXFKB5J
vb8U5HmHOAyOOThLlJl4zYbN+txYZk+t3iXM2tiQIMHAl8h4TrLO8kNXpAZKX5XU5O/BtnxpdVeC
ZTW3VVEB5eDHY7BCktO41W07m2cfJKVTHNLKkTGpL9aLs4GyEz8xIEg0EFWI5UEggknSycvRiG2k
6ZoEEdKMpzaw8Em8cjgdHJu1Tdprj22Ec7MGoAp1KLPCkJhqqkpL5GDRCVP639N+znOTnMGc27ig
xzREB84PNGVOWl31DPihhYtg6Ss1h1742hUxaT71fbu823pOHTgW/HQerrVEsF6uK1ivcM6z2/3J
Bg0qzV6PJKrIyCxzML+0cE4SFwbpRuZNMGQH6Iy7OjOon1AmScKhIT3+hKp+6FXzx2i9b8IdDSwu
2ZNtrw5BwMTvULAdzlQw4lHxsRUsYN0EXx8bqzIZhhy442V/vmX+z16JxtXS6pqBaZYYoSpgYNKH
fNQMZsCcpAzmOftqBb0DVjktR3N+7buJs2vM3QequNAADI/0+h6MqbhVSDUWk9JAkdcwpXXwd63J
tmkwYIwm0fmF1TzoEnHnVgGfVm1+mqBXto1Fx8/cSCtvhwZNtll/tovXHYmNfi2thk2hoMrWVH9L
igOFWX0xcr32bsdStjYJwxL7EsaSyXh25cKs0IMUToUb23l9WUoTzUr9IEqAZq3R3mdBiF8PjNra
9C0aTnZjOMvBq3WykasLp/V821SnamLdBRHkMHwADHuTSA7w1gUvQ55TTcCBndQzQv9FBA9ZhYOq
HOv+PMeNZWiHAYyrqSXjgn5dcuvqKCI/9WGQ4VTZRqQ674UkBfCV0kVMTucJwmUSXJUFFWGl+Yl/
/e2IvIhb29GohK8RwegfW02/bM9F3tTFdRvHi7VaiEtSK9Es4+Da/QNJPgmt4kPcsurvFaAuTBYq
vcQY8Z61yC2E6TWHWcu50ehmH5hqMOjwQIFhXAOB6K7Z+Dyt7RN9+17Bo29+gQVt+tvhrk10Jyvw
LmCa7C8lEg1Ec3V3VlWGLqZuwDjW6tdw0qd8z4ash0K8jOKq8U5jV39HyIYQqz4qwJNDTyxTVMp8
i/rVfHIH/yoeRI8Zywf5PlgzRqvSWU5znQ0h0wRClLx/lbV3ZxXYMhaEaacq4ILU8mNQgh3DFPqU
6yV6OZoIvLwDY6KPHMInvQ0AgRWQNxPTEGumo9qkyvsykj2qwjTNnrcMYWLX2ATku+huzfLIItbF
g5QXIhfdxLVzjh53Oo3p9tIHMXgvKmiBYNfo21iM/h9kP5C0/l+N6alT+beotlvL/DKIC4gcU6Fn
0RwquHuLVo28OjrMutGmOb/YVPbwPWciygjFur43EZEbOh9V41/SwnscUs/lMIKc7uob0+qhsWrz
TPT3AbTjA+nxxiqBKJ2D3s+yG6RQR1qbVdJbG5rrltiydKnfOjxHEKGHwaOBtfbWM9EIiQ6WKtYR
dtjXmmRRQPKQz8jW3as3VO+yZhIpN8nmL5fXdQCr0InXQdOJfHDlrkm5qlbJ3172ombSWSpMqOKh
q4p3l+ShE+7XrHrjDNiPWsxdqDRMUFej99j8avKPNGQ9GYzVsCqWoRLd1rKrPTamIzcPfrpsB/dz
Rgd8FluGs2bcnDHWOsAdVHS5PoCgFweayh+0CSQ+x5m+9PB6jg23AUkL3bdN1GKkkXLhvwjLfSrp
VDXwTxBLfqAaGSYF9n6rwVQW895vgThRpCnyMtWR8+0qjcymiBI+ROjzk+92D5qLemS0p5+y3WWx
pOkGPFXCkDUKO3gVry34NplhkrRTCq7HPM3oGtiQ1XFRFHxtC9Skbyu67O3h5LhNd9hnQuTvP9XA
dFaDJEdV7T8s+UrB9M7LFr34o4nxTMMELIM5xYqzJWzJEhqCFj4Kf2k9Ljcc1cwiyDncXuzxQ+vb
pqbbpiUkHiXWsXDpLMhPfa0dOqccd5yyCMuhlXHVkAZlkniwkm04/Mw9gDGOLmSWsBhFMWixXK3f
gWtsJEF0SNevURtPqVFvsU75u+uO/WlYqXHMxObhaOBB8qRhsq1gcdH267bWOQ9zIykxO0gq+k6q
7LI7Ytp/ZLfxNZEDfslFcUNt7wd2uOxQIvfmCv9ecvnLqDKhKC+zsMikk9TeDD1Jw51JOw7nIryk
RADsl1j7A5WYjmCrHcEjazxmWTv6GFE0n9ol51GsRR4OCmei1uYfsgpupjT3uAfx3I05Jp5xRIrl
VKBmG0EPle1gcKlG0GqWv6ZwAMpLhlKh8FUig7nBD4JpyclwHxKcCj7B7QeyhImmMx8Wd3rLfdIE
dY9IJN/SQl3AOXQFbpVAuyv14hvDRR9RTvzeruXbst6yF8ewFo8tERSrBOVacF4aKwIiqVdatOty
qsIaQuSkPS6L4r1BKYt4iiJ20Tv06o3mrvi5Zqnabt61VP0bVX+Umne3FsVNh2k28nYVF93vECRU
fLqCjRHmmZlG1Cc1iDnsDbC+zOVy+u8XE9UqTwXj8ap1AGgVCX9e+UDh0wHMCF/EGAS3ef7U0Y/h
ptr75HuPftq/Lrp+p+hM7bur045v2ow+0tB88ggm7DLwXPTtsu4vBS4jQZhnv7AM4RST9cOKOJuR
YCbXVbhfeqMn41TLA53qfwtp2rh3sH2odqGXdDuKHOhA8zU7NCUwJta3cDaDMe4gmw7l8kuKKOL/
gVUfm9kLF/mFoKAD8JrGn5P9hYDJocQ64NnZvhrj/BfbApbNmR27C3wXrHiip/QnbdxXwxofAceS
Mug/msF90wFD8wYc10RJFTWUtMPeh7052mfeUszIzXS1dXmZZm773u8QyUxXFtcFPBU5VUXeqMen
FgQo5fBTUWG8rA+0pq8JV9eHmtbnQij7UlTpT+sxNXYI5K0U2UnO3IviHmFMNvgxGR4uAmHj0PeP
W6Zu50n/yuX4jX/z1xIS3Xn1Txvd5sVR1Z0yuquogqOZ7cA8SgSSCpAH0ki2gj6kYFphVQb8qAYa
7xc2HcNm/yFIXIuHvUBZm+XT6OydiWMXThawFiQbGCcigsmxywP4czwVA0hF4HkQYtOxMLBWuNJ5
aEX/OSjny1MMlwVjEKyuGa6tfudst5uj/5j4pXbXV+i0Io3bwX5ZtOnVzpAj1vh4kRV33lnR4t1k
6e48LonoWDNIwOzGbHiEvWKSEUGBT9J+zfb83S74+o9+N8YRq4BhPW9KIxeshJuDJ4xykl2zAtKy
WCdagmtaKFbl09BRIsEgndyyqbaueubYVpR/NRt4k4x6EZqqeFGD8czzcyKpIksy0YRt+kOoZ7wx
Dk2Z94QAq69ZKJj0HpcVxy4bXpj1KH9IL8pJ65geUUNwbLgj4O6qxWA1D11v/PGL9tqLYY3a2rka
Ti8uEI0odesi1mweFCwOToy4qUa5J9FcG+z8TbE+uRryKbJNOQPJfB+SzEcrhQewgCc5jNrsHuyU
1JTFWc9VWuoHFohfn2yUqtm2WBIIwJucWC0m+Xyyz0q370EDuH4znm8cvNMRmRTXUrbcelt5j2fq
RndpMyvV8FSrimGxfDIy793CNThKSMCgb+yDrCw0pW/AVAEquFiohl+G17qgxm+ovpuyYCrDqKmh
n39SKn+QU72Phmh6xYSry5jL07KWzzXi/7I2vWMaVIhr9O2WT4FLfIAtQN3MG8GYxdN04U7sYr9p
voK1ow+QfEzZojS3nupBfPVOXyFEQ3yYEk0UOhiiLYoMQjCRn4IM18x3btx88I5eo79LN4/0or1V
2ASQ/9AWo7PpTIU8DPsQtuUUYbgFpVu2O9GmUpx9fzuZhCIetIUVcWuGIByaV6/i8BdpcIOUG3VB
ZxMRV/8jUg4vMxqfWyzimAamCedaQ1JD8dTIo6hNiMm1Li9lL3/9ND1tHsfJPBQqsZbhOSMJK9Q7
FrPUqh7FEiASN7RnfKSHRXR7hDltfnppfTta/0+aaMTyosbSMLWR1UAYbFN2U1QrzfXb8Grp2dlE
8h6qrrWT3LdDJ1mmLT/OOlEh2nab+9AOCMBRKBj0gZdICAWyv6HaW5AdUp/17p2iYode+PpWJ6uF
MYzDVmbch7l1o9fzW99atGrjEi+HNwRv9rEL7KM9UycqSyPO3YVyMMjqvmrf2TD3nXKJ6YBkbPQZ
sasGEq43q2QnYLu6BZeGsJxZwjK8SMTyWXGFPC50L8NmOmSbZxEx/nuhk787aJhY9M6xIxVU+Cqp
HjSWQJxH9Cxy1sqbbCac0JRYmxabOmemTKxhU31HFzXkoNZsp8kjIAF+D1UN0ty8QfMq5CP6aQP8
JGxMKY5pr71IPLqF4RNHWiFO7Mms6TF9zEX3hGzELZf7qWhcsmsCiDaKc60FJYcbMBwRKPHYEe3l
q0xxmiokbBjvRu8q8q8VxYCPf90Sc3clSh9usLqfG3z4UqYnu9Iep9X8HFEkRzsnhQgEnYFv6SvJ
m92lG5Ym2nBy88vALRlaokHB08w/blfWZ7ea7o3WBj/Tu8Ocjye6MLIX1EkD2G06HQiezKxNiyqN
vDp3xV2+qoO5m6j33aJfBj0ufZ0/ELVdJO9LWuuntn0R45KeinW79VwbuywpwBEgQwTcpUdkluSM
Gnm0WiM2aE170pv8ykR5o2tLejGnDKnemuhccF4KHRxYRjKiSA4kFxl4W3P2Nx2NEzZt3dAPpG9Y
uJ6fcrKAOr7w2FwQgAW1vMkWPnUbOf9BkayaDkPH00ekJgrYV5XrWKNopicFEfCrbE8DoschgOBx
+6a4zVG5x4UwmSDH5bgnpPjpQn7UakeTJQSXx/rnfySdx3LjShZEvwgRMAVTW4Kgp0R5s0GoZeBd
wePr5+DNZiZizOsWRaBu3cw82SlGxv46Qo1dWAPqVYvUn1b7GqeUX820GRYjAWmESL0HOLdAa0/i
sg9cNkexA8uI6W7nZQyNoAceRYX+mGBbsMaTwbsmSBm0fDd/p7D3iJtqW3qscKy2ey+y+UPXy34T
u2T84+6L0cXYRllzjyiMGcH7tkJxyawy20VMhgbVURJOjWnXb3NDO6ClwRmJZB7URRy4qrzpeX3G
Teady0gL6tD4qStAK3XYEH60jZA1tb3PuKzvtLA6qJRDBdPNEET/AXrWJP7imNl92VZ4A0J7x5dN
u2u/CE0TVwMDGkRsxrjFOJhk549+YOYkSELpU6ZjfWv7k+PmITv1hdpU4CZbaBI0LbMBtglPcObg
lVnrJRLt2yL0edKsSD9b+FJ5ppH5JgolJnxrmy4bFiAGjRlMZlsHCTsbuA8RC+xl78okYOsKBx/4
kDt79S7N6+MwEf+pmBTJq5l4qkSDcWmQKSiq1bMPZGM1cjVrKqNF5mTDoDHZQUvxmn3m6Y+NN+36
yv0JLbFgFWzak67F7UnlLPIQsX2SdHwTC+eaktM6Wbn4l0GGupKei/khkwGbYvmIB/7K3xeCaAe+
wK0sP21dXHIdy+thNDBvgyjasL1OdjUHaDChPa4P0r52yo+5apOj3ltAl9kfySq3drGWFpsxVfHe
0nGuT5Rw6F+ZvOpN+Th5+RRg+sbU2hrarQQxfk5N82rVfYwQR1ARD/gRupG6rcTKAJ8dJF/WaxuM
JUfcQDjnkxcx4urAe8WHM1snCw6Tb3Set03MTEIkAFUnqDjZk91GYJvvajJkm7Zmu1PQQDt3VEyE
kfsVz8uvypE1PeelqXN2QDF306lhNGZL/ZQv1i7XoO+JifUVPTakAVoDn+30rcF8CHDAELiI0ns5
pUfRsEIrhqEPakgsKKT9U+vNjd9P5xz/4BY0x4eucafWy49JoZqJMUeEw6Nmo5I7QKSdgtjDwtBF
CdV0UU7an9Iqe41HN/UNx7KPDbeq7GHIrUdj4mmTQnw7suwvo0rFIZ5uckCWjCeWSZjmcKrjdwoG
R95IkLFG1Zs0WMrsuzTQkkrcmXEY5nvcd6e4lB9djaSshUjJdsVNfkbGwR8e1G70N9rVDuHsZV50
guXmnTY/mfqIdzCx+O4NVrMdNNjvbn1vpZ11NIqSouj5HSqFb+nseGd+6m0R2yePcecOFOWV6hIM
Bcm8+LHHnqmgXH5Zhm/ejI5P28bOhb2Y5dgV66IoN8rJIbCRI1l0fm3yKSedz9JppkLLif1MEANI
F+pqHI5dX5Ojn/A+42vnQOlGVylHNjY0y7VW1Puj7Xya66KmW4zA0LjIVAPHZCnUrh6nPTaYLlk7
eoqXQXOMoNTHFBnbuIraODcum8W6y1DQLW+rBv2RC2yMTC4CT9O7K/1hV7tcb+4VSshi9xu47FSP
8vyUHVXMXSOekWHjbWmaZASF/uRw2T84hoaLUORnvag+Z2NUgYkNpBm8hZ3HeLGGaEVekT0XvUg2
BhhEtM34sc70IIULsMGqZPM3Pqci8bZDHn3jCd/GJSv1CDExCZ/TiDOu0ozXKBqeOCHYvsXJRzkk
n6W3ETWSuRX2HePnQgLNyb4UEDFQcJYdxEDjWqaRbmJlHhJbNMI0u3mjU9+t+kMoDG+LpoGGnP23
HvWZg/Fu4K7QEGvDpSD70K7P4qwCqan58C0TtvFJ8l5YSbqjltl8UPzPeQeSUBM5IPUyuuBaIqzc
mhfQGsqfFoITSCHYKev0wgU0vYBySS+2p+GK0+qn/zoT/vuXWfOmkzswHrY2M84o3XPmaJz2dBKS
UKm/3Sn/xyORLX959knpMx4wR4FfoKOPoELANlwV2RVLvvQVzc2+Je9JlZ7FPMH1W/QbRpbnapwl
K0uuO3jFcYNnquM3Y7dHO4c9ro2EcLxPR1vKW+mYN8/FCyEYWYyl+ZCd/mio8g6cGGb29ImGnMOM
CL5LE7vcev18iONqDGwDc/bShycNvTGzl6doWXmQSyeA9IU2wslCm8ms3QGTfVKLu+zZgKCiGIFH
2+FGxg39r9LkZ6uYWgXQMZjf5UGAN/HlMhIPWF6NyDMJm9V/ZdZO5zFLKSIKIfh1+WcM9k9mfX0P
6cVAb+E7Nwl5Khp72o2Deo8IfLrYOEX4hiQCar3JSVMZx4WTYktfUwn+sX9WilemkMSC4wivZl01
5rM2Jy/9ovVBImYKgleWb21oFZlBNO83Q0tDGM198iQQqtH5gOjY96peo0spJk2G+11fvDetrfkM
7jZGfJyhLFJvCcty3cE+bWQfxGah4EUXjQjDZrax/4oaHP1qyF5Fp1DBBVHWjytTcZIIOo7d/1oT
azUv7KpHRpJP2w69DyCHCyt5622Jap0iSDwsYwYLEOWDOm2W7pVJbCzUv8qMUibbUrAfUJ+5MOOP
Zj0g0cOoRMgoAoZzy+tlDR2N117dCJXinyZCzGsrymNSaINzn+L43Sh6wjfSLc+pO50ya7WxOq+N
zhYQHyOOpzjiUpwvrEg6pbZdyupgrpZNatWCnoH2e8jSd0HkcZLEXaNc+n03TPxTuRMl3ChFFO5q
h5FHJPEeHR9nhGoOVDYUiEGvlu7Iy0xv5yiwuJI+wxljRsapH0gsm3r8aAvzxn78fqrl4xi2PYZM
7i6JAMnLR3cp7cG6cuPG8kQDZKhS3DipUWw9fLtHGVIhJu4yd6q+vEa7RHmBZ3nm0+9JKfcRQQWh
vYUDQpMxoNhgnzV92xhfmvUncGBXHNwivp9zXGPxkDx1ozECs6HJQGmJ32uOt6WvnJmp1B47fM/S
NeZTNfKPTYRT70emFTdjMoS7XR1bk+q7lhwFS+t10s4PnlV6uzYy3nunuK9D9oGVy00ttn/FmjzQ
0zc7TfPD4OFCGCpzn0YFPCmjlJshR7GKO4EJYjnCP+juKKnc4Am8W1rX3NKAi2cwKr/CqNib68ee
h9E1j9SrU7eJT57b5RiM8HyTyGxY9cETrC+za94naf/QY8UPxKh9ZR2f39BhmJUsLpY8qpnmEjKu
MXE4ZrHnvp2RgHCjou1VIJ6T+qFuanfjOt37VPbdbnJ+Tbqp9ssQPkUzi1JTZ4dh0EeUgDDi+ldv
4ymauVI4T4m1gy0ENH7mseoxV/lh0r66TfGYF60daPNFjtjN8cxywFXij445A9KkbvspZXq+LZtf
cJdIjRW8JzHndzPRBWY1kjhhpVOKOp7nKi4ubLZvGD/180RIoLViCdAr4UWZAyXsservSSMEqYwZ
gjgKnUKXmAXEWypJZicJfpJcljQGYr3DQzIPJdY3lm+EOLSdYuroV8iHiu6XkMwEq6uZSRj9HKY4
rpZf3VXmDlC15N9GpXpqEZzKp2nmObQp9eJkEBI5PYoWje9f9NjFhQfeSHc2ydR3BwgsW5MCOb45
96GnbYfCoA8j5tmrNHY9o8nOCGse74R4DxITJ6FKv1pj2alhjo/5kL/mXvQKOflvcnn+wpr+GIPy
KiDs5dYZMf8BqnlxxurbZNk5mJQ5WWYC+aZVn73isAEtN/hJ1JxcC83OGdk/eh0nStayPZb2HVQS
F+1urs9u3Z8jTmwgKulDL1xvQ4gTi7o/lOSg7TSGOmXOZ3uhuiKSdF2UmO2hO/icAyRvxim5YgYs
+N1xtSRqm58XhyR5118aNe+nkH4bwy5HLALZU+N29a5d6zCakI0xqfZvz17mndF46tJY+8jDAZb9
OENaHz2HST7To3d9bkmpr64wODM5DEwWMIIRB0pkUnY3pAGSKRpWPn6z6IDsOJ2J/Q2N3EZRRadI
17H6N8yRUWheEn62MwaJ+FYXzxluhp1TmhCV3YYS1gJkc8Q1PKrd0O9l/lh0sOeigRdeOTYl5DzA
qUU6PrCSG89p35wmerQh5rHaV+QaNly5RPccDxjHUrHvCgLbFKApfzQjfet24bOLDWQbI9XjmTbf
0YWSqxFi7oCsytlp4GjJ7L/SbaKTGoAkVASpGZ/YKOC0HgCn77KQ/pPOYTOtWExGmRUGYWH+SXME
CLUgsxZjC8JiZMZhQ99h6xzRteGspJF5y8t6X8DhXYZk3vZtp2+6SabnKpStnyZ01MmQSpMR5lVA
S8R7gYGMqUZn1qDLG5gq8o4R71ImUzy/BucfKQIvXKsJE2zR/AnFnU4p5fpMS90VxJ5B68QouM1n
m5OsdiA2urkZHxIQQf3TbOoTjkGUkp4IPwwMNqmWp3FnX6u3CyJVeCnPBrrpzpK4eam904IKy2LA
4lNyc9mnedlhkpQr9WzI/SlpJYefB8kOoldXJgZxtJxHFe9zyJ6Wt0K1sdvheZ46GwP01NxqK2f5
Vdetn+cOPcxpOR2qlPzJmKLxJzWmxZoIwCY3l2tRLJ+m6FhXeA1Gssa4mNjNcDDRoKEkOkGqaWUw
2a2FAA03Nmu86+SSySJeZVCldcRnZI8pq0hs3ZB5xq2eFH6uo1dFdMcFWRWypujAh+oWl3n8e9zA
LQ7xBUk7R1MPut5aHjHsc6SN5OMKkLItNdO7RlZfqmgLKuGGXbHw09AACT27IRfWieK5xHv+bNAI
CDqRQ5jcniO1P/KVXF+1Ylurqd46LoNg7/VnZYl46w2cE84E1cRiwbGZqtw9t/k/s/2cCh2guElq
lx3vwuE8QEzIMfMyIZyM6LULowziQsLbDRs3BgaeGX31puWCpafM+S9DNljD3H90DgaX5FQ1iGxl
zCaGYs7AojuZF210Gob8u86NeD+9aw680D7i9jc92cLBue8SpMIqAcbTd9omvpSpB+G3prCVlCvr
0bB/XDIsAXY8I1GQzg/nwoI53Zvndsq1A6dftcWkTqhGzu+NY8gDsH5wShLsjQZtS0wPQxI9FVpF
3UBCBdOv56bTjaIZaHLNPa9PhECDqZvgeAn0LOiz1wKzl0xt56AUQMmhLc41+2W/UqO9s1O8dM5i
TwhqABQy8UET3kAgpXiYiYscu1E/u51X3+XjfLGM9DZgwWhWEqUWuVsPtynGSGe+kLXkUUfsYQ3a
WeHBjHg7MecQg+eLMg0nBio8eNGps6zowyKcLo2s9ec2iQ4gTwhw62B6GII2BDBJDaZcoL0JUJTn
CN+eshes2M42N4Eh5MI6RFl9cDVxG0T2XCU4IzS14DWxiN96iST0qgje4YpFHd507UyjS/48jfpy
omgTlIe7nGpjeIuYcR6Wib8BLgtsGD2XuKTiDNaLbmXSD4f15TLX1YspEvNWa515WwRIs6hk0u8H
6lnJOxN15N5TM8rIHkxwVIH96TqUA4moMTmP4wJpq1BXfrCYrJRhYuwfn6yFScqMfgtr/qp70ICq
6s6OXcpz3Rtf8KjuCbMN17CELkkFxX7iiQst3l5NnweVNMD2PjRl0/hzn9k7ikaGNZLXlyMvIGxV
bodL3dXe6i+XWMWhbwq2oKhPOfP3jrQgGQaPBLFwx4NrVKXfF9a44/bJ+Rmz/B8W9zlpiYTTMt5u
3VA/WGv1fDlYxMKqzncnSOksrjaeF/fvTjq+diK+5ZZ8KLLhxQMfaFbqDSWJJlr91aosfAOW4QRx
6tzSJtuXEkhktSaddR6QLNP+em++FLHU/cXizc16aLcGzK5gFn0zW7nz7NZUuyWwx7oyX73jrAAC
/jTQMOUH1/2ALDgu6QjDqmeEqPR0ejRlRtVk+7IYCVGzrrpLK5uLS1y9x9LiGhidWAhrOzvMHs2O
h6nqjWcrpBaWNho0ODvRz4URnk3KDcIpdXy36eqt6sUNoJS2GTXnl5XQz+SR8Ulcqr2Usj8tC1bu
VFUVITYtPk7aD5g7greh4IFwZyvIO8v0E4NgXRK5Qeet+u6aEXUsbsphPczbAtGKU4yBshxi/YT4
hhvGJftTkamxW10/qD67DVJn7yNtwPqFxEAEaZkMWYbBTyOahiAK2MEi55Vr8J7zcUMQGFO1G9N0
ShLbK4sTd6ubkIKknm7/qUmMfiGnO1iV9ySHLCwLmbOLM+vZwyLGrQtHCuaMJ9lqvM7w4mZdab7h
CkNwmTsuLyn6aDV/TClfoCoX4Z0yikCk4bh+u25O5ugBG1s06wa9dlgodXPj2UfV/IRG+WQli4tT
wngqISWw9kv+hVZqbofONnfLVcfBgHEzQblx0Bzy5VETs7stC+0nTNlngAaWx04V5yRJLn02oEDM
w7IN+3fiOZgbnLjzVeEiQWDv27gAu7ax6xyteiEYlH95xfSTdgspsWVY9orgQWM9dt5gkGPDVmNM
/Ac12JeR2AKmd4f6F5nfLY33LJLpDEEHayuk2I1crKNKHW5Y0eqfbaIJgzGSF6wFbLae82prCHkn
Q0+YZ1N5ShBV8XomBZH/mo9HLXBfvW5rQ/vyF0yZO5JOfjtPLN+Sf3Zh8dzy6oaT3iIJdvKo5+DN
CKnMCeJ2ltfJrSQLz5cFs5CZvoj1GZugTHHhgqFi9Nfc7SXVNBbbOMPYmXIGu4jYL+f2XGfm4Jtd
tSMNFvvOm4mmw384vep9nR9VEgV1Z6I/gQ/cd4oUWzb9OqT6yQX347no0FjJymL14sPS9JNWRAmM
qvESfQuCmVuar0f8Rhx66/6ABX1PdsoWEbHR/istQVMkJHC0ieFAX9O8rHj9YRRncIysh3MofguU
xJBcEzM+IZCReYIYWORPROeY55KjabNZERps7iZaiL60cMcJl1FJ0Qc4imFzlwX6k0vpbG985tyY
H7PRetBH/eRhZ0wB59eORuAhNbg1sTZxGyu/mp48V2UznCKYp7uq8L6Tq+IrcUkqTGld2fVbxymt
/dC8LXT8NcJez+NrVMXRXsjVYl5WX71p5fvEkhjRxCWS86X10JlWp45Kn4g33ZkJrInKnvRdBcz+
ZLisKhr5KierJr5YRkeDBkTOdRZQ3YMBK2HpcJ6FnMZtlMWBbbe72Wi7feR6CyG7rFhvIVw5ZqLB
RCoYrn81pRMiD6efaS4ex3it6TGSa6IvfLI8D0QXgW6hiPh6HnL1JtDEp/NjTYyiSQ7QFDM6Z4S4
p/gkYz4c+4PnMB016Bab0tPu+vkdz4dzMwodSCB3TAoDkF+mPgVTSggDmj0KbiEdhq6uJyg87vuZ
feRM1JvMcx3ktQWcMy/HbdnBV+m1+CSm6N80ESmC/AiYRRo3Lmt/EPqIdcfjUxbe59UEPzhKU9Se
Gq6uMZPhnoMMHMYq3CP4OMa5HWPTd0Ap4BJDkeqIY+FEmS3ry1A8shnSnoyXiLJHNj74mW7RxWnT
edssLDapZsv4jlfHeSRz0LNdrtYMatc4+qbI2GKvYg5EAfFBlcfHyAI2tZCXkpMNejLAD9T4CXCt
AN8ILyGEfTdKbp3QGdQSrJrlMIAidyyi1UAgyAtvBpfSkKlKiMunTzIfDcYLDnGbfWw/zk5A6hny
vGbuPdZ1RWmEmJbNVymi+L70FAYaDpJcLXbQTnwaY+PKAyhmafDxlCG5WlXZDzPrDGQ6kjMlg7Ci
rcZtqK6YxfhDFQwNkmrBjzqzo8j0Nn6Ni/E9Bq8+xE2KXkwnCpwQovNWTdlPG4JzuhehOe56YHfP
WGq3oBD/CoQA0NoSAAjaId7SH6tNvcPkVYg+quC8DGMLxcvWt9bCowu7/9YW8NS7hmuRx58Ci3qn
uuitT4Y1JYweU1ZQe9NM8w3KCQ+1NAFDlHaNyt4FhjnEO80IKTTMqmtluv9GRPQ70HinWrVn19JZ
R045eZ/pnsRssk8nXHIktahv6fDEha23IZUwOA25S/uRhTQtLjmSkyCWvNVRajehYQoGWs3bCZjI
vpzZxS2z3vpli71gotL1rm7xkaqlUUd0PfhKCAMCjwDAVi513GocSXVSaJpB1PZ3LrkP2g4qop/Q
w87zkga2jp1MjGm/d9nRg1JxHyvT8IujS+CVJc+KIzCGMzzsdleX9F+u9sLcsn+XiD1jjr2zW9RK
AiKCVel8neDB082hj/m5yfnexrH+G3UGMWJDMODn6T+6P8CuDKgJ0ib2ajNiwRL5YDifrhVnJqD9
17YTv/ow8vospiem8vhUuG+2JW/KRm1N3LYMRupyQvkVUxG0jaxF7nUx/TbF8NBpbb2nezXCAD/f
4nD+Jyt3OHSdy05b55O1YvdoAzcjQPe8/rsOYbG2ILbLlJYWrwDMRF8CP0SHjdHAwUb/IvFdfPAp
yRy1hO9LF+2ESXNCo5fO1rKjbWxPLt+7CcR/SJ0Lv8Wpzrk90U218Ti08Br9qUpPfWsovyvifJ00
d2HqtZd4dvAljZDgF5V1/BPBK3nRY4Gvln496o5AwPttXbChtTL8DkX46uqfai3rsDpjXakrSY/p
ej8FDcXBg1eOIk3YWAs7csfcK/gT3DhBGYXVvUS7z2yPREuRPendgmOrPUyRlu6tlknSZv5GTMGw
ASC+qK78BQGP/z8V/q67+NbxVXp+NsSnsMd1JxXAjqVl4xfSVUBhx3XUrQfTsddSJo3XsZN9JGV/
0zzoRcAU5g2cbe1glJd05BaR8zLGdaP9m7G2opXP0IY8HjRjisMdbNirrDTJKk1HChvbo2Wp8pLo
OGironEIHwz8Gry84+/Or6skTbCron2h2EALSze+oadsjfyvruX9bInPvoIoDAlxcrVzkwIXbHo7
PHb1WF6bHCrrKOr9VOP4dVvM4CO9RwePDqnM9UjOZsafDapxZ0ztynrUvGumCKpC1d5ZdnudLVPs
zKVDmCfixMGPcYaxMJT22lVh96e+r59wzPDjhlQyORh031rj1qVc+kkSnS0HwzXf650du/qLNuLq
LEkhzaNXH8Z55P9Rp9qjVK9VYl8KWuSCUluos81zki3tJ1Hb+0gncRhJDqIFNYXsmXNsSeYo/AZu
QueSniRfWk5ofLAjDIZDhxWKa8TBFL+dYnGD2yl9Kjvtt5Qrgts1sm3XnnsQmkGYwBg0XTI46+ms
RecOC6BbSM4TZ/R2bPp/ckeqHRwcfdsoPoXI6c40VA3ndHzpKgwTcngkxlcFWkOKDMl/58TATfX0
4gxKO/FoHzjMwXI6uJYIL6kSrMDgJhO3hfY+S61xL3reACIlqYVjlZYhBUZ65XnMrOOUR2wW23W5
Rwl6DSvzH3eL7IZ3Dv+hdR64JYFEQ9ojhXvo7IUYjNOfQUrbm6jWRlA9GIy0lslFsH7dlk67Fxmy
XJIVd13P3sUziQdQ8c4pHvNnwAnP2oJJrIl23EswzmeQo+j4tE9EQzj8zoCVix3gPSJjOX6arOVI
rHX9pJAkDWGGe1J55lm8sV+ONoZkn+zO+tOE5HSa2vzWLMiXAL4otxmZ9ONUoyW9Kp9ilF6+3Fh5
ipavLferc1oZ6jgN/AZ1qKKXTBqEcEb3Wze4kowegYoFDt6mYMC/TXnM5t2s30B6AjrIFhL9EIKO
RjrWfKtBWuax0mjoTE6NoQriAbZEO7dYMjVutO+tFiRnjDW4lilTOZs+itswEY8wHrPK9hPNpZ1r
rp6VJsHLWjV5e+E+MyPnwnDPtTYfqCPg0zkJYbq7WJLxhcKF6NGX3r4SJIuTWKlds94hyG75qWHU
t7H6SAY2kaQPpsNEgVfl0QkeS95NdMwVe2q84lupPSlzb+dR9E6/H4H8fH6lNjI+pNX8qJUkqvIZ
5aSfyASoOf/PNoVJjuXp1iMmSezC/Ut6mxIRqNS+4H9P50++JWSAo5mVagal7CIrfSvr7AEl69qF
T2YcGU/6RKMfxUjHPjKqrVWb4b27fKZTc48b/kXMXhXwhfmyIuny7WFYsV5r8p43C5VlLcvdum1q
7Ju6GMl/L0fNBljNJ1dvXFFgLB/S7RC67hYYHQxZlLRkIX8T4eRVr1RdeBvTTm9ioAbJBBDkDa7G
9qvWTsk7nRm48bEuBkYFGD86jR2D18IYRVAMYpcJ1N6pyefzBBWYGlgczTN2MZckj4mGuuksj+uA
bKY7ky2JaZfPnv1aM1wfQ90Z/FLDVxkvgk6iAmgBVeBsMoBFJJgzwpD9koPfz8L3rArMWF3hEI+n
Up2s58gUQ+6N6RJnSmKitgImhVFuruGNw8gf7WUeL7Nl5mVQluAlmgXHUVDV02NpJY82RlifJTGe
EVXv4fO9EYL7gsqIiVqfNiJmMQzZ8QkjJuniaP7hGVpo6DrWpbU1sH77hCpAIbOG52tWsrHtLzae
K0yalzSfaEawzdTnW3Q/99FHK9SDXYVHPRNf+SArRn+WN1SkcZh12Un6kiOrqSCzTRHbnMrWLhPN
U9QHJcdaSqKWlsTHF71pZiouzWSdncn9QmNpto7y9slQsl9ChjPEW5VivjSrCoibCS61TBtWLV5q
Xye2Y2WsV/vCBXstXKySkg3MEtLseO0092+oiRjAIey27bI8xBbOI6V+TDhhnY3LrbdHGAvE5zZ4
gclKlyz8kh9p4VxUksbDRkcs1ilw0pOvXEILo1YSG3cPBwpqRQ8JZaf69NfKw3uZlpg+yZSw8JnH
k4mN2J+M4hzO7QV66FuXYk/TB2NA/E728RI+eIbWXNvuPp8Hsa0N/hnczg/8JfgB3PYpxC2yC5Pm
vVxgL5otu3LPlI9207CjoHiIQybg4iBPQ/U2FK2LvyCGr2FppHXwts5adx4S+Q+AhwaOmk6tsT3n
6/e9XdAZSZL+WbnGpDDqzjYNcZXY9lIFpc02lZW8KvtvlOt15ZRzTBnlq8P30xUYrIpuR+vovur5
MrjViJqqogcB3w+HCYmb9SXFd9ykt9L4TQubAZxMeBi0JMCx4LrHJbPekkaHIwZ4YGk7RqmOt14K
XRVaZn1etMUgNMp2Rvdslk+z7MmvraOCBwMv/iv77KHz5D0M5uZYJsWzKpUV4DXnJaxSPFtgbso5
/XKd4W4Yh2yPyPVrLWv+rnmnZt3ctbIh3QB1w2nCh6TWdkZVP+eNpnaxwnykHIdJOP5sSg+oFeoR
b2s2Iw3DmOd4kd+G3R1STH4k47Epkjbbh7Z9V08QZWjovmsW9RXFn20i8q2abMGOst6nNrvgyEDU
GdUzu1NkQ8iF9E96P07FXtjllc2DzKabpwX4Ld9LmazUsHpQAZcZIhbwFlDDb5D/jf24aJgtuYTT
hswAt6PL3PDRDMGlNVvVdK+kRvMTCdkxwa3cpNETDW4nc0KpLGsAY0A8yo3ZFw5KUU83lHMaybnN
KZm83CVaQfAPVrn2MbV8HhMa8qbugEXOOSQxU+S/wlgeM/Z7SGHBZJFDZea4n7OPoRNfVTu+Am5g
ggevtNgXVdbXhjcLfu74MW+iF9b73CxCc98uVRSwW4Sd6JWgstibusM5MiSljCT56WKx8pSzMhCz
qP5Z0bWeiiBH03T6GI0ElxA2z2cjKipkJH5NrtFdClvczQ5WMUfEvlb9znlKR5Tu0BsYM9GMy9Hh
MH9MR+PABHbAy2IgWYEzdGZRBgKSrLjOqxi4ZBXNHUX2UdbTtpu7dOdi5+dgBFeVydMYJqesZM5P
podi8rjwCVJ8UUu0TQgxHtvoyR6WV7LFvuFR1sMkZPMO6w+iJTvOU4xj1Jh3lcCGZ+rdU1JZT2x8
f5Ho7lm//ePT+HHMX8YVWm0dFubawWErVkjgAyNe8cqoE855PPGDhJo2J+0+SWzyMxm+QayXd46Z
v0j67hA7K4CvJaElePKCJqU4x6TMWeBKPnnscyAlm+qhWwtHG9tkz5eQMDWN5J0vCYwYEpL9u63D
yotRfdENi50169w4zumUvYrBwCUIgdEZzIcKiUwzgX4nqnmY5zIwSOnlJhEUV2WMEOpS99i3hlG9
uzXtlQTth/ahbxF2vUf81mZQTNNdQybCieUlXfJ6C5P8b7F54XbzCzV10WaUPILss8imxOou0eH3
MUTtkxKatAjVudDDPczBO623gAfJ6HswzccIU7FJRw7vUjRdpwDH2bjQX8rkMFV4UMpFVGAWIp39
rUWjZ0GATbb1jmTm/ZwM35OC09vqHWwU26RCpqNkBLMib//5nvFBf9CjMfCYDDb1QitBBNVVSZ7N
mdV2OXJugKHzk1L7bp36QdB7iRCyUT3irSHFeZnVez2muV8KoM2V6Djd2m/Vleuoye4w4eFZn7pZ
z05D371FPE2bHhVgooZBZeKhX4pzV+E2HhzzsixmsnegPGwxOZ8tq7b2bYND8QM7ASg291FT7QPd
lkR+xKPpFmc5XqGHUTkijJlruf4xJIzCjfEBzOXcG6SAVDkfvHm6I7ce+alNX6XObcZt5E9rogj3
uv3a4UgO9ealasHKe9jpaFXyGBZY/C8kSALtqvfgsjQR4YWwl0+avzZ2td6jM+vHFMULOMWMnSOi
5C9bqhXx2uGX5hll7HghUZCR4DVt4BN0D7Q3x4hxTYa/eHHvsQ7Bp8rqehfSBQYpkOJ1SbEUwudF
d//H2JnsRg5cWfRXDO+JDs5ko9tASznPqdS8IaokFWcygjP59X2YNtywV70hlKkqKSUlI168d++5
3u/OC7jzy5i6WGVfhAxbvC9ZVcWclqWwPmA/gtZHSxJ2e/felNEnLqlD2A+kf7mgHxINMaTHOSwy
6M/gQif5DSltVFcz/gSgGik7MKqq+IOi4iE2xVfSoK9qdWObZ9oFJddRJALajsvOH8efLWu5a0fa
wvMFNwyaMbyHZequtDmGwEgw/RQlfx/tNxgaZE8sdSDYSaH1I91cJDoBn1Uc6Q+ByMXOMpJLakEH
kl53rAb2DIJCzgY9DkydgCQKf1XVtrsRKVF3Y/Q2jIDUeqf9TCPKap/bRus7+pAMezkOCn/e5Qz/
OfLQQfhxtAOvXj/mFzSR5UKJ4E/fwJOSUFZzHEFbvxtfS0e8KpEhoKrA6cKP6xVD2NROvkorXDtt
oy3zhD6tabBCiIj6rgECilfpk4Aq7M/mLM0oKhq5nb4fxU8QSg8FanqMPMiR1fSRztBP3yVTzxdg
YRjXLfrI3EpYsI9xN5u28+gVWTezHyxtnWliKpTlp1/nf+KJsqKlqsWBQACu/m4O7A2sqpx5VPGd
TMFZhuFZmZG5sSaxmQxUCITDiQWSOO+xCASKww5d5IKTKaP/yDtGdfIDlIMX0y88GWPIqFqP5Ull
e1BvTd7+6hIYuH0kPuLprSSg6TENWLhMhB8PYzEgty0TIDQCVX7m/+hhiWqFBVR1/D2SqEINr+Gv
NoLfja3TxfMGfY/EczmiOVwgA8CJKGTH22AtLefFJUbH6OiyCY95Jep7Dml4luKR9D9DeMQ7BfHZ
8z41J1anHoSSzsjWEEGFM6HWmPtfgjJxHnqTYJZcfUe9zpF8mE/GSLFGarnO0tbZVPpEZbqC97yF
Y5ioosdMDeXC6H3ubzd/l17z5dtRw8ZOwTe1ZFyW07OH8/Gx1klNpB09B+kx+GTO/yaSweRVs4vq
osGnn3T73lTQkxPCdSidYa6F+p/cLDdFaUoycTXiFdp4kztY8iGpIewfAUiOISyxwfYPbmYbl2qE
tuZMGFYTvCla7Rx6BChbr0pJTc8uo6nXlyLDylMiyhEG060GGmbXJGpXucCtIZQUwoeKU2JxDYJw
D3p/2uHo+FL4Y+o4JetYK+2jgGjmVnQMSiBQtJA4MWk6AVQEBtUwCYhQotQE07qsZ9btIJS5Gg3G
zTr9g5WbagupkdeSdKgCXeF8u9iBFyQ3m/xtEx8FDKVdq0f7Es+F0qYX6pfyMHo/EWh6xpf9e58E
5PoK1KXxWKxjJNcW1SWWDqoMItrZ5KK5fyCxaNle+0pK4gnc4jZp7BsHZMFcnxZkEO9t1yqXliXR
fv/07cRSJhM4rJhjItDfS8vDitDXzkshseahV7t0IIdY681bnDrYSoomWDKRAVDWB9d2oIvISIj/
P91kY/+AMQ+XzntcWIBAtfQQmezhKbLzRa6x0FdJDIqTLAO+DbgMndjvLNZ+PLwHoRPgpScALSP4
bKj+1MCLF0b0PacPsNiRH249CavFbqqSeAONHAAS+kwrr36XOdMtDB39Q1L4LcYFG1aJmn64ByFq
sL7T/uINObvoIq+01h3iXUsQ1Jf3zZ/WH8NDEvtvIrU5GfqPAA8eNEi5Z7dwH2naGE8apAtvQOSU
RM5TJhmEtWQINfGL8vl704x5DnRc5umQrzMvIzo7i4/0DQLIbSQqWQznJ919ZCTzmcbDuPfziBir
dj60blIDf3PKbWaaAkW5q7vL0g02ulftHYnt0MxZyDSay31UftuhmMPOMBoX3Kvn4kc2nXnpxdtM
SNkjetrL3HydUqyioWNinvV2aOM+GNuPayKUxEHrzmav1yetiYJNX8KQryOH+rSz+72Fget18H30
ex910VUvE5meD6pGHh4xjyr0Qjt7gx0/wc+91eXk72jQO7EvLyJGw2TqY7qHA3Yw/eLHsqboI2UR
lXhBftAtnUhShPHn6i9ZGruLJiyBSqGe2ecqcZaO6eSvblR/VBroZEgpBz/VwifDJwRWE2rdpcN5
EtnwBQR7F8T38BamKbCvmInnmN7y3HZ2hWMb/Jjp1nX68btKJ2Yl0vkVhuo7DK5h6kDfBGd8vV9q
m5OQDQl068KBBy4fv85JYmYuR8Z6MVtd67+7Zm1SNjOmr2anZBa9enCWadQp52T5NdPAAXiPq3R/
79DB4F5snOUUue5J2K65iq1hV45fhcQ1SjC6fwQ92F6pF36Iw5OfqIBM7PRkyw3KpZ9nt9qr7kMs
SS2bDLDxWE9dsqJbpC4+5D+MIcRi2TRR6bE78x2L31brrHdkSuVZ1lA6+lCzVlRzaLydg8rc8jlD
zXQkw/GXZzMETWS3zzumYcaUXxIif85N3RYol8RzCfx4a8fWh2OV7hEFnHus5otlMEWXjaWf0FnU
IzeW0PhdN0TsPWcOhlqKM3PLOSrwgvGTRDVKGAO6jx51m3jAzZ9M/fjpo64u2yFbi3FEI9R74THB
YXMEkURpRzTbAnhCwE40VQCk7SfsX/ETs8DoKXUn5rs5AqG0N6KnfL4AbuPIldDo1TRHg0ydsj6x
v69CSs1llLr5c6cGbKSJvbECoCTALWok1lm9RbM9Xk3MAlcsSJxJth2Qh5d68pFvMiha3l/t/Hyv
yn88n87PjxjjnlJmplTPfXCxRVbsSlF8D20WXO4XWFb43JipSgCjWIztbh2alThbjfJ3jQa4p9b9
EYEz0EAt0saziPJr32Xya2Tfgaa4mqAaknIx5M+OSyy4O0QoP5h9PEd4s9eA5ZPF/SGVubPP3BRY
i9uSoz7m1YZVzSd23FkmQyxf0CBnR1ORVyoCBnQyx9nbBtofTMUxCUB+9mLXxMARVBluA1vmL7Ry
EFKLKlnfP6vy8oXOq3Wairi/9j7CTY3GvBZUJ2l43c1v/SPjt6fayDvrEX2TNrSgClo1PkYuLpFW
Jdq+bmN9nXXuwqqnfWUZXxoj4sfRStQRu1m1L0o6C77PvWHlgbvu9RExWs8PzzL66E2+Pqv3Sk7f
uY2XEKVUMBr5RetyDOgladPC6g51FTwPDrJfOcAcTMxA/iaN5djQYtGrCMMydu/0imPSWfhO1V7S
Bol945bGEflTuaGvm+wxqIFlN1PqeQUTisMY/gZgII921XzkSR19tmb3liKd/kUwaD53hdU1d9AU
24737jmcaO8Xac3S+XDALy5BjTW+I5DTzy30xg2f+64VZ0QWjyVzqaD1sRJNM7Vt/qjvGClg/gPB
ZGkfo+ZGiIey5liS+9HJAmXIRBDdmMlul+PBe/BaB6FIO3k7sDcroY39CgGUulQpshycUN7vmIoP
XZ7zPcZ0bgo7lDcsPv0a9QJpSlGYbF0Z0V8Rdnu1ssS6hNomSbPuCnyku6bZNJ1FZT3cP39/3gJO
d5IjxY2fI5nw5Rtq7/zWgiS3ugxpquzZpqT4I/w2ePPtKV+PEfwokcyDXfI1c1I5Hge/cpam7zaH
sbE3PfOFRwOO9zbJiNMEQg3b/pfXRmD3GR5vJUG4L3pTMQdX6pfEZfPoIoyGKk7bT4bTIXFKBKUd
NY0yffCrw3QGVwn94bfpZ+rmxfSTG8/oqQEtUI4YJdf62/0JywzUli+UQiomrEYX4WbKU/fUwF3N
RxRERaDaNVr6FG0A1LqhCT7N3iXORavFR9rli6Y0x1fNEuF+ZEOGmhhMHyjZKMU0crUNCxgQBHCG
o/MnYrPKOVioeE/RINEJWTCQlI8es6XTPUyzoqFB5xlM0XnuIZDRVx6IvSDV5f5UmozbIS1h0abV
Avs+lG7ds6719NWnSGE7qZcvUQ7d22wMdWkaBIJx4rm7qsG6GeeOQTunMN81QpmNuteeh6JiEcKR
RfAtBw9daeUvpannNiz8W5NN/Q5A+WIqi2aXKjhs4RTaHxz9P5POR7GdmexnbE6X2E5+O2PRI43J
c2ZZ2toolf0aWmF/NHoYLF0znCqoWHRw5/w/+jOIg9z6l59A1aKqURdMOiEoNjvfuJNPrxBtFkgC
p7nA7FnQuQDw6axi6XgIFe03G6H4ATF+cJmwoTDkRdBja/4FLR3Jz07rIexsvH2DW3pNKO0zLmdO
Z/OlmS+q1LEMxcFH3+16xcnUCc29oCdzhJ5Jq6Ou3/CX5BcUMSS1WMiuqybVLrLn2Oi0WCZSs9Mu
xM21eFuQCNGQ+50lGs4lxYnbV3UPMN7EklGk4WMBzEhOJuDzYhyXY80AcaLpuUH38tY1nbdWZQ7C
3vH+VNKof+tj8ocgBLL66hqOaktSgqpE/2ob7wWuxvUUWO/+REJTVwjzcchZN+gKWrv7R6V25QdA
neuADxxjEmdsohL1sGm+cod7VMSd+aKcBFu88Gb/kQF9IG+0bWRw3s6DCTWH3UI8scPdzEfGLgvK
U/4uw3ButlrhsSVodS9jjAa+Cq9O02tHZ+KtN3bGuugYT5eG/ezb3rDRSdBaA3d76ftdaHnJq1Uf
JxsnYxEaFCyqO7nFRAii0uD3psCfFGeP/f0C9osaMu7kMrLLtS266ooDRi1Du8c9B97zWjinHFzz
pYJa4OIcPbTttLACOd2I5kBhOhTlDkdq/la5wzOaHewLHHtHXPL3r8bEQKP3g69W9/J92alHA3gd
7NePDM/bUwB/ZCfTkuMy48tVoWkjx4oESuZ8KfgSyzpHB4weJN1CFFreBxcEbtDURFrwYPq2dUQH
7q+HiAAlYurqE1JrDmSGtcsjVR9iHy5nZ8SSzr+oLpVmYRYyZgKg6SK+8LWbIiNnYacYhgJFfljZ
//bAYG16arN1OLbEd5jRSzohSxdGrda5EyImDKSzb2GX5LohtrWjMcAwolHte4vJZtpjEtUrfvkA
4TApZYG1CuugXPXWjKO2De+g9+bRjtsRnCiqk6ZRAcuGTK6oMZYGeBaTlrOWbag2UWBlaMlzI3sH
/YFLbfJ+oL/uVDFNBybJV9M16n3RsqxmALhWmRi3dWCVj7poLdSgof9IWX/hnsO3V0k8iGFpXeMa
KdkUYMbTNK0HKh8FWMQifUt+p4lNyrbeeyYyhGlLkmbSS1i7GLvKEB8XFlf9QLZiB0E3I7vbYJRq
ESu6SJQDZL1ioxmwxwHtUah/ROdwMpT5KqekeKKlQyfWzg8dgonIqoJVyG76HlUv0ZSK/aQaVEAC
SFMCWu05MY0F6kDtM+ybYukrk6CtdviwpAZMqvI3xDpq60gjE0FXpKhapX/pJWR5Kwf/bTH6YUcs
vwXy0m0fZMeapWrjsCFs6wlXWJrPhUHTA0Os4UZWwrLWk3LUyueIgHTRkwey69+khYfE0CXBWIH5
OXgtqbFul2+NyehuXuP2V8PF5dCq7lYKMz24Y38pjdjatWIIkClj6UPPbIAqVmN7SOYLsh2Cl6kO
er8lIdALmaGmEdJKe+oPgEUAD0jELZwkOZyq2CfdiZ7ivVImwxloVggFLfD69qkX1ocItZAzDgkx
jUEjtihls+StiQuqUtS4lgG0jSn6AxJ6AobgsN8alvILYzigheWaiVH6TqoFEgqTGKxQvTJAJfYy
bp2HBqA/whveocV4y8ueIyBgw61d6aib2uBXrybxYbZkMrG+2lctiucyBy+Sqr1XAOcIwj2zfh+7
LiV6RDVMTpyv3CvBl2vjnoTI4qTZ/tlLXWM7oXw7waTqsOVNLgprV1+kGkT2mvuEc27hPIvKBekZ
1CkREEgGEs+CJ+3YmMEC3znP4h8W/eRs5DVjqlpc0ROL60A2CIjRzyLaJs7UwmBUoXdK5wu2HRAz
RbNuC5P4nJAc26Zp8I14IZIx7wd9lv/kx+Fpgnrzng5WSyPDaVYjvprnGHZFNGpXW7Plc1zaapd7
YhZNmAeV9J+EzTvPbpFMTwOmZ2y8zjM96+iqdy4bkeGwNRnAHUzkUYiVzNeBrnNGum2RaM9+xwAv
jWNGxWw9L0bA+mjpesaSK8OzVfk7y2+sNW1uf1EXVgaEgZ4CbvU5xsT9AbhcIGtxzL1rZd+cYfuP
aLT+FOV48iqrfg+s/tD0cvx2jfiNeV7xaks9WaV2mOxdNt3TlPG2hIy+Yn9f4h7Vn1hmf4fC0p5F
VPenNi5e7o+82JBXM904JcB11++/Mqv5SqTvrUO8h4ugCtghRIOhxKEucVHz7JzS3QZsL+iakMIF
6TdQ+cRIiwtZdSHSNywTDmOAozVfbHwey8DRUUH1aJ4jA4MIYplwQ3gVTpqoi45j8Y7dJz+xEZI4
5cdHGgQ66mI6aAXJGKzZpOWIPOwhklcKdzyaEhCg02dlRo9FL16SsAi+UICsOJj3H57XDWBINW0N
AJmzQNntaymcg5+ZvDMRmyxkzHlHeqN2LjioZ4lsTzF2hRBbx4b0k4E+lH3y1j5Grd+hP2wnoSED
CIo/GlaSP7N9MUFumrnecA06BHlCL9zPrsq3VUZ2aE4ugSy8bktFgwDZDXdlJZx9RWMsAmp5nXQd
QymwNLCTJYq4+ULipgGfbUCkVmdTdCnDaJkS68oQ6KNwyKrVZdZuZISlQ5eBtiInCtW/6G4MXedx
iPda9o3aZ5Oh9sl86QfYJ0WdtMvBz+tjyJx/QKmKfpUZmh7UI1tfZO87r1pBbCIOs4aJ2dTjztPc
4W2kxb2rbTLz3Ir0nBS9MjIK40IDtFl6Ce+0qKYQplvd7m3K6b2aPzLzStsOqCNK8tcXpAMSVKO+
prQoLk42Fpf7R4MhGGFjM9hOFr8UqnA2dFLrZB4mO8O3xifJxoSqPjNuhuVj37B4vo/q7xZamdO3
7i9VztSTuGs/Yp/UgXwq07egBk1Us1w/Wy1iaxq83zqDirVeVNFLiy2J83UZHCRE2BdVQfLkIBng
d6MuiMvWXmCrrNct5IqRdvub6uJNDUvyB3/1TVW0kKQ5GBdkJ2NteV/aQA1QqJKfy/GpqQxfrdr0
TaW+uygTgodSX0tPyAzSE+Bb7Pkj/D+PcnvJAhbXhIb2zXQm+7inVTRuhlQCrUYeznCbbRVNKTM1
VKam6dhP/M3VKs7jnjMT21ZTdeZxnCdXdRgbW6z8jLDS4q2ATcybeOaAZCp/y+ywXfqWeA4qXg41
RXyLLRHdKscHD6Tw5Cuj3dSp9WYaXoFD3rAPg8lbWRFAVsn8D/SG4W1o8PzBVabJRAwdUly6kIUv
i+fetJ/MOitIEY3V8u7G9pmTnFDz40WrJm+dTsy2ihYkideLmzVn+vSlXxyGIaUn4XCqtkmin7JE
p7tMw9fGgZp3g0EIfOkdREXKGdlmDBBjkqown9VnGZc0H5ss+uhLYsEruApb4Qlx8FqcrRoniKJh
YO3aqMu5K+lih6KkuWs14R7uTpm8jY7/VU+DpCunSLsC7nghLk0uyzaDtuO9j6Uor16x1KrQYi2D
mHJ/psLXhg0XdoBPoRa9hrA8NowMo3We6+W+deWTMPP8pMN73TXOuE1rybxtLSiyntqYifbQaDoK
MZms/GZSj3llbRwO+C808dTOJkftkX6fh8bB0zZmF3Q7UymCrnRoPI3mqINBy+BAdaAOAxHAK9fk
1Pp/z/GmeYthzd+0EYp1RXMJksNwJMUICTUwa06PdrBGSm/uDS95gU/hHO+XTPn06g1M7EQWOMcB
zztxwPb4cP8sbkAHYqEo1hpJTg+wKgA3W012VVB3r0M5QcGY7TxBLr9Luhz7/7uo+WHc+mtGsMZJ
ZSNJvux6jaA32bnfJTPkc40F6eymWXqojYQmquuvIkLI95pmUCRbN1TU/AYADExdqB+mpP/7YaTv
k+LQ5eYXd3J5UbpEj62b4W+drGFCTnZDEqZf4D1wFsrgsfc1uQV0kiYUrtAfSN3xp0Wn9PoFYwZq
QAZ2ePhE9GHldEVI2nmFIAkjIkImggFY7gotUuvIxLFXzMaKMMjzYyhR63g4wN7vH4WF3OqaIYBr
wBmxi3RaZc1AMvbMshdlYB9w1v+EebJpQjLDfPmhtTGJKdJA8+E5+kqoAVHmPNiLiF3p3HRik0eL
bNZX0szzA4TFdySX04oWoLV0BJOOPOzgQoj2nBZKPwDEX94fDYnWnu8fMeps93mm9vdH9fxPOagu
UI67S2/M5lGXybcofAbs+BIb+jS4NNiAQ6ua8Q15qS2conDnkJq1HqcQCtQYbeoujxctP/+HBgby
oWQYeA7h+C56BtxLVXaYT2nU7pO0ID2hFkzrJsDZcqDt34/c681dm6Pbr2Oe483vM/TVfQXxCL/2
g9cExKANiXWEP/UkJ0PbRLF0D1b/FvIu39MORFST4FEmTkvgtxrkg07YzCEvVUe6KBdW5WlhmHHx
iAcFVDPFGUsz+j4CYx9dA2qA8tAtBxVaWcqaU+hk6XOU10x1oxR2iB0faedxRjOSc+6PDe2F4r11
AL7qLkL6KhAStl1+1iZ/ARSCJFNe9NKkvX8O296fO90HCF4Z42NhLy2FCDfX6hs1UXIZKwaXEYLr
xf1h5pNFWRIUtRjmmdtgk9QQh1q6gNSQInbM7T2m6IeMdtMj/ZflmKXJEVwHPw8u1Jy0B2jxJJ/U
iFjrSGjL+6nu7we83irkquqQZaLIAmvdzHcbdHyyN7IIr5tdLFHMmUeUFRcF/msnIBk/1ZJgKz/Z
hEFcnkeJaQgFgKQib/wnyX7PaZOzKuvgU1QO4boneXUhbe9rqovwnHalu7T0ggO1UfXvefdH71oS
kVD17gJABoCqtd+eQQkczJcOgjx/vDmRquoOI2TRAy+d4XdZBShqsT4ytlJCc3adMM2lmzP1Z4Lj
PTq56WAqdprD/ZJFrXgcVVmtrFI4l2xMN0KPnOcU5xiqqeJX5/b5rtHL9WAbBUMS+oshIOJ3bnuq
StRfx2wCVCtBu4vMB1ScdXAza63dy5K4+tT6QTkkiV2zbQxRhcEfu/yOCt28zGdtyjLvAMU1XeFN
x5OfMwKdxmdhiv6s2R+m59v7qDVfs6myAOA3ag1AHdJEQfRHj9PlEUNRejCqFkq/q1vHzijUaZzT
dImLH9HjY++YHE7NqG+Dc+/3JpUSXvb7wyhtfAzfBeqXgjb05AxbXaeDyCDSe6QjC/gcNZRNZfHS
D0O3lJo1V25pd+OcnzwYAzwZHJp4lDkxWW5EM93x6IJPk+WvKRyYcvUWhNhavI7WuIUsN5ABCnA6
D1Jjm2jDj+h4S9Eat9aC2cHJRTVPle1ei1YNsLQt1NlEWZIXchyjxtyO2twgp/e7LcFXoe5FB8Dk
a1r5swzB9qw5BBYTc5wb71Xub/KiLjAqEREdE+m3hTiu3bykJdsZkk4ey91U6AkDFy5doL/8/WSv
RSnYwMaFHjbS2ZJhMrza7t8dFuJY4gYmgl4mJy8gziCuP9x5NYZuiMh+fjja8gNy8XAtWY3OSewy
7x1GpMO8Ax8Dt3cvwYhlGcCV1+t70KvFbZyakb/BmXEvOR0F7l3AWfJY6SVaRpJvmNPwkFY676cg
/RrKrjjZebYn78l/FJIsCQziwR7kTLHFDwa+ikeZsY0yy9ojq35zNKNc+3qJyoUQhpC4USbSiMik
6j4Ns3IPbd6Etwq6X2vLKyttdQ2nABiLB5sZ2Zl1RvvFiVOFdCk8yD6tZVJyEm1CoJmx0FOm7r7h
Y1pDbB4pfOYNDU0NAxhxjS2ZlGF/m9GI2G6vBHbnSAI0xzz0uh+Chyvkb3ySF7IJoOvR411nfQYN
o1YYGphVAZhL472TNx0iFIwlHoVI01neoTdL+0HF70IStCxSV9ygoJmXMtEWFTFckN57pOyjZ55g
oPk7AeHuoXRRlmQJU/+6pI2M9Ia/59EIs2Qz2vU7HjzJ3G3StiOy6sV8zpZjbFx7lKNqcK5OnzU3
Tn76phK6TeBdKN9oSOgG6s4OBQ6ZO7wHbZOOJ9TYb+Kl2Ak6UFdOkIfvBsPVB6Mfy7PT8c6qfFs8
WLZmrgkE/tUKOukmfN4HS/nRjaOPdnBt51lZgBjyWo7MH+z8IrHvXSR586G07SNWj4ZzL0n3Terv
tVDD3o7dA2Bi2zdrhjmC5Gm7fpNm+25IdHpIcI21QSzfQ2qYFq1RB/lX6tEfSZ9p5WB7KNT0aoVo
Dz2DgBj0Ly4eAR+tGL1wjbTTdafnaiVHDHvNkKpHKabkTCRxvvYt86aZ5gq74IRsPXkLzcBem2Nw
moZx16o+3YF+nJueBR1bsMuLQEAbN+kdH4qp/eNrkD37vlRbaVhfBodZfjupd6pSvMJz89un8lsM
Lbci3ad4fb8wl1PrwEFjpbkNTc1mWxhj/4R4p0JdkX4SF8b3j49dOcGo/+cl00S4lsiuD2aRD0ca
AGdbaSSfFV5/TFscB2PR5oSjN/m1TRAfmZ2htpGdFNf7cwBw6S2y+m8EB2Xplb/ooqATN5jpppbx
Xstw3CsRvRqehcKBsNjz/aJUTO6fz4mQrMP+7Hc0Q50pQFTcm+Np1OPxlPT0SBoL3mvSjCead0vP
xHoZR9ktd51wR4U9ojXnYZE2GVV78FTV+CVqNiqMefV4xOX3aFoIS+2JdC7ykcmHvI+ujbKunkrd
ffX8JoMIR4E+hs2tG0G/kBKBZDiJ6oPjpXNAWEgTvxh569VMlO3hm0nWwknt8U8A0w4VJjMnckUe
B6OMiWKFIWVqU/cUhnXH2BRjxRgyOJPYJY6MoVzSiZI5OyEDXGKBrij7y5CG1SLuqu6tEPUXat3s
I/I7ZGiqwlNnNGv6XdfWTNttMhTJqYIdVyt8n2BnuoMnfFStWTjgCnflJoOf9hDj27lqzVDvErAA
Szueyo82ImMdvefvVCpJbDbDQxfnzTKKE39jpgHEj3lDs0zWVW2Sh6B4z8UUn+8lFg4ELPStDuMe
cvkidWCCSI3VQ0sMsa8dcOMZYuLtXJOZiu0IWhTAXuG5Lx6DaeSfwT5FDbBP2QgZOTMv01zsuGDr
EQyn045ceXjzvk/gMNa+3f05GbnVgrPApgo9ipHeq5+LMf1loET+UrH3HnWF9dxazP0Tu9tPeTxe
xsgcLhYFviXFp7J6e2GTurmnHySfCDv50xh4WIqpE2szyOqzKYbkqMn6zTNbXlYdOrcWGdoGZ4+D
/TcB/tfob7jKDmXYut/zB+TYdCeUN9ODyxhhD9o0XbhujgZejdmi78b6iGiUvlrOkokG1tsVxRwD
OIA8a1vzKkmgCaMWGYMbdTcS1uXj6FjW5v7Q7EeyMIGNzUOvPi6S/uH+YV0gdAMP32/pvQe7qRoi
ev1TvISgMbzG0bc5xvAvUyMmwSfoDtPAgT+Zjgrv1qEg7JNU+7o5xvNFlQm1k0XnJ/GN5sj8gCCt
oSLYRh+ywySwQPdD0ILTQLvn0nza9gZUjKx6uY+2RJKNJxIoyf1ra/Os15azGSy3PVFIksYGzhrc
IibDipdMndaiae/0VadvbFVpx65vv3HB9o9hor5qbhpdeMlTCT3+CdVxuFUhcR/35+4XnKfFQrXq
d2qV9cPYR79HG4puOirnQP4Fp9QpW9sp6U+d3+eLbIh/T1hjqC5GDr+ESwvNeyvUt6rNeOlYU/oK
QpYonXTT6VrzENlafakQXG5wh0RLJvYlU4yEUtCODtaAjmsEImKhA6kJaYv72HlJjA6CaZr7z50J
CNiYwktZhx7B12Ta38d4TRmsWr4KBKpAXLKSs0k/yeo4T3j2ljkwaxLxp+lM4moawj0VjKuwyakT
y8KvrIdr+ADmjxSV0Akf8VpDDwgSDStX8tVFKI0Ne04eGPZEwH1NYY2eMI22saNPhCeTZ39swVB3
QUFpGvJR6HuvXgKmSIfYilYI6Q9w3frhV0UQKC/fKFaExJpXNOfBop7Yr/pYAnvLomJc1g3V0jhH
V9rGGec0rZiaJC49Cl2ASuJC23J4ji0fjoHGb7R0VqbFpB+osZCfWp2VxzDlzmBA8WHymbM+X+ze
Tx+FndI4mh9qRvucdV6/BitWM+JmXuyQIbkVUUvdifTh6mb+VqUSMbnbQG7Gn7un40w2BCAuuh+z
oj/Wj+58uX+k44dkYWwZLyPQY/Wubvp8IbXiRYDyw2qS/TKYQm/rWrsNs2Cu9dQWW2G/vY+k6rFE
/0gvUa/0eJVXQbnv9TY59cVAQAdZRHljk52R1fkNJw1g8HAc1gk+NLLT8ETE82VuHu6TBjAmLDvw
QRF64IEsjiIO8nMMcOgcB/aNyY19GloGUpCiAFcMwngdm3Jnig1BNVKW9qug6PrrX/7jb//1H1/D
f4Y/RHNnI4Hx9d/+i8dftIrA80TNvz382zH+qsq6/NPc/9s//9m//qe/LW7/8/yXP2X1l+Nt9fzv
/3L+fv/8j3z9f3z/xa/m1788WNItbMZr+1ONTz91mzX3b8Irnf/l//eTf/m5f5XnUf7891+/IN81
81cL6VT+9R+f2n7/918tcf9N/C9h57EcOZJ16Vcpq/WgDQ4H4MBiNhFAKDKo9QbGJJnQyqHx9PNF
9T823dVmPZtaFDOTERDu1+895zv/vBCXf/5/fnbzWfLXtp8k4yyff/8LP59d/7//5BT4D9dSxEiY
rLaOFPLPP6aff/7E+oeUnCVdKQlYRBP95x9VrfuEv2T/w/VcfmY7vic9hFZ//tHVeJIv/94/0PCa
zDccQa6sUurP//u9/+0O/b879gdl1F0Nm6fji4g//2j+eSMv30t5oCTRE/g+OlzFKd11+PnX50Na
xfxp8b8sVaAEmMf+UJLiCt0mwjvaPs3kKV4P2q6Pw6Q8SGNgDrwEoSG+aeB+DWPw0SR9onW8A3SU
acOctIS2BJTX7+J4h7PtzvlnEC9i3Cia+YdWzN3IiMd9OnSXLM71rZ7z/nmggroi7jxc7NmHvx2j
gfMUuW7ViPo8c1t6pZx2VJPubcHuUaEO39tdVIZ+0r8OGlF95Ijdv9y//7lM/3pZHO7v3y+LgjIr
fc9yuDoO1/9fL8swUgGlbdIdetO54ZDcHlKuZWDSod9IicOaYFYAdLatg3Yipeiva1WbC41JMab7
HKMr7hSQrM2tEolxqfXgZff1K07/TdcV+tSks6QZY8EPMsUNgmcYJY6f7iKRmOGci/ukj2hkMv4A
xkbsl3VpONdYS4OS+7iRTVLBspnSvRyXX4sm/CKejLfRJ7DVN8fr2TGOHhLW2CadCqQNyr34ZyWb
M4MHcCwZqrhqza/h2Yf//dJZl0vztydKOWzcPNGWLy3H+tul0zX1Taz0wfaVc4X5ZA7NlpxkEr9s
buNW0smmidEDP6qWcbdevD5oLSvD+rxkGe3SajwLxTan4/HZj6b4xqMQ6JYOnB2kWNflO1clJREM
0nrLf7zQqAF6xMIWQQ+/M/jvX8j/j+/j2B5vhi2kY5tokP/9+xTmkFlzIjoGCvxmd04PrauNwKQo
3+tSvJQx5pnSKQ6lHsXNf//dwvvPX+6gt/RRD/K+C/Py4f7l9eytYeiV0fTMui6Dtrm0TmVfPFWX
G//Xg7Osb2Mm1wtVdMbQf9E89pjLzIgglqlafrvcgGNuzTsUKOOZUhIr0LCKw//nc/7nMsLHlMpF
NiiFZ7t/+5xRRtZGBZLrwIVCET8Z6zEZDJyY7qa4VOfJhexIlAz3me1jx9zkcSGKefvfPwaL6X9+
EM7AHAipHwGkIEf/9wvGCccGA4HwZI6LE8oHVkVGzRobzzCbiIH76i5yiVmdh/nkChvCxKp/9AjF
OhMOOon+Mc5xpmSubaEEE+4hH6OgtVYevEy/VeqI4G5HSPhHAlAUiSFs8UlPu1KZx9oY34xJ3va5
ez0aEGJSryVeGIeEa1knynuiHLWdXM/Vs7lGzlVzsZ11jbsjT8vDHyIxjcxCHWFevAKGRjy1wrmn
dfeMOkXvsqyfTpHOp8updTohoOV47LVdSLxGW4bNqtNQwTy7Gco86GJYxcRoMMO45I8pVxylh1FZ
klb5ajk4dWFWoh1vFIySpAjb1cg3nSQjm1akswHfT62b2PHV5JgjrQiUvxcn/1J2V8r3s3sfd+kL
dU2Ys/XtFh9kuD9453Htf0vberRdpkKs88fctMkEjO/ksJYhwyMMLGbzXmpajlU6vxVmDDD215Tg
pwUTREVK4xeji0HGlWcwQBdGEpDtgf3+ooPr4VgfAH6SdDsgG23sFuUNYwzmCOE8Q+gsO3kGjHiE
n5VSTA8E7jXYnBWd5A35Zwg8OgbIKFIeS239tmmEbmo/vtd9/8HGlu2Z2sJCJkrbBlYMukr+IkEq
KaFSjJPFVBQVjBkZ9ynfzlaPS+TfG771qOTS7ws0bRv0iBbRNyzlhFOde36/UQjmL1SXM31puoqY
dqLuFWt6dMgm/WO2w2d3yRMci4HcWhZKqyHZCD6LCeyzJxpYxDcMPdOgdW04A3vmXP5NFjNeVD6p
qcLSN5ypG0axxqONhg8INxHCq89aK54tpmhrw9yYRK2o/xVZzmfp+6gHmdoFcWLBeh9vNDFBRAqU
znIYCdTgjLCCGh6wgayTHdoAwhZIiGcaBJ+enEn8M90PottZvXt6uMs154M7ga0jMfT76vskMhlp
jim6enaaaQDHHRpVcg1+ER6iX6hj0X0MC6FkNeR62RAMCiL4oXcRqmBwK0NgJd02BnoDlB5G67hG
Z/5TX6kq2SFX+TCnhiACC9hIRNrcHexKex9JJ9ooySjG97U4Rcn0MY1dfZsRkcB764LdrsxDDCxh
43fLB1HJ486Iay4SvinmSA7Op+VKie+RfXRDsCuc11Wdp4QA+5ZsOOTcqEsGURS73Bb6kBckFdgS
L6/XObexnooQtHFQofTee4m4cdyiv754iscWKd9qiQsdYnmZnQHVllGfo5LP5V+yeDknocps1atN
nAKgBCygwJ3Iz3XuID+MN27pX0H2jjlwF0EyqtsoNiTEdo0/ZJiPSJl/Ydxsd12GPo92EGbvIziT
Y8kcwIlrwDFppA+cA8XsvCRIK3b22HxlSf2Db39+FCxVRQL0QpvrmzPXr3baY/YyaAo0rjN+EPLd
1QdofMMRnbcTWLG+jFHE+yxAsJBl+pL7xW8HZ+t2tM3sMHjdwV1oZE+1M/Ch0Bp4BTj5KNKv5Iu9
JdloBTM5OmYJKQZL3tngqC4TswxTACLb3k+bG8xn7zNQbstap+++JVS5rM17t6oRLI4CVpc9vCLM
F1tjRY/sddaZfJ0t1MT8oDJ9TdIfIJq3AtVXkKIZhzqSIHeyCWwcxIhV2YAcKEeb3Ow6/8goY6vB
Su4tUO5kd14xLQhnbMT5em+augjLluPXYl0cEiv4J5KY590qokOvCPZAo7ZsZTd+15e8mdI090Wt
AIcfy0y+dctksKqZdeBAru76tDw08X0qqwdVG89KpDdd+hOjw8kLQ+/HlJihGNm6BcgKmYm+EAdA
QSOWgI2Eyw5+Ytoc55SmgVcidH+qcaGE1pr0IZq0HUNxwWX9ovSEoVzX9HNT9K3EwW8n457ez7qx
DDiwuHkP2qCrPMd4PQytzgDaoOzV5cZ0loYRktR7YWZXXc4gPrJs3lJ/uMkUcAuRjeyDOAEznwZY
Qhi260GVyMH1aS9+Rf/I6hm3b3GIxnk+LSSio0A1Rm1ujQZTIPC7U0TYa+9Sq5gxPQ/O2EPxYir1
qJrosfSjz1bfMKbNDqRWfeTKP/qVX9yxN4Td2BFfECtCmHR58UzYQXKb4kbYDKjsvAazatGX7wCg
OJfNEdGIHI8HxkqEVHuwnyv/h+RQzPIXRAUSpH1Xx8yMmzUYZHEN9KI93JUtjTTf42EbT84Ea2SB
Jdjk9osBQOLgx8WtVJyfEQaQ+2r0T47bE+2cEdY8RW+kYtHbl6Qm9RfCebhaDTjvysFvbIkd8QhH
0TpPvVHaQRHb81ZN1dEYFY1RnC4+Wol8IbHKUG+rUy6BcAyMPN0aJPQaujX9JmCSMA1rbZAIJGcy
OvUO2vED8RD6xvICxye52OlAbzaVwLqQEVTA2GLcamfpQobx8xbm4dr4H4nT6b1dmQR3uDhJxKRP
eufX0sIbLognSdZnRr8ExGavqqEdZzPUPYoiLs+1D+Xfp7oLeAD6I7YDWLFuySCytq5gNCOcid3L
IrqfRot40qzwtqMYzvOaxQTz0NFwBpdbaxNgZJUD4rZpta+HpfpImzW9TtwxQimBHQXDFCBXIyJB
3sqDcpBH1vUvP3Hg+3kRKYQ8sVXsuVeQ4QmdmJuvgiSPXJFYBlQCXcFvI1m9bWZ0SE9tdaR3XqOo
GZ69CfGNp1oS0Ff0m0LmMTwQZ9g2dXZANsPzuELMUJhGt7P9GwHYcp277ofMiuNgpQkJMEihPDr2
oV9UdJC8+txUCXzMghNyM/1eWnHnAXfaNECptPoQ83BTGoAnIMnuNSObTS55ZNEU7AuRO6fKW7oX
vOgfHRZsCi7jOs3wy9VIvfeXAVMx27u6yR5dP//EVAbkh2MyDo/kWVskZke++d3w9kwOAvyVVnS8
EJrcMJI1IDCXMzFKtnVo5iswOA9Y5NHoRDMQOyd+R7d78jXwMzN6wqYYFBeugNa8kr4iaIzAe+jk
RNid4vS4JosTVAp6BZykl5gjAET05B7qKq/S8pZRqCw9N6P57Y3yVQO02SIDRCS24v+XgqAVzMVm
e5t41kc2+e/gSYHsf+f+8CPs6L335cSWJQGfmikpqY35va41pwfJubGCN4L+djfrt8glR8qCqLnN
rcoM8Uj9Nkr9ZQ79e05/HvAtF54x9gnUHYnxAKQKx5nRtuIAGFCa0nm9MYSww6kdF/i/FKttcotv
+Sdabw0x3TIr+FVCLwyMgYB6hsNAVOdKbJzJ5txfTiTWZS+tf8WA4LnPIKfYFVkCdfHFmX/xnHtM
RtjdifEBvIIOxuXB6mjvUKsBfAYbKQwTXe5MMLYDF5n5guF21dG5JD3NVduRPZPfmi2RiFOtA6tG
YtToB5QRCCvy4bEljTszrO91bIPCmU6EeT9jxnibV8i/nCiQFQhcwyB64c+X2Ao832DwOd85dF/N
hqZtaXvghg1xNcCy2LBb36Sxfyf8stw4Jc71tHCAqa5X46yul3b5FZkyTGfzsbCnX6YSp3HFToii
89SWEYcN1zkJjsCbeoGAWiTjFKRLQYlzgeUJ01Tbi8Q5HrL3vkTjM0A2kN5ZZPLO9SOWh5ptlHfg
NzXpjDWlPeeufWe4OXBLw+au59dIXUBLFdMtAHrWAU+9OwvHnqzxutBKHYJdrXxBgYedgSQl4qyt
Z8Y2OTQKxt5W3BuXHMrHZnUZXc1Vw8tDcZl01VMHkBBLs+geBns6+x1GxNkF3zhCid6iZd20PWCc
tJPJwZ+QXnes1tjMvNzmxLAw4S6JumJQAGamKl1ktiTJ+v4XPAZ5qL4XvHsM3RCvmNlPk5sckyZ3
X/LubPBwVLAxDPgpiXeETwRBl8zRBYIvOEwE/C7BSmx7XQZpz13g/k4gJGvLLFjEvFN/UeFl5I3h
xoSx7axhYgZG0jBDiz0v9BymbfaE418T2THw3Ddt2e1KW/0uVHuFD8njJSiywCIfzGya9aA5HhAH
+bjE7WveJHTfUevbwrvtVfVmLU82yKcd+NWTNVIYmXX2na4hwIRvdLcQPB3YA31D8jMRDnvPcSDj
DMMZIX53Qs2+r6OxuC6Q/Q8NKiX+NkhILKIx3IO6uIlJ2wJrnAtKOnQC5J7/qvkFwrT20FAf4wGL
0SqmK5ZGZHgr/3Z+UeCrrgfs5uFIEih0zPylT5d2kwvsHoVHDnHljnC1wc0hJrvz5hVv5GXMtOD0
nsYHXE3rXXly6YL52k+3MQKDU5U37DcuHCUR1i2eJYFeBLGbQ7lMAH3D8rVasPDqHiPtMN/AYDNO
mMTSjY1qggEXoN6iTSdg0gV6vPI7ixZ7xy08ujLGcDldG0777MDzyf1H6dREb2VnZbkdaW3jkTWP
HyQ0T8fqbGpTnUTHUiunO47aD3AhV2LrnLCwHPEIUBJltRUPaCTpPaRdCy2xsuYH3NZGPYJ+HKti
71t/uUKIx/Jrj9ZfMeehqnFIxKwrGu0uemW3ucKzA9AZSgCzbKM6NEXX3M01UTsavrXtpVe4709T
Q7qcZ7ou3AWo2jZ6tHy6NBXWjrA5YJ7eStY3KRoWHuz5FDGyPBgJ7MOJOKNs5py1AXSw1+hp8S1j
DZFs09eDzf42SPeML97jhZibgzfIL12wbuaC8CxP6HOJq+GQDCWanLLcTwkKJHRND+WYIJ2bPJZx
4H7EtCgaC5x8Leu2Mcenon6r/SS6R/tLmGWaTTgK50eGZDc0bs3AlWRg5nRCJyj/gY2X40EK89r0
Ll22HqT+4pwt6ZIenRItXRFnMkwc/llR/K2iyRGuetzRqAHEM1EK4799dWfWv5kNaKA1uJVpdGeh
3+c0Q9hDAw9Zph408fRolNwyJ7Vibn8UTqhaSS+ooUjp78pkTFb2eoeVD4lBu1/m+UtVqLMMZH2L
l3nBk7vA0tCFIsVO18POszR0v/W3rXE2pl25GSXOS8mWgplbbo1LmkksqdiLyviwzPaejnS6ScCy
0SfJ5sBflwpZYvxkxUAzlo6TYEJnFhQFnTKEf9YjPvholw7lsRlQe5e1pMvaNs8J6pa9bhPoVA0O
Zyb17DLRh6YZPnmWd7JStW27FEIXahcZuUOADJNUOqXTvWmMKEadZ9SdcGVMQEL0eZ565V5xkmE1
7emUdRfIX0TkRdeY/tZWBgFN2YSNoOASs9hTxtIo3sytzfgU66YccxkSavfijwx5Ex9VdF8NdZgM
jDMSY3pcY4INnPycji09pZHyiuMa24k8FmZenOYEfBkG17NokFkBmLCBpbe3VWWEo3fZe72OkMAa
prEriptc/+BHdA5EjG6shI+wCJr16V3W0b2JJ6UuOSuf8ss2eTqKbDqufnWaIRjxdSGq2UZLbk5W
mkGi3Xfi3DW68/xjtOD/qRqZMd4uQmv94kipauCybfsjsi1Cm3MvJFgRdxsg90OCmgHKyRgaTQsH
r4lwJUQl43fqzoqgAJWWBvf6vfXR9dcmOv36NDRmFFao91GsRjB3bvyhYCZjUfBaev0cekTZLZYw
NvAOMS2AGebvT+VsADYZP9OizEMGB92G85LP64YgZrCq3xaUHl5geV9yEgpolo2EFftfbX9BQyVM
USPPrLZz4+0W+wJyeBiFfottsDP9tLwkJEvz/8rlEkppQESL2/RIhlC9a0zrWUDo2AD++CJ3/LEq
0FZbeHycmiS35Y7h6HmSZDXaAgVba5SHblwxyVHlEUPs37Tu8kg+RL83DIfBZ1ORLk4njv3XXIY2
NJvCBz8Tn3h7bxIBQA9G8S9PE1Y2FKiiSZHZgF5h0aTICJZM1tCM8k3CQbDtPTI8F+to5+ulp7pQ
q+IDz8aLQAaCUVuWX8VY+jsXC+smqXp751NLbFa9q8pLCYs/tXA7ktLV2Vj7wE37p7Wiv1rVEdvf
IUpwunoN20jV0BQeF02QEsnZlhP6gDmB4d7DX0RUa/EMNob11Dpwilv7dl7zH9BdLAUGPxYPkTlg
R0pbGBQakr2aUkC16slGLC29Uh1WIJ8eLu2OuHvXggyTOAQvWLuy43zcZyTKtdOKqtiBb7qSLSoX
pL/t6j2j+4JpN+NOsBLrZpXc5so3/NtxyX5NiuZr5/r2wZqJVlDT8p7Pyc4ciZbO7fIeMe/9TCcI
lQThAw0YPnD4NRNtMm2MdhPxWyuW32iIFtpW/kyfB1iSQ7CbIx3qkAVhaIlIPdGCOKOLmDyuDqje
OoqneKAG4L4BumCr5bf7vVp4T3A8e735zrNDGmcQxawwdOUOnsyLQ5OQlZLPW1P4wI0ddDNxlcX4
kmQge2y+8LCDNmabMXLJKYmGXe0qykCVqXuyEc61Y6/oH4dpg3bKhi0FkXTmYd0mcfUwTkYZKggc
u66L0XWjYQY8jmJ4KsCqluvW6SP4RQrdUm0/4LN8tji1hRQa9PWTAYIKjiUkaUZ9qUddbN/xQjCk
1SlKGHxak3Y5JaQRCAeDvilHvO3ErCp1MuvE4vhQCURMrvwBYXjjzeO1gcCnHDml9Ma9xJZ10Sw9
9lVMEoKUXO82/yJSbSoBah3SQVCIZUbYJ9mN6/Q/dBZIixILPre5ax6ImGsuR3kMe0CvXJ7OAenv
tqOoRS1MR7bvsXuvd0UZZNXEHKQoIS8M67qbLfvbRcIv8bNthKNAI45ggx2FzlzIZ9JMvvxLwB8i
o6iZCWw+ztrnaLf6dC5QQ24K7OdbHXkkhg7bgYqGpn7x45Iy4hf1T0plttekT268javtB69renq9
At+bOVuBc/Kz/n6stdg2HWUNaanBOHg0BkC+wzqH7GVAntPmfW0t43Emm2AzedkaeGOGHWdtjt2Q
GXtXk5bFMyCi5cGAYAgWCzVxnw/zoeWJXCZolmnvBBPDxWCYOIov0yG2x53ERFOTFRLzBFq+AXl0
3StQC2eIEtw58xmfax00Rt+EkrAKFWO0yTSZmTEJ2IQ4t0ZFqWIQ8uKhAMPJ3n+szAlD1tJ5F9lh
18DsxOKEA4lHlxSpA+He9/JCT8Fzsxyt6oG2LbOFnDAZogQ5KCqWKc2TH4Ey2ay9HElEGYiu9uVJ
e2Qj0mXHFM/nbeci3blLdr+sqxPo3L0XqfrRvXVbe0TZpJP7npERKPtpPEg5kY5X0NiP9AbCsBOY
jLZE6z5EdvpKzOxI0NLVikLzCpkYx7p+QBTcWAdvbh+yeFiZSFFc10Z308EoyOq2g0gCf93TRQ1Y
rxyRZgeD7vSGhWzc8mb0O2MFvcNkuuaoTE9TVQsZxtB1SHqgtuqC2aEpQjeLGdmMtK1s2+cCro6f
fSOE9YNxkk0AHBuRr1GYTO3KYROZfIdxSo0tY06mQAuG+gin84H5wsfoZ8ujgyCH9s9hBCxObA+k
00JbKH2oS7ReXqTp3/KQg73UrM2uO+bboWBCWhYw8JDgbXpenG2BzHwzKuvM9gAkzcftQ1lpswoS
hQpcX7P6u5GJhxuqv4jIxpwVpZXNE1yWXlhZ8DV8685MAOAptew8/LvECyC3YqQiAsOzhgBjShwI
Ip/7mQveGCkLqwflfS1aPlL2JDnKBCknBdkWE5aOQ8pIa0ca2e0gXuCwQ+ljHA6zXARrlA0IRUfA
EzYNFx4E5VZv/fxdCKRfUJCIPRjumqH8Pc8alls1OViR45e1BtvMWbdGSDHti1K3J4I3Hi1f32cV
tun5qSprPyw69zR4o3kyL2xfezLQjcRPtYABMrQ/lMI2clwcGXZ9l0oGYFjg0KJdAoeHASnmMMlT
yb0hfqh0Q7Ukb2paT7g+DfSedAJ6J892k4JoYJJGQkNtPkKaKcFgSnObtCD9OL9sycN81vIoo2EE
8/bozcW4G/Ma+FMLSkZMj0gd8Ft29x1dy9QFeY+AADkCXQKx1vcuRi1lMfMTvaIzWcL/Jrlylyb5
UzIri+KbvplyJnTnFp1Xj4dZGFh4ORWDdAAofePMutt52KOuY2DxG7Ol/xo5yQZQYZiX2V2sOUho
sZdmH73QSwJPha4vlS4IT/uAKZ05k7HkRyuzPk2xnJe6eHNl9zqOHdWrmra4JBkMNKShLxR5eEdK
4jtqPnc+g043qRZfLxWdFbHjTYM+Awlr+EJJmoRjUT1PF6pIVT45CUlfbdo+TjEDIuZgJFeS8lEO
/lPRTWRhZ/3VmlbER2FQ9WpIflXvXvXS3jYmO4jA6hlOYJAv86qPqqyI0Dbo2VQEv+lxqd+N5N0n
dHtj+/kbJiveW5Vk22aoztgXHKKUL3ATx0LkbRUIkYzkzWvWrxr+rjNDF5Yei1YjXkp/gHKa4otb
3qaBbCxr0t+mEV9bVWfuVooQzOHjjtrauBotyeCHGYjrH+PLyTqdKIsvSb4lDXik2OREGd4KYTNe
iwNBEY0nftPsbE7+cisE/eaqsc+RXPcr1ELQdfEEMwwIpT3Kc1K+pUZxihegvcXaR/txpUM4yl9E
+2CctmhzMO3ZNt50SAuyYg0oM1uAmkd2api5lv/udt4vR6qg6/pXmwaJeSGat+DZ6iwC5inmF38x
AMeanEyRmG1yjvMxLcglihgk6lfoZLu4GM91bzPHtHoCJFHb0Utfx8Pc0XYzBp7ZAR0nJk9L712L
rDC3HsJFRObt4o7XMancZxz0VOrLbe2wyVPfGgoljKgEzan+obX8EzaVhQfdpgfm1A92NOHMrXN7
hwT+LR1MjAZxn5Pw+tBPU74fKNxABsOLgYQCYnTaOAJ8LvOSbTLHvD7ljJESmMZmGGdknwRmROab
n8MT6Ix8pK8VxVut5XsOd/hYDgA0bdlxvsxQQiTNVimg/i4E+b2kYZIk8rR2FHQDPiQUSFnC+Jnp
f2gzIbuibzeGpE+VE+r3sSnT0DbACtv0mGGOeIHqYGRYdeUR4dXt8EyV2ziyaVGo9OJmw48sCDe1
+xksfQLobY7Nn4SmCRrSCZt/uqAni9r3mVTLJXtvJu+qM7sH5dE9tlqEJ9NE6KNOtpSBVTA4rtgC
Vt46nL7ol7VTKFPktoTAX1y44Brn4XM1+YM1tQMJwlkgfGGGsV3lW1AvSUJ/FAFrAYOIaEhjvndx
xp9WKHMbpG7vPAVy6ygSYjADB3Ks9H4dvFdocDRRbKsr7mM6vRzZ5HXshKmt76s8eXWTr6LP4S2l
jEGN8inzyEGN4Ls3uzKOApfgpo20cp9pn8EWiuqQUZb5XDJY3/ZEFlybyY0/VxColhqmTt5d+fjw
dRR/jkxANqm9XNg0y8OQSALWnfs55VvMCK4xT/vJS/YwDqSFJPNz6nVkNS8+w2u2343TWDqoedG2
LtoDv56qrVDzC6pjwrXHkiIhx7WR1Sii6bZvO1gmSUOVZ5o8kLVMPtfquytYK6aepx5y6oJsg0AG
AiQ6qENmWlVkotqkIl9AJLp6aqveD92cr6sBNvZk/xwcKoTOFe8VnYdwrjNwHRrhlVEie5qM8aVK
aowJU4Tl127xzzCgNTnCQW2KjoXmNOERUNVVnX0kGTV0Fr1f/Mvu15qv8Sxourv+jthVQkytClPR
2OMCjsQdWsGfKCsYKJQM9FI/2Y2T+HZ8xTCkxGsRJQauoIjG0rrEVxWuBsOr7/N+5OVuGNBx0Nh1
aRUkPQqauuDFx7sNtYQ3JVEvKyWvHOfhACmypnbsCwZdcgxEav6qzWEvQGMfPJxXiKA40CPQaEyy
BiKIn8qE09EpOg4KTm1ls+9oi3jJDkVGTXoJfszhuqSlR8wcBSQNxqH/NmHsBA1ifBpdMJp6Rmcc
Hbme+EjirGYZxoPLEYUAY3HXuZo0Ms+og9o0T85fCqc6Iedu8dAg4GURTvtRJhA0Kiqj1JkPQAdW
VCXk1UhiDKyZBi32YEYOPE15zPQk8WkBVu7ZcPvxCtDtkrFk6AGncpspQIjYZ7Uy73FtXhcGDSJr
GpPAzpnsIhrl7KNDCNk/clQYa6BICyxvu1gJgA9qYOKVdnfwTjcp1cMyuLQvq+JcVHjBurQ5zDkw
rJmuj0TpcgV1AENLdlxySSC2JxzuNl4Pd8SWOpXmdb3e2JLgt2G6MC/IAlQEC0AszHed9H8XzIDH
VPzwGhLLMzPTj3PjqonppPf+frRRVyIFeI89ttC2LEIix14qThluAtHOXC8JhZwOnCH78nDUMxJm
R8FAsimckgwQnt8ozxd2MnKiLy4Q0uSoN7uvgud+b68DWio3Tg6r84hKAbhzhUeybOld+KRuTuJD
tanYsyOhZ/cqOipu/CH7JmDblXQCScX2mDl3Alrf4k9bD0MxUfegX/vVj+5B46hJxwRRagnimc8B
iekZOyoTeDsLGnC/pWs0YRRX9Dx56Xj2nv0elwLWfGMLFI8K2VUMtXyObx7pPoqzxbsAkWnm5fca
Td2h02Anqhs9lT25jAX1PU6CNiEDq1T1tnCwPvtI7o85Nvx5Fr+r5bYjNhDxL91WJVDZRglBObnu
CVAB139djfwen6q/yyEKTAZRE+TkgrDD+6rwZAbqw5AMOmEB4zEepyfK9zMDBbl5p4i1UduJvT87
1dbI2odlLoMcsqOfcKzxaHjywLmb3GDhxfnPOTqWw4b7FnZGdksKF50KLth20YbPFBQd1KAjrg91
4oqnZp8fpyJ9Zr8/9J0lzxmZe9uaZUElxFpSKR2MfiEgyRtPDWFxoeysBnCi+ljAHW1w47Ph2F8k
anZbRquEu3VHRt2f0TLnJ28lqh0HQ+AwYUyr/EAtRjd8rXB3Iw/gVBAmC9Hepju/TTQ50ESXX3HP
GTVPLyGu0yfEKkjUigLDpC0Vlkg44+5ILCHG+FEzOUXbsums+PNgOva7VHNxzFUGcdJlnD32kNUI
xmFUQ2qJnX1dZPN7nubARIoYXrQmm2lZq12eEnHd1FRAAI4pKDOmDg7yOzZtpBAlEJkVlZFuiC7J
OyagSVV8ctQ8wvyKDrpIIRhXqLhcRE5yQd3AtIBuz/NfdKF5ysGWXyBvtoFfFP7Eo58D+C14KRiw
xlvEb4RFFo9Uct7Zz0PpZXK3LuJE9f4eZaDOJoc9hWVkOHFQjPGP0137XdjYBCvTvHd9WsJIdd8Z
eUJRi7NHInJJttIPqdYMfFT7Sn5nEdLRO9q6Ye8fQ8agw6YfU/uJMjdAgLIXqiHa6xLks3jpGdOm
3HF9ziI2aB5dihrbayCvw1+FD6OBx7TlTzoun75fHxkDIM1W7W8ffi2Ujn3aGYrLYUZBJvM3FRlI
F9DMM/ViPf+h1fpI+vMnmpBzWckOWyL7jLWsL+kcLftGpO+JKU5uWaJzKlGzKcMKEzgyOyviqJLa
ybNq2k+8eCSdr/rXVKcvpp0WBKZAHaylcbta+xbwlOWuV3ZTvg4LoJa5phuQ0KiRzjdzQ/TqzV4r
wTTX5LRZuAkn/46NloC5F+8ATcnmvdA3Jo4tzypfikXEu5qDKI8V7BjLIiqsI8oi7/u9Kmkp1iwF
dplu4rETB/xyTjCn/X5a0PTUjgMfOb6mhTljoV/phMFfC2323G6JfrUenstV+28NcMZN65fFS1Qd
o27OdkNqEb+9ZK/gyzLwihyyisjbTvS5t6AMGJhmSPoMfjbIT79LEZbV7YdIf8026y0Q6W25tidZ
lDJMEv7imKrN6s/GjQvnR43dc4+xYwO/p9oBKNnj2uBd9XJici3vuY8Vz2u+PtiM7lhLGXj8H/bO
K0lyK83SW5kNgAZ1IV5d63APmZEvsIjISGh1oS6wm1nLbGw+ONt6WLTqLqvHNpt6YBnJzGS4A7j4
xTnfiZB+NcZrK3dW0WzzKKTwMGlrHfk2xOBTOhybKQ6HDY9x4kR7V7XzEUEbVJjBMsHjEVZsPmJB
B2oNSb6GX5fMqbpd3ZW7CIuq41TrrjYloasNkzljUcWJS5BLtBHEi+/FB85LAvsY0NG8xB8jxJod
EE42q2aMLgdZTSBoI0mMWiSZX6zTfhZMR1vGagLDC+Ac/iHyIXOVgPLjGjGb15JDb1UPHXtDz4+i
U66TnpZFMbntcBsCmJEggBeVTnRMmRNAAsX3O56IUNVRf/qC3K6pYtqrk4KzCljBLHq98DiawHX5
QfYwVbz04VLli5AsU8vtgbPpVKbNnIlUoEUoIsRI2pkhSn80yJBjh8LWPWY3iqwLg6hJ2YfEmOFG
ccBZ/2XOdv4Edi0zsGAP34AMjkn/UDmh6z0xOGEYvutWa6wIxYBQ5cThLhOKHmMaaYF1f2bKkIcI
Wg3wmVUwxfZdzvuAYSARco9Sj3Y9FQNaWo1tUud8jBZ8ml4ereHZkmZy8kjRQWmF2N3Bn7pCMoAp
CeUGYGTkoofGJ1fH7YgtYrMxB3RGs2Ijf9NR069Y9eUkploHzmj0V5ZGBOPg8SllVqzRVCETYzAY
THG/LmGqbhBecjjZ4RPGvHIZ8JKLSex7kCSWjLUOXCBrqMFgtq3QeAVHluW/idD70zji1+oBp7N4
yOyKOEhkZ2vW9cMqCsBUFmWbHGW4K81oq+nCvLVn8sSMixv/zmB2XwY4BKI3n7XSEsdEAWW2vQ5B
AGQ6xIQApXyxaDMzP0ureq5jl4jhwcQSG5Y012krnjvMzX564DLjG+fFFJJJ0EKHYPFB+0l+0vn+
a+8Wl4CF5tGM0DH1Nnu0mCcDwdIi7NJyz1ZkQK0p0hWSuaUBgf5Ckny7aOETNyjCa6WGfe+H5E37
6Qk+xJZEPW2vgaG5e5Rs1TF270b96EeHu7dUh2F+t2O5SBvIOYoSqBweB1LU7KUx/grpJA7aQOdk
u4ShFAijtMJ2N3e/lop4mfhm+ObMs++4UxBRoReu85SpFppkivLRbU55WK+6mgKeNzHC8+Jchs/8
Lpv4QFpSvU+mJ5kX5x8pJpVLHyUFWxD8vm0bJ7MkjI8dMm6FaoMwPLnpWfyYd7HaMutkUcnsEeke
pUyTB/YJbVsB+6pZlqPyViWSz1XCkBSYYXc1WuPFd+wXN8mzraaOllLOGSg1wSwDiSEN8e1L026K
jepzwn1mr1vV/4DIUFxRV4pNMyRfakb01lb0lME41Oi/jjgj9nqePKXQpI55korb7NZc4Wy+VrKN
t5XbVgeCLxESxDqB2ExGSruCfQsnmsigDCxC4LP8tPeiruxLoKZlp3Um5R3wWHqSdaHjmbj73gpY
HA2//FzM2QwtUcW+nMIfOuoiw0pWScsZVJnGqSz42I4UxT73ho1WklVbkNW0Cm1yXU3EdcfC1FHn
lv620IEgGYg0StaGHep+9ENwf4DJI/dth9UYzGG4UedfofJ/kBYmZ4C/kDrXg4KntZtpLyfBk9qQ
Lgtv+GK07U7EunPQRDzrFYlt1hXzdIKPbmrISCYjTXuZIy4hYQootJbAQZEe42AayvAIeo5GvLW+
pxoSYE7o2F7Mnr9RsFJrTXtfqw4ximY5BAmp6l0KdLxxNqd1c3w2fVciWEcEzONL6ycIFnHydTt/
od387yDIWDhm+593T5c/+xO1ZM6S5A2D3zZ87GS6RWIX72srweaAN3Pl1l21T/Qr5yWiGMHpWxqE
idmG+Lr/wUoyPCmdEsKGUal1i4UNIKUPG6/gJdkO2VfqUEpCDiLco0IAlk+DZCfEExGTQkdSitpl
GC8X0RiVrFQXfk0/3mmTcypjCAsx20eDqdEexaW7qJye7N3KOJTEL53t2R5J+AYauTHlKBG5tw9V
sGbW8dgn1M11/IF1MX0UZgkxgHYzJFt83dRSXQvXO/EqR/Nry0f4H9rqbmGcE6wZRIY7KTmPvTbf
AJOAndO03N8PJSP99ahK4gAhbe60ujrpvIeXwqr7I/zumiGcj7swFDsDfXKSsy/TuoR/HKvxFDjD
ZnJiNphZ+uhoZDCJSOmzWGhcF7I3LjbzUXKNugtxW1vsJPaFUe8avKt74z4+hPMUb+yRWKkETlZQ
J7/g3hirfL67Jr+xF1EfOCutyrs9Ju+PlrifPNHjC0nvDMkyJOGVbW3uN2OtbITRkbn+pXHTHbsO
Y3o50Tkr0kkHBjpu/EqkFDeIFkULDYLZMsy6q9sI82TLll0x0hiNaHeEeoM4ZEN9jBPWj4jSSC3w
uUOChvBpmUQ6bZF6iC1UFrBcSISsx2drbD7LlHz5IXhP2Ur/aYj7txzZ2+9ytik3f7dZ/9Vl/T/P
kI2rFGv6f2HIfpLx/zp9FOk/WrL5Ld93S7Zn/OHdDdcmbuc/vdiu/4eDa9HTTU/8adP+Ty+2/4dn
YbPWdeE6roeI7P95scUfvmkKZmcW8xbfcP1/y4ttzt7Evzhnbfy4JHLpuqnblkl4x2wG/YvZk7NP
INPX1NovQZ9gitsRLWLvGzEznJjeMC9I554keiaUxlvxKgQ6M9jLIu0JW9L8TQrfdKua9DeeJUGj
81CXEaGn6e+ulCawbVMeGjpRU6uuf/l6/4lf2v6b6Xf+0Q2LFD4c6ZhwwVX944+eOpS2TOjUOvd7
czmGxj7tu5m3B2x0Ni4XechDKdjcT42NVYC5GRL410pI6tquYmJkZs+SkdvW9GkOQIkxYqx4K0Gs
97dB8E2uh7rGWlwQFovJav78ZlezGgVlzr61Xt1hGTIVhKzQ+bGlH2Z7CuQgdkPVhgABvtKngOSX
RS5aczXk5O+S3fUzz8Mns03fia9kZD5/35YQrLSGq9FALEEpYP4Ll6o5O4b/dp0NNnC+jn3VRzg5
e1j/cp2bppj8xOzUugF0gjjSfbKSINkPsn0eHF2hox+OELvxZsyVY+XHl4G1zSqYf5ShLFF/3L/S
yH0JnfG3r7p8eX8DiZFfYLTa79J7xw1t79DufDGIdZZ9DkqLUYhY/PfX3fybOfp+3X1+FP5n/BOf
PAkeOehGa1gnCTb+yT24UrSPvZ77W3J/uFAmY/y8K8PVFCc7KjJ3W1R5f5NZRLBKLq5WsXa0IoUz
G0OMrTXgc3WBUqpqbnOAZh4lAPxGc4fmE4VMtgGNPa0MLQ03qvHXvUvCLqvH6F98LuOfXCILOS10
BEapDGX/jkVIG89pJf5Wp4JFRIPA5I4EMe66iELDwCnLHs88GfWYEu7HXT7GFU4nR99JWx9ZQFJp
tH3SbxOv/xdsArSE83/9H24gBriub9gcWRxYIJf/8QYykkQ1Du9dSHajsxFAbZH6jPu48DAIO9uG
9ONX5U47j53nKmmSn1EawGMjJXUfWpnxSYuZ7uo4PtsRI1O3yPytJFdkSSd3Lmz/QF3QPDSJAK9U
eg9Ox2LbiMWrbFp8RhXRFHoaPZJNwHM1hIc8uBI62V+6yjoJe2hu5HIvhBk+WEJzVxQx5ap1A9IV
+xGCrIeYyR3eqnz4LBzW1IRcU/OWgblrBPXQYIzaLhzicuF6cXyxaF6wjOffhOXOdp1+2nVT/6Nx
ap+dEdsbF6Nbic7SyD/7mIory3zjMBm/ZecCP3DHYxtK4puEahh3kdWTgZlaRpZNy2dLQGpA6Ze2
AnNPhNI6R/TP3JxOysmqcefMYghCC13oQ+Fn2PGWlvx3y9xeMj7V9oUkDbBFwLEEi7Se6rq6dkb3
wSyBWGst3lF/fCcdWwQ39vJNj74hymbNTpGfC0V2Nuhe5nUwI/owqhm7Bz/CzjB3oZY/RfUEdZo8
Ha8DouC35oYXEIxrn1z5rvIfLL//8wIg8n0y9aZaD82j0CRvBdwSA8i2Fcknig0cs36thyPErRQd
+EO0hZlC3J3bGjptD2i8c4qd9rGcEwTbUbMBQ/sPhQq2UecFu6n1yk0t0aeRwoQqyNYgyDBg3KCO
gSwMfRTV7PDIQGs9urZ9SrDUHjANo5hSIfjD/scgZH/JW8OgjOb+CcntDH9gBolvBj0gJVZwVPv7
o8WZh7eurcBRohVXU8DEE6gPfHRWdoH9PMWke7t9zy4fKF5vquswI4xtfXa2VBwQ7aByUMDdexbn
H04hyuVUjKhQ58+p1XCv+NVz+9U5doKjMQyJtzV2bjWoOV8quJF2sjVtxz3hksflNT/ubkxOaw+r
z5raatdUko8hHW0Vj9oECVkiYBmRR8EzXEvX/TYJJcMJNFpnVmZbDZ3xZ2OBqMrqEoW5lKS7DNlr
EmHEHE3VHzX/K5DlQB4RjZOVIwwypmE4OQqTF1zGFkQ1gKFG6L/tdOtqVP9jhzskyKlh7bZDxz+B
Z1GoJ/AcF5ccRWQ2BGxzYq1ZVe2kznmFGGPMernpWZLTkWnnrmrw7EuMmHHVNtuuywlN6dNkm/YI
71ObIGuurnYCvgSiJGdZPpbOiQurrmYe/qxyYwJQz7h+dMcPO7fZwJXp8xjG76MM7T3sZEzPYdph
xCN1t7Q7xmZ1zrgf21hS1AOeKLQlCUS7ZSH6N5Vow8bj2wbKQIrPpH7ZRDS0ngU8XYcEYybj1/1+
5Y979u2uBWHJlUHkx/kz38dIIGjy9X4h25aECZI4MVMvOSN4KoySvYCnqg35NBEUhBLKABPw+Uac
2MLrsnmOE35oQHtfyRDM/18+uAnysVYyuMD8xbmvj+EVu8GEXIUXOul6IAuRJUzbUlbPOryuY6vo
53XZncogOk6VfMaOCVGwLwjXDHE333/iKey0TV8K2HtdD7gV7C7xl682mKYHAicfZvzVwsGIjxZH
veiOiM6Oe824k/ZURl/8ZM7SEaWxUt3gkdRe2HvXHGo0XvlTRcGzMSSCXKHP+bOoRXMu8zlyug3m
32rLX5AFI0MllerB9oZ2Ay4VoaluvAzMGKx6MH8G5hxQodfk5ZjWHI7wE3ttxLt5oNoaSKQe5hd7
MozbIa+1w/17J9OEMC7f53ZDBZrocCjvDBAEwtUm1GLCR0PnfL8EVT0vKvKAVIqasAM/ZvNoNGRB
MnlmH4YaIrjgjgTVkfhvaVAaO1alM+gATWPOpH+rBHo4p/vBtMbeG+zktIrNvAlDfK3p1u3+JXuR
9RXUTcTVohbM0J2juYrcE29R5BS0BQy3Q0pQt9+3We1ezcZ4TPLW4hIxCEEFsAwp9RehKttLWQK0
nzrs46GwwcMm5CTHRAusKig6qC7cYlkw/tzZJR5xLQbnSJxxPnUhyOep2E0lCWEGunEEnOoSquKz
zbxZbJIXH0H8SxgGUu7CQGQ3JS05DiWrB5Bzm6Cb0kdWeQ/I3+MfuC72nYOzKmmgnIqxmy5mzhA4
CYw1uowRd0NPZVuju9LdvQH05ZFxdX/KsAUu0nnghOrpMWvd6iDq/jHVoh0DFPsBMzfafDOvt5nf
ROzghEKpVP/yLG5jd7JGiE+wVZGd3x8ylnWMatBOvRbmcHaTFGpEKp+zFhe5QQTMqkMvsjIG/nZi
QXuyxv4tErHznsbRWSdIXNi1/FXmbODwu28101FvTZSvrWwangfGIwjV6g/XsONXriMM5TJ+DgnQ
3YpgHB4aqeEhkJN3gVGhLzPnJ+lXyVcBXg99Psungeytoqk4fUSdbDvJ9+Uibd1Yrf0eK5aICVh4
wnFgTfb5M7p9Y2fKoNh6of9hTiS2yjrGkaA7/uuEkVzx7JNclL46AtTCVObnCgvi0SyYnJuVBkmg
ardRUaRbnzfEquGAo1WxTzZhV9tGdtWiK7jL8hiHmMc9TMobWa09yr28kdWGy0xAS8zKyMlleYx4
/7YQPDC9i20HGePS1nUPu6nl+ST6r2edpE3vIUtfYpQKljwhH5LtHq2iCfPQyR3g2nZ/7bLuEFuI
T9P8dH9Wldl9tFAF1w5O6R3p0Bxw2oqJw7RXMTSKeEIkpgmWE6EsbqY34upGfctN7914cW3KtOZf
DYD6sVEfGcXSjrrFw5j0nFQRRzlvYUg2sXbFx8v2HQ06Z1e1yUzSvdOoer1PBX3RnWVYMaykF7G1
iLew5/6sLVJO/TS6DFpQANsN3lp7sPZayVZFS5rDvdhCPTNTHKEudzbrElUjO+/HvR3xnmqhWLOR
38NpdOkp55o8LdcitTr80M2n5penChc7DrpiAaAb8QEzTOfolu50803Cu7D6SqQkeFrhl20GzvZb
kRswP+rsd0mu4WU+zcNKbDoe3qcyEg9elxUAuIBH3s83MeqIWoHUnjH9vjvFBK004mfzW6O4ebV8
KOY/PBkrhytq1BeNGNolo22wDqX3IpLSXKXCCwhmL2xs12P/0DXTNmgrZObUgtvAkICM2UeXuOqW
9eBiw2hNiNwNMjmPAfy6jHJ7YRlsOql3C0OKIxPIg4NNfQclnfhdJdvHLBFypfkrCVd5abn1NQSl
ulEuQjItX8qmhyZJWETgBq8d6tiHtLUPY+tcQp2JgZNFwI9dlqVsm1gUj80vyo96606cLZNRv01j
aTynZfvNIulRCmUfqj7FYI+Kf1v5Oiev8U5omsXuj+ymzCTfgEcoWOue2PsNcP3Q6bltzNTYt3Gn
3UpydwI7fGW1yxFidz90G9lWpXsafAZowqlAXyy0EN8WCSZNWRVb9tW4TcoS7g54ZlBZzAyMfgTi
EahNpGx9WdZhvFbtdEZvn70AAdLCAI62Hp6VyfIap4KzsycNB3ojSMYp+M1ZIKYNA2KY3a7Fxies
9HNTeQQa2WKR4M2CwmJTYUZsoHtjX2fSwLrI52QcsSb0CH8iSXeCbvb+EISxwzDVYzzdz10EO1pw
RzG54b7swgfok3s7SOUTmqtdMcHZCSscXGSdscksrHxttGa/tT3tVjTECNneZ9nnu74smyerDc5j
Sr5ja54zNlqLeu59bD9Y6P6QHECyhztAugdnRFcFl/ozJtnuooZwBR/d3ePMWFRpdcGuaW8k+hcG
rs+tbPKtN7+U+1S82B7GBIQH2cGEVupYGbNxp9pHRv6IXexNb5oXperkEkTQJ7L4m3pBrM28f46z
QL/lU/xDThHaWOJ7jTqZFgGx6ljz+SMEguOFX8bTMXTZgYE8tnZuRph94gRf7CFcDHPNg7Q89zT4
v+ENGEtZqmxTdpa3z4r0fbL17pC39Yo9bQAuW6I3GZL4z6nPvYUsyZkrzESHboR7JCUReoltzTvz
bG0751CGDuFWWWKhTyYgXZ9Qlxg+gbuYBwKdzPQgCZwnvKe3kNTBNbauctMjPjx1wKiWsf4lDVu9
9zHqW1kYataLjBvgjdqao4S0MZ9QqXSKGDbpFD1DqSqkvWyz87z6eZ/jxIm9nmwPui+mhiaqooe+
47yKWioVw7ROBm/I030o0oS0PAZrW7AghBtyE/PKqTm12YJOXrErlPded4AoGryQQTxi9a1tfZda
DREs7Hs3NKMms+ee58JxNmVbQBdtfVZp9qPIC5eY2TXQxnSl9V677mvs1UGNcCxK2/jS2TwHyg6z
k91js6kNwLd2GhsFJUzA7dZaN3Os5c6WKYDRAIAJkpzraCZru5jslZdiwfFISVo6974eS5qXoX5h
qeMcGtpKXpS2a7BfCG5ZO6VrYyI8yVZU9cPgb2yTGcUgWKkaXlYdzDp65w/blIyXNrBckam2lFCi
Tq+jRp3qK0p6J0J+bbO+mfRm52kkYbi2aQBao5otEwxiQ1jiwQvq6j2Yf33WEszYVt06hb3b5vBa
Up03tPDaJ3YgVw8xO3Ib+g0zGKqN3oaPQW3j0NLxfSun0xelSF7uha6bvptV6Bz+LEhLoj6H8BYF
RbW+rwdbh+qRcFJBTOrsLGaegzycE5263geRkvxWWnC8d6s4z98cxpMPnCOveWrky3vtW+Qoorjx
iBwgjHNNI8tFS3TxpBdsL5s0JUfRHD9010f8TSZVFqNsx4t0qvQOaW7UbvK2L/dMfwjXtYEM8PmN
XQv0k5jT9IBu7rMCfLzx9TmfxOuPfByUwaF0j33Uf0N6udfvaO4zyHiAgnZDlFhoHf0vZSbFtu6A
pkf1SsthPRlMtRd/nqPO/O6H7FY8aY10jk1NrltWJ/o2b5tNnMm3qUvVo2s3w2MKKntVRbSMVaMR
MOxQ+1vAU1ms0CBl5JNhN8cQjqJ/JIlO9nQHs1dHhcnVKo18a6BvWZgEXC3BsdOiDCTKhfNfmjwD
5c7Bse6gzZPpYAP/uwtgASRRWpFA4+kqrJaT2WjLlPiP0z23xeWtnzqWfiYqQF51WDERxLUtu0nC
sdI6uHhzwFaU4Egc6CARds1YJn1ssW+bkmAaBy8t/k/sFjV7Pcfaq5IMEyKH12VjemRogU68X6De
Zt3fBCI7iwzQr1M6VzIdvoc5lZ3SAqiaGSKprHMMl12/M1zRnoZhExANeUEZR8djEo2OzC7e3J/d
wimSteYS1TAPjhUouuVynyrvIVC8zAPvm1nib8vkNzbM2xdlFdUbHfqyZwODuH80e7iSJ5j/JmFp
V6EOv+pZyAzGjx1gVDfD7vE6k3xlLnQk8MtcZ7pLBpd/7Zj2zur37JSoZR22/UrYHGAKfSvyDQyY
leHiWHAQHge+dvVKCFn0l6u6OHtIjC9aqKwbM/hoS4FySQd+urGp9KUaGLCGmnlll6IIkeKFX4yi
22GjPzDB0TgKxmJ//zJtpA9EzGbf5TQcs8418CsiM62NZ+QqrMsFejY80DtKzmCTwO1bjimEUgF2
8z1zLoPSi3MaAfXv0etko9fxKh5RZYjWwPnA46SMBL2yV6uTpfW3+7rBDbpDFFP3Z/N0s4J8Uuf9
sOO8YL070w1QGP1uqgyknVbdRCWKVVXwvYQNKqUyVw4tfvudYFPbJAGS3aKxSHaws2UsjIjBFLuN
hgHECvuxv9RYcfNRLhzxrAzm/EwobFgyq00CZDUxivGNGaTo9RY4v1ZthDIvcG+qY+glwUKlHaFR
NbjvehZMNJUVrkgh79FhsoY23fd7n07TcjVl8ksfGBiD8SNQSbeCJaR2TMHzEDmKmbFJRA6LLnDl
A1OWY5iA80P3El/SwH1HABWtdLgYiM/7AAACmDHUpiElJDownznBfTXx/1efhvXfwqiPsQw7tGZN
+3/+9z8wrO+/7z8WoPofpgekSTdZQxmOrbP++HMP6vh/zFs8djnCpcxhq/efe1Db+sO0PNPyTc+z
LOg9rCf/g0lt+X8YAFdt3TD4C8ec9e8wqclDYTX71wWH5UOXYM5Kz8KfaDnm3zZkJfdE7JN8tUvs
L6kkTwcTLOW3JBzCvdkgJ4MzN4XM+PDhaI6zcBXDvLQqzKufDsie4njlNKmzYhc4PMWGO7AqAdTi
E/y1kgmuUoT/w65xRx+99Ejdp/zvEFv2kI3TARt/VBu8PHwn22T+AxafQ5k1zdkUi0Em3i4d28/C
EwgOson8HYmJdRSw4cNzM4ONJDbt1ZT0+P8GCBUz2gZ74VhbL5mbtAsNE1gTll+Y1Knzej4GsLrA
uJUdlsAqUGKXl7R9TnZLqUPbjlnl5NprsJr48EroRm2lPw4a1NaCsn4Z6tCIa7v/wfoYhV4odbSq
6E/AUq5JKOHdZJwisyg2o479Zqi85zaJiUXK62WZND+M0RcEnuTxU9NN8gia7wikFl2L9yxtFmsT
BnU8uPiYu7CptpnLF9N6ZHqM/mum/HDb6to+MMQhLLzXNMpRHKs5RWP0cRSXP0ElrDrlDLuKU3Ax
V2Nw36ztmAe3oTe+DcvF7aI3WG7FSvMQY+qz9yxucMZmRYT3oHXrNXtB9Kc1HovyxVEtL/OIIU2V
tD8QHIcHYzKWkxPGxKeRjjcMKNh1v1sgjcL73kXOZpg+OVlL9CjVru1EehqoFxZaFThrjUifpFgy
HYhW+bHCZ7yoNEIHbHMoV5gF+i0YqWWm22t6RdIayR1YsJQqd+WsZuM+Mqtp00wDPWObfgaNn20q
ElRWJLsB5MHXsE8i+WtSioFtOMADcbQ9PytKkiR47ptau3WKN3ziQiKqkD/2Gq/IHj+rcHDhmoUG
ZrOWwZLQwpQrKbKlYVMPOVZ14CGlaDbCDBU0mUp+qv1WGZJcpvIUnEH1Aps2OgZWzATdRZ+DIDPL
kcy7aW+wyIGY0nVMa/jyake/oRgADFvXOwF1f+FZ5Su7I2a/ZfCi6ujLZ3ZE6oUboYzxV10RpIeo
GWDGJO56cP1mlxV1f3BTQAST4W+dQvvBRjcG4toxy/Nt2GSSj6Fr9s3qua6d6H/ge5y2OKwxVtVa
uXV6/QnY4Ysh2/E6O1LtamTvorG6Swo3W6ROugk7N726VGEwNIIzLUm65b0SHfNHRN48Eh1+hhhy
G6OHSBQk97b6LreJo19Y/vRe1JaxR2QmcR4Vp65LGIK/5Zxqa43M1KXpmzQArrPOA8hOgrb0oLTk
NMbtm/I2RirFnvwAPILiiTSrYNEXJNIqNbGYHMwAY7BO/JtBGFcUsNWh87JCn7ozwKzv8PJLpmpA
/q1wW19N6P+HRB/hQzfFU+TkHAI9dtR2VCu9s77GwP6mYp2pxXHDnQxIB0v7eahdFBJGXB7sCHlx
WlIuWHOKHn1yUkfh4wD+OUyMbVl6ydqa5hpg4IBR4zQ7jtKFlNqnYWgPESjvRe8HwVLzo3KTC2B/
oNiQz8cpYTsG7+TO1BbVEHhrmTQOanS1M3LSQuh2126PkENo3i6KahtZbHWTDj9m2mCDiUidWAKL
BQXJWs6JoRHlVG0RB4gkmpgkwycNaAqmfyCVGoaAHswO1jNyZez8q0zKp3iSW31w2EmE7FJ0NIiF
C/StZlvPIO6cyJFpYtfTDrWvdQ2eWuhyh33jUxtskghG6MOGT3NhkfASInAOzOaGaj5YpGl3Gy3n
IWy1pRvocCvbjs85zEVZZT/adYVu3SZUxhvDV1nYB74l6Ew4ZB6A6fdIuVy9Ds51SNHVubDH6txE
Ms08tqNuPVERrkNq6NAh96ghnAP3LRUbjrFz4aZ7n53XSGG8lvlQ7Ia2/MpBf+g1AeQE9hi7XGNM
1VS//cF8kiMBy0YP6gtWO6I+8hGrNsX21mlMYoHYVmxf4ji7GBrftDAJO1Zp/GqSnrNqQrgXPvzd
dR7C/iHhm8oxUKvWhGqD2wXqm38MivaLFldbqGS4cVd9KwNTvDkE3KEObHvSCJLOwYeu1+9hffVq
61m3qt8m9HDdpUTuOngQUQZCgH7ORjuLXpxoOWlj3TFKgU/bi3dQ2UL8lauqEjtEH94mbMdnLoS+
is1yWBoVmVU1PI6oyvID0NKHEQPTAnbYtBeOuRZUr6Yg9odD+c3DO6YHZrHlKP2Ka2cldAzH3Xjy
Rxc1T8jCORJz/1h2uE+hBpUVES2O+6FF8sODMCTI17mFqX1zEiLbWjMct2hGN/Cd0qWXa3OwZ1Tt
jBDtgmkxIO4qs9tDQiRuYt+TysaIsNhDB9qQpbzyiPas/SlB6skQPaBnJnhyBjLhD6AhbLkjFCsP
paWfeI5wAvsMVzJ8/XaKAAmR+leP2rfvwNwMI0zeabKwmhbds0ww5YoGszTBXIXfaQf8oMQ7lBuk
1atxZNeWZvkl6lS/ITKnO2kVWW1lVoR7GSkGwMMDoZAvDf3Q4Fck4TT10Y2nvcVeZWl1hbf0rYvT
d+mqZWWlyzFYgqGqmMwAdg7j/Ko32i/peS2wlvY1jZPPPAlKfB3Dz0mrr2wj3NWosIoALwMH2Lpy
Gds/u1wLTsJr3rTWPJkNCg7wetEi45Bf+WogiArDP9foNhKHufd4s62BFwNxlz81af9OpylYmXZk
Ldvc6VdVwERS7wVQrWEdl1Z4pV78Bd4QqELP6005hE02eIebttuAjxCbfASWqNV5tOgdV0NF6zwl
prMmLw6v540looklUD7ZDKHIEh68a8FwNDKCaEm4/Tu9zczHLo5BLX92qB/AfFX2oqK42tQEOa2K
gjdXhaOFrJIPUq0PY+xPaARwFecq9TfI8hZ4JdjtuOWxDmh4BqWwZo/Bi4G0Y5lQPpwmtpAETQ3f
nstMrGgi+BW56xwyNDw71q27zEEulJKnugDSsWQdX+3LBiBb0jADmcSsTrPF3ouVea4N8zD1yZsY
+nCr+jG+4nhcusrAUmunr6qP2lVb2W9FqP0a+16uJ09ILoIWrdl9LsYyfku6QNKFTs6mGj5kqp9s
Vgo0g45BWrD5NAdDqUi/cPWTped0X75GUTOhrUVtB3aO+FNPcxAGsFZjv25OsHsgDQEjngMVmJqk
RrUlCffABKneSiN95Fh4ssB2Kid9CSrgrXaAxNfCG4eGOGVwOpqxD4w+/C4wJJMycE5NYisoRC4l
/WwlZbjVW4fv0BqLda+cAELDwo6ZuA5xQ3QylkQu3kYpTq0BFHPQugQv9jOpXSvg2rXTM/sMTG4Y
1vG16aATIoORJs8u5EF2R771kgKt3GlxfMJzsykE1ksWe85CC15cpcdHasllFsdQQjq93RKwR6FU
m4/ShLWR1AV3o4DuJSDWYiEJV20tYV17+Sf7aHmYkuZTVUWyMREZqWH4Fbt1ehYQl56tGhNMF5/J
CtbJEtsWEt0E+qt8WQzaFX27BMQtrccQQmy89SWnEBD0zxZt+oK2QltWkTjV/hNB9OI6jcmjooHa
1CWpcnpl5PhM+icjSziABVx9AqIP2giYztnWpkncKDEqZVghjTfiK5TcVrXPltWY/5ej81qOFNmi
6BcRgTev5Y1UJa9WvxBqdQ8eEkgDfP1d3IfpmJloJxVkHrP32keRsv5mXwKQzKLUTWIm24NFvHmN
/39bChbtdP6WA4qF8ephgXOGY0UuB0FiDfJU7xKYz4p9HG4OkpPHYHqO5Orzambz0PNPEaQQGFHW
eS3vYusw3gVq8GSFiNhyEM+w1uKDgQEHEAwEXyYyXvVMXUANgMS89t5IfVup98BvYV/NmKqG1Pks
ownGChzzje5SjHzBIkgvWM0e3VdRyvqCBAX7CkaxQ9TZLx0V/G62bbEdoVJ1rZe8ReqobQNuJYlf
24gboRfiOR5YusdBnsMddp81Jq+Nk1MCmfixDEfG6RrPn40rFysRAyVrwXrlozjI9anqCa+omPUZ
PWPDCRw0a85vx4PEPPR4mZnF5siu7lUCPcR4HFd5g9mglcG084bC+4wb4JMK2/qhjPpne0yaV5/q
emcPzZlKhAKUtf42GSe5daiE7jYehrv04/e+Tv6MaU/oi1suTwAAb8OUYQEwr7qPGkRAVClFUiIC
lJBcLdxG1NQ/fSLv/kRxUhOcrkuJFqoUapt5mOnbcfgjA6jyVLAzhWX9JVMKfkW/tEmzdD5LvB4v
XvEbuqpkiHcMfNw95Zwnu1HHr8uYzI/on7DTCW9fo8jalHTIOwg5OMGqCJBP1XKW6daD6sIiKM/c
x3iFHki7hV8UJ/ulZc7YBTElKFXiNrFKmnh7PrJUXM6CLQrYGMj1wp33kvBWqHt2cfSz5d2RA3bw
TF+MUTiWpb2CNoECu/AxJM0gXJTpsaYieS4J48aG3UwsawlfBmTEor4Md928mF2imvcCuec2svJ/
OmVo65C3uyN6O7/puKAmjaxNbwWGk2mGSzKyLtQd2QFBrQBu4q88Ym6/i8icq8ba+kEXXUhz6jBB
opFdt9ba7Ymbj3EI2xa766lt64NeMfPFGKOLHjLMwjNGntbzd9k4jLushKAsvfY5jEv/4GRE8+Y+
612CF2gR1+hSO53AscTuMS0ytU1t+S5s+4N1n79ZAHhEDdQQN1dvs6k+h6Sl5QqTYOunxaHCaQVT
GpQqBN5iojt3ezKd6pTvjDU26pB648WfYj6TtIN2nMUXz8+KV43GQIn6TY19fUJP2W+6SrJO67tm
yzCQXHeKh6SA3w7yBKMmapSqXuWs2S7BoDLQ1WWCSl2UdEl0cEBniD72Fjj0AuqSDPwrO8xX6dR3
kcBxQslETRbY16V7wOuU79MXWVj62JdFsZ07imLsJjdhT8exTsS2R+vGEm68GohbwcT8tOBfevFR
uF62WQowSnOzWtJhPrNkqHj/8MtE7c5qsYZPbBf4xgUHsjFaOLQOUdmS9rAeyWrWFCJeUt0Hif8y
op6/ZE0p6Eyw3NSe2+/nTHQfcSh/lDs29zhG4ONYMNxaYJNgTtaLie97MeClahaxn1UGziJ+nyMZ
39aXaHL/dnJ09qor0BHigwFzG4rjImKmA82OHAYkrws9rPaBQMzLfiakCqYp6Mg2CyjH/GzXDIwc
6hUsZlKfbJ48fwz0LYGwfOos2NL+JEb4TwuhXFm/7z1C1FGrf7DA+GJNBWAr4LGwmeNvpsG/GkBJ
G68K3xS1rzG5cygt55XM4ASEGhqLqMStxR4IBW3eHaNEDiwPPURP2ln2gVuZHRchkTIeWeEVZEjq
4BvBdKcgVNFptUT7XiJP5A+v4dTI8lBhU9vu3Tn4BZLEBoukroBvhn0546xTvSTlPKLwrEr2Ye3S
cIIRafTo0eZNqd51/c9cF9lZNKTKpKRlkFGn3HseBu699dLXtogqSKnTdwHgJHbL10WBaPd5gZAC
LLs+9+ZfleWzsSNXWLoQXwK+IkY6W2fq0osZ8ydrEK/5gMIUxUADDpdiURRkUzZ+v89b9YgBqdkR
PyN2OL8D2IyGL9uZ631qVbc0uvWSU4TFMf55mby7yymZB4oCxwoefE+84LjfBJN3xTP7J8PRdLIn
b3hEDnUCrjSgyVW3qqAN0qGTbV0yHbbgpr1rOUz/FhfHAyVFnZZA9fr23zSSDJmQxbC1GsnjU3L1
DWa66JTGPdIEzfkVjVkfw9xPgEQf6tL96fUfSyBwiHMMem1I9RuR0UvskMfzWw6/VEPihDFevJcp
KqgeqRoDnQmYQB8+MvnZCsGX0IcZtr80e9U1aiO7CqZ7mFrXxbXzfYa4WsGlyCYJDdmbrnM7xA9R
9tO7PVMd2f7CsnEqOBEHtG1EU2wHeOJEzaD17W6YzZ0rrJgrtbjLM2p+szWBSxltCae6RII5Tb0k
2MJSoEaKxx3SWDzBZZrQBcXqISbL2AhehDyZLy1JXa2TvPR9WZ7Ivvvg5v9JIFFiwbOjg+D43jAY
ts5Ixul9sfmVJccvU1dxaYrQP3qDzXCsJuwoGRCRjmQvFR5kpR4VBzQlccltWG7F8upH1lVr5Z7o
LHMyv9CvREMjdwwYNlZUtFQBQLGacn4JeONJGUMSWtZs53n/kPHRLy2QpjTLOU8R/JMSN8w75J48
PPgov+d32sP6GDNPGpPeOswhAwk/HxFcMDf6jN3iGlf8F3tfKNKVAzwxnanYEFy3SQLZFvv6Tvrg
VXLcjtCR/nmmAUkce+AdMhKUOQ2tgrvESuklvQgxSds/JnFojmKO04tN8tmlGjRDe+BMfZY4SDSH
8BB2mFhwomJwrnt96HFKPgaBKBmFi681pPhmmto5pJLZR5wD/g8Wetk6pP5hl3EdnLQ59ehluyav
704afJJ/wKXONn1ZK/l+eECN3h0LwtYxlRTv3cge7f+Nel9wnqRZdukaRmYi/1IVFId0yH41fvM6
xOMGzDy38RyWyGfz15ZCfVMLIEP1fAXMCGxSpbzg2FeF9t/SRbtn28wXPKArHZDMJMImNgHtD0Wd
BC6Qi3EXuXnLlwCWQLJsYBkYHtrSh7DH4v8Utiz3owVGEtfKC1Bmh9g6973w8WgT0YrRMi8O0lCO
WN1fF1sqpgdr2spOv6ROF+/FCgBzx8cmV+9+VMyPZizURbXgIb3qJl34pqCNyIhKk5cFtMhTgG6U
HAkA1Xqsr2mUY0ALNAm/hra8VvuoFu0+GNBdqhF9K1yHS51UdOs6vU99mz3XQt8tTVSbKad3ZeSz
RHJ3iiL/Vk8NaDK6ehrPc0CqxbHtU2jjy68i7bDYIp0ZetwNRR9Nu4KAQEbQ6UfntZ9t8DayiuID
FECiZw5Hz//C+oYXNt9V2d9RMZsbzRTuHTNeVKqSA8CiD23wiQy4YSjwwWo0dvqeeq9hz1kjJ5Xv
yQHZD/ly0OumVUSBvljC+iZ7ZCXHasH9Iagm3TKEQxzlD74KIiSwoP7QKD07SEDzIut+i6T7KGMm
czN1L22COtA4xxery6u9EgCSFpPrS7OOxMlvDujosZK5ljsfK+sDyUTOrBni2cKcBuR5fG+U/49L
Pr4GUVK9VPxX3BfddwXNt7JaQHVFkK0WHDIrnKw/6ADvAWblOwuNrwweJ/8D8htM+iuEVQwPI8y9
AajQetKUz0M5fMqFN0CY1d3M9Kt4Swuq6QkQj8+ajTVZ/jqVhTqJVFYc0Q8z2wb8Yg5q1BANmGaj
Dv2f98f7VAP04CXiO2xPwYtch7vGNMOlj2A2VJ5l7syt7I0/TO/kFH7RSJ0tFKUMXdG7ybh+sOYU
rN7EH4CjEgKaPiCI6ZiykCYT+tiGFmu5yLBv7mT6HdoqXN+SsiQULhvOXud9wUk92FP6Stf3jr9d
nTqEdLBGLHRtcDOwL/Q6zQ7URWy8IU+i6ROInwrwqn7RTcgCrBdSWuGeeMvGFOAjY/B/I8LUvTcD
aLaHZF8N/eqU9+89f51dqTkGiuZxmTja0wqqZqUtw5tP6heMUvyYCPJ9nbFwnNV/VkCAuhTlv6k2
zjkCbxsqpMZ5BGDGi6hhioJIkEGaCzJyd68i6ynt4z/l6IIGn5tvkdrwxxd+PbJTfA41AQBPic7M
hqU7Mpx4tGloqWJi+15jJ8Fq+BvdQrMmkf0yRYIDbEWwxJ5VnclOzK9R096dSo+XllK69sfztHrp
g7kxe8wXaCFT79FzYZxAsaZy7CrgOwQx8Kwn8BfQKPE1M/VsYVhwx44X18ZEZXTfPxMgxwgPmny+
QJ0Mh/qcj15+Nq55GYP0WmY5dhF63t71X3iNoOYByMpkU55qObHSmYZNYzl0Xoaqr8x6Lilwshs3
SBlmr5F6U/Iaoo06sUNkJwScyuLDQ3nuH/pRpyBJT7Zy8coobwCFSdwMs0IGQMU5DQK5S2vwlbn5
SbwWgnXZfTO/rFE4u6SWtExH8A/usewzL8eNwxuPag9Ol9nQl4J+LCsGTaX9k9BywEEC2jaIFxfI
qtsjD8UjQnefNNfZy157EII8hMA764LBwCoVPMokfuMPeekFmkICLCCZ8YPkDTz6pIPOP+RLeJsG
aIuyYmdnqiJ6HnIeMlLaT4WTYRlbLRWmxV45JtO0peD4m9nlf4tsBujnTN+lD3CF7w+qmjgE3s2e
S4WSIImeRs/BF9cBkNsmOPUQLtKGjr5vDj10NmIUfmXe4vCXN+UWzwcYW7pmaH5Me2f+Xremr26L
5eUXiOHOTueIfcnUgnYaY9vJOrs9sD77F2ujboH8zzfqWkNa25L+/DNC89MRdRSo4GSvUk0dHvnD
Ps6Ct2zEn+cH/XPbecupZBMXNgRxNZzCoEJJZoMuc2C2zOQg0vCNYIfnTb7sIsZUUDXRNw3hvK/G
RMIjCP8uLrCfYRUju8j7umGg0qvtqzsr+6qqeLka1eeHLAswbjhhehpH797MpE33k92j4amHe+Ez
uHewwa05lcTSICyVeGcpty307AkYEDhBg8GUM8selZA4pIvtXxj83nMvwwUgZn0tg0uU9wBTGlOR
hQMjoEPtN7JrfEjH+NQBcIsUScy1SyNYZ2NwWLBQYhuBfI8XjiRWHHZdlrzkVnEVyfA6I3N78JLs
ubLzYkfwQVBb/yKCA9H5pxCUUiZPjEEIaPOZy0zsohPzza0uj30T3jBE5VTIa8HQkVmW/h7tNQdQ
dcOJE/hWwkDbIHXw9p75EXVc3qR5qFHpHBJr/GqtmwjTX5EVI2OGF33z2v+KCVyYrMWVfMM3e2n0
PlBr6F9ICFDGCPJxZn0EwYXRdOKcpt4jfWq2odhp9qRRZv2ZbPU+C5af0Nu3UvlEuxU5Nhu/w86l
1wznPnoMfTVsJ7elVGLeYEubVs7Td3cazdEdbEIeLc5ZxSjzBOH9TEtRj5tJvCLeDq6xtx+Z0ZAW
jYsu00zxCrSJeV9xbcU4BdDSEtaCxCmd8TGK7hRasnsrmCMbz7ykbTIdQlGjkyJtc7ZBk28sIOa3
JiRTog2Q0gPIrwiVRXZLFMfZF+38DMx0L9fqtF9AQVQjRFA7Us9tHLsskODR9qI5LUsNS79Bpx9a
FLiutMS5aZt6x9BkZFLMrdYD6Dg5vU2+mmSHDch5IRWI4bP/p8fD/4ZCAsWZEd+mCtgmUYm5TvQL
DojZ4ZN5qkuCNtU4kajiFsumoMk4kkQybUSG2nkww7RLGV0dLa/+FbMSZevWPM/jOJy6wEo2je9K
zg0No64jxk0Ujb5k7ue8lPVmsq2rYwocIb5zbec2f0xz90D4uX1ulHvLUpdqMWJe7PyaG9d9GjOD
yt00DAiYyB+i2vl2GN6yXwH977g0FT7iMRcoMa3fQxBqpl3kebShzTQyz9nWtvMDH9V0XR+wNmeD
I+yWqIsKKJXfr8miyc5fSWJWT6rnkFpbwn46SttxPBrtX4II9VyTlR/xEETPKq8wVZmNZXWsJx31
CzggpH3m9nPUP+WQ1jGew0ZMrV2lO2IIYgbpUXHUTgc0Ow0Qj5JgpYsC3n3/6vnRiVEOrpssfJZZ
SJhkUxLg1bL6makHfJiJuGnq55RngiC6GTGF/ZfdjAV6VGyByud3+PTcL5b+DAafNyFqXkKLME4n
KfGJwG5JCBDVLTQtRECCRaN3ZLbpMW1ve945fha8KLGbZPbtDfjSRP+VrCRqP1+6TZBF/wkaXail
+8jOkass5t1Z/OLYAE5QuXmTBOcRZYMwBg18CO7bJ4mCW6s1+L0ERLIjPgmisDXfGJIkhMlPpFZd
HSITz91K/mNluIupfPiVEDGrUyYj6OPG9NuoBlLeVsgyi+otScgWcjWS04ygEDn2z4nTnZyBwlAx
vGGbTvXuzeKry0nLILZV8FKN752iA+eKbnZZLUlppaLUVXYn7eFup6Q0sLk6jlwnSyOopEmWHW36
hrLsmbU9RKQKotYnpi2f22/j+v8I89gyMyAmzrP2zGyGa1KAJR4bSTZO4v00OQuOoYqZ4GJnEv4/
Xf3XluELeMi7KaEgNdRkm1ZUf/MVZbXgptoY5gJZQPJGW1jVqRw5SbM4a4gUcKJ9lHDTBeF2wPq+
Rdx7mUuSmiuYa8gEoH7n+dNTRvQ0lcPk11ff6PraQSvcVNzmh8Jl5BqzHNt6c8hqubypgsIUnSRy
5w2xwOhlswqsKU+uDC1mO0PNeG1bdL48hNp85vNvb5kRtQzJD/HHFLzfTTCcQhTOZIDh4h+7pbmJ
vPLPcRIzLRr/VKjO9nFY/a5LHKyWP58bphjlIplNDeiYK3lOK+p6W5kbDOM/GTad5974L6Uf442M
IbDDgEV8LZc/kvoN3y4nVV9eZprNh6SQlASmfOlH65kakrgCGyQFDy7I0gqtcp09+Si07Rx+jp+E
1Z6MDEAhngx3ied+GZMNFzwt6mXRSl7cIuNaMAwpLJYhxFu436DP/+apsuh6sTIxT2tOqnAKUlMN
xhKDVQ/3gf2EdPFmN3lyzUJHnoSEC0uCH9o98ooJsti04eydMr3s4zw+Tj1Yz44h3pk3ST1VIWPF
JfpIl8n6ZKQDZ3ANiqHieA9cJFu4Ldk3Lb48Va0+qr5+wKG/ER7LoYgF41ymBqJCQgao3BovIJ2y
Wi45/gJoQqa4Ac2FbCTjB4scS4SAcMIErzaQ3AhZLV8jVRu+xQJx432JUofuD6YZQfMHXlp+x074
h8C6WRAhDtUE21JLgB9FW+yj3BkYmMNsRPgUgknCdpAx7NzBQZe+Okx83NRLNqmDuSK9zatxbXYD
lL9UXH3Yz8yPxYnRefBaxjaftje9ial685eUjY4mtUXOrI7Iu2HXnxu6NwwCexvPJmNVyl0VQaCK
vqex9255Eh9ykj8DZZAzuwiFDIjXrG88XuYKhGljroCs4eR27VvAobyjEsu2olbxGfDSzidRhdcD
HUebXWN4wEflzSR0MijLp+XiL64k6YScNQRBmy6HiN1b9E1iSM9Yc5xTF8O1yJgOHJQX/GfKQBzA
V1KAFNkTHXZ0nLBCTCjBwBdP2DgnffckITxEfITkzvDEBgnvtKqHa9Fy6dCBcFv0jsVt6yUQ+bV3
5U/c+m2vHkb3FlnpwFqTl3GCEHlxovoRgrLgSGNEABd2xyXrXBA8ykM8TD8Nu5vedW8FVIWds0wY
1uzxL8HBycnTzfww4NEqYl6KiLlVmrkgcmp5r6zMfa5Ncq35mzW9txHUfThMDfqjJkfHg86wmjz3
Kc45TZ0SqLbju9kxhddHWdpebJblZiBteOqIGVLMzFaF/EsyOeNb5iPyIlqQoRiqtw0kcXkwAxcc
0aECSSEtLKTF4GQBG0HS8EAOmr2Fq4vSb7bRBfJb50CvGMY6IWmxIuMBq6JjkbEVlQW0WTttkMQv
wfQ0xCwPS7A9u2Ks2FDmn03WgRcDSzpImEKWEk9mIha9DbLqZMj1stKkfCgiZumRHBlk+HxbzBCe
huDeylLsY5P8q4gz3mcL7LSc5Rd/fcCOCHNskJNDNFQ7yC/WzvNcF6lAsg8MJzn7whFOimFOm4np
ImuKPbtvhk0/hLwXVG8lWpE6rD97p+7vtgw4/brq3c9ORRI015G4FaQbPqO0OVu2OvNZgwUrrY6P
Xg1ZvpdFhGU4rN893eHfqvB880pX1kRahz6ByZ/3xuU3yauxBjoTK4y54985DJsLpBS67khbO+1W
2dG4LWSabdzT5jkawnTM5VRN19wKMiCvEukku3feSc3vEUTe3sCIG2RWMNrGZIvy2Q8XvMOog2hx
IBrHjO8xNGDddt+KZh08LwBPK+SpjeflDyFtMKdF80CYws/gptbeRX+4NYSi7NNGnu2ETqvDtwyZ
ANaUTPcJdfdF1ckjJzaJZ4QmHNif3y0fJyNk1aCp7SPj0NMcMMPMSgutXVv562dHuo9ZwIvEGJ6h
sukL7FN8RKH3kcrp25fEsw+JuuhMYYX0EvsSN5SR8ztOEppcyTJCt8UuysSHUDZiIq9r9smCca6q
zNnThE5V1nuWZ0elh/bVRt27sHY/hRGSH7nHNZmcBk33EE1g953A7Jh7V6iDSQ1TRq88wIRt+3s+
LMVhHBBvJotldm4VA+wmIWnrjmgiCMhjl9KBJKzL383QvGe+CC9c0OElWH9ALPzRBdW471L5mEjF
GzGM5T1Ljkk7cMmINeJ+XtxdH1rfs0mf+xBw1dRW9sEDnezaCB1Lj3FfLLDbVqWTXrM0evDw9NAG
nCdTUXbIiuGGS42F0f2fp+n+W01iGqNdloIHzYp5KriJGs3K0KdQYJh5SRYk1n1OXAZ19Aaq8vpg
YWlPFwptPMdF6qsTLV5KBcdinInpwyTJ9wLCU+z2kkcHmiJK4VJFDgIXb59O6lLnJV7bHJtZz/qf
rSUyer7vbchuc+j4hXER4L6dEVIbqbZWnaprM7a3SELWC8fhaC3iSbGzdvprFZAiu4bEBNKFF+k1
8SE21bX2S7N3SuY3EUDxWVVf/uTPR94NjD8jYavIvkfi6wDeJM4LewbvbHLrIQKYwTo7+0oKnf1G
hgFVa6eTor7MXveYz8EX0jp1zs2rXSyQ80dUvYidgnM6Ua/76m8l234LKdXGxyLWxG1/OhKPUGzj
GRBCbdtHpoLdR6fxBiNbUPuC/vBC2q+h0CsRUTCt5Uylb0rwy1PzxmZQhNY1Xxk0RtFlDMoMB7u/
JuKR7PbmOnKVr6/CH1iUMcX+yq8mVpVtcymoB4t3eh6JNPLRL6PP2bPQqIfvuiRRHYhCuJ1byAci
9G+5LghXYRnV6+xPBK0Wl6BuSQVO2PfVwbCvByJRF9vdpajcfhP5lCM3lX9jYMg7wWZchOFwmUoX
lVwCtEkAMdIzpNMg5+HrmLiGygMlvU1bXZ11LD76maOQ1LSIYAQoyhh66UtICYm4f2st7VVRhYse
ok8e9ojJxis2Fos0LnTAzpzXhyEvHr0aOTAqH9OkrywU0VWW6F00Aea8mcQ/lAQ5UAGhEWS+P7kV
U73oJ2S0d20yxgFZNiDYi0lgr/MT4ZSz6NODwyAEjiydVEYgMKfaxraRpq8itLFN3/Ig+SH+ddrY
CtNSJztvV0WET7olfWcxL4+k4ZAMkmiM7R1wJ6LjMCXnNtKYrAYHSdioctJ6P8XFjxbFuBV+cdc6
Ri+c5OxY8MYhhEDsxhDzJevjU4+qkAAN9eY8+4NTnnCIr2Ir/+80pA9LvdbcFmaTORnAb6qf1IPs
50hgPzLFcbKEbJ08hwA+q4twqYvwNxg3RbRktexKRoStHS98DlHME4GCsRavC7qii9uMCFHqQxYj
kcSNnd/5JA8uThXbXfo/rs9yqTTvyg/t4+hnX71jBzuNaSZI5nfstX+DsgqPWDaxoOG7OTDdunll
9S26lZVq44/TDrMhPyUZg2wN5kouRHVYo11AWJOFwG+biL45fjvaPhvSwhvbAyFKvTtsqZZ+8B7L
ravoF4uifOwnh2QlN+kpCmwig+PmOiAmSfuFyd9wTaXzn2UxCdTrDiYUl46G1Ms1YnkAwftU+H/p
iuwD6WVYftIR3XzG/sP05TW22Ox76X9E4ULEnqs1dAbRUD1Qn43M3IkUJI+PZmY1YLCZRUqdZ5TV
YXlKvjJIfGDlQWqPJwvJMQQEVAj8uENU+tZVwt0kyIMm2IW5nP2r9nikXF886bzyLqJTzkbNAv9+
tNKBsujqltOwJeqLoUKXcz6EXk8Mwcp7ypGu8i+uCwwpRX6aBE5xT0fqFiy/SN4d6zhGAZ1dcbC9
jKgKLgzyAuz3Kq29A4Od/3yX9KVyujVN9AgQ4EA82NkpBSnPg2RMWvGdboCa0gX5AJYMMq7Mt291
V+LCFWlFIh+7hDH+zSI+IUuG0ICwsDLGYm4I+0mbCwYc8MSauLRLY9CE2z3qaVi9pzQYxLWbSPWK
mTzH43wjleAN/usxr6zgFaRansgjKeCvUi/ObhyC5uxmYl+E/AxD4Hg+oaAr8D47Oj3aOS1xbbfM
mXDsVGHRHuKU0zB3WCrIOgVCOZBLjxuq0kT9tK7/GwgusSKFeiJY4wnw+hroOtEMOgNyPLd4pJbH
eQOn69B11sI1VpcHRgcj0+e9NJyOWaKLR72QJ8bksvzoBv/VwSgAVI11hpVxd+cdv9pXHyZPUEE5
WwfRIhz6DsIz7k8rovbu9X9TTM6I7Te3mjq2som1jBtUj4XlP0k0cAzZvMfG43y1uPSKdXrL+Bz4
88SaLnatd+7w7zCb/vNkonZxQItHTPJ29KanhdyqtZf4SvLm1Gb0MQvrXMIXDIAY8ea2zr+sKca9
8wVykdVoEX0Vak0YmpvrpKcPON5U3KNjHpp7v06KmN8T8OP+JmeDg3Z2XCSbcIbCeDpyj6nz0DLY
bJ1fREOLk4euN84INJ4ivFbtw9CqBTluaEgG0acAdjuO4wH2ce4TVCkpP0ZNDxwmPCooFxoTvzPq
RjlW8nKNfbEFNzOwjACFZ1ByMdqcGA8W33BPadPH8hdSom2Uu/2Vjc+2JK9gV7fw4nwziF+kHeQa
LcxjZBWkOCtKDqDAq0WFQU8SnxZn+bLVcE54EjiOlmnvz/Fl8pzqyGSXcF6kTuDdtkzZrpFD0QMI
7jPGFpgYPgZt+e2mllZ3yHDtBYRkRQQbTYI6vGpSEnOoBonl5l7TdsXeankTYx9z96v/sCwBxkfU
AmsYXFlcWt+xlB8Rl1gc2r902vwb8hn6c2VfWR9dE1rnDV7bq26ra6yonaYoX46uJNNvUVsaHot2
L69dEin8/glzzTPJQd2B5rFYeX9nosz3g+qCxzYkRJRaIlzCozs1B5hi5WddbSm5ya0ImujSKAf1
z+gecs4o5q32U2SF94TcgWrGAjOJJQWCgWChSqrrkIQ7vzb0O67mj0Xt2HHAr/rFx9azv3xYdOuO
kMsJtiKj8yzrie4c1QXiO6EYwxDvZ3+CqeRNj0MRd5fJTr+0l1yiOXstKxwkYbLPVU3gNSb2TflP
eKSr92OXXpeesOMerabLIqUM0t/BitAzJTmuY9e+tzEoPR+72TL1d5RQaiuW3n2oE3720q/jW+ws
MaEZUfvL7XzrVDoQzXrFKrWaP6KWJdmE439b1O1pqjOmg2bZ1D2Nlof6dtC4cKqRzW7OcFJm69E4
OgMa/IdB9RXCL7IbVan+OIwYm3dgI8lVKw9OwXhnoYc5LUX+mYwi22nhiGsqBHCNGIjdABVyXw7V
UzHL4EA9yh9j1VcVYCOxbIkyabQfAm9+9FcRaxZDIcHFSS6AU7IXKrxHHc9PSlpwcnC67KCA7ad+
/NJBpA4OtAK77c/tijRZAvBO+J5wX/TTUXtsxwJIm+ghgvdiCsHWFXev2gkjpg+jLoaYA5ZDhCmB
n3WPwUxE0Byh10O5esAUgR1jUUAG2VdsoqFMNt9FFvu3OUsONrid0WEPM6g3S5t1VlVwAzqE95GI
QoIq/fhsvdTZYj8FM5Nq068yBf0X0vkKNfD/K+21WRlawJoLnaPrL5tJVv4REcnv0NAShqq/sLtJ
TuiUExAjS3HK8RqzKOsRbUekbHQlxuElGL3DqOsXxs5oYlVc7DG1xZDcUNINgbhIm4T2jIJpZBLA
jphXyJhyz8fP5bZ14tUyJZKLEzJ6aejdkHmxWiBFh4FB0oCBAjvooiFYs0dwXZK8geuBT4LzYHyr
cNRxyKDbiDO644V9TwgVIXRn/7ElX0IBMU7kT6VXDhr7yMizEDwzjy3QdHJqwsxtekaeAYJLageO
/Tg/pnqS+Gask9tiZiNZJd6HTXHC7t+9iDyX7OnzBwAAFWqQYDvGGkBraOFAEwHZE9UBOdEnNK87
ChgfGV9v7zVQon3bUQVR31/LHJ0X1/bGzcFD2EyR0CSzWKa2fk6nnMMkGZ6qQNSnGSU40a0ngPK/
QCUOJCyR0+uRDFhV0Fc50JHxiM2srfQ1b8U7oNJnZBaXZeUdGO4QnYJX4I3VlnWoF/89mi1iM78i
g13B9eNDFEHAt+bhMbYGYG6oPAImXcZjIe+To0OA2tKjqBnbVcQorJekrNbEUDJ+cbsQFtN7LFOM
41f7yk//hJFCWLkK+tz8FMbNcIDDSL5ZE/+Z6arPeEM75g3tZ9An6CQWQslYnnXO41guB8Ck9mPn
fNmGDek64GwKNR6kjXPa5zt5U+ViHwWk2Rl/ZhNM7Va2hwZO7NYUMGFCTlz8K+O9CQsSKh+qWKuX
oiaujEQ51fre1g6Sz2h01aFbB9RoOdkxLPBoWDOXANmW/7F3JkuSI2eSfhVKnwmKmWE/9MUdvm+x
R2RcIBGZEdj3HU/fH4qHqcqWYcnc50IRsphZcHfAYPar6qfsJUsimz1R46FhCGnN8SaiusAzFs82
jMKVvhB2dDrZi+6WW+pYhHS/2REEyDke9NVkMValVrBj5GHurLJ6NazyhwvA5hZTFJeGtEyMFVxE
ftplwmLvSyOvIVcwX5qp/CmjV6qSCJKm8r3g375Ts/Fh9OxA45YqCwMfjNka95mdPSVZClRkFvM6
TYeJMUpM5KSu30QbP7WjQIaaZYEn8Xn0O/ZigCz22KrRh+ZUstLmvNdfOHnhN5Dijjh6CRkKX50d
aR21dZyBS0XOsbbwsk/Fe5hDt6Gr1WGvZXNH0dvFj76yGxcxLjBAUZIvN935azl7pS3wvDg1fmog
gHYwpnifFuJraiKLtz/T+YZpwDppZ0pf4IuR9tQ9mxKgra1PrAnWU1DG+o46MtvALoEacsNDhX/X
0FYZh2kGiM43xIL3wjkoO/hkTK0AL9NNw5n8mcSgdSq1KiFanlzCmgH+sqagF8dvepgdhEiirUro
Epc1cm/ksnzEHEk4kSCxM8y8LJM+e8Ki3kzRMZ41c6XH3bgrcaTg+8qg9lG95xjyTOXLlvltsas1
PrDQZpDtsXaPCQOjSfOF2itaahom31Qn5RD/COvuWRaatSVktyFuy2iup2IKqHvC4K4pr2bFnrSy
hoecZDW9w+bOqGHpNGpkJhK8SDuE2TehWRRL9L0L07uMqZJyiKv3OhFPLMzGetQawtERP5ih09hY
5CYldi3FjIk1kzjEPoAZhlsOcFI2EFUJQIFbRvMIvyePp/E2BDqxUBjolJUhOs42hyA3/Rjq6ji6
pP4RU05TZx/apHq30XuscHiFHPMoZMccMySqH7MdoMrN8vIeY31n/wqSZk0uV5KYoAO8wN7BFcFD
cPAu1CV7pZGuCIul20nzxaXzPjo07zUEx3CfhFCdGAq5mIC2EdZ3iu1wl4o14WacAU0ybntYb4U0
gN7fK8OEYeu8MaMhSe5AFFsWcNeovTD40VH947lpw2X2qFcrswA6KZKq9gwfFVSV4C4xa6cH2Q5r
v7SbvetWOW48YseIszCTWk4+Y4T4iuSTiJpohyKEo8v5MUmXqgyMoEDXtXNEMSrNrttyVo9QlxN8
mXtNFI9kGF8B5h7Jw8GICgzQUNqT3sZ0cdQw/erZY0RrrC3mYtjJyqOvFe9+7jegf2lrovwbHzUh
ZH5mXiCiUl5X59/W1K7jJnM3wF3pVWS8s+vpZzjoevoUYkfaSVV+s27YuO413jRYLTylfwO6ITuu
zwzdKDfwbFqnXHOJntdbwLITAW2O9vVn6SrNs2PHhtNEcEnB1rJSTW2rsM13Pfwo7ObdBndGsR8L
3v1TYbApSYJXp947ZOy3btb9ikp5bqP5ywEoQbsI21VC1VthMZ3v4NKvJXiCdRa1W/ZC7xbyHI2G
QBQMzkQuKPKr1j10rRsSi9eQahnAhOI5C1qayf5o3PKjXVcx/oomfImpPd5T4nXSCyM/JEPG11Wy
15207EOXP4Ic07YGvXRtU/OpDRaGZ6vajtRh7/SSrVb4rMnuaW7IhUkiKinyCaNfml7LTj/7CTOp
fFLPtR9SvlL1zVMsx4DS1wjTiRUs9qZxVRkgG6igTj2a4pbAXLPEpyB0KNY0N4vOEtuhTaR3Qy1s
/cM0ImCic7WTTvRGxtPv0v48ZBgP4M3rW57ZAWyranQXW4GDBk3zmnALysFF/8Fg49NNN4OVSyLB
BrefDskDFHvYjmtV1K8YKZrD0Gmv8dganp63AKcSuYWiyrf57Pj2Z450WSpdXKc+uSSNXu/pfsFG
keWbcbJZaDKar0wMnjUZGLqC8jWLy3xv1vhRSUGybPgHNyrFBd+cHfcvcREyiYxoFKM0YdgZenep
CnwdGOh/Rob5bdUODV8Q1rd2Wd8EbA5L10hGWP0FXQEzL7Fbg1w6R/J1bDkWdPcCtliMDozeFdA0
Cs8BtHSap1hSMvsbJ3B/M7HN2bWCL51zEkGJO4KeOtQm7vVIzV+x2/3iE8VA7TS+dUwjQYursQg5
aqYEzoGPB4IYGIiErk6NlSwZBYW92R3GLHughifctvQGYZF0Gd+NcPlkcjKWVGFNoTo5lkgrLlrH
qVBNEVRD8UKpjuVVafCzr1zjkmBhynyqcaAK/mgzPBaxTgyXQmJMQ61J0DPuvooYSXyK1JkD/lsO
mXXN9Ctea5r9Siqzygq8G/kM/rt4NUT+EHC8PrLGe7Qt9uxriceVQNAm1Eito5uqfi7r7QQ09Eje
6KAFuol8xLZBudmP3p6chz/+I8J7LWdGRGPTbUnjeJQCMiBLf6YT9UqG9A1GDKwbAO/Z1FcsBFGi
PXbSMfddCLUjaanwxQ/wmAbalbqKmYFjmYA10Nk2RhRW1xzBGdnp2hH+CNy4pGdaLB78oL4fte6g
GBlu/BT9zWQucWpDigRVoaGIs0nCSiQp425soiAmkRjRLrDL8hCBUFxXyN9xGr3Wqs5uvd3+Mv1X
mRB2ozoLv+aMByICAssOHDZNg2Vrl3HKXZkiavGX5w+in75Zap0LyOf3pAEfpilCkxSm7ntm7lXh
uwfd6XZ1zM4lVll8X6TZYW55z2VArLd1FJ5MWfvwDmhhxA+FbxLYC2HVaie0/BOWs89aHu6Jo230
DFZCIQe8BIVdeqwo3SYs7IdqaD55nzt4PjQ/OCdNEZ6pUaAIoBfEuQf9A8N9dtRH/zAieFpj4JLg
Msm2CwCpCSrFmsRhxeuC/cSgFT0b9hETYdd4Zhe2OzivgHJH+mFHV7BVL2gRKQr6oGeEKd2sLsGB
aBEwyLzbk+V/zwPwu/GM5MlGgF5Aif9p7Dm6fhoYJ28gJ3j/pR0b0ZAI05R+xH30vuj15JUR1joe
lAeF+YhkUkv4Ima0bObZvBmIZHtj3w2kWJNyEwYUPuLs/FnHT4nQGb5w9vaIGGqacVZJ7AmJ3ysq
UrByDgZXyZkgMqLmrqdOpA7rnR4XLQ1kyXmaEAtaUo3gmxqXaZT5ErRvRmgRzgma4B6IsYtxbwE/
BNpeh1N/qGkWXFYfvbk2uv8aZNVwQpoUu2l2vlyF2i4E92U8MDO3ILUl+vSktT0DP+iru9DxrxxM
r2ENpghsLASYaT7ZVv3mN9OA0yC293Hqv3W0dAO87l51wtfbJd5g5IigdcaoyVJRcq5RTEiGoR0x
eGLIdO+SFTgb6RNC3n2VtvVamjr7Y90r2+LL0Srzyjv/HqRyz2lLsvhN3c13IxCMsU3TI/e7PXft
vZaSwwnJaFV6pTYDCmRHLm1Vp4t1NuedWmpa8pKKaQ+uQQWQgVrHBrFvyHsSBQqrJVCXyYmW+kr/
WFmPiTP6F93xb7KsK+J0WnShji3c5EOWrKOmCNZdCbLFJntxp8Qr2GqX/TpyVx3jqUjYSd25HTfD
MidSTWDuMsq4j5LNM3oIykaFoNhljnFTUUP0YPzsCpHuHb5FTIQdsUZ+4lOA9Zi7JNMxCfhqP4Wb
rGsiz8AR2kOLB9cKF3Em9XBXXkbLTu7b5MrWfqFE6/NTaBUfOkigwiJXbpfMncakoj4BJwkRf/LS
fvytaCOlna30Kondzq87SS8pLxrqaTM01SekLYfZVB56ETalwLw43RLFlVjYNeGGp1bvtbMsp1ta
+WrjzNGDZuUvlY/cOQ9dfh1Nmphd/QdcW3dbzfj4eVV9MXZYqufGwwy4oK6wizhMwvtk2uOcxTyN
MWbvztOXwSZpl0tyyZsAL+8KO1vkDaVegEOpJfCkFbDGbeKkH7xG3LUxoZmzReXEiemXAxI1EGN8
8ovyZ6dz8+dsL8fUveYYXMUQTB4BOJzKeX83J6mzWfALI5w6hs/wg2TT4FljcDSVSbydpuo10cNF
KsFkVwRij8GMLUxGRSo09S2QBT4A7zLPF4qBVKAThPVltwHK/hhO+Kkbv+k3SiO3MPp71Kd+38n5
qZXwvvUlehMHX71Yyu784WU0G+gCvo0+5qwcJ4xYzcw79iMYGItVWuhv2LeHfUtu1Jvr5kP0rIg8
csdmQcV0lr0Js4gAALyubWexnwexVp6IxXrSze9QVLOrGo3ziPNmjROPBzmotyMnSyqH2RckQ0+M
2vJf/ZKCohy3AxiCbjdoeLaiPmOZhG6c2kxpLRpOO2mJAwSk/RyGi2KAclLUjHHYFVwEKfFc91pB
dSLb1mhfazO21GLmdiXb6cg2hvoGCr0xYeEm6a2SPyGRTRjwNHdvTNUHZk0w+vBLsRuwuVRVcAQy
h6jYtHf5ENib3Mig4qH1T114l/b582D6G5pGxls83oMq5QektxjDfX6IzHGiNX7w/MjYwjwubowX
Yia/HVi0dF+TTfPadHGTNIg1Wp/+4imLPQvFAk2mNw8ixsgRtUA1xnL6dhgSlTTIYlcxor0rk3NO
KwnaSjhgegZDZGnYt3XGq0Lzq80oC8lRYZKrMSuancmtymKyQWCClMux4IoUcgcTCi28s73RxNOo
sBMo5yMpIJ/3ZX1JjZnNnoHdeK5xk5YhTPgp3ZHvSo923X2TAQoPWEBPROXjo3ioUphkvY16FEXW
r07k8YHKgnIF2yPZEf1Xr64udoaowo9GkmUI21eOxS1CxnIarLrwFLkc5EfertSL85RU7oGEQyIA
WMvOJMYv6R+XLSQkwbjIiYqNFoo32xU3EDoPSXTDLx7ukUwSUEPUFIxq9MK4tw5KmWubJOJpUPj9
UnDcNaejfuaKOtwns9/RUSX7b1sCm3DIOa+N8tpGY7U1fTYesYVm3duQZvVl59rG1I1iXPIaBU+Q
1yj+QuupUZBAImR4rznaekcK350SPHBxvQ1qfALK1hWp6hpYtVn2Kz+bKLPo6CLwEUlrFdBE5DJT
dsrM9VSMhtbSfONh/FkD0MOm2o6HfnE7+RKMST/tSXlInoiu8OjTXmcylvwWxEm0U0YJ7SWy4FQw
kCXAUTjUUcMfhJIbsC2Kfia+BnhCUngVmaA6mCT6gEGasl23mFg93JLVcWo1tmRkGMWksUo3XLJg
iIWczZu0rfx6HaBPEcRDUoA7BK7XxSYS+PGORuHcC5lFYBpgCJYPv3hOvuwmy04ywWEeQrAPZLVX
mb/nOfwZ6rHaYgHc8UrC06wQXsoaEadIdHm2B2wNCtLILHRr3Zyq1m0fqyz7hofr7K1OfAY2Z9x6
klh54XQbiQV8ZfH7uPb8KzNd/EuFdherava6CUd4QcF74ejiErkMFX1M7egWkcYeetyj77PjMp0M
o1r5PvAq3sHqhF08EWjkv2A8ulR6SxN50V1toMprVWGKz52m36UYaHL4OCHZe3ZjYt3TOLp2coJj
HbpAVuYsuiZ5FJdKiqGx7XU3z5t8pmmCSo3+IG0SdqE8jzBBj3oeSNDAUuxzc/4sqf3cRX6NNyB6
rtH5NpWh1EZ1yJhzW+BVta/sKrSj0pg6OezvD5M+b9rwK5/q8VM0iJvgm1ZNwRcUzAaV6oV94/cA
b0vwlFc62fuszwYKbPObXpY1UDrry06Dch8CuwvclvS/Ik+s4WsHGIJYHaJ2ZVYlGe43nFZpzXIS
lV4NsFu0mZhQMhabJqJIkr3NZK/3YH0pbB4nnEHh9CxL8TxIZpwzirAO0XzF5TCv1meMWkV4iAcq
JyKN/HQR9OdG/tSyHpSLzpwumBkm2sn8pZG29chfcirVOy+rqm5TixHsh0l8v+i/e5CmJBjMvcJ3
z1r87fgY2rFeY6uY6ZeFQ068LGrX+OwEfRiVviaeSy6CDRg0jI1q/XaH/9xZ+QOxVpEANqHWyPbg
yT11XX7vui0Lqj1+yh6nH7LGraurePPP2o5Lx04cKthE8laN/BYkWhye4xpHzsDYB68RrlNpfkYS
D1TU4ukOC/cwa4EXthzrZwNDFqcdSjvc4GOgoeK+kAFzitl8mHVsX0U3nWKjGzmIsa+sJss+mkHI
/33BaOL0xAJJgq3D+MbQ0Z6sT0efky1ORg0JJMLeucyfQifn1Vexrem3I4n4Y0poIodQuw3D5HWe
m0VpcLcjN2xVgpdqa19fO6kN6rzDBUiXTb/nSNQZP4uanHk05CTsjScA4ryvzR7IVzmF+3+Wlkrc
TObBnswzktCUL6W4i2ZhJrjVeACbkbWqM+gTK8YngpnXTGXe0tXH41R89ybDsyiF5WGOwJKE0RKR
yd2L8pP3wmTLgDH+kI3GY4qFfJt2pOCBDB5qtjTbTHNeOTHf4Yt0vSmsU6Lf3YNFt18lzPsZ4X7F
+AYhh+xim9Rim9k2dc+1cwM28JOYGvkCLXy3wlo/WVa219DJPRee38aBPYPSxhoJwnSFZIsWYCYv
wgqwPrpin0bO3hxT7qWk4X+KQWf4KflTbkpvZstL+JYs8Qzje45zrq/AIWUKQOPmZi7yjeuoB79J
7U2H4ZPjBOURWf5WBpC6jNzNvMlhnNdaD0Ixx8FxonNBNFaofLprmPSvgODK05y9VIH5I2x8Wjkl
nTex+TgEfXhJ8b9gzFuQYvESDG+X2TmJZl1onsUwVLXEbJKgfuVsK06ZMJ7sVsuP44D/yO1+aFj7
8b3pI6bxSj6oBmp6I1eiy280Q0P6HrsbBvxnqAM6ZQHJR91+NxTSOFrz3hEaxrCEEomxDjRwHl3q
uLkfoPAzjGN6xIoFatPcD5gACIRES13FbUB9Zq2AnqG9MDSgLaTTXtp6fB4NBifSjKi1q1TJyPaW
0h+9ylRt3oV2+5AX6cXo2Mcrt+/XOQynzT9J2/oSHGu8ry1gDdjTPu1lbA7dO1hBxyBjoyyYS/DP
ZKBZXtpZuHpeLKuPYLyxYRoFNBqHOY0cZ6TKRC3B7gDCAoYYWXdqbQ0+tINR8kJ14/pgieA8l/3V
15S4dsI9Oe380OrFjz4hyRm0Wx1vCz1OUPJqBim+ou4EIaA8LBp322rjw9SY18nlRv1nEzbMv/08
3KOKnoG20rA11vj/9AxHB+91lMO9rxtIP/PiN42xkZvdGVJqum5izdr8f3z5dPj13/8ldWDe//fq
Zg4VXx//+PWV/uNa1O0Xlc054sT/+ZP/BpjDMv+XZZNpNm2lLGCgNKQOX03LX6+Mf0mqk3VLGQxr
zIVSnvM3hf/9X4b+LyEsoTsWf8yWhkNtKq/m5R/p9r8s9vm2EKYlgS0axv8TwPy3VlxHOVyb7eqE
KYS58NDBm/+p4BeAXtQ0TVneSUv5B6MIH/rMHR4oZEIKGdk+O+o6NuV8wreTXRvhQIkQyRH+JCMZ
5IyrIw5ghefldc3ckXgh+++liEMjoIthPHDrZkOzwrMj42xFpBhvmkMNJSV1Z3au93gT+5MRTW/2
RPWXqoz3qQr3nHtn8vf+S52My2h+OvPGoXZWbWeG2BsjFs9zUB4AT5JHG8Pi5jRU8AZTTgVhZIKn
melf6oCHLIH5wsrucPJyrEqbBz/q9O0YY92KtfCnP9KIHo9yPEZOnf1NM6/6rSR7+W5dRtTMjwy+
Y9Ncmnv/9N3GfWENI3OvuwZQiedUbL1R1SlKpXgzgVPqcXaIGIef47yFUBo3+q5u7A6m2Hh2DeC2
Xehc7MLntKn3DwZ1eutSI01hBdWtLH5VcTbD8CSDWUyT96c7+e7fBb3/yLvsrojytuFe/K23949r
p2fQNITpmLotfsPaj5oztfiKyrtS/4MvV4D1QiJk7y9vtE/AVwnATzg6S4qt0nzXWpmNdfenjl9n
HTEzO2DieYEqZu7/5sp+A+7/cWXLBUF5EK4NeP+v32rbRpiG7aqij9mP1oCjOJrDFWAsSwI2ylqa
dur5lEbYfKQTPJFuH3f+DFvTNVBZ//PF8LD9hf7PxTiC052pS2EZrm781oNukXcNyymlcofMI9ql
g5mtB7FJ3vlJcfoWZs88yZnKHZoVu3zGiRau1sjmNvDj5mJRQURlYsLLqaiG+6r6GIaaDH9hVzhe
Hzlu1SCuQ20TFPhHyyQzoZenr1nTmRsgaduaoMMh5QiJKcI6mKP21Y/iuyEU17mGIqgwj7tK+8Rk
a6/ZLLWeGVvtJnXwsOnF/FpN47Qp5gQZewxe/vN3Yy6f/d931rJ42g63D3tDfihTuq5t/PHd/en2
H6qoNlK7jO6TCWo2dX5T8Yx5Ema1K7ZmhbCoMCUT0AORzUQlaa0dVuKPzmTW5O8Aw6GY9UtUuLkU
ZXJZYoRNvyKOdRZQnbI5uycp8WVYDPISW12rJnhxm+BqifSSz9OW5XdlgULFUJtvhzb8EfryVEXa
06Cpa1IUx8zVLjNFJeMCyjKta9YDrphsFa1bu3ubrXHjM0/nZ+ooO7HBOlRgxrJtZ2T3xM2faLEs
5nJHPoMcqldmdvc3N5f8ff3QhWWzxPPdSd0h9rQ8CX/6AhsgwHE+6c49W0zDEQhZIQF8kYzAghZ7
OA7I02gE8GCT2vZqk8EvDqTei3USH43zd2Xey4P1599TJzptuJKuO0cZDlzyv15OMReAvSuH8rZC
u0kwgCtmyv6+a5MPfehi2Esc1igsVIRf21cR+jSu4X+wGnhStSZN+oyha/SQKnFl4baxKdX5z7ec
vlzC75fo0EVtcO8hWtq/rQ1DVlDt2w7pHZk/RHADOoyf4/Koy/xEsfwEYHLZdQ6ug/2awxqu1J0z
qtegDbIz2Whz77dteqlJSFWEWa4i6rSV3/BUR8J96VSztab4rabCfAsbHG/HGNEXDaWqHdkA+pX2
bjT6hl0ohvg2gTNrIQRlkYg2fs8MWaZjess0ePGmNoq/W7J/f95YEOm2h6BjuIJtg77cTn+6XYw6
lWbCeOzOJ5mnRYlxjahZwn+CmEhWdiPZCG/Z/1Fwr38jLkO7B99BG9MxGiq1kpmeUVbEwqSXlJCY
HGXQF+PH//wTyf91FynhKv6wYUhWLymWDcmfrhL+OHyHzI/uWt+/q+OO9ukuPA9kRFccjNDbM+Yl
kiSrmtN6gyHzR9+TBWOU/svOQBbbkyDIhusNEypIHPKS4m+eu2VH9te7CCyeI+hzMXWXchnntz3R
KFwuglb0O1qHCSQDPDgY1Wy++cWvUAu+IG6gMJvazlAc/FaMYuEt8pFgKVYefZvmc2xwjUE5AQPW
hjtSjhIOaBFttRIvqNKefGv6jnrjG9pNsK40IwEP2q//8xfNhO9/rR98DhYPV7IMS4OdyF+/ahzS
k0Kwie/MFiRfbyK7Q/a+Ki2xrxbz7ak0qKcyxHhHpOtOagjnVZi9BRBictFnhzYXeIUzErVDVSAS
U6ztO7x8fKbn+DeAikawFGixOzZwktemURP/mcUtwFpSthbdCjo5TX+0wpPRJa8M/HKY5lZ9cBQP
kOGWiGQqDzY13sRhptLYJKbFGTj6mc7tO3DI5hqq7BmuN+ixrnrLQ+s4JTXIfUxvK26LHrcrrwOZ
MKTrE7mLNAxqI6a+w2RoABSn8IK8fg9yngBCHozXhBBkS5j6bHWScbCo7XPwTFNIsLN1Zrh+7EVj
Zp4b2qg8l9GU1bLFqt3mB50ACLZN43tBgvW5GMhv+dCoNxAU85NRSrps87H1csu+izjq4cntn0q5
yMB0rm6bSKIBJ/G+ym3zLTyOjkEerQ2GSwO4yclS6tM6+S761DpNtUGOXmEQ1wZ2T8XwIkz9gjpu
38dsn8EWjTsZI+nUUfGSdSCf9Xrub0a/DeNSXQJhm8jO0CKcklAExZg3Res3eC4OoLcG9PdKKhnu
ZsRxj4MGWrzWZRe6IEnR8qsyyiR0oVnOO8tMvinxYhZF2/KJjKtZGtWuT6JLGrgOqkjxkFhxc6sU
wkiPEX2S5UtvfoJXy8+GnJkZ4cS5w8t/toa6WXcWe6SqStdaG9WPZVddIk1sp6wi8lzz1Iu4Gmle
ZbyWGp3ygOl2uB+wBTa18ZnY9WHMw/FiutlrXw94FELV3Bze2SKuSZwq5xufKXxik95cHbRvMjdE
5Ar+xaVdBscE1cwLSxqajEATGyvwPya/86I8SG8MI8iKFrq5QSW/+krH69F26aUnjVoWBQFt2l+9
SRefdLk4p5yUMHxt/5px5N8xNdyrghBQNxaHhqPefa7rnwA7VrYps7M8hCNqnC96k0KAwGAeQN2H
YTf6sa2Mm96zvJRz+8g38FyCVzw1XXN1lU1/LRRCQIcphKWfoxtSliSYXvI+kxvF49e78/ikb/uI
v91okq+2sX7yyXZ+Slg80rGGdtlnlB0nqz9l+XSygwFMRmjeOnuIzg1ldDFmTQahya2ZmoNAILGo
UCbNjfnFFTXkoScF4mhvd0wkVOucZI3Kn5pspUaDKu0JWb7iq15xit26mDkyjSzdCKT3IOcr9u5D
mFf2iXxsDamNpKzhaoDOmAdvNJ5iAtjC23Zp1e303KEZA4iw4KtaObMOB6s6uoPgnEFzJGnQDHiV
E+9SWI95A5/A/yiNuj8W0v1p6mI6kvuO8DAmu1kO02aphvFElh3SAvxZ2Ic0vsDVkuQ5HT0qD26W
3MxZp2QjTrddOXXrngmhMzE7kVH9XIiSxhvGTakYL1Wss2xlw7c5gKQb+VRG3H+xPrLqGwY+rch+
5u+DCSkovHJvXaQW0STYpnDDd0qrWmJT4g3CPUpenD824LhbFWW7SVEIE32YFfaLIV08bIB3MXXw
Oewcsnxob+4TAxiQNACIJqSbVg7GJCpVGa5GtVZvQs1+y8gMiYrKGntqcnAk8il3ApQBTW/wKt1H
E8PrQERvAWNyTwNgAqTzsWm7D4GpK/KzJUvplcSzEPdQcO3ZSNYSzwXAhFXnjDckSgAybPFXUmQf
vRJPhYzKrSrDN7jN2JcrmrcS2ELlQMtePSrAjbQlJwsuwGR0znrVvBX0digVMEHvpycOjQ4z2HU2
uMampxxt0xTO1WH26lk6CEtevENybNviVhfzAXNRhqUIQVQQcWbNdGBCNggBJfYZrbce2bVSqY1t
SpKppoYTgl2Sjd+uZjJNB1xuKL7C0CDtEovo3onJFOttA4sjfE3Ql+Dp1MfETuoVXGpSnfqRfjQA
nLQAWFZOJIR10aUb0ZOSV6aP+2YY8FMPqCMckVdiYpwXOjSLckZENK+31kAgWZTQdYWLfJ0oYrXK
fQ2DSR7TCo9dzphw1KKjPyq5HhSbAqc3H/XMPavRvPUExA7zCGgHu3Xh0TmLvSkBYWdDidVbQs1U
Z35no3uXTTMBzb6EDOATbfPdLYmhYGV6TkE82A/172km8tcCBnbinhej9p6zrq/x14drTDBHP3UK
T3Y0K/VAgpaEMSIwQCNl08fBireCD8qUmiITEGAapkBsgrqEf9/rG0Fv5CamYETpYUx6kVN4J8iY
zxFbizhct3p9P2X4H+MKc1A5eZoOMbXyi+dgTp61jiYcP55uWB3wHCx49tikxSs71mmINtZmIwJX
++AzUxLQf1eKXCexS1jZbSpYpEFCRBNFIa2L074zydNW8xpUgLjUY8ZVmP2PMSODms0MVeQ0vZkF
78cpN27ObD3AKWTIyxQe58qwhoxytJzI2OAO39umjrsJSbaePl1gDi0xbwsKxIp9GzojZaewOxKI
Sp9dRCMNiWN6iyrTmxr7OU9qxiXffOHqWFqZu+r+qFjSd103u3uLXxgzx0LYNZU8pNB10tGhfLNX
6dZ1tfCkLaiRuopmHmjjfkY8R9T+zlnaSHQZxbbCbLyvCGLjIb8PBAaIP7br0B3vZq12iaYBBlTz
1XT1Zgv8EIti0I/4iqP63MV3FuurHTg7RkxQphuCiTjQiRCTYBnqrnoIBvp5kmDu15nqfTyEGEYq
vm2NINO5L8d3u7cyGt8T0BJl8KYCa3gbat6EzeB81i25CZF0x3nw+d5LdoVbcFWQVxedByBe+4jJ
pdoS5fO3QdbjtFQjqy3Wr3vNIgSjl8FNZqV2HXKhuBmxwJRWaN3CNn3Jhll/idkUHimdmBrOBTkv
/2so2mzPHng+Yu0A11trP60S8doSvfZGayrpY/wx125JX1SYRDifmu9tl5t7ndU21nh8U5foXeTM
D0pj4C5y+aAZ9tkijvPi2kTYJckfJwu9gDaMU11M99y9Fw4THDwWWkQx5w+RA7K508p01YqQWU+7
naK02XANsFCXyWlB8Z5ndSh5uQUOjweSJtrkBXq3fmBc/x3MerwNM1JaIecMOSNbVQxODVoGoIbg
SAya74FF5WEYMEDijeD29sOXyQVyYJ9blNOfKcZg5DmgLr72xFEJWluO1dDHwPpK2p0cQmgY96AM
CSt1tAtUxXxztUMdsw2dWmIlRWh/p/KbajTqJ6O52ILBD70i2XczlSNtCNylDfodbmF1mrWBTUc2
bKecxiCzXRB/xaAYLY1YekFQ7tP6MS3n6eYmEbEUd3aORKBNLBIcpKcajPiE56fGbUFSwtCOfcyK
iMuXvYMkQtE68QWZur+RTJ52Bl0tt2nIFg3GG1mHdqVdUNSlLUjwIdpZPmdX9hV40RPghYaWfli5
tcFwHmxKJ63Yvqsv1RlAIWv/EdcdbqJWVlt7PyWduAgbexHWczrdUn1cO52o73J7PomgSC6UtbuH
aICLlrKXXwM1QVIvquncgec4zsCgad9LHnpLheuqTb9zKwqYUAfBg1HM04qxL3RRVdm7YC6BwBry
mvYNIVu2X11ZDAfVmTAQUizdQw9iNx05FVuBurk+nh0qLMen/+HoPJbbRqIo+kWoaqCBBrAlCWZS
0QreoGRLbuScv34OZjHeTFmWRKD7hXvPXRzyADpJqQk0Hr4OvBrPnap7auVnJ81NmPbMh/7vp8QQ
fdSRmg+IXTUSAD7rqTONN2MpXu3IuEvZi0fjGOpyJPiKqk3PPs4lt9xjiq/7+rjgP3gR3nQiPhX4
g4rSsy7NQzFAefDs6Jbo4mZlShwFb/g+cznggOmXJA5bv5BExTtssFz+koARE3/WlmBSh1wM1EgW
aWgP1WiwzWtNAd4YSnycKyj4zZJx+w/lmTnYg2w5bBQ3nJcJtbfQt43WJN7c8K+FXviCH/DSV1G7
KwfSISqnhKCC4OyYDVmQO0VGoI8p97Y309nOX9yw1I6sW3vkkmyuRwT0SlfxOV/RhVHhzvvYnIh2
8+ruGI/OSwNuBg1gT4VZOXNgttkDcAZ54orhL6NRYhX8oIgrDWnX9lS2X6OdMfTplkPd5Pcyr77W
wnXO8V97JbxfGYcbk7lYYbhyh8mW68/U2PmgTZEQvpdxxNi2Vr9Jt4oR8MZ/XL6hDYXvN+IUBHgd
xnz0ecPGl9fe1x/LavbWsUP4iB+fkPbv0EKws805KOOQItnHYuF2EABkx3eLkYX+rlBnq7JakOs5
4hOfBcj6qgiCJ9tKQJeJnzpvmo8Ka/oJwVlzm2b0YOx9231UYgXGKhbx98Ty18TC+Z6Spg5wHcY4
7JFHanoB/JigG4u00J2d4pYzQ1hh0mZJ02BlrTv7NPUryyClzelrL9o543ulvyeH4FBbJNk1Msd3
uHvRyZ+8565wiiAjnWm7qqaNqSyfON+2hBIaT6BRymhAzNiPR1dSiLGbQow7oUQDpX8p52ZrpBBc
yGD4vzXM3OZ1oGDdJtRgARQpHPye/cVNOQSMLuatiaa7gAPj8AMnVnnCYLLprYidlsqmC45AFWhj
uRay5iTPwvTaDvNlQVP9jJNl3vmthzl8rBgE+PX7BHSfnOD06BSDcRi6/xPbpPGSd2SxMs9iWBjW
jAOSqL/nKf23HSFWi+poO6C130QTLapiTrMlcao9q8m+N65dPi+xTshN870g8ZuA7JJwr7B7bh1a
zwc7VAAx0M0PvWhfPA9mm5m5N/gzRM5OEF8UsPHTkFZoVHvvuU/SnzEpsftbzrxfUFHhBRCPI1Ku
wzTjuNV0TAgRp+dBVjnhq5z6Y+K2ex31tCg1IrHs97K47aGqqjXZQYigJUEB5jvdmm7JL2GHX29s
Xdd7ryLybjIK+WjF5afRuSbPzBgHXhs9Z243fVzMzm0vgzaeyJR66PAjXhzIAUVfy1PazSvxQ9MK
ZU54bmT6wKgZ+WgT/TbqJ9bqhHrZeXhyZvPe6am8QxwRm9aEgEPP3ey80EerO0OVYNFf39KFt9Xg
sWV/i0bORh/SdctTpHpaVbtmGZ8md8fFqIf6sQW4U0WHuMmwTnCT6xE+HVxmeqJQQN6tRf+G5qTa
ldSWWBQgI1RufP3/j6ptcBxAC2FWD2Xg/z/o88IAM+hP603NRRoKLl+aP5NkYl547oFOVvJXneCQ
nzQw/wq04TI6T1yWKOnZD22JKMDg78fNsY7RKXjJ+ECYRo0vg/wD7M7eoaxASFLe3rucSzWU7FZC
Yxye1nHDrFv7ZNXdPgO/W4yVcx/SHrX7UqpjobqjymsyMYfO2KspyS5YWWrEh1xM1hLP+6Zs26e8
vkacG2R4AEUFnzheGxuDZcT+geA8pFgEchzGmZS8OI+DakjAM5C5gw+0flCzwyp5mtpd7tVlUJqT
vKzp7ToSBR1vZ1451TpbqoseU4jJ/dgdB6A4TAGYVA0eLKgW90Dhp1fEeHuaiz//G5X//0MiFWND
/OIUfAb2jwatmjayfoLSkgStUb12CNhOblyLE+KuA8zJ9ikj1i1LZnnvxHvX4fSH7g2ZYYb23gFl
IwuefA/UWWimu/Ld4H+g4A3/cYjkl7DPIYpn31ZctzcxxhG/pCajUWSqWhy4N+dvQt6gMBb8cDZS
tJ298jspy7aKzh4Yr45P0s1/YKYTeRTV2S9rxgyMXwCf31S+GE0Le2MRtAWLGi84WLP+birX56Se
/SvO0apo3bsxeCM5aUsL4NZ+Ac+UAblkBKF0VyOBXi+ZX1AxbzjL/I8mygDGkzQkoxcdVzeFUnbn
Ri7K5Lx/Si2hzmP12FSGOAKJQ9ZsD7eCv/TilDx2SIpwOFfERKFrPUDKfpv4zxKaYc264ihthOez
a/4YDmTFZj1dHNGTUpe3eCX1tbHoEP5fjM4TfLuFKCW4ZlUbkAyvTww7mFLeCNoW2ybqnOPCKeex
WgnCMLvAycPDHGI3zZpM7yNq+5Yj9tzPBYZDPGj7KWIVXQIx0BqgmmuxPR/g5G1tVyXb3jGJsm6I
y/Gxs6X5qjrqBQ5G9h4rte2NfOhi21TQ4cpx+FDkF1/tQu4NtEEfQ2kw1YfQUON4qGaa6FyOrIYY
mu8mP/2wG2WeU5aOWAVNhsEq/+WHMc5J8FFBs+CEYSzFTW+DdatqBIWFbSzHudmbk41l1XVu2rFu
WDFxSuK7SJAE5gQb2qkM/NRB3uxWx7oCBDOg5zJ7hKp1qs+iHfU265sA5NZKwIfH3rjFK6Y9Vgti
IH1szeEUHgRqEwCYSQ5BYMXJWdW+2C2FuWM0KXbk6jboVtu/yUSwmc0QHqiD+RklhRU0yXgpGsc6
2jaX47BkMyT4GT7SZOl9L9279ATaf9d9dJqGbWjERzg2/he8HFxoipyY0UwflbLeS5qWnVQOH6Eh
HhaTSbJOa+gkU/zaDOOXsObb4oOY7hP0vv3wBzQQ1/HMZJBMTO1gDh1kTxMk7ftUmjs1qOkmJOPo
JgraELIDzBRIfgjMFpkGbl81p27wiauC9qIiDye7qv4mAH6swXgn0G3raRI2VDvUB9/Wv5hy+YG3
4iLQpnB/A/cBv6aMPg5kog0kbPGvnnXDNiw5X0bJPsxq1Jt26MQLJo6JzVKkZmVVyi3brvIh7Dg0
Q/PmzhNZemUkn72omrBQ+ucJpeeZXPKL4UOYBVaGdBEdbeXEV5+LgwlQ8mVXrdq4kQr54fqbW+Et
dcP6iLlpBEVjcD0OTKZy333xTLns/cJeWDs3P/5Y9ns8DRhUkVAzSan/asQmgS/7O4ZuHOUVYjXf
EGqHnIBINzt9M+y3cSy6i2NwqQgv29OTFOgg/e3kQcxdmeJMtMbPUPeMgQooX4UzF7sC5PN27qE/
gfIAQ2sFU2+R5uSYLUar7uh17oWeuN0vQ/3TYywi1AC94DDzNb0QvWJr4/saOGVTIhXhxyDxhptZ
1/VvX1b3JDfioF1KghmL58XRCCWoN+2lJ0LDrBjFt+ipOz/8yXJF4oy7tw2wHREvIk74e0b4wjYc
1wgSEM1kNfyzEUtCmnHps3PKg67HKCMlDbrOgJ9PBCRunJpAWBElGLT7wdklNTE3Q5u0O9ChD73T
v+RUKOiJMfsQff4YZVvRRYDZ8/LEs4n+E/opwxTyvoVtYn6dfkCuXrzWL06EsxH9uBJzKHLJy5KR
+O2RRmqU+vF/kW5sDWdmxmylZ5to2oGQRdcsdpJDOFhy81+yWrRVQegyhBh6GurO1YBRuyRuG7Qe
jrA+Q5Y0hEES2FvYI8OKCXOlbjSyIQIE81OEqWhLZEdFYkP2wj+oN9M8NPvKJu5K6Z4nrMQK79jP
ZskZWU2qIkt1AdIxQKubxE+YGcbBpxrUIDWC0YUzwWsI1tCEOmHae6haM2MW928htbVrTfIEW9aa
uP8WFu0GM8tC1S6wsnyPCOVOKCUduVm/1CzjCyefjl6GvatiS7mJSnW1yKnfmhDEQpOgIlPCHHLx
vvRnA964yPJfKarWDf1BBDKLKDJLney8ZXUftMXac8WQnss5eqlHKojVSUbAxd6vW6ZpY6A7uVId
xKXA1ZR4AFQi9a+2dXosCBWBOsaA3X9QhJFsNrjO9LaxKm9fAvpAxP/pmE9I9qK9N/GlI69lwRDH
8b0zWPREM5YnK0JKTCQfiqi4N/dysv1DF2FEIQUYntEoybgelltu6Jca45eBBfjDT7Ob8f/c2drW
BaL7lNdlsXN8t9BfyHLgIDHxFBAzcAA8Bc1eg3lPJlDvSRpeMF6BcIjw34m6uaPYfU2UNQToCpNt
xLBUzXBdFxJ6ODr4G6gBbI/pSwtTjAxii9KYl2J5iQC8MHgkuAhsKi1xFr2OS4GgdWkCC39Xrdng
KJg0rMKtg4zAxkjsLDi82x0b3wnCOLbIyhs+lnHAPd48dIZxYVdl+3NEXikpOy78tCkW1R5cMkIW
Pv3OR/AMI2DcRTL9hJzQXkkAGmESmy9IIR24HcASDV3vSP8A+2q05ZWJxy/PH2wMtxpZ9QiUR4n8
GBYAySpvDKQaH5GB+1so/W8Dpu3ORhmWTD0oM3lp+mqXS3JMfCd6Sp/wod8pkFtADsZTGep7BQHK
ycujYAU0tNfRHOnbO8TFepngHYcd5OXs4K/zx5YND+keqEPSMP+c7a7aV2149GL/Vq75Q8SAUc8K
ekNBU1Et66+2xwuEJ/JDwk1ntDgGYJi3ygcbxOmzWLyocshh7wStVsDfhupIiMw25rdMrWTvhlQ9
m/KV5xy1c4tFGuD9xSxHghN7nxDVGLiSESI5oJnZ1BK7Qu5EB1Z8SKE6+c3glbI2TD/9xoE4xZA9
d6xNb+ylyrh2YJfQ7G54EYwNBLx7Pzng8If2y5NXD51dyqLTKPQHKZ/dQRLSVpv216xk0OSMx9K0
YJMdv/nE5204nhRVGBU4O9kr6kL02B7aOIF4H0UoGLInyNKdGu4izTEP5jM71MV8UCRIApcFZKrB
cCMd2oaynDelkcQgqeZvXzOfntbIFDeqA0ODBzFIOZtnzdnRc53YNYO6Msm2fXnWHbEpOESZGol/
1NIEN0chHte0fSCThHNc8nsvDk6RokqtMKCBROBzYjmUZx7qHQG/w2OlCZEFcyf/TOh4xamIlldt
thNvcxCn3UsPoRCfpXc0nRJ0QwoOoQyBu6MhW5bhxOz0gIRr2qSVP2xQ37MBdPUnIvdjQYkDN4rn
J2XPiAkUk/LMkWnPxcVvkKgaqLwITXlXibACFtzDtq6JQ25q5jFF3l3J0ASG3wLQZmrUc7yvnsYc
gCjAIQJmuR5oFP7NKy+6mn/Be0aNNSDo1Q0JQQ55j3gGbRmiw8KzTTDN4NGvWw17GeAnb7Img4+r
8ckjVY3Lt/83GMl11XUl3mAF4Er4LtwEd4W29mWrOGRpqjdGgi2CCftHKfi4rTV4XKD5Eh12DNbf
MTbEbcPNmAG58MKSxIEqdtecFZhJLhLTZoQ2oR4oconONKag3bWZdUIcsBzTaL7WjIKBVwrQFPWu
86dknUOTON+irTIoJGuf+s7g7LPXFL+CTWa8jMux9WPrIgvn3Oc9G+vSS07D6HCrEy8JLrZlZtf9
BuKmjuhstwVVtMBfwHyCfHPTYX4ZYWejrhLjwbWz9yqewZaQr+XB03WqmhaBtjjJtdrUNdmrviUH
wPLz0WWSYkU4wPNJKaSHPU4ZxkfGwbKcq+tmw5nM6/5sKVEFjcnY0KEM3PkjPOqUvFx6l7IuLk4t
xR6RwIR3jKltnfsKo2lvPSeNe4feeTV0dSUS2vuIan41ZKxHd4f9SuWb4dUNkyeP1FZIkGyr3Krk
j4ULoe4v6CSsQ132DYnFM+bpAb/D4oK1hMDPa+aQdDicmxxkqd2J1yTlgS1HxQp7nYR3q1xjWKU3
ibv512vy+ARkCyeyf1h5EC3WmHCFnfTb6UK2ZQDmCxrFA9vz4aZNwCeOgauZfJ7AZo5fqlV8M5JJ
gCMRWwVKYggXjXSHu+2RQmUyu4z7VuFyl88pyfQYLuJrpKzqQEfBLpgYFooNm9SQxK6OwtUJdfxr
w8LAdM9KlT5SzenB6ChmswVABwtgYk0kTDaMdDBZWl5YXM+HDrkMCtN/FV9qJj2Dl2lf23AVKF9d
KHcLfTXpdExEadoxpJR0j9lvu16FQ69t1/yZEmhaCBIe28X7KBTQY06tX17KNxBb31mYPTspupgl
kswDvezTnH6R3WZdWsP+xUF4B8Hm4LTS267q7JewyTDwxxcXuDJcA6sgCOLolnxaQ2u9aq3OMZvO
jeb1TdP5jDLu1JrGPgc16hfzWw0r+VSrv8xJCWpaFhS41okpLuuGOGo5EFmqz2zbY+moA8aVJ7cE
zC9Bc5uZfWp9Fra4RA9EbESUALDk0Dw+uVyzDhp6MAxUtfNJZdafDlC09OPPEgOjgw6n7oD6pFo8
+qb7ZLdX2NLs9cMObEdo3PJhebea9JkFA8JEgWW054cIh+QDg+d1cIG1EAJ9W5iV1e1LmY59UCEk
D3hxiqYG9NCYa5QCv9pxREvqGV9TPH3MVOaFy0mM8moTfmc12XauW5/IPgnaJvka5k5vQjN9Fe4q
kTXMABE10+MOTsKyGzUfQtSQJNvTOzgasKWTPC3TVeJ145/vPxcKM6sZkwe4EILHAHZCmYV/OsME
u+AELT+cCeMYHJe62WH07s8dny6dckV7OoBeFROzduLfMj1uF/jt1MkQkxgHf8iVU4m6qYnZteLb
6hiYkaAA7AQdasjzvkUStHMk8CglSpBsxZU9UNYO2MJ7A4BdG55zzTQiM19LmzcI2TOaDcKmAmfC
OG/0HTX65L5MEweIe3O2uTv4W1CHf6WVIz+o8Sin87bTxk84XGiEw709y8esoa7G5ERehdEnV9nL
d2Ua0KOHGgoaapOMG2VDhXUmM/Jip+jNa7acjyxwQ6iJ0Ibigcotwii5wbH+yDTqGlv2TWmHhYDD
5zHrUh4IqCV6xId36Y+ckB3iB4KCEzZv/c1qoXumNbiubGEnZsZgIbryIhxKAYe0763BThUlUvOY
ke3GB1f8HmC7bXBrR9uRr7fjW3sraZI2bByehhElwkCcEsKXnFba+4LyVW9bZ7iWWkmsDGm6jTzN
XnaEvtBcC5NNTI7yGU4thUJZkg4DE3FZVsZ3ulS7ily3LS4AeYhC73WqJhQjHQ5Xxx3+sWnIL0wa
Griu1qlH/K9tNBaZ3yAvzjp40CjGjvaQPRC+NzIMxYJSdIzM/DlB68aJX8btL0uYvxCx3XLS2LHi
stVc4BO3NVtXpyM7qdAUMNanhA9BhHwZkrftB1PXJ0Asbm3k4ovRJEqVP13OWHpsGTTEGAbp4tnN
Cnz9a4WcG+fJBrxW2d25HtNH3TX3RJp4nwdzWzt/27R6QFL0geNlnyN446qysRSDIAAg6X3UTu4d
QgB0ngcYJnqaM9oAkoD/r/QfCJP+cmEJ7SGG8E33bGBd9rzuHBbo0dIf/2MUw4sp5p82s6+dszyi
3NxbkWMfkg6FGkem2vh/pWl9IZE6uLURqITr11LPKhM/rWQfAu3c2MIl+le0IzVAXN8JPma1QsBK
3zvcUHo822PyNFoOosCi+NvzHQX57OxrNssmOn8nzt6Ar28Xt7YuJJszFeKpcdLwH94eos0rOQK5
mj/Na9XyYyeD+FaR9VLlOK9n+BCkFXx67H230rVXIv4IxW5AD2hHGxFzMQ9p/m+0eT+SZPzEooI0
qBp/U8QQnSVwTzbkgxNMKi1Nz8wwRqcmXUDsfDupfICy+4hk40+jMLn0/AiWh+yqmr5Zs0zXOUFw
bo/Zfer5Nwbv0C/IwMio26IO/mrD2NqDP7vU7dqBqEMoyiFo0ISV+dTvjOaiI/1R2fAYKPtAssw3
ktKBogA6mysmJZ6VMzjMp+vAjwid7WVorG/Veym1cskiZizeDbRbDGd2BLUDFJLhuSx8VvwOF59d
O9mL5f7RooQ3xHzZc6L+VE24KFsDjUQZsn/Ukn4odoA9Iohl6paj6hnZqpuOuoqseijWKLpU+s/O
iGw9LRDLNDyujLeQFtLMNdaChsF8U5W+I2gcDizdnRgT2UAw21abIL+iF2nQjC9yBVHCN9jHFbtB
KOaHTuB+tjw2J0lpv6rZzc8hptitGtmjUCnGzH+RpaVM+HtYPNAD0dHTlxrVNEForcC0xlSgbuGy
WE7Tf5nNgxmtlUTW2RtnwMBlT0UWxAMvU4Wt2QSBKNYVR6HWnF/0Mrrtlx3OKRj29gapKGJ4b/ps
CcwhirWoDv69effbQp6sWHF5ts8DHuV4cf/Wjh9uQ9v9aqMve5E7CCY3nJ9FYHsZ4NUs/WmJM52X
goz69hXfCgt91Z5l3D3arfpOmfNTOenVjmEjZ3KcHlZsBw4qJSjc+BQdwE1ZWmiLLo3q3jIMFgjx
YPV2Nv7vwhtuzmL8Xlz/6M688+NcMG/KzJPl1HtrFmBjgRWDZtbrvvuMHh1ZXHcugWJi1G2svZO6
xzibGN82bETS2Q6shdarnfx9mvU5E8u8xmuW3AEQQPlMQ9ICqwfIFKgvh8ZBW6ufCZs9MgbQ58bK
GgDP/QoHPNva+3DHDP7gisJ0YGelqJw2LcMNxdiZcwtJnO+/DjYnewujZerwt3XdD4P9p7Lz1LlA
sfhUV4x8MtadVGXTOXOTc2Xy6NqR/O2lBKRKDnuYkOzZ5uSWmuVH1vs+di3jhSUnTZ/NjBoPyt7w
y+U4Yh7f2pwW8J1H3IBDfF5apoB0vd8mzvUoAR8XkZZKHgQ7v4UVGB84oNd4imFazZy7JqH26cr2
TLIXaFV/Y4bhydoLpikHh2398eql2CMQJzcELUWgvVNvuhAGDOJ67Y6ECHb727aND+Wgv8fQb94K
w7pxkLJ1VscIbbIxcYMOcZL+QiWd7ZJ1VhR3CAtszejbmYdj50NTdVPnayJ/aFNPyy+62NuKBkPW
QxTnAGZ4Q9oChUXOvseaQoihbu3u8rx5c/p22Qqzu4Ry3Hr2+KcEo4rZlJwX3JgVNROKEPZCDIeF
hTW97ldAQ3qOItTFnWf9ipPoS2fGn6VK7yXxf14a5VtDQOpkpI/KQhSnxfFeyB6sQAruhMGasCyy
F0ojNv3EyzWZDfYKnUmLBMOURb4NFQ4vuBgPYYl80DTj8ZD2zr3IXDsI55chnF9pxi6Eic4bOdDk
1aRb7MYV7+KG5IhJER1J3mGblMUX0QFIMniHsWZhikKmim8bObDxYWdxuavH6qWRzb4cmz+Zi26R
XKERtvEZdlCyKzveYsGcpOBn37m5/hOXLpA1dWsVVLh2BKTdiJuFeJqtA9rcBcLHqvDlIWZemlkM
NIjTIeGNREk636c6cv9aGU/TyEfHs3MGUQW7xmENhNt0o0QXyJqOtRP6bU6Tc2SW55nThTS+kd+q
+IPqcDNG3rzTEmCgaWWXZmLsYBozn9T6rzh18umT01KbAF/c8qfvQ4xgNnGEhDkPMbMXVn1cWQSX
WHG1WdaaSswhUcKMYHmgt11CtYulILBGOjQ4twymUgOAfPTsTA5XVeqS/DquP8KgsHxa36XZnF01
NEgjjCHomuZWiKrfo2X8NdUIooTxBSfyV+KPv2VWvJj1Hzep/zV4aXcM0E5LjXuvN/mI3EG+61Dc
bM1Z5ZXT3kiJo5B+BBikzt6YohHS2xzUWIO8EMWRkwuy0Pq9zK2peQt5X2CBQ3RVqCo7nuxOKswj
igQINt/xbnZXe1BF4FjtJP4uHwGt2MZviX0NFx9dg2EycJBW+NEJyn2lfXuTmwC1mcTeAFCfzMS4
WzY7QBV/j591UjKmH/A6tA2fGRkPqo3fEel86Hmk9HMPHB9YGbsgbMhQhIrieSvQk//pg1Tu4j1k
52SXFhA4FiG+DW43MATEZ7FqRNuBHJbSdRsl6jseSTVEfw4rBYmdUJzItkF0shzNw9BcTAgRu37t
jiEHvfoJhE7bHx69vKXzd51rvQCAEcI6EGX4N8IxsW+AZbM9PBWkiyFBQzlbptZycgt16NyuuRQW
lb+OWTGwNf83hctViNa+gDm/VxmYSGVNjFhi8dyY3fwwMlMZsZOeej3fSXB/bBY0YOjuVt8Frtow
ZYUxlPW/ZSFps6TzKZiKnYjM1Xsxil9NadzDxeJcjQbAlLygY/ke8pUPsbuUgBJkcYgsVktouECH
/2bwRKYA5wF74umI8GyzNgdXKxnus0jDg1UIOu+sv1aIwBOFHJbIr+3kmMUh1T+226zbhf53kSGl
B68MO9Mdj8uUoiGITRfB5j+nxpCeDl+WldKvl80jv8b4TgAlF3NqxixteoIBuUsWFjrnkExNluNY
i0Hq5EgweXVUwm5T0Q2WI0rd0YtPObFR0D7GKdKMnIBWMYNFoDL7m85UCLJMyJ011ghJrYO/w3Ex
z+8M4xr6HXCUed4LKrWzbe4Q+AHmSuUHlIOg4rD9ZGP4ZSjmaGXIONqt/PqCNouSimVujPdtjrEk
8x3NxKQZmMYta1cCO0IPN/3/bbGFk4fcdgh4Qi+3U059N+B1BOV6STJjm7AHnRW/LF/QRskIphiz
5MLg0AKOtOwl/TpMXnoYkTkHlvrJBaJoeJ3r+SNDwQyTH49G7RPLSA+GLKma+mMlor+OaIfLOFuU
Vta4j1T8xWLnnKXVrdB67/d9tffqlV2wWseF6pk78fRMJl+xAPoeyTo9G1TbcTE+awQy1PfExRa6
bjeG69Hpt8te90V5gZb34yI12w9S+7Th0BGGsOgOa5eZkch3YWjJzN1y93G7HKMEOQXixDfS8N7g
n3Z7oK9jIDJq3F6qU6i98eStmJDQ4inNyFv2e9vnU1u726QVjwWLCKyl4ZtF2wYMlLefIQ4S/kkH
aY1bhyQk7OgIf608Pkw/BTfVYY5oJ8zBPg4tP5fPUgN7W/+3lLLlmHDawJ1pv4nG2czJYp9hRq+T
Nxyxml9/6XZqQ2jYcplzAI9+XU+72oXTkNbRJ3gtKyh99ITOklOuGe0eepHYtyyFDAOFqFGWj3ns
HJY5YnBNhuNRp+0HEXAMNtzwG0kBwUpahVTMPRkOOvnusYdtVYWULwOnexAjpHvbmnB8x3AlZcSs
naiDaDfb4jTH69B8lZokHl1MCoqSww9o5DCODNrRnl6wRh0Q7iLZymG8qd6YT4XVPzVSpNfBA/Zk
aFKK2tXWX0RAYHvW+w/wlbBlIIuLpQzxTxCEbEOI780pOqw0iKCmCqZz+X+6gwJFe1N2QDKbnlnK
DDigzeqeURBFubFpJq5sJ51Pss3fYBY2h6Rvv32EBB5kgXPeMirgGol2VLTRi+J0Cgz3Mcxi+46y
ggYeOx3vn44vpa2QNRAV0Iy48FrmIz2wfKqIkVy5Ep+qgV5rE+tw4dc0wJ5QqflQutCUWpsYNUIu
freNsS0Yof9uyi+DBSbQ+ssIBPEwecZpWTx2PKWLDFb5t8ZHymqQdCWINXzNbFK8l7h9rbSM12J/
/LISOHblammc+7/0KNzq6JEAXcDe57HeZpDEzbZrz15c8K9kMaoeCpNDysS11ZlgbSlh/aQkJyGV
QmbemyCSIZhjyDHQPrfdBnChezYld68zYOjxyko/qXfk5avDcdaP8UjeRdrBzpa8CKOqo2e3J5LN
G2OHvf3Q3loLfkjrKIcFG1crapoXVyQmsQgu+3YXrF1Irv1j+AC7NgxiETZvRJX/mmF4xSL1nwwz
s4JUgmZfM2Y6S8WP1vK+NKT8FmwKeBSX5YqICKm51te8g9w4O4hqHU/Sw5BBYzv5ctaTRvUA2G+T
2I6+mCPjVmbLxElG3c1J+H7ydHzrG0Z2htAW4eg1zW7TEEPFcCSv4HmXMwtagpzIRB+Nk4RkdE6o
GglqtM5MvXWQjAmJ3JNJe+X8iAnF67LmEfkNBWwzh8ZlgaOx63kfAoxvX3AMYbyQzAMKvzknlo2f
0xLlRzhjLiq8m8HOPaXeSTB53nHsbMUimheT4FGW2gc+NcQnvnmWRDgcR9zQ21qPfpBMcgfks9xO
uYx20hiXXc4U5oZtc8OSXXzx0a2NKHx1jBJ7gGOAfuf+BRceJWQ6IvTtWGliViZSlOySi2kb1yyK
8me7CmqVfTleU16X8JnA+PRgzZ0MCGKYTwRhbyf+Ph4ef9wXsGA2xKO572ML8r0SiP9g07xWpvss
BiRvuA7zba5U/iBKwhbn1Qk1J/wKQpy1WIOzm4/mQ7PBOzuWQx7FvOD/saLrQJRGAEgrRue3YloP
eRKW1+Q97tILyo7pVBZETZrRkuJqa2EJ/8uqAVEOh8ndMPFQCgU400NymvTeLqtr3uaV2N2pbB83
zMCEZGSdrmhGgaBMFAhRUt8iTxHVxdC+OVElYaZif6o7dr3zG3nDzs7JXDRGQl4mXR3IY0uuaEvk
xrd7rrqmPA7deyQMhKwSxGw6HZdV1Uf3+T3ZRfngOO9C1s6RLSQkzD4PJpt4UFg/X+gW0ejX8cnu
8ze/bFFRKHcJ8OvcV+vR0mXOo8vXFygWg34IP71F4/YtiIa2muicDVV0ZbHok4shLppJzqFratKG
2vAUeQ3ib0OROkxCHGurwjt7/RQetIF7xRzd4VSsumMMDGRnGiR4INveNqT7XdyczUzrM2iJS5Vt
h5HLc4gMG9nF/NvHUU5A4vIQM6fdT0yPc1Inx9DVKDMUnFDVnxKv+4HfnQfUe4BOixooHNO4qkjc
AynjTBePIpFfRlEN+/9/VZbFxzuhKmVVX5BX5uY3oWP3tO7oDUGhFss1lT5hi014fX+yx+LNSSP/
BeHliwE4DI+yO/+KwHfHqkL/C5zvqAbnE4H2wIPi+fsiLye8EGVzLFahJCc56jRNzo0dSoYYXFn/
UXdmSXIjWZbdSkr9IxuqmEuqUqRtHtzc3Hyk8wfiJJ2YRwUUw256Lb2xOmCkpESEdHV2fvZHuARJ
nwwGqD59795zL3r58Ov/kMFFHMmKapst77rZ/2hKaO3cIoIt5aFnbAtkoXcpZqbovMG7qx6FFt/n
mHqSvYPBhHTjHVVhAb4/OBeN7zwkhvwJICA49+b8HKY+KJSM9FezUc7Vj3uQE7gKBMq20coOankf
ozqkG1hXZz8Ov0zmxXFJ9SN85qGNSUeyx2tsyuFZ1cpfd5qHx4w7Tk1GfQ83ujiOAYP1cf5Se3m2
GG2cPYOSHIGniXqZbBGiPKo93dZ0nac14NacU1VYFvZGVrF/N3guSH72G9Om+5CUfJJQHMfETkYD
n6NlST2U96e+ah5KEsCoerZSxaR0DdU3g2dzFw6cI5wConMR2xCg6fRVFKYHhI+IaT3Qu9n4Blow
PmEHvBl1whQ8asDt6bPWWNa9MWAZYFS1Zhf9SaDzNuOK/EYIMnWdk6cyHROi5fgSoI1ijtr9L++B
nsFOHqRliMscqmw/2g95pxDtCFI+HV0XJ6JS3oogAgC8sErMrkYGazHFT9hEN8ILgV1JojQjQufd
vCp2nQ3/DYdzjwpDu+WLsj1MFN705LUjrOI2RwXWN0ypZbOuGouawR7FcS5Ztsn2Oxo9U8yJunbn
KOJQ/Ww6T4+GVQWrKJ6o1mtO8/GksAimQCzKQq0daSKp75OD6bLrIKYjTwcrW3JXZ/4VaigFO2/i
2vNoMLeYpNaxZDKCKdbTN1ifZyK6V0VHrHAePaCv5KeD8t2Hk16L0sZVHI0Hy0gn3kLIK7rhlBU2
Jq0h5VySihbdNg46miGtXg+aNIkhnh4xkN3NiYAwPvfPRkTHp8TvEKfiWsv43YiqTyIIf6ASZBJG
AMyUS8ra0NwHLrhaJxoaHMQzyAbHvg8s52kKIQnyJF2LCJylMMefpk8ILGeNazHLYm2Nw3uQBQYD
ZOdBWTdS+irOm/CYCiyWbv4ltAkog7RAtt/8lDXZl4QAPZtwhKmrHVJs7iIu8DUR78mcult3+GwU
Gm/QNzsjio91qhcIBid2M1ioV7+qesJJVuZsRcc49b+jcT1kkbcoYF5cK3ijxUvQcxzTyIAjVWYD
SWBGinRIlSgvXaISQHtTE4QFA0wlaDjS0M5cp39p47jaz/Hk7ukZ3JPgQh6Jttpryyx7kIykHR/N
nUE8hTGwLxstAF9rEjiKFG2JIHouASzsR4rGY28Wj40y7lyaDWujnojKTav9L+zJ//g+/nv0WT38
BvtRf/sP/vy9qqc2ieLuT3/82/6zuv8oPtV/LF/1j8/649f8bfP0P5//8rNq/3J52j3/+TP/8IV8
+7//+M1H9/GHP2x/Ef9u/Wc7PX6qPu9+/RB+0eUz/1//8e/cwOep/vzPf/tO1GS3fLcoqcrfIwUt
M3Bh6fz3OMInSG5/uXwA0vz8P33hbzRCw4UsKMyFnPYHFuHy98J2oKl5oJOCBYDzDxih8P9qwltz
wXkxvpNAcf4BI1z+yVzwXrYlLbSftvevwAj5kn/7PXnHcaAk4tlyHBfuiAU9bCHz/A4OFMZhgoeC
qDLL+5bYNDoZiI0ISL44/ovPoywJrov7XeJPzPSBYnkUFFhmAoYYPT55xqz0xh5k+FRMxSrMP1En
reaF+JyeCwdhRfKzkjS3yhfEcyuTpz32ME8N9rZlSucrJHCkqLQKwErx0gL0SinjGoQzwsGCUFWr
xmwOCd/9o/XmnTY/p/EYoM5GsbYK8lsWXXtsGcgJEBOtJvYVWb+kul2pDnVo6a7iOqWRTgBcPR6U
ESCjoctIP4/JtY92jYhJWp5o58xP6OkrNkROTyvPiND4i1XhhWu/fRuIfog/JYOjAGjaosXvZLid
dUC4RvSip0fFBDiY11NCWnjbu1eatd9Isn5VOclbKgir1XcxK30A6qL3qW0DIaYziDADxaUYz8FI
hsBAybyKzXeTinNdIeVb8eazNMobEL2zjci/rj+b4sXtHxyUDBngLMYum6AlYZUmwuwS9YPh1xKv
eufOIePaZlO53zr6VDau/WGQeOXoGeKF11iCKa+iN4UvX9rr5S8989Nllib5VPi8a5KHVn4yQDNd
9PEErBNVkpCoiu+T+O3AAIUj5l3TfXJSpsU5Id/fliTCpFZ+N45Hvzu1Y7FOEM7WeQJV51ur2vWk
6Agx5NLuG0C92n8w7OSEbHUTWhOCvwDkwOevVDfKICfITlP3icZjkfVDtF+s/fS6s3ZdOCcFU1/C
aC8aBIkDWX2L2UQCMOj0tslvwnc4JVOGEMC4uGxNaC0Fjv/qZZq/JVyJpsbe8tCPBNqPD7Qw4JAj
Cc+HQ6vezORkw1+KmZMGTNbGtN9gbEBMlez55XYT8TBd2J7kMJ/78XMOCpSv9np7XJIkEZFGDAsi
CwLuW9p8Jtj4/dTh6qu3pPzsos9/fel9S7Kk/vyRfPx5Rf3DSvz/29orloXqv195zx/zR6q6//2/
/rDu/vqi31Zd3/urhUkLEAm5a5KFF1LXbwxY2/2rjcsIACukROirFoyuvzNgHeevtiV8Aiu8xeDl
Liuy+o0Ba5t/dVzXDZDTioX35lj/0rL7J2qecE1B0eXBZWOZJ25kgVz+btX1MZiQI1WAco468ZbW
NNxsRrVm8V7OuGldQtFRAu/oe69yGs4Y1Upzm9ckT9XR9NsHkp5QA5iQp6xcXDmSM6Bs8P1zPJmA
tR0cGBZtR0TnBBB6hY3Aegit+vi7q/73rf/30FLrT8AzXgiOLmgcgYPu3QJ79scXAtyJJN7BGHc+
VvBVTKzCBUKbBcaJAIjCJ7Snx+w9j8y0c9DzR2xyx1GluGeIAYDYfRcxdGNebBkHZEOXNiM6t8mH
7GhY4XhqaqyAsY3lqLSGSxU95qY33+lsvqDKKTdjpAGpWLHzlNbOfIG3A5bSYSHsbXlnTWZ6+r+/
WudP7NFfrzYwwelBh/R54QsP8Hdv26isojJGe9rFkWHvu5SB8iztccuHfGPMdnhOI+ZLbVoRUhdk
iGbAT6Gr7h90xiA0mPHiKBpTG0JZMJOOpksrCMPARLQonYC0ujfCmI4VsRKHGBjBNpvlPbEG3Ro8
Qb5FnyKeQwAr6N7miiP41h9mcf71AUgfkZo5bZnU67yLidiJVDzyvoNZXc2Z/p8p8tdUjeY2A1p6
rdinwBZwQMyMadUWo8XiTR5ypsrmgHhjPFkpOjaXLNwYLcOJ1CZi0dx7T/n/BP7nLVC836rKX9RS
yzFdchYCngbhw9/1/gTdBImXxZ6VZ7uEMPJV7mIm9A02ImVykSBZ0QPAQsxZkz2x/GGZRUmnpiB3
oOleHXo7Rxc59gb91NmDXL7BaVrucjz125q2935gItB54HlUqeoNQdPYisLksdVme+sqZsON5pXr
I9iq+ircOVrZoFOODtnWTNa7fBXwIxB4xHf++BIHuabtiWMhYRsnNftWib5gu3Qg6+O3cJLi0oUo
1dKSlAYyW5J9zVZv4E5FSJoMZ/Q23+gzix19CUayQ8dAVHXut1R/TZlk3GkjSm5BAriZrS/YCyuO
DnXevUWxq5+58cWBtAa2cqd+LeowEisC2fj5o/XSEcOEll0Z/wRC+mst+sPbIwWjUdZKFkZWxj8/
4hHZW+ALfykcUNE0dpId4bN5W+7XAXgEGYCTtzaszL/zOMruLaE+Qy/H19lzooOfqveFy4R8nuNt
zlTijEOMGqy30db5Bu+IPYERhC63bUu7vP900+65MYt0HSoP3bCMSvK4CAfFRto9Boij9rCvERWN
4Rc77eTHlPOYOVH4menx1JlX6isbJoxFCwKTCv5dJQ9Fob/PUCu18sN/sgIuZPA/YUAt7GxOIF3+
xYS8i8Drj8uCMxk2WHjLJtcY8UuV5clJx1VNtmX3noy89kFNziXEozcNJtrGnkEkbXDLz46MzuNV
1elP3052fZJ7DxX6Ao8JV+TzPseCZCToNT9ai5ARuu8Yt8gRi1HIuwgXXCY6Xb+IAD2IdJ2o1S1G
vJNnBipdtES6E1SVSVNQhubRT2bAZpptacFAWBIEbmXI/rGazY8cfU9xhEMbeubaTqNqH9r1W4vI
g8IZaF5c7EIbZ9kUmd1Ow9bpqn7TM5g6WDo6I05OV44tiWDMFhSHlz/aSXGd3TI5VkmtNiPr49Fw
SYTL6n5rysjHDZE964YwHSwzmDG90WNfICdIvWQyw0tIvgUeP/KD3P4Ugd6LgRftK3gxNmjNrXJ9
uoRJWLKhlLsKp8TWMEd6tCCEmjl/6zAS4V9yC4Jv0ZkHZXmwZv0uFg+RKj8HCdVRuprSPly1NHDW
wGKRmbXmMztdjj2ivpWsPJuWvXXLIZQBAvqEPY3Va+BHLiWv/+4T1htEGCCbMigfhu9hhGc3bFEa
BkRIJiVDKsIWdm1RsRd54aH2M+/SiwlpyCYu5QfKv/CULuHVvae/WvCQd1hZfpWqJWx3PF7DvG6b
XuNOG8gMy7GUgjVzF+VfjfNn6nvvw2yGr0UW9RvYLN81rtktB7BukyF1mxOPHI1wUYtMUHaT4SnM
4VHZ5OYcONhmbL0Num0Dtd4czw9OAxdUgPA62iYGLNN677UywbMROGiBjzkhk0DJobt9Ow4/Mo9w
S/DQDLhpdzOLhxj/6gbZLnBtsW6zlOxC3xyPoDmYQ6EtVJz1cHVx3YesJnW2KslRQvYLO3Obuhjh
S41KPknIoE+dnUx85zz6XnTqp6/+POBpYpI+6KZeRYT9gBKL081Y9/Za+slTq4WxtWV+iVLBeDBO
kkUNAqTZC5HakXPGTeDtvYpua5T4fDOFrA69g+UP4b7OXNKpBtx6OoY/MxFZNCEp3Gc+KYZuTECg
wzi6Bzt0MKEKEZCI9wefKOkTBsKROjXPVhuUh4AMqjn4dPtXH/s8ZjKCEXGr2ZvAWNJhunGHUeHo
1G509KJtYDbvMg7UHjEXDy86ajP6LFvGIFk8fgVo2O5ZHoq9ARMMsFx3aObqvfD7lMl9f9/UeDkA
BqBBx4Fa9hzCJePB7QhUqc9w+2kBfZkZSWLdMgI2bn1v8ea5Xzzm/l/YXlBJFbhIQxPWmm/e0qRp
6G2WP+GJ3nmxU54moe79DMXi7BBNBXnxzFZlrpXIHyFHyd5FJd32zzqInjAs/4hSC31JtQihqgk6
B0E/kTWX+wl5430qMRsN2Eel/zUNOmNf2QlDWdTqW9PW1l2CpAZwfwmzAmxNDSN8Es7VhUu0Fo0M
cJ9j2E0yKoIkJWSFbA1EzmM43WEi8naBowknmfBltNY+amFn5YSg4cilKQiLAVc3fLAqNfxNgdbM
M4hrcTFR1gb5L5Z8rpV+EcgUjl5MA8Cy2s/eIqIpydx4m4XoQ4nw4aApCkxd6P+UYQU0GNauTvId
LWMaJhJxjy+rW+Cg1TINrAQRTiPKAUYAtbypINrxOzirebnixEt6qxzNz9wpZA0yu4yz81yX2tyF
NSLHpsB0DcUSL3nCWLEM7nXrHwCLWPcEHzk3WgtYdibEY/XEkbpZhHz0Vou7RMDB7HDN9x7G6cpy
vwI/cPeWRwzmbMmPZoYLwk0QmWSSZfkTbr3P0G+MlzGtMFKrfGv4BcWj/Bn0DT5An4pF++NGYou7
WNeuIeITpsNzz4vbFPJGbPkXlVBxm72xn/oA3CCy9boOVrkWTzJoL9aIDMsKkUKZzM8ZMWx7YnVj
0fXPUKWRcEbDz7Ea/Z3C+M1ck6dThx8knnsb7D05KONx72qOM55tNPtpJGhGKw0iFYD+oJDC1uFX
GDbgF0vMDYweaVZ3drBqQCfeU8WqW5/mn0OJtwmhq3M0guFR4epCeZgT6PWWG8FX24ytOwrGH77V
v1Q5UxvO9C42+3Mx48RLvA/qom/A8sTC0z+zutMjrwALlDHb2jTT7ALD90biIctcZdzGwsYuYdnn
4oQNQJ3AQlLIUFq+JEP7VcCGIARAki3g9f5eRCQQ1grHBWblMHDJbxIINk3FLCewp3o7fmFUhDhq
5k3WlU3osarWQRyWDyMDDN+j7eSZ44urGSe43A0utwQ+s5BIrS5hYCuznTSnc0FjGWjybaBDMTEW
JkUxsFEwt3vDJp+35nNRraUHi0L81nDQWFfBhHOPaUQXebesC74RcylZobtj2Zli1UUSPxTSs5Ml
CgyDGaRIz4FuK/qJHMmiHs7kkUPwYVKxDn+UM2CgwdbDFpQ0k99sS3VMfVPQpULLwGweuQ8l9MmZ
z2EoX2e8JQbgn1VUYeLtCwZUgMLOPaZ0fB98W0gsSceFmUfFox3CzAVSNInCZ+W2xSGHzbXOCXfa
CRvc6ZCDaM5w+KGPnI64wsYHAdrlkMmYncEQ9aq24JFIiqFN6ozfAhzZEJz6mvK/Qaom3w1BwRKl
ywClsE8GlTn6aGLWPDBPaUUl1yBeqJIM4txMzEMrOA47xqfljwz9FZ3SdK4Z9VsMXMJjVLp3DTGC
j35JnZPjtSI2SgrGyv3F4vi3IctZMqH2EHLn4W6wkLgOZD4QcYnvyKBEMg2ZXl3L2RkzjFAbqsg2
aaj958k9zdpzT2L50CbQ4oK8+tp24luUVj8sZXJkidB9Fq9SD96lawsmqABocJa9KFUF6Bk80r+Q
d2CfHg6kf+6Nvs2PudtDXh/qe5tLHrU8uWwplMJbkqIJz+IohG/+1dZqgvFvDscQX6ewGOjCG/do
D0/rwk5PKubI5MnYBfsK+GJMb0U9VXu36tnVzSHYy5EdN5YI8DKB4qyNjWQf+MAqhOB4bSHco2yI
7IM5lofYSDXvDYbtlpwaSi8sOTB/UPje5XMgjkxJeUvQ4MS6qK6qQrwOQHxYlRz3cFaH87apTmFI
3xlj5VUYOj6xPr8NJWsjjmS4n8CZ7Ko7EncLPQFFZmIIYlmtVB+8EUsQBWOz0fUzKxVmOYd8HdnK
lxpYNc1KtDQ0TLi5uLsLabFpz7ANIkmghCL7cczGsyJ5c1fr+CML23M/+UipiqDeZFYT7N2mfteA
FK8jvlA3R6yZpfQqpW2Tmtyn0doby9eURsQB1ALNSLoI6Pp8j3XNo9Oy6too3oqpeqakk/cDekdy
NiCrlSwEU9P5W8sasx0E4m9sUt6z0MSBmBYuDrzCzOnR+3Srjmn3Kh/cE6srHBvLh2oj55AeNrEB
IRLwEn7nqov5cVCk2NhQd+3DFrVQXBavmKEOKpOPRVrDhIlQlTixwiDRFgdSyirbO4Sy3Xh+Dd+o
51sEfhncxLsW5A5JulS50dcPZjmWsGMc+zh0Fk9pYbzGKrs37BLOooMlenbGB/5LAXHCWMW2ui00
Cu6sDIdD4AhEwKLS+7ox6Sp8GauBwE5jwASLNYEHvpUcZ31vio9t4H/xK5TTCZ6ltaWQgxelTLex
pjoahXoePWBEPBzZvhZxdegX01wU6W/KT8JdIp0fs0uKGKTJlyTBDcuCXZJGq77pahi3uRqCQzk4
Cwnils889HZqXJCBOVeb/dPqRiQ+JM6sHFgmEDT0rQxD7yBSrgXUNE92Yh/nJkW/lPc/TAuqTtfo
GDGbFieMf9+kH2dbUUwfAGE1vXCs4Qb6oZNp41l3yodoaN2jg+OvColjdqHY7NGkPmKRaHZTCxKi
6u2WHcIx1rRHb4SwW5B/PNBN2CmujSj0NSVdOjfMc1jO3r6Sh6YitJA2HimQNcoIgi4RADpxCMmZ
D56DYDoWfLu5mVe1qZnKBN4aDQ/Hj6qaT61vkv8C5Uo3YKd430KzCJ40LaBgGJ+FYdMfSWckWuS4
rjQQWQYTOQQiC7eeiuGt+5ghXFETRYxWdwWz4AN5cS4Ta9UY8KSLObqzqlDudGbdWtlux4oqxRk5
U+mmxe85/eptSbGWdP95XpLnykRuX9YnEczVmwU/g7iGe+z2NVatnjhuSy9MPsTlSOM3HPgZr7uc
7hztZBuPQ71jAPcaA3drM+haF36ktqh1k63Wncv1IYuhc9FoiutY1fbOA6XURAYYYOyim75VWL+z
SV7DdH4ugvx5nqW/7/IRf0Vh1KcWY3RdJNObA7zT78pxC4XLPkS4hEYLqjHZWoo47vOchjBNOwJZ
EWGeQqPg5OkkZ8IZx52p4549QuYvC4+2mu2NmRZestoYQfA64T95crA97FJj3k1Npon9DfdQbraU
TVQgQce0Bwe19g9Z5Zx8D5KYu/AdTaAqD3F71L0RXhuaRVsf8xrQzPpzEGZ0kXZ0m3Ean+gE/WCm
4gYN0T2dsnaQKFD25hXh3kndP86NZ19bDOntQK63OVNQCztGnmo9FiWW6C6Td75An5Ca9YHaEtfC
aAXryX/DBYmuPWLMiOAwvxua9NT7CxCZbNwBs8CUjglipFTf9eJS1Y3eDOUgbh2dTDJrhntrsD40
aA/wQczMyoamYgP/Ih3sw0jijI3Je41F0NvW1rSe3QWwm9AQGV2m83VESiF2Mn9jhwEibehgiJ1m
XmttEL1aAg53veltEMSRJXZwmZWZn6Z0eJoTSer9A6X7DX1ysR7o3x3MPKZ+HYlAiPoAA/yItpth
LKaHeppPfgvyb7Qxg0xxgUyU/7MGnZ+bnBoWU3nolHTfG/RuVfraM9l0sxGNPdQ/ygxyunPhbe2Q
1mLACdvNe3m3ZHaMobtzQ0lEhF66SSWDVoOleomJhQdx9fJ3u/WfpsT7pPmknYgzdADOVdoUYXJK
YRe79D6xCV9sTHpgYwHYcEZxA/GZR/lHkPJUh+obgcYZdPvu2poeB2VIiO6IqojadI1qdI8vkbjR
AfWV/tEz1ZUuIaAOkAGAG/mxZ+CHQZmHpoy5OHNMPEjIiaVs63vHbu8b7V2oEQ8IF24iJTd3llRN
UVU8WwMTzJLLGHglhNmFfRMZDqFqmIrPY+u96QD1TcQQsgkc+1BnZ4OzLuOf+OAEKT7lDCZzoIp9
K6et4+OdDjNn0zFaXldF8+nniXPyhFopvHaQCe1kb/avipEp5kwoePUUPuVe8NOJl1StwR2Zvkq6
LxYJ38i7h7moN6a9KLDm9mhJI4KxSa8EQ9cuzSBMSYNs9dRIN6gws7VD7LHy0F62Nl35lttqns/R
3N1HVybnBUlFa8ARP0wxHLBiZCtdf0h0JNscV/u66jhT0lxlH41Q32Jk0SSFsxOPc/MUTO1Zj8+y
cchY1SSyIss8tB7Lg58Ag8VXtimq/CWdql3q1zYgx/jAOQyuYK++hga4f6RpsJrPHn6Gm4pquoje
uDBp7BPB2PG6JHSbZQLLFLLV92giFxfszLfEmU94P8CxTMGnxFV8VyhNAIch7mbxE+xCtxn0yG1b
7DNwzGfTTeo7ACd3rh2kO7uWX/sJ/0+HjJpQ0Q9ttM06UHpEExpThBVSPgSTAiblPbvlGG/1e09d
ehciWm81x5TO1MNKDglqgDC5m3V8COLmCbF2usdF2LFyVqQhD9RDcRY9NgRh3OXwMBxvOuHnJ2KE
p2tjFpamX4orfDSw7boGkp5GdcamUyN+slnTwZ3g41XUJngy9tSgu8wPPXpm9YeITUzUkfqqApJi
be9HI1Ea1SjkOXF43aotm+QgxuAeoLa4KyrCdCVZvhS4LOeJd0Zpmd7aujiQaos0mcX3RuOvIAMi
YFxu+F8w/Qx49kygWOSgn1F94YtwaqpEy8pQoh+ZhM67PnPlIRLRh0sqPNY3ceiWG7Qn0Wc3yUPc
Uuz1yrEeCgl3La1QHmMRzE0Y7ElQcgrOR3tDLpfY0GJF/5Q8/QICO9K4tHGbHZukOA6tjI7KgFAZ
orVaKdeqt0YVc0zTAnBDb5yS9OA3QXCqTOMZQQQh6xPF4cgjMY46YSZYQWbz8ggEM6k8wNU3Ycx8
fjD7FzcyvoVd9FpXxbTPTONsiwVfsw3y5K3HhHuEQjWAy4lRwHGlKKSr11DUzh0T2h3Cl9M0FvG9
WSIbsMfhqx6Tn6Gh3hd7Dz2Q4KFmAgmuuH4H7orIWUV3MfGBq6ZRCKGJxNr23Qedt3UaqdcxjsX5
lZo653mgPxcH/s5W9fekyH5USbXkSWbbzM8A6alh5Q3DmzkVycbjVFVabozatXk2i+Fpgv2FRCUE
c9xOyCPM5Ds8ck51BXaNxo5Rp4els9FzQ4u7PybTaF+zkGaiTamClHIgKCHCZKdharJuQqcP0O9P
5gnZvX1Cvfazs6E3L5Ycg1EKzBXYVHjR7Rpz/oTjBJ92BbqP3zii1d8NQ3v17IL8b6cGymq3JrnQ
Lm60bCrgftHR9TOfsk9FSb5xKTU2drxLq35rKZwcqaKIQHeLANId9i1+5Pt2SaVeTIF7oxlxDFP+
A6bVaEn85eCurEPteQaxgRPIemWTtNQxTKbzEzkMesTrKDiOicx5brULdRmeyWDbHxi3vgNnAydQ
PNiN98hgSxyrJWPHbJn+Yf30tt0MryPmfMbNh7zUKRp9CcoXYj2rxzoB0jKO8zHG6nBK1UCORRW+
mFMnEaQLIhpw3KNBttYO9/92bOuMdBGIQjmZEavOe7F0YOBgni8h6we85ixY+oLvUcsUEvl2dGia
ZfTibPyOaPVuxqlUoiFmqWg8TDPSO3XFVTI0f3DmqTxENEL5y3fZhzvQn+Q1R8fS6S6QiA6N5xPR
bDqPsGOebQkeJ7XwB8JYQrsY5KjqcUlktPcz6vyQO7dvsUnWffvYGWQW5OLOKop+HQZA0AI3/s7S
7e5sEsYwhqKAZpqiO2TBNKcWGMnZGRrrIrAbx0YxXPuaxOSGJjyp2hytZX8jGY0uHaRyMClWC3g8
vjNq8wUnAOr4GLymixYP9pYmLikdSG/xKZG7EsKJGGL6fiENSljjCyD5rN2iu7c1sMjacRbtarML
RszsbitIMokwK/W46JB+PArhGkdaYq9EpWDQZoxA+2XflRiiHeiZxDyF6zp5qQLR3Ayoqjtpa5pN
08+hxlhpuj7tc6k9TCvolQUq600vKPUwQDItaT4CGkj0lBZSWAHSMDNAKzE3M8L5YdZmsp9UQnRu
l3q7VkXxPX6zbe/LJSFngjyRVtQNwdfM6w4GWrXEB8JS+8q8dB3nUjpw+CHUt7nz8ZamEhZl8lKj
/8KxVn8gvDjjJYG85RkPHb63dep6iNcSF3RDzlrbtu1dnDfZWi80Gdqf3c5x5mEdOpyeqhHZeZ/N
JKzYJc6YBlaqN8xQcOpXe6DySDXBAWH11hXua6Icg8QY+woqAhJGF7JT1zXo15bbQLspKTrS24+N
yWBp+kJDspxyfc+wF3dHUJ8CH0dBgvvJCKEZ4QmstqRIJIc5d1/GidMSdid9sEr14i7FT2Nv8d+a
TPWI17QFPalGQb4EcpQUTnHp3aa4qhjLTzhv8JEyNKIVEFbsCAG5SatwCrey83OsKNJaN62+EUH5
3g9mgzHfGK61Rzmih6I9OYWztcz2It2MIJt2NrAcWG/EIe+dKD1ZeYONCxrfpm6mS2+SFCZnztKu
l6Cm3c4MDvdGxynNp2R0p+i1zDNBpTh86TL/Rt33HaFEdq4Ace0JV5zWlknyT2EGC+L/DfvdyFKl
3oWo1HXuxDnNMP9YdRlwrfA5D3JIoWOFJy0RdmDasYFJyPQMizV/6l33i9VdffKPdiKg8KI71SKN
dkPRHrrMJWIyglcVTPqEs1jjDsitzahpBnk2hBOFyBF1u0XGFERn6Zz9SBhfsGQ36yEVt6EmyIBj
OBZlEEF2MfsbYTC/DIRRMcqCRBQwfcQNq09YVB8rhylq2b/0I3yDaZInV+ljpszvIT1wOu4d3htp
7RPmCOvKmMQuomhc2j65CraubD7KhA4BmMnIst+7WOqVUZevmIkuCV2iyK0/AbG/uYppKgeLmeI0
jE7GyLE2nTWs7LeuAgZlD7j1GhuHUvriKWndkwJ+j5q9PCAGBC45v4wWhNokNTbjaNj3YSUwfYKh
MMNx3KMpOSFC8OgP0UJrpRetDAaAS+woIYHgYDkUsmHn8aXxFoVpGuQvLAGPYBwY8KDGJLe0uO+g
9EG06U6Wl3CmsnriA2xT7QEoPMYynbi6+X3BN0IYwkNK1sk2pb+JkiTZxtJ+IXkJVxQMs3cKyNW4
NHKITzIxlg31Nk5oAUrLfWHaDLQV/v3kt5ipcEfYrt1DDEP5kJcgFMxAo4KR49cCVlWr9TZANP7c
RuKbaC99FWXPU9YR9lGSn9aj/wonptam5ek1ZD7KglmmCyIApSnXqK4M5BEwlZm5yZMYI+fozER6
jMV0aFHZVgsQ00M0YLRlAmQTISx2ujW3XQcEVkwbTtqboWDgNWcxzSWGVXUJE9HvWJtRk2MHcgSD
VuBmXcqdMtPnCqPogdveWpaPN6s9j2PRXv2qe676K0RM4CUqMe/Aiz0nJiKwZvAV1JI4gyqPCCAI
n7F3VghvCnM7xQ0Loy82M0sUZN053vC4fxiS/DsrjSvcJ4O316lB6wREZsshneIxp9OA8ikzemNN
m9xilq+mXe9Oh7mJGGznAGp7KtseoZXFPANpUkhsVWniXbTAet0DRXhclPg47iu2HMYaorJottUn
mrXfaeZhW8qb9RQO1NFAr/E+OwHsGZrcxUKZJYVjxAKDJ+4xsApOmY57aar0G6JwTsr9Wz4RCFlW
xHc8EUClwW+6ICJSQjaRZ89APpYB7Xtjh58hzrZE+KwncCPYM5o9/tWjUuSZT4LerGsoeSle58Qm
VQbIYQ3WZ1UL7A2kVr5NNqWBHlAcAw2JNnWsia8b4ls6wl3QAuiRTOOfKiiOOmwodOSXvhhvtBqD
rcFTF3PYkXsMFYrd5b9YOrPlOpEtiH4REcwFrzrzfDRLfiEkWQaKmaKYvv4uOu6LorvDbVtHDLty
Z65sfXC5y0EoUM1O1r0LoQLYWmrCbtCHcjmCNTavsZJhex/EwbdsWdPnhn+u2sE9mQFV7aqrX+2Y
hoQs78Nt7R/7utTXOEfM75MasQ5ByB570utzs8PsscP+efHSaSKaLykAzskczwQgrD4d4JsRAcF0
0M1BfkkVQfmGdfx9mRktp/npcDasuzoLV4M3uJjWKWxr2IU7/khrYlK+eAzodeCqezrOf3tpriId
+2Q1xE9sw9O2p7ndMZuJLTWt9DTmW6LKFlsYq7iB0is3no2du4inZB0WpGlGczxVjSBfklhfdso2
m+yKB3cneHehng5tXlGPCUYYSAGM1+7JiaN+N8fVuXMaG+wmaU2m2WJLl56mjuipnoIDiEkJ2LU+
CnfRmc2tDuiSIJSN+FhUK6IrbBFM/lMq2RHOlDFyCG4fcqNBki7gkTQz2Gop1wAG/5oBrTlREHxM
AwKySo9218hDQxIqNsd8HxXji7L7uzNDmrHnQG7EYEDw6N8c39KPQRm/0ubAkYjPNYYowkrQAF5g
RSSm5pFtVnyYCJgehy6siWmrlT1xgTo1Lp3OoVypqoKF6Yk/YFTewLFDMrVDpFcyy1fO9OtM/caC
SAP3nog3NGlO2TJJd6zQPpnpv5uwti+u6dis7JGqcprrVxyEwtugsLf3MkOTI6t6jAiaQb4ds4Mk
lUl/DKRC6HmmHXZXmXr22rVTAVzP+XEbFB2LKpCTUWfoMzrp34hlEYgqCTLSLI3sm/Tf6TGHKb5l
+25uHG7gwgovtLjBYW7mM1SDV90U0PyZd7ZN3W0LKnFQH8EXLMHybObxwFCDKKrG1wC07arMPsXM
KTuAHRHnD62pJPRv+VrQaMPQPG0NI39rA1qbkyWGLiIy1IIqMV1HW9n7VCXPU7QeKqix4hsqO3lZ
gUs+TlO+eWns4jRMznqqkfzoPGKPSz0eFF7p0p3pO9kRASWhj2bweXbF2WmitW1VjSwxSBqApIkx
wYgyy3dl6cXX2OdtZOZ2h01ekwMZUObpWnQO0stpbKPCT80+T+Uk3bTtRLTW5u/WeQTK/SY7ETbG
5Ab2di0x3RwLd3kQBN9hHJqIcJhzfFlcBrO6J15X3P0EzN9CNhlyPF0JpU0zS+aQIlBqozDl+N0f
g+PDtsxtZjY1EKqCqLIf6aXqmRlea7dnptQx/CtV/dM2tqQWeW5nWrR9WjyADxJ/zBq0U/UkDYZ1
Zu+PBQS0Kmx/R3O9sR0oI+PSMp7decTTlgxYr8uWnwurnO2cgmuuRxcmvgVYzIkWa1rBSt4IwYxM
7Ya42xZZY3woW3A2aDxHYxo9dKUvDEFfRlr159hPkodxQCQtjIjOAjIxrXbZO4xIs6nVzpt8Nr7o
CSVD181nepCKwnpidgXa6Gbl0beyK60KJTGKbWK3UDxdVgRN12wLxIhLg6IzYkJlSVMhMFvJUch5
6WQIb3Y0wrdxmSIHr/4jIffy5A7fwo43S9ygbtuIKesqrpZnGYdb0XZv0NjMLEtOfoegVE5PGp7k
trGRzrsopa4r1ddaQmTDGkPzcktIp/Y4+1U1yq6KDYYvm/VVkRwybe771JNnY6Qz2WicjWem/trA
HpH6QcEburjHPnNbWGYNoDxVHpmiS6kgTFLyQzf8OFxNVZ307J7YA8E5d/XCKuL4gy2UI4HVf/U6
no9stLE1881hRoP6mUjQ9VTSiIBGK5PW23UTFAEQ3cHa4rnaOEVGk3BLxrqWC9O7TqlXBrJSUUyi
DI5VMbUzPX6JERox8PvyyYxHOHRueei6pN+aRwuTxwPvTbEJS1hUhTD2U/FP5CCXmMuBOVFFzNMf
q4DF0jFOhn9sc92bO/hPFBmQusEncO7G4tfDBgvU13zrUg6KcKh8d0K15OwA0WgAuBsds5QMbd3G
QEdlfynQ+XaCohM8U+orsY0bUJFv4faPOYTCC2U0YNdhFtjxLSSItmrciSrTwI7XAJD38MLi2bI+
m/Az7TnmAmi26cKkt7xwtyGea+zmdcOvga/nc6ljuXvKCvuYT/lfS7FoNt17ZdgvepTBvrbsB8w3
H0ZAaraBwT+NZyhFkB0DzrgsTcYV7Ipg3TjB1rQJovUcdkPc/CvgKhDCg+pumeMzdJZwS+sWMWYz
G9bMSHD9/BBfVG+/djU2RSwU3kZ1P6RLfwKBXxSkeIijzz8zlEPJK6H12bsidwfOB1jpUhILltdv
BzyOK8/f5LpkP7yovu3HNEICbWFXecuZBiFr3QItYfkcvWG+RAzyvrvEeymLRR7kuVC3AXiVnJLU
UlHWa0xevG7xlj+QVsHzk8SXrsYbpdx9OiX0xSAInSnFeVkK7FyrJjvfkqB2ydZNvf5t7CC+ewD8
uUwWF0ZNedkAm8FVVrjVbdZddGEzs9hAxhh3/Kaq922V8G51/ogofc1NKIeZUXxgBOalJrM3Uwwg
xl8HCpvXZYe1Mg8OmA34fXszPMEpgLIIGGZta562D6Bo/5hoZzsN62OV+5OxmuzmI4wD3nBIZDw9
aci++Km+ZW0A4p5FELcRzBHXip7mFOyFw9Ifbu/Mmrki/iqWVO1CceNSZbQsqnIXmvDRHLd3tkpR
f0vrKE6/+T2KaouZRapV1kRfTEKM0GbmXDEdmqsiNb/CiE1m0WafQ+tia0a5kiGgYUR5bjXG7MCj
bsYlaYNkQbGvXFoL3RQdTI/mpRm+iri7hx23d1u+tCkDkpEGJKuB/eakzOmnb4/NGL5ngpg2vaaE
2bJA4SrBhZmEKd0h7nggpj/TM5efqCH7dQ1xtnGIb+oy2sL3p1gjLuZ1n4fncHLMg4h6b8v/wXuS
9yv0O3ihSRSfhJJ3WafluWvpALDS75T1DaeH7hyGPi//5It8PVyiIf9o07ynLKzbO1mKXl6aT32S
Vs+0QO+iUeJmQf7tphpvN2V/TRFuzDkZQULmuwR4O2uYaNlsvrL5azdeek/Y0Dyx+MM7LYsri40z
ZF0IpSOZ5wQxK/ZbEuhkalJfNI/DWJzsEaMdpkDkaFpVOjvoV60V3BoDe2bbUp4RgH2kQfDq++NZ
ax69qswdAM4ILByFyMpULz0AMH70qd4yfsJtiU5++x0TKrh1oKwLrAfh0DSg+FhWljnafNSjzbaM
X6M7ghWASTy5Q3rL0lvRYTmJIahv7MB7pEeC3nGMDStM+OzMkcs38bzveb86Zc76elDlrrbBzDRM
YKcU14uGjXh3/OhuyD9i0uJMFSQo1Clt9qOR5fcm4jgeBc4+4bJEofXGB1mH3UU6gHE0uLm+phMx
iWrzPGmLZs+kPcc0Dthxv9ei0Zi3Pn3Lj75N09oKTkyzlfJ9RsI/BaHFktWH5WexPVoptpM4WOdP
Ove8155FJ9QWNqMWBWNUaRZx8Bqpfj7iT8ONInz9WjpJs7ICGb3CjM6WN0n3BqPceJCpuUftLW+N
Y2Q7DaNz9igASfjL61FYp1FzbLAT445Dy7hb9ngsXas5ufj6bGxaTy08k1UxRCY2ImOL0OrfTBXO
x8wU3AWFJ5dkecEuhp8PgQRYwFwPLoAibE1QX/BcJ5di2QkbHv3KbszrYvm3qYemMi3zC7xCRiwz
2HBbsDgag5uNTedUV/AFgmWH6D15jWgPQ9FjGqvs6NUb0o+6BUreG6Lmh2151NtlT9gCaHwtOP2H
1p1i4uCYl8GXgzK6NyJ2PXUbOYfWJztUKLg+AIUMClQkphfL5wMxKwn/1m2e0cs+dCuo+DFMjSbY
9ocpnmCM9t7JiVsXxe/cEDe1wBO/GvBHBsvlhKS9rw4sSSy97pYRMTn06IAYF8c7pn7iz1x5x2gw
saw0ajiMc/g6eWVzNBBEYGG67g4x1t1NE2MWc/LbUOMdhZO0q131VU2j2gvZf7I5wVFar0hjOWe2
yCac7nxPWoFOkFlwQAW7tdG+pqtLtSkvEGAXlTm9MZ9QuaHtQxGO0avT+t2WutyzZYLBQq8Guz9F
LxL7AIYa2QHRMtVKp619VgMYKUv8M3tV3IjpLdoIiAZG/ZMm4nGyFUAfxyufHPoQH0caglbSkk9k
epjWUaLPesyLg9sHxzBkv0lFtPPh1ckvLWjFvW2dXzunAJPDSgzZe+w89dYk49qzFpu5TC+qNjH+
64Sutmzd+iSyHYA0xwSwFNgDbkNk7HNgbDLLqzcix8pCJVpxdYF2XP/7JwypLj1EEWWWGZT6oe6N
J94xwM5mng9zaz7VDfWIkA6MAxqz3JOY/hoqWPRmmCH4W85yFAnfc/jyzK8ugkY6wsOoOM7MU2Gv
x8bbwTXDaqG889wVSMQZ6OzYnxgIMZ4GufsedS0iRdLAWAITy1rSI8jCJxwLeG8jr48x6/7ECS4U
IVXFhggjTRhT9sW5PqMBOkPVyXPh74RxAQPHpVAWPrTTfFz30hFrLRUNrLiii3FiidJGb2WEHZN6
guCyNPZsSkeDO8ui7GDF/qdkz7bv4u+irIudEsPa82J4HGLfeRF9AcSL7CZOdmM4wXNy9N7NSJVP
usfrQ21GAR1uVSANrWJjxTyw7Tjz/dEoWM4iyOecLR9tKFx43FxnTdrh3YG+S9sGw7aZGFs3HOSe
CM98dFuDMtf2wInhHeM3buRx/uymNribtqbAkKJHuqiTI0oVwHwbElRCOhGxsmE6DJzp1tJv+ZCo
ZluxV4tkm26bxCphmVHqNjkR53GdFJe2XsLn9VzuSfiaxPnD+b3N/f2UWl8zZXNnld7SKCwobOxp
EHJz8zTQytz3E2s9DEPbhEnhbqLiQn73qXN1udGwsQrcCbhrB9U/uznxSbK74yXLBo4MfCxoTTht
4pqUQVsDMc0lzgQwMlwb8h7FxT/lsVXllGSE5nEyQiTh/G8dmdMOEiFdzZrQgkYdD1Kq1iRXCjq1
V5wkgx4kBnUotB6vHsWXXpfKHfu3lzAsUL/syb00fuBeGI3XeuqSM6U22I8xr5gwY7OCBBXtWEjF
vIy3FC1vsODHeFlwHYKrD9tGEXTUOYBknSBmOnZz9HBWwlmsqq3gul9NDPpsRDj2xJYQqxSsbtaS
yZi8DENU5T6xZOf7Fx2b23j4Ye0H4L0YllvnZ0gnWAJIleg7MzywLvxITSM5zfWgr8pHTYx85/if
MjfWs94GA1EIYpYvhXiRtN+edMOkxOuR6Sya2ZoBFI4jY48TghYVVjK5BYdAFuBHJTAztGqebsx8
xdaT87nI1IeNgvXGwX6nce40U5kcDIIBO9rJStqqKQojnxFjVaGlUanFhNaovz57mmwLDUYCmMeJ
zqfw6kuY7e0I+IW/jb3CIBfufTlkVNZOq2quAiyUpDtFHt71GFxoAGWTwMfPAtd2CGa7xaOerong
rnXxRc5y/gVmtlF9d7Sxu+z7yG32Ra8OQ8rSWorXfBizY2XN8PeoMCihrMUlI5k/QluuwwpaFT/a
0HHme1JJmjbw3lWhNqheL1/CNABY1bNAmnInpwSdwdNLGRsh7zwBFnXXbRnz5mmtnaV5aBuK+w/f
35ojO2/XOrookzIhb8huNmfE/VhWH4N23qMU1PgAnXE9Z8yrLZMQbUn0QuXPXeF8UBpHzid0Dpao
d5WH0pGbE4jY2G9e/YqIgtdM+T6ESGP2AH3oSzyFxjjuMUL89WG2YoqoV7yxOBcNid5kaTgcwIAS
FRXZOwmOm032BRk8+CVMRIAZFaWcW3ioJdnCPP3TD2l1JcZXEnlewgZLgYcLUqea+g81Ni8B+r8v
+qXphknJsmnw6ZsJMzsBIMxRJtKRPrZaz7Al0xW9CtXJi+znrNW8KLGl7n1e9sZEC7iIpy/DNWMq
VORL3Dh4oBoi1DmrBtzg+VWW852Z6jdNoh/tW/KQlDWNh2xOqaRYwouif0ZERVYQFcRpE0901IVw
zBL7JExIAL3P9Bbodec71H1ceg48uO7wpvfAkbGJrcI55ha2iM7x4q5XiWcmuz4Jf6EJFicqUZ99
Q4oHWYXRzvGIGliyCdZqTF7saphuNqE66q6zxyIq980YM9oW1OLCmjspnZX7IjVeQGGxD9dptVed
S0Wwn13yNu12k3DaFVZBEnsZCzo++JUIYqQrk1OFlctTbHMUrA3xIFrpnadEiOs8DOKa+F0LETVv
Hyg2EBh+mj9Y7Sb2d8PjrKf8yCHrR+888lGqQSqbKAQsqSbpZmfPQbqgs9o4lDkC/8Bxq8n98D5j
AE0aI7xKfrb3GkKpnkV5dkjEe6xdyZKwJDKtMwQY0l+hcTNLmVJ91T4Gcw+Cq6DMFLq3+ZC6Fnts
YAWa15xnw5/NFBgn1ROnyRi19vi2viqd4xl3xq/Eqp+l2VIhy32A96X/VfPSLt4Xyc4fs2BdWqBn
SMFujCGRR1pwMtobI4b3DJGXuc+U7bg3J+FfOGAcErEcm4e2/ghz+m3MnhmJMu76Iynax7DHB5ym
zXtvy3ubQVFtwQBQErOxiZmvc6xgXrdcE57zpVlxPKg2v/eldQndsnkicPIj6fC+hiqaMHCwg4Tm
O+MNojgHUHyl30HkixuJ7HPuVosVB5clz1SQ9CQxZug/3TyHNw+Jg45XPrOkF89WMLpnA2M/XZ30
IDh1j7NXZ69o/xAXJzzB4vTf7eOYEuhPxC8qW5Wfp5bfvoyoT62Xf/UBkp8bLEUYR6f8QcxRdbQm
CxoL0TRf2MGmii1Q+HPwjl0dEQbiO9xbCqT8JawU2baxFlSFY92ynaJeVonWRqnuk6ae4GGKAoZS
GnEesIaxamda2uEKeBEuwkzSkDEftHVIMlG8yKr6qrWp4BynTNY4Pu1a++sF340BlnLcplvIXMEg
n01H1udwLh6dqDxnmenudT0MlNst3eoFaU1sNwVGbwp+yoORF58zxyvPGdv1R9/3GEj8/pYldI9l
Psj1eA8NYBtkGWhYTJcbz7OsbQJzHAkDNjpl2HgquDKrwu63Db5u1h+MU1ju2H6PjygaoVRX4jAU
0qVcgTPRr3NOwETpNF4IGSwa9UhndBrAgqV0sGDX4YQ2psQkUmsTjAqa1/Dqg/pldib243ugyykT
nhMwj2MY38YmS6+8GocdYjZaoOKpmfbMAgnY44gYSlD+qdK/4C/sRztCzrbD967GxCvS0CeuwbkO
qPTOiD97F93V9oyQDcpSgFLnqLO9+xIWNm7WqDRued7AUC+/c3fuNqwFpyBHE+31d0jJC74S7NGA
Tc+9zuytWRm/s0yWJWfPqgtrQ++33U1CFc1ZmT8ERmIfiGa9ZR7FKYpcZN/U5gPsLbrInHDdKZiV
TjU0uwAzWK8onHCYdkbIHQ/Ygo8TMVsEX6g/Ni8UO++nU9lkT4nZn5Uegp2ZzHto9At0c3pxebKi
cq5n6obPBe1ruHXme5/wdnYJbu7znse8jdMrVGNxB58tL0EQXSkFxPLpDW8QQOabLEvyKgp3buXT
u0YWhHYdYK7rgc3/rc3Sd2iG06mLqU2gBg5Vzxl2YdXSWdlm7kLquuVGgD/J5/v0pomHcNRUB125
9vNkUxJHLn8794OFV6eo7wgon3XWQheIBrmZTfWc0yeWd2T3Mdnaa6MlyKw4kSDVqqep9sJDjDGf
tUhKa0JIaanVZuKIf4r6jrJA+xisoyvKqzGCHXCq4CR7MzslKrm67cJ6qZnTa2FtEHLsqcr+GDPt
jnVM6Y3okRjH1tnEOYYAtoC7AjYiVhto7EmebFtaDgU1ejoMHvJUY2wqCIxx7WPPd0nwVYX7CAMz
rCQx6joOEenXJnrH2tHI31gdTExM/OkDqMkH0etXz/OcRw3ybCvstFvzWTn7cozgKM9855aR9Os0
KWcWks5PsLShA4uVQ/rqmFgLcqy0yBqU5Unae/HE4nJmelvNnqNO6AH0aA71LZCnTDW3iRcAvJX6
nw6Yi4OIDahffFZ+YdNKx2l5nTUxp4GxENDX+l/RIPQq35hoDvr1rP7ITiU8VWoJ0LlEEqotAdf0
yrnIzZedN+Rjg/aMmwiOsV9GO212n206/tW6kqiE7Q51BaVNdvGjYRHxb5sXVrIeoyJpOKvdTYbp
cFMFFRYwzCJM6fsxyiPIA3H1RHx7XI9SEH/nA8Hi4YEmVs2F2+8SWGginHYpcOjEoy/T8sclKR+X
vf7QHp0vqRLzCp45TyCMkkcvTOtjDhoYNzCPLaeGljUP/so2wSz6tH8qT0CW0Nx9PFTrh8w1xdpO
04PpkA3vZ/8fqdzha0xYs8ocP4XdVA4odlAkE+RSAty+OOh1CioXakz4Pdo4RkNneodiZN0coGcW
NxWzKAS3BHAu1doglLETfyPJPKZCTtzRIYbxnDXCqJtbziOMVt74aIe62LahAYbUnOsd5gpOoW32
ZTXZSBuS2+57Up3rkSW9oJUVDbFgF7ouo76+0hCC/uQpvn9Tf82G0Hubm5w8oA1DLmRPbQbhBjSa
xwWBuoF509RMcoXJbNslF58i061Gpd3Ni8vGWr6IoKUMguR0rnMutTTkmBZAD+EEolk7Z5X5oqwf
R7eEKAnrDK5l3NNCAeJFrpSYRPaBdoMDXtVPr6BoN+lwkDgculbVYC8fAGSBmWcfL3H7CIdddsPR
pwKEsvYLzC0as5aYJ105MxgBa52kDK5pb1c3SqVvRQC1pTWcK7movWUMEVyI+q8PcjMU3UHPX4kn
t9Aq7LtIIESAwstWpYFrmAtxfCjkxmu41GLykauuaOnKyFg85EXFQyhL9C6M5ef8WPRRtc1iHtFQ
4rQJXnVyZ72zkMopuuR1oBv31rBZA95BkzlnRY/WqhOWbvxJkuYKwlE0tpVyoxP0aDK2/s4W2npo
POLVUAe2Kqj9U03/VW3ywKqWcircghzHVAnE1nnqvMbcF174B55LD2TAgVxaJRh5I887uQ9mSyaq
sHwCMFFxJcBFnZ5BjT1+rW1NcQJ/EEg8syyIPrTvRpJMB1cEhxhJDocVx05bEE+YHcGlYSzeRPHZ
NqzX4+GQR2LFgcpBqXcpkjObliw1Pz8fGpAFGFTawCtCr4RAOv+dO2ToKPT+me3ij/kw4XD8UeNL
Sm8KwU11IFoR4LMU2LJAQR7AdTvr1COjN7malf6Mr8Gx9pAC5CrzqfGlcCVe9xXBJBDzPlleu1jD
xr76OoA+1ksshPyZ29FiTcA6sX63BLWAikeFaxfGDfEtP7q2RY8tGbnXYBwPPEfFWsbTuQvcK++Y
iqu47fae8gHXL0nw7EUGcwsqmwKQFIO4m07XOHWJX2ayW4H4xA1rNWcMTf0xbGq8Mv6XoAni7Bmi
2c4e0Ruafy4d5kjOwLzzWZAi4E8Gvd5Zy9md5qkHEMjYVlLX35eGxvHCdsxR/b2SnKqbYXwqcHxC
w0oZYwkUZ80QY4KEhzEx8TNEW1ClEspBXKne4tx64oJN7yi0ehPCX13nXUTy3wUVQHmUOP73BTvW
7zy5EfLtQnmNT1A2LglBWwxF+Pgnw9m4oorXghpMIcmUuA4vgam0YGMoqLHz8gVnUbgWEz5pmMtd
2IlDEY3dDe0cdgj9TytSiu4BsqRceC34ILL5E7b7Oe9wvlp25extJziYfTyeJAbEyMHgoxXtxoMt
Me/b6gAAynvtJjw/Hq1h20z4PtC2IN2105Bj9GpvbB3oVyjZB0YFzA62I/Q5eIzLqcB93bf+hfz6
h+8qjxUHWG0q40+YBO3jLJxsbUYKm17cH/GJ8LlHsXvoJuU8KRAAvKTs8GMhCww6PefpRIjHUq95
c2xVAF3NZRvU08c6afvJqoLiVcREf3mh49NT4ZGtyvyoaDTtM2w9VcN6IugtjxdNPHyOecWeA597
7WOAUdOj4UCBxIA6a+zV1mg85gFbUWHJP6OmJjs302xPHXY8WvNzXs1g7HjPF7UGODBottrR8IHt
W98i1uS88sE048+TVOVFdZ38TcuAfWmKXuLIOToIr1LXejZaVsUhbIWI/ptQxOcyq8Xez6ppw0kO
jyZGmAWn0p1ynT4FndBPdRDRXY6JBFMK0YoyHcZ924X/OA0bG8vk/iNvd4e9BVl89JAQli4uN/lr
+sJglB8JwqSK7a5bhY91URrHJukwqtqh/C52eeHGe2uE1ORMPJL16ItN0zNQ97H/aNXBPw0vhduf
Q1zsNNHRH9j91Q3pppGWQ6AI1cE2mph9r6p2WZ9DymtQaWtSa5hA++82q3dBGrR7p7X0nc5K89rP
HZ3qpbxEldoPmvILQ4LlnFnFbWpJ6Kcr5KHm4pItVR514PFcjXR0qy2fX1Wg9ARs93Tp/rWVnM6m
7d10GepTajiERmc4UvC8Ja/6c9/TEDSV2fsPiaV7w6r8YHvNmhrp6MBM+Tn5FDphoHYvXfrSYlvh
SOubBDARHNrQ+3IF5MI0z2ji86mAJOA+bOmohbIlvlkK0+zlq8+pw1kac5YKSA10JEYvrua91gw8
XgZf0XOIV4MxutsUCeUU9UjDOB8lsV4tPrGassif6OgQMn+cUuDdKP/es6GsvWMZu1F46rUWMLjs
Z6xfzDkO6BAXVysGzlPSNf6bHxyKAkU/b8W/sKOZyZk//xvQp+qxzix5ait2rFnHmrjKZH2Z2iE7
eYJu1eEnS8ruGuV8gh7RsUMfmz/97OXX6dOVEzB/l4rSmCADXVcYFoPkn2RrSbDwVwkfJOqyV+qX
PDOK7jryy/eKRoZtZv4iYoRkjhpcy2yQRIzt1hjQLmVrDmvurZJFA10NhvXJaTfeBrDHEqernnGJ
4tz0zJcwyOvn//4Tx658JnLbGzifFHXoYZE2axwhuOOXhKNhfMycV7emwAiE/3nrRnN4cEP8ZKIa
13AdxMW3kwahrTkXFqUYcQSWIkykS1vuuxEZ+kQqvT8xwD+gJRPsoAMJlESC+JDTlDKxgO2rBIqQ
ohC8zMRlzJ7nuG7O/swmtJJ8sKnqwCPndrkKraUD3LD1f+fCi0l3qvThznA4/IwmfXKEWbyWHb20
ipigzWS5L3RoHILQIGEYOrQUlDHUjo6PNgiUvckpq6OynqEGKabd0Or6PTQB2XoomrayB8jnzhf1
l69imh3Q5fhxZlW/1+70ExLxPOuiC6+pXV4Gb7pGtce1FC+d69PEk7hj1TBZsDYSOaBidc+966pN
BlGNWlCbQlJMPDmYfATsmOLm2lY+hQWHILAitrWfZHPtSyJid23NxG77zvyw1ORs7ZDjRq2li791
Ks41s0XX7N2yPVfNrI5sA9Qxrbk8BndAtMnT9tDSnGeUA2OYjA7AwBQBKbCbBQXWa9PKvpRFddVk
BKshMZ1VAMd92/TdS0Cd7ZXX1Grseb2NObg9aEYAa8ycxcpA6EZg9eq5dGDu7Oe2pnsK/D6Bm/Qn
iaL+sXqEF0apTjqa0KjICkCYJWrn9muW+igCgDhD4x+xFIz3MeW9kd4HbujuIInooxX0CLB42DCV
4evxARF0C+XOaMSmcKzmplmu4o3Yu3P8HLddfRBugyUvMNHsKQ59cAi6Hv/7UuuMe2nwifwr4HYR
x7YOCD4/YSxEAsWhrV9ipwf14aFBLu8ATLNLowISBaG9vRWULyZ9ikv1CqkULbZYiHgOm8VvWnLt
ccSNARxs0bwly9dseHQINVy8waPQbPmIYjILgffpEeyGDAcrM0eWkhq85pw232kSLu0FBZbtpZDZ
SQQ7PWs6mmP4qlJvPMPE3qUdR4l5vvE7U0M7dkyt+t9/A1IUuZyC+LFkVDdxhjKuJidX5yElFLgv
w2jt2fmXnVenXCEQURYeE4bwD07FoT5wZ25X+dGP2jv/9yXr2L+i+7/X8fzWw+5jiKIuXLAnVTbB
nMDLij3aH/siI3kJJk2ErozHM6Yd1Mz8zlruyuMnOSptRA9jUhjAc9tt1nNqIKn3WUicZsN27EB/
1llHP4WmOZfcKOkJW11q0csteACm9akBrzcMt9xp/0TwFdfpiNpQ006Jobv38VAsX8JSmv//p6ow
H8LO7NY2eeYN4JhfQirRQ8M6BgXfNXZDS8y3sdXJnr0Dr4+DxlXA5zbmt8KzTxAyMQByetvanvXl
2V1JpqJRR/yVelW7Yb11ewRAhJBu3Xr2k7TBAerKWw9EzB9gkDVHB2DJQ0IdCWgBKI+mRbg+dnDK
JbTNRgnbaG8B5FWcp/77i2NCJtTsecTq+vAQWc22LJ23IbTxHTSFOloxj2LlxOnaRISCuKiaPbH/
56GNdsrqVmFVtcdaUhLoyeRPa0+7iYsNz8K7Q4Hx8b9XBSehGhumKA6BbWwbXdK+UVrk6hNMJ1j3
WG/AftnGqcVivkZpIjjlCJR+mph/ZqNcl0M7HmM3ZCijYn0e0novtUatCStSdTYbRhUX4pCXeQhC
jH5pKK3eH4XohS1koPmE6WgTuka6GcyPEt7UtagLfTDATeyRkepzUY4HNHXqxbV7xmhNMHzkiON4
E4tBppY9hzsLPsimCsL25IemeUfath8UO+hvqinXY4sRLE2aP0iaa517LAhN/OcmFRNnkoTNEnHQ
bxHhLuzd3IF2dGQXR9FPkXEurmuwJBDwdq5y50uDTyYb2LCaxv94Oq/duJF2iz4RAeYibztntbLk
G8KWZcYii7FIPv1Z1D84Nw3LA3gkdbPqC3uv7dafg/dgaueZ+8R/9Ru32EuWYkftKPtJB8v81IF2
UrV6uqoAK7Gs/d89kLpVgyOh77xxD4yIXarxQoyKi9fckDtYwdmbsof3UE/tNSb5ZQ3LKePNHUmS
80f+NGuTkQV44nB+In0neg8CUB0aMPvE5HZvjNHBJsqc030Sq2mO5nOKeHNbhI4NHdSrYGUCKUjl
yKQsnb8yb/ynx8J4bmuchNI3t7JLGrQVpn6WOeFzmbfo8yf3XA+2/x65HY6UMBCLbEE8IOfEHEEe
d5GLL6FOLovkP3GfBOuGRNEbM6XgbE0I0tq2Tj+q/Bzm2aF4SI0WdFZ8Q6fKYsJbaUn+N1qe5BgR
WCzowvqu+GocQEF+kdrbOSFccuy6KzgBfWyT8XUUyLWThDurirCSmnO8F55lXhrR5TRzyZdJfOw7
CKVqA8I7eAjroThkXGZIWfpHDTb80mf5I73UP2yvi/mLsHfyAN1RDrfRCHaNoSKEcF2/rwF6HrI4
3MTDEH75SD1W+Mjwoo/oHnoQ1qtmCux3xUx4VYPWhrNj1ruuHW/QEIC+ZvUVHtQLVuD+2PlZduiy
NmbUI6ajb4p3cmyXfGOzfZU0x9as3X92Uj1aTRf/hmxHpm3KhrpRToGg3i4fCSTAEU9c7cqjfb4U
4kRTIA4CYccpZOJyHruoOAxBBOtLlX99oBg7z0ide2d0aGpE6z0jye3W2kjy91Qg/XBD4fyaZf1G
2eLubPRdpzZXeDipxVYTxJeyqtR3lYhPGq34M4LUsVYdnrmpkRTG4DCtIVjIV7G6GIDdLk6EtVmX
pvcy1RX/Vfr039RSYnzvXSIL8aZwJDJ+MBeYW4q01uxu7BDLs0/i674lTKaxe7gYRfoZzbhw+L2G
8M0XfQNPc0aI5oObedvBr6pvj8d6cp/T1Er+BG4Ny4FMTMwDMXWVaOjwweP1WeI85PQGMMi28bal
En9uu05svNy27mYbPGLUYGvj+M0rULhkxSafjMWMlQwsOObPtfiOBoTF5NtsDdnUN7gE6DNlfK8T
BZIP+SEbqQ7Ex1ysWtUfWR2TilkHlzhgPd1aWIGaafyVPIRSAFOKeA5dND9f5PP19vhiD57zhQfk
ZjCa+ErrV6eOGenX7qetXlUD6UN0jndF360eQB/hcJsAWrFfKPAP5RB4rKY8G0wM37OF9hw6wQut
pb3LeDBJyzD/eFPrvWOEB3gE5Yaeky9bvLMrNCn1xU4N952pFtOW0HjNXdhcbmGrpV4BBYre4V0n
PkgKnGPRDCPd/7GPBdZ4kDapkaRUqde8xSng9lh13Cy1AdEhtbZSKzqbJRVs3MXN69gN75H0bfC5
J749VrSlNp5h5U6PSTyhcMXA3kWE2Vs9v+eJ7ckTdwao+r54/d9LfIhZ4L6IhcI2KHR3Ta8evb5G
MwlI2B5cY2syDA3iUD98O4ZIXiOTeeGArPTEDCl7rdBGbPJuMvb18iVOoByyMVsBDddnP+Idgang
kWBomPUm/PnfIHQ62UiO1iF79nsSSQb7icndkaOLbkUGiGMaH4KcjKTlq6Zt/Cc8zeufr5TIULHU
Rn7ysYHTZvTrmWr6lLQyvoYto7va1/Kd+Otxn1Af0dlH8l24OY5rv2xPP//VqZwnwADVym6L5kQ2
sGSVjcs0g8PqtnUBZWxiiRIjnGS5CCAqzjdB1734KWz6rovuvivCs91UV9Wx3eoNlmPdAHhQEqa8
snFsn/EwOdvRALTSILpfu+gut9hdmHQx6gQrvGB3yPMgSHoyMnNflS63MtGjDEOdR+U37b6I/YuG
RMiZz4loZPPemNUhqu3kWMyokBDvbntmvSSwp/9Gi/SaeAwcPAX2KUzL4WYtNwvfwcrnp0S1nUX4
6YJn0tjd537aCpckhsnC4FCYMRNyL/znQr1YG14abRvwSlg+KD1EvDdL9kPgJzQX8NQt5fjeIQzs
0uSkhkS5tYUVF+yoteyTmAumVfqVhmVma5UTFVEvCrq5vxEUZSDbGNqn8kgyIfvZCH4yvAZo+ZyT
h9bLfosqTfd1Bewwdc2D5Zt/bSMDDj1j0dFz+WpVE+lno9CMw1soKjGaA2R1AyMggC5JtNJa5/sy
8c2raGqkVTiJpIt+CFbOcGTCBVg5bdJN5mJ4aUYzgSDDN5p7VrTNSzpUpAw6KMpDniK4ZNS2dhuf
RaeHLBJWYo/gi7A8q3pgPPjCT+bve3feAQjyHn9eZrVISRkzn1rTx0Dl4EQmqxoa4ddALYar1ps3
IfmbKKGmdWdoBo2NlewSQ124ezMmLPS4Dm8KuuRtoyx1n+rsyUC8joeFbVSzOJoG0yy3PP7FmbG0
5nT0bYQ5jtqQftaSC8/GB5ENz7tOISLOmTiY7Yl9mTo1xeCBJBmemyBaAo1NkxtuNLZ16/wmXXg8
Sz2N59ZriEvt9bGZ/gBZmC4RvOVoaZvbLqwPFvc0WWXZCNs3ZpRLkk0Oe+DqwGY9Sp8do76wNKLl
bYY3IDfttkIBq2v5b/BjdZjc5B25AESMyaZnx3tSY6JD88JtfWenA5cS2Ro19PKXXgEW1poTtsQq
fe+LNDj2uQPD4/9fstnYW2nv7hKR/k2zVCP84Bo/c5RfwHgHqDXcTCII96qNSPDc1CRE7M2UTI4V
spAXUwfDSVXgIgCqp4dm8rq7iMPsMFvThHc67++yjCDMJAMDV4F1kHndWTS6fujMSLDfSsXiSkZE
NTAhNIPfItAEBgryvV3HfATMxZKza8FI+Vc7yvzzz1d1o9n0iPlzGos3g7i3lRGRG47sqr5lIUA3
T9WfymXTwdAUbwrt9qV3G5gBOGNERmwUR7a/kW35rnyUNAofCMmRxq11o+e4AHusSnvYqrQ27p6S
4b2ls8gFc/Pa3mndhs9MZn3CmLGnSJ396pE2X5Wr3QcVjg8Sf8k+X5IM8Jbp84wsmgCMYFe63ndT
VV+ZxvGrvVkfB28O8B3XFEIIRFadWU9nrYRCEmjGG5kmzos2J30x2izDniCCA8g9fClQfijU0a/N
i2nOfiAhEa8CTLlV1wU3l/nia5kB4G1yx2bD4FvbLB6hXrTVi3AqbzcNYX52q+GTNAsCY5d2sJAl
HGmTqa5OcrzcwfjQGdXKGrExe071pedGPNkpyeoGwPY4geGc4+y2xkXbN2do54DzxiXlVFv0t9rA
jJDWwJAIKUSA1gKujd16J1iVF/nMMVpktyAqXwaa9BX5rOUViGMIDU78DSfz5vATHV2PPq6qs8vP
C8fgf39i+g25DmEyJnT+rjSikBouJlVeTY9+YnzamGlXcdSV29aaxsd4rJoLHeI3b+wb5yzZHIHo
Hwqkg21m7uB3nBVX34Ypgf7VeRJcXfLkFZO6dYUezkUuqw17z+4X3JnnVnTPChH/xaaCZpok0RVK
OAtDoOOHSqBCKJ0FU6Yj+9iF8avJpOXBGetL5dK9VAOZ5D6fS8luYz2mfYBCCW8drgfVzbvyM5zc
/GLqP65Fi9tK/4WJiX8ycU1CoMYz0GFoxI1z6wNo4ARPePoCDDm9wvZIrmETdMd8Ng5u7L80eJO3
AUftYz6CK7bYiawnA3S23w3eAXZSzuTM/xy7BFWeQXonovv3vpnR7BB8ghCo0JgteJvyDDEbnTZw
CNvNrz8vVd8k2zqei3XGuuC/v2MS2zDmI4j5Z5BKaziRBQK50eBxL7L5FPn6b+Gk6o2xBMrNqvzb
ku/tWf6RphzpX8o0euqiVyGiADh2h9CjHfmI1c5DWLjOfXSbTdxCHghixLiE6nDaLi+iLvQ+t5Te
Ftjb0c2D/MkL4oSR5Z+s3nE2Ar26OYfp9eelhdnPWMq7NVk7PzYlayQPhCRO69Is0LrNMbANYUI2
5Eb6GBom/cxI3JvRivy1Bz728/fLH6THHKln832dBzbgvco3jOejY2hNw2oEAQCwRT+zb3eOP5ix
ihXwzqiDdlOHH9oT+LYwwR5SpQFVJgtQ0gFB3+X3nrXRFil7u6o9wHSB0XgEOEfRpR4eM8PB9FXT
6TES+fYS7xAWSxmIirUJ23AHdDnYRpabESReeeRqEn2GvfcaLOLusMBUD6HlM1ZEyqUpn/0m8PeD
XzP3hFtANsOvIu5xcy4vAQn0teIWyWUB29jpOrLsUvCawnaezURddZ5X5yH/5DdprUBicshY4j3P
xcEDdc6nw79XQcxALzMQCSD4bZ2p3MsWPUbIxotKhKV5L1kcRbS7C/2B5W3wj0UVpsxE4zrv0leM
npKrfGJIh/o+cQoIgb5EUY/ZzpFgnM058s4EMvjnYeIKqXiqkUFbu84QX0Em3IvqUC22VQQxLwoO
2ej7Z3N0jFMIMyKvEKKgR6yf3OVFOfhE3Rcz6FmJDDylGYOvvaKGf5hq0vvqrEY3FmF/w+sZrlrS
PLeLldIaonSb9hHz7xLsWNW0PZafvqeC3dgGcz3Ug92ZuZneYp6G6jG5ICQ9CWqlS86AI1ZeL5kj
L4EKA5qtC1B36CvG+FqQkAXGBDPxYFRYXuyouJEDxLSKGd86ju1nKHdvzAcpVqXMOWGLD+r/7AUc
8VfrmF/ETeJPWsSTRsa3Jg3xGEEKP7ddTrvhj+/Z1DH5EY33nGA3ySt6VBsf3Y4D2EF2R8Y9W4Is
cg4d22AfCyhRhNdIMyL2bXRZsceovBSvVkTOPUz1YT+hCT9bknRUN472gSYAoqCm+Sm7gJHl/BYn
ueNM+EzRCpyTBMX8INurSNn9h3LUW3ricKWHRZjpsjEmvXcxMi7+O7gnjO/OzOGDreZNpHSoQojB
jT451torfGJIFmhX0jnVxY+8nOl5wWmQdp+FDRqsFbjssq5SW68xkVW1zQmtKSvawEMdqMhskgHL
8Xuj+S/KWMRjfU3KCUE9tPMNoS6FA6gosj6G0GfVHXMF+TbQmC4NNjNgPVI41CPesnYfj4OHbIG5
BSYO45QvL6Uu/nshr7JlkePGWzvBMlfBo906kJiJogFU50maizR03wInlYdWLWFcWWwf7Ca+YmrR
14xUkdxlALqw2ZzO1hd7sj7yUJkbB78cm0dv61V+ePBi1zu1zZOlkvrE2zOh84rOY2FCBu86+ZRO
eOp9cRbCLs55Ka92OgXYwwq9ZQxOCCTHKOBnBtV9BqwuLvtfFsrY04yL8pqCba5YHOLV0XAL+zcI
82oTulGdbMGFIVxhzQFlxHzFsbYtZBTeh6qBQBHR/tW295rW43yIbUvsDAgt604kOTdBxnlsOyfC
0dubrn0w9TAqRe3Gu1g1uFRleyZ4t8Qpqr+Fa46XOBtGxALU+0KUT5YnsXMF7GWELzwUjOG+DgZy
kMf6rebtx3jd3sNyPuDQCI5WXiSbILNfvII5iiRW0yG6jGYHU3EKamD9v5ekfmiXFoA9Jsu1D9vK
vjuLzhplRLDqbIQxwnqKbSzjY7iACAuFGR9xJ4uXKxtRJHxuChs+7ZH1c/avGJkI2xsuXjAEl58/
5azSfTbioyTx2cOoauUEAuZG+JgO6G17QOEb2qyAYd9UbXHML6QwjgF0ilwDPpoUxS/IDum53WAn
i+nMgG3csemLjlDZfqOUf3JCFk6+6X877BvXg+hQqiQkfUV8HN9NNR5LKIqk5PZPjZLZQ0tfE22c
RBsvURgZT4pfem6H36aZMl+kjMDID9FpdqZXlEvq9PPiDK7Cuod9H17nSTITj1ITwSbiIR2jyGil
0e3JYU4xcTAjafxwJR2ouhx+9zlAGektq32w5/Ymc2CL55qnLklz+mUdvGbiI538aDlfHD6hxB45
Qp7aKWpIBoJ7lRIeyrm0Z+737KZIpWbR2bC9w08ewPwRJf97aPQn0WWUrRN8nw7BxAGyXEdS97WN
QELh7bRw9aCEm4Fwzj0fHcX6GYqoA6J4qu0TMtk/Sk+4CVI1HQGfEsxSEFziaPTNTJVmLN2zfrSr
1yoY7mLs6pOyioOfLPPy3iieW0m0EwbbrQUYguOLFDtXtkT8JF13aXBkks4tMoo0PkyYnzqBKCzG
V85M7zw0WNdSa+hrRmSlAVo59pGAJOqB1iVFKYf1tMPTIVrakwaA0eg80upzOIMI8L1FclJM49ow
OfcaHWbbdmzuvuNtCCyft3oKLkmH6BGmzSNj9n23SnExXaKaJzipi24d4307jX7xL3HU62yZZAfB
SEOKbXvb0Rt+g4Dot74MMD241rk13BdvhJuA+K/cMftUq2XXhoKEf8nVEFuQcpdhVzz4/QJNJevK
rEgM7lA7QZ2R17gZiBJL0PxmhgFTJEpePCuEiJYCWfQWRx7xUuNVV/CSW2K6WTf36lwTvGKzBSac
bRC3yvidMnw4k9aB+5cCc6XLpjpHk47fhOYqnlKUWLbLhiEJwNZok21gnO99oZpznlaoFwiViTYK
2DYVfOtvIPOsfav8zGizd1GFIMXLTIrcEZWnipjccXFd4gYlWM/Ymc/VfAe/9V0qsoFTtPgNtCEY
h+hl3V5457RyCUVWAUuFEZRKnH4EzbcaW+4+bckVE24atQa6jE09yFKnuConRqHuIFHnSm0R88sN
i+9203B0b1twSN7YZGfTEWvXZU5jS3gslDh3vM8TeQPzozcjnfQb+cSbXe3KBNqbXD59xWxDIcjV
Q8nleGBvh88OeeCqFcW/osfPMGgDTm/SkPg0CkyGZXOOUQCuXKdobyWLygd+ARGrconjFFKLMhGj
6wYcTzOgaOmgzyTF8CZigQQjCrH41Z0G2iMnJhlpShhIX90I8BlPXuoxXDcxlyGm2Fls92o3AKcs
Qb+67Gljj/UgIZV46iftX0J/AnvLie2iaya1Jw/A3wuSbozgPKAw3GD1JIV5wY91y8iiOc2K99m2
9ZOG0DTw2Vv1LrByc85/WQVRTIHxhZWvOZF9VJ3LOAWGrCv2GZ8Q/LDMwI2Cbs1N6Rqd8ZGO7V/+
5Udq2fgZR/a3N8fDWyOG98o39xgREPxakqHT4Hm7YWxeSsUALg2x1Y9Nw9aZvIqNaOTGMlhLl/Qv
HOnuSfPLOSdjmW1sJmQ0eeGBeMadrNWjPYvk1vKeZeFRD9jNES71YBulcUV/d58ihAoeu4t+pUfK
ENQxzQErjkvKsyTroxT8m1N+TaMR2dGMrEy7AYg4s+33DWk9BxRs4NiJ4uyQ3Y9lkJ7yvPsT6BFp
VpTFm04Pm2hTzcNwwiX3gdzQ2MMiAe6N2ROshp6eY5aFWwsewUpXw7QbR6VOYJsg94/VXQ/YIiv6
8S3b8h2i7XE/Fuk97MEdhVhlRhueLdkb7jk0FY7LqUT2BL368vNChNnGyZV9AXeGnfG1bDvjCXE2
BudyWECr/VFJJoe0kgtoCsju3L1y/w6HyENz6wW/KdDUCWp7dpcYcjCWIJBUV6MDU4F6nPDRgc+X
yCGSTSbcG9uPLnIGQZt1xdV3FdBLu7FRpfvN1WZPix/BIBjTa5EH/Jsiq9xI1Bj0IfWvTBNHDmOv
vZYzcSoZvOY9nPYAkPLRljj6oM6LyNXP7jAyLAEfkLuBt+e+wGHboFEHL7MXjUlmK8E/Vc4iWrW0
MF6TXhmvmsdq/oD3Wd+swvk3NM8+OQa/lMs7HyWQUUHHUkqnkXUeMriXXWhSckugNrOR20c3tjdp
eteUC4zAkd/0tnEotDFiyZvZ5IzZgamXJAQunLF3BVsCW0fY32zVAQCkGOym/gYAP7B1guiqtXZq
XPZlLOMcyZ7MLGP/0GpCekLueNgdCGkKn7kURk9xzQ1QjD2VxlbJyLybE/kcRgLnyIwRRyVxKIig
BahZhPyYtT0gloyGY5ag5cAR4a8ttedsYW/qy36Tsxr/n9h28EeQh3OBx9qXLIMCeKy2scwziEOw
i3w/mahewtY8qTjZIIUd7j/qRIVEJHX0mTIfIuBgsU9uSu/cpyO9k6T5nOfMevC1aZ8TCe6gYOpa
zQgvAqOX1yJw5VWR0LqZiVdc2ZHxbJQEC8Gk2BHyJh/RtSP+QMsQSAzw0M5jgICUFSPpPuvG9ZPn
hpZ1XxlwASqfdgctdrCnQqiTWzEiAGNrIXZm67dXq9enLvPdvWDmuO+G5Fa3Hoy+2DUuwH7Xtd0d
7SmIT1By/0ZljF4pzq6uYONeDjwMXAQUrno6sCNziFPr3Y1jMEIqGDsPNfEzfF6RQbId9OPEPzP2
ugWD++Y7lWBmPu3JJHweYyZaSV6us06R65bG9xAjKIM53IweoU8z1O9nV8z30exAT01JdGnxETZB
M29mFSN79LGu2lb/7HhkTDTmElyDQ3Pjm5Gz9Y/Ep/pXD61oXzblqQyL2+A1I1rR50iGeJfjsjvI
cNi6TgWSe3L+RAFhkToJftUVKsGkDfcizYCoT/419DqkZBbRFU38lGXdZfbj7oGwLvKkibHJikNv
IjlQmOTqaULr0+LFSLA2skRD/ajN4BA1Et3m7FFLvhgYp3cxO6wVAaQ8BZZHye8OTJyZ5pKCweA9
DzC0EF6UXnv+qaphKExWXr75OdISfLn8lOKgJl+cCpzzqyJBgjtm0GcbYsJXbTHu4c9QBmXJRw7l
BIySebUaJ3nI+JZHZL3ruLDRJSCfRa4af9jG8Li42BwDFrR8TUeHQadyTuRMEmrfZ+PaNR0AeyYp
SVbLdyIkmk4XiXBUXMLPtveqQxT5AaP56Og1y1JRWX9RKO2sGViebVDMp42PjYltW5r5J6yNNybz
5tE0goAhW8syKAzxvRn2l4q89iRGh7UFby2TSYdxHOVR7e+Jhz5yRu+oeq4BQZl5Pc03U/g2Lu7w
jxqH8xiX6rdRBQyNjVsYpMgw4vIBd6O5JkoVzndD0BAVEcjooDxZZt1vaO2z9Vz7G1HqrlwFZSdO
P8e+XVruOrXGZ8uvf1UUltfSc+hImqHafhm9qs/mc6i7dju6AfRMCHQXKzUuoYq7R7G8aJEgDGNK
hxLpmGL0EWHBMgeX2yoqMXvAHMAlxplHlzLxuSm+QidvrmkA+HAO5DHy6Ny19V6mWCnIKWy3rRHH
Fzaxq3Kkbmkb0lkiViYCbyEMqGFeEsli9EdOyOwGo+m+yfoZbKD1IEnyOvE9Pgg1TTeNrOdWyzzf
TinDENOBH8R05WLr4Bfre05vZ7hO0LPAlifH2iShRsLR3lgaoyGKtmqthxCkTjlduGKPSZcDxxtU
T6a2M549jUskk2wZSiciD9Yiid21Tl03Qz9D241F/8xq8m+nk+7k4rPCGCQ/+4ZQ0zKzf/moIxOI
WWriBq1cOjSKU5LfPFzBcPcOxLwOqNSybWrLxyquk0NReB8YOqK9R56DXUpkEmbBrIAwiI/KBUDX
09pUDFschG0hsb2jtekoRRFd2CvUm/LWhARIzcK+2pQ6EUPIsNR4hwlUMWFV86178762oje7QXPK
wO7QtiMRJxbCp5iioezJ1kN6yI8y8Hk6A1YImSZ673NluxcRKZq4LvosqiDdCqzN65w2inWncE6E
cLjbRAzPrZHQkzAJ5nnBQZALXANzaWJhb/UViIS7rFtOfqq7Ywf96GrFZroTZfjfz/rzA4u0Utcx
5mMwwWYGN4pBYfkOfl5i0UHPk27zomrsp4lNqAVucZZYAVeO11c7kkrGB6NasrT6mpM6KKfbJEAJ
jBN89Z8v++WTY3hRz7W9iHCXL6cR6zJS+zXpT6CvBqLsK2POdlPns883fLDsdiyqrY2ISrexdzEc
DIFqLA4GReB+roq3NoekAsQRLY40r2n6t0tyA7JjTfXf67c6UnLTWxD3qgk5AJ/6F0sHB6HxhM0p
8AVNvPS6JMV9XE5AssUepcmexGPXS+jefOlxvaZuhnxhnMd1WZTzTeQiW7M4G/bmhJG3MCH4tmXF
XNgCpy0rtValvkZRXu8aNmgESKni6jgxtlEP71042xf29WxlJt3ifYDaUVZM+o0M8LtvXWVBxVWE
ASZyCgVtBc2TALyHtA4qGk7JnUlflhuReVUNowHgd+eQvvEso4PfG8mW6DFq6oTU37SB6ssnYT0q
rBOGOdVcYIjNqoixtPbnJ96cVx8Y2kEbJNe5BR8eKx82JX9HMWDv7Y5E6Ex0e8dyXkpDffTI5dFg
lZtGclZnsADgXANiDnyqvMCoz7boSGDA0e2RTwMbSZS7gJXAyguyr9QjjM+QZXB1PZTZwjQRiZXs
TbrqRCjYH/Qy97GX5aaLUHzXAEJ6MonvGdUcxRYJJzJu7l0YO2zvqvwZ6X97mMzir26NR7TF1k5m
XJ5w4CUaO30S6LmfRkV6cirEVanqRmLNbmi6mjmyNe2Qix08p/tO46B7hSLFZTqN2WYQzNZgHYcH
6baMUoPmzcW8tpZVQDhWSpR4t+RKJOioNujHKTm9kaZ7zIdzbJGB2NWcy6wv1/Eyufd7yYxahECm
NAWMaz8mLs1ITC7ISXNvsnUBoq6YdyUVFAwXU/Q+dp6ZmnjPnlWZe0+XxFnyvwQw5LS7QEzLnsq2
Dm7j/tOVq/fWHD1No4R5l/vlS4NkAsNQjeLmltsyeyzTLFnhUAv3PzfRQLdEeqAiEi39VsH0NB4T
YDUXHFCboUH87eayI/jsOdCEO6JlHDw2g9WvItO7wkHRwOLoGBJ8tfewf2SDmC8Gm9agDW5Z/9uf
w1PIEmCTyurDy+FRyea1dNFAZDIi5qJPLsD/bgEF/yoFTB+D/LOX500uWMKgbPfA0r9BUpW7ZCrO
ePDrzYQ1Z9MzZSz852RkdZBKUm2jDbyD94AjaNOQCbCag1uVamft1uPvScR/RkCN+JfQFHd2/Y/q
65E0dLpn7aewxuaFXu2i8J4KBA7muQ777GgqliiKiqLD9nWKk7eUMIIrH4qVVaHRz2qXp9fkUhha
72OQxkh4ykjFYggibq32BJllVxFJflK1dcROCYEnjdOtyhXyQ4LsvJRlS+IyesBhBkIhSY3tQJLn
wFiYk4WswCmAUFnNPBT43I/2SMq0v0xNOvGJ73LFdcCVRkgr4XvZhnKcAhz9q46me56QuEbr/Wal
LXTRJEVNydZs3RJThpkC+LUx2P3a7RC2RpywcWk+mjq/RaRMBDnrUPwI+c5HXblc1Obi9u5gHDjM
8zOJ/9IrbLSYoQE8neaxBISZeGrXRICCeBIaZgzDMsK8Wxk5D9Qg03oi1G4VAm+xlkmAMY/nshr+
NiNadFlk0OiDprkz7noutZq5tDQMJBPNFTioX03AI9+yCEWezKeZoz7Q4cvQ28G1RMWAUpg9f0WA
imWH5SXkTEwU8FC7yqkcGpJdR4a9rYP2SDgIZAglONhx4GxLh/rCtlZGi3hs8iBH1mZ/MTM0TDw3
x9G3PwdFGnUgQYiC56j20QBv3sMw6SCrRmF3s7wlTtEDkjTjIsU3G7Z7li/pIWh69sMuO8G62NSz
d6gLG48pMJaL1X4jpKBq9B6bGPdd45KSk2G4CRV5MqY1/qUAy4lC6ljcV8V+hP+BpsXmwUdYl8NL
B9TePJF7rvH82oiC9qInXoFNxYai+e9g4pygOnRWDkS50aH0j2DzMmH55RRsOVoknNA6gwo1tM/v
VAK41Iz+yhiQhNdwhXWhxTQWiZU6JKRzLx94tUKIgfWtc6F3FwY2KGLD9jFq2alK98IVJKF08FhI
itpqZYbHeQzC87tlmGQbT+HdwZ8Kc2x+MwzpHOGdPFWOQeQAME2/ZrynHVTN2vsCdG5tk4zyfmKj
VRvYNB2cTLQxiBWdNAD5wE1SCaYbCveUmWGaMASe4LSI/wYzwsKp0+9pQxYxqr54601kHuPh3qG9
Ry/jvlGoVutq0eCHHhFjQ/HtjlgaxDkc8Ve1+It3UTP9slwmPoEpgaa7IUa7/H3g5IAwg4cF9Mga
k6KH85hu3g7w/IbqiWlyvCGGmhyBOXxBgoT+HDuXnolyt+WiPzXOssNHm2cD6hFx6Aci6NE2sKCw
2FeZIyzMgVmg94SmegmCJTjUmNio4Udlz0mt6avKx14iGexgM6BYlAeAo7/57r9YQFc39A7kXDsO
zLsl25x53YzyAlceKvaY5KsJ+9byEKmtrzt0S+w7x5FSy2rZODWICsH9qxeCOfqNZeXu1jIkuqNZ
o4yIF65cMcuTZ7+SaAqczGjNTwvFQoYwYZWoGivbCVoxOM1uvvqV/2QiPnuY/To+hsr9B7eI59op
m22hPXpkn2xiMsceHf63YKu4gBLziQSf+k2hLSvbL5ap2DCSp5oAjFXbT/42sKOX3sLSiKbEWJYB
a1Q+4525HO64DDQcmuZjvuCz5PJS6vY42UV2sBEGsdCMNogT/tn+MdHs/L2adWHaIVhWWK86vORC
YxZhqVIqxjMRYwKaBLaJhgA7Zsf9oXeyf405oQPAmy/ZvW+6w0C2DeHNPkpHkgHanla1jOUvZeQH
mB0pRgH9MqIxWEeKVqqZ+i8YNN8CySHazOHOsvnYwrRa13NAsJFsdv0UyktbyPekwNxTygmvYMns
eCrtb2sqcXraf2tvFJj1+p1eKF1S1MkpBT1ZMao/hT3HJ3i2lPvCpYItmnrPLZleSlixhYbPq0R0
LarkjbqR28oP7UtZpf+0gdNEJe7jUoBaZLbs/4+j81pyG9mW6BchAq5gXkmCnmzv9IJQtyR4V1Ww
Xz8L86IbV0cjdbNJVO3cmSudDLgLM1pB7t/euDoWe1nwgO+m4ZCstrd8QHPkj+Kr6NMGg7c40Kz0
Ws7FXg/Bha5tfaK7hZeeyKmTrp8nmHVhq4qb46WUPFWCSA0kJLJrGgOYx3Z60yjcQ34IyWYsk/0k
esU9zgYzZajHoJenUBbWjQoDNqXw0uqRWdyo7JzfghuoWvmnWqa/djeBJLEcFI62Ko4enuZZes62
Cdt25854K8clfhX93xI5agPwi3KKdDp4nVrOo4Lx3/OPc9OdOiQ80ZwKLW4iXcljRAt2afPjQmW9
6nSfwNIOEAsfsaBHQWrarOD4NPRh4T857INvYUWg1nuD1OoeXZPyQhLiC3QFdIhYsXAz6PZG/MSk
WRAYnkMU+RxhZ7esw50h7Fclxbrz947cCtsdYWKs3X31HqcD60zf+FCTUR/dHzNUyVHJzt8N5IBY
PIm3sPlXms4VNzzMTDL925FVgFXLPcImhmZIlzBrYvZR3vgyDNOXEnwsY+T2CMRSeZq12o2NokW5
fWYabyMqBlip9rSClvNJ3+02/teqZ+UV7DRSPgWm7+pjE06HGm/evvDGL1vEr5WxnOiqW6tYe2K1
9AlFdZG+B3TkkQeSNcXlfncd4jmqQriLNna61MHk0aTs3UPVURnXLOlZW6+Z5mM8xKNxUqvRzU30
jckeXlNjYYCy+XvBjtAUYH/SvHrmNdtWUlNVTMTPAxVJB1gFOQSvDp9AipFNUMg9yE6ry1D6RPan
thyTKvXy6f811HpRl3wfRmu883Yrzrb7OzVxRDPavbhjiuwcePUzD8FtYeqEUZRj0sC7ggvRiPTI
Pj+rHijQcrd5qpytlEDdXdvZlW7p7HEopgDBgo2nAnHM7TRhcQYjfiY2jwkVUR29JyokbierJgRc
oU0RRs2pUAMFcivZ2AmydNPY/QuCMDyWOQFdXjE2/1RVo8BZf3Jy50k8fTblNO3yfvhjBWiNLPYP
9lg80h70WrMA3ppwKDa+mLiKWtbj0kI9QEYnVLkGEbtqDCJF0+iGn/JEphBHrGll/9ZTaW+TP94p
wSBrCoIxGCOxkdDMGnF5tkHj9z89TfNJoT0+SQpcRW+7B1BPp94TF8UkdjCLbit6m21HXEqkDN7l
LUfupihx+qyzErTS9XVOOY6gTCDke5RH9Jc6nblil5Vz1jhHSknOQvQ8mEIBu8MHygdxlp4olFuC
fOgiH5kH40ku/+MXWjy06XDWyt1zS1bHsKOnMokhsajAv0qE7xNKz8lWMEc7gVxBhK+610578LWR
8zU41hXT1q4kHb5qEoTEDHXMKh51DhgdMALdWc/Wa+GcQrMhCmSFh2yyvSfNze5op5BCWHz7tYuV
3QCow3uGl1Jk1z776nOghsq/YWIecUeY03ZFswq172SY0ghbwDhGkLnq0H53anDSIT73KZP1tZo+
TGjgD4qanBN2+k8X/eNU5uE2uxIJjOklSuadmXKgWR23dRfX88LV8Mi5grIx2I92bG1sqizgdpsb
5aakbLmhEWeqj41lJJfOdUWUGUwqDKvmMTfQKqsl3XYr5K6p9S+7xLR4HebmMIAZRMoKka5t5I/G
N+q72cj67u1n1psppdkPUAL7TQfXAKAtLR0xjzhcQaAKVc+dqknMIyCHaaOhdwGFEsHGtFvjoqfm
PqTQvSD73uHl/kobGFsN3QeTzhwq9FiLmxON0L5Ba6hLveiQcsFH51VHsjUTRzVGuXiSkKZ8mrr/
R/8V1LpWoKBOeo0nrPZubGa0vw90J/UVXiOv4rYfeK04VMErJhBeHwPo+gK7vmys84zsGiVUioyD
h6EvLaKqYTvUQmwx27G4wtDbsDxyz4mQLpi/lH5zV138NWMN+z/y8k5jBw8+DDnthx1HAhW03trC
C56gUz2HL6s5rL1DZOeKT4tFLr+tk2dDdBIHZXZ1kHg0V5GHZnkOs2DagVOl5ZbR0moqsQnlIh/N
KRmPlBuwNKSyoR9oAmoaxYcVO5YMMIuOa1iZ9Ul9pGTGxztqxHvb9PWDpSoMyxm9belM/WjXJxWi
XV9ue+cX4AG6RFXFukwHL6jJ6PjA9vlqgiDiG/lLjMjF1LFOuWsfQC64d882UG72QNtYSfjVU9jz
QRaHAKvdVJsg9Mpen+ImZagnUBaIHt6vyxrLb17sMhBntHcBvHeiqQgpLXFdBBe13hqxISHvSnmw
DKqpVcJ7qhv6dYFR0K3WcN0e5sV4iqlj3Pi/4tlkXZoLGLIkwwwXXoL36jf4SZWHoMKd2VjC4hUz
9MX0qVl3wvbbUiwUe0D1D+5uqPFac8//yT15wsAAk9vqp10/gEqSTnPDFNRsrf6vyJmje2gom6Sk
MKjwjvGKmOxy4gAVAXBSHGbhvQZFNu176w/D5pk0U3Cs5nyHm1OfsgYufRLvvTptPnPHO6kBa7JG
dkQjDchGUJCXl8zlnRm/LOsoWCYjZncK7g+5aSDShDiaAuQavLxF+GXHzPTdvNMwWyi3To+OMJdn
LuRksm1PsTQY303nxbLg7TSG8UGdsLyBK912PquCuSR4YBCWylY3YMXCuDMSlsJJWn/BXddb7nRB
bC8nfHUw9pgVud8XXxwowaWcSu/s8ayuXXwdS0v+GuvCTvFw+dJLHM2Fz841xQDQ5W55JkN8aUqZ
YA/i0t+zJmx0uwr3Ll5Lf/APiaI/wTS98wJ9a5qt9tzngi6SdZnRsRacOoWjMYbqOhgTT7TFxWFt
EhdDpo8U8W6QSzAv6OVCBsWmu6tX7YijY9O38hWo3HIbiQfEC2ZbPPAvTkFj5sK2Yk7Hv62Zf7iO
65z0MH+kmX0pWje+l85rWPr0yhcmNh2VKyLN4ckBv8pk1pTXVjZk7Xj7o77YYbQU5S0crfkRgvSv
oAl8mq9+FwDI+fEt+hlb+tVOwjgaA8ZIGZKXFGLAfbNqjmUrzxUQI9YSYO3SFjbQJv1XE9O8ZhOk
N9P5lxucGW3BvGNz/TuPiw9NPagI/3ievnQkLCOH/3nfD4V/wMXCPNhBFYKgxGfEvObu+OA58UAS
PjSvAmPlDj8nB0U3RCU5L2hGH1PYFvuxEIjToQQA4BdkEs0QPwUY97rliOhZ2G9mWQF5xEgJLXyn
uxS8Wtk4O69h+yxNXW+zFTIi24b0s0fHelezhwlSzaySPPuAebjyrXtwjleafOjqSFoVdTAFo8as
P012OcfMJmvrh4RxsJMZu3FYsktcaiS1wLZeVdrdtZzPCOvjW6MoE5+bam+WuK6KeZmeeeNcDeEc
0hARyfKt4TrNA/PKwe/eZdg2301C00JMncOC7HtIwsG7KQci0+BMDwk1cmdCv7AD0o0KzP65ClLI
RpPrbhom9yRAJ8XAR4Lap1k1894DkW7btVkS6+4Djmh+nrFfRY1HK8iopltt8pr53qUOrfCt60Ah
4zsCLo/0A5TlAd2NZi+RHHs8qbu69vaG+7n0ZH8oetmCkqBTqcBNYzZGSbW9zlZU7G8jc6+67+Rp
AhN4CnvnBMAOogQlRltWh7bIBW5JmZxaE9k6FjI49rX/lFNBzLfQdye2g56bJV/aOhiGU32asRWe
mW//hp772MGye21cHXlxZ2M0N4u9lVcHTH6wR4WgtnO0O36/HIFGhuaFhBoqTSCDa6f1S+PY42Zq
6aIoG/+9ZgKKgnD83Y4L1lFcIRNtkae2+7bHASl4rMoL4lA01I46IWY4l7EI/gKZx78ZTs9tA/ik
ND5ciwYrL5DnuPPjXaFY0UL7JtvukaNk/X0sZtxrCvwCfewBD4cJAxmXs5SAXrxES/buBtp/Sle/
MjeknJAHkf0KJGYvywAgvbrDNv4z9b2zMZbxtxOyjRmVl7F8r49DUr9l5Ozpb2Xdmw6RU2CIC91C
PsdQE55NxYQpnPtc9g6f5D5/w8XLwSUwrwMlwdcY3klWbRcQADe5lA++QcsCStfz/78YUv0pFKMX
5S4YnLhN0+rOYr7tPwvK7Pd5gICvS3IhsZXVd4yH1Y7sKqRLV0GywjOHTbI5D2m9h2oJ0xHIwYON
pHqnYgk8eEpLXSjY2cjFRFfLLexcrYYaG1KOpf/Zmu1U4dNFE5JlHFv1yVVaRQ4PBaxTvMUx5C3c
xEJ5UKUHBqDBFI66+j3VbJ1YWnhbh/qqoMnubNnZ0nGbj8yqiDFquPHNBoi56NLYw6Q4hNZqooGY
E83x2lY6uRTeDtjVgzJRK1WmOhfdQGVzvPbsJVOyt93mb9slNWB6vXZhKeecqXmlMzFKdRFlFPa5
ifkJUXAMjYF1tInilSiNU6Hp+z3OQCIoARm2NC7aJ5heh7C2v5gxNdQsbz6Fj0a6vHDHQBhLKsC+
lInwxuei0wrKhmi0a7PM2DuO9xX2tzYDODtNfO1lbTHDe806v/s96zFaVWLR7pKKd/LE63sOrY+m
zKaDK4cPDbxpJGXFkc6DuROo55arL8ZIjdRiCyZaSMGIK1wL0/X934zwrriquaGz50BQT+kgmBdz
WNLoDTviD94Lhw8UCKs9ZqudWzEOofbipcQe5UVVt4oGizVs6KbPI+zGYl8m8o+q/btLk/QjHNIt
MFMtU/Fs9rJ7GHFjNUv8U5J2PoigdzfdNNkHD9op97YRNp9tkzhuyZaBKs49cRtCX3w4S2YeHCPz
o1kjSPgEjA84tcHq2uAwGAq2BUUmmPTaL3yv1mMaxK9Yo90jgyzoxrmePzj1H9mpnGOikUyc4MON
CmwHyJ3Jowgg+OV1y1MX+4dUTrCxHJ/Jm/qWhyytqO/pRBL1iUP9bsdeJ3GKp9HjheNrP6eGgPVt
zqwfslMbdiZkdVk8Yd2BkzGq7NCOIZavFpK9t/6HeAnRMY7dGF9my7zARwoxSNgXTw7uKTAGIsvK
Z9M2+k+tUZnbBnMaNLJuuWcCNj/3uSxSIvL4vydVqo9yIdA4KEoDq6X8WXmRZ6vtjAfy0UDXrNIF
16mxHBAR2wrPsfdwU9lqW3duYcmDX1vNvqIqis0zC+qVrD0EBJOlw3Mo9N3fQUc9nL36X2W6MH46
4fjorr/Qj4BuYT/TWlXSmiEDiurzRJ6BAT609oKQUKYJA8vMtgE00V5BvjxOSbDXazZhsXvzlLom
DqRcOZvObSnSIM/i4kbA+RbwQQnp/wRh0HETYTk7N2jC3jBC0I2PMlmbJU2b/gynzY/mgHjcca7J
PnixfA6uRh86RrqTb/jqXBsdprEMBwn+0vny/y82ffAbbiOCDAreshTLyZrR5hWa/O3/knAh2Zza
mGMj13dC2HUMsYmT17u4BPtdfpTclmFaOdz/LJYS/BynXZh6ahOXw7DxAV2ypiw+aK0HN1P+WUJJ
AogR6jHhVIUZtXbyMjEQQdvbqa2eqJPGmaehNWrehoyV9msuGcGAZIJJo0MqrlAevBNpkANiS/ek
u6q/c7TsKEEyr0ZQWdclRDkqi/oAYYXZ8cFMO4ktieQOQdJDmE8DP9i4egkJWlJ3TQmN5Vgk4Npm
7/jw7jK1NPfGsmgtk2F5JQV6mRE27n71Qh/d+MGunCmlG+AH5sVdJ2N6mKn+op6EwFnQmho3UiK3
TguKT86X1OLyk0NoG6cXaD/xH6p0j1jCVwgPZBIL9CPxIe6b5sSjql6yU+F9V4lyLzJP9o1jMQ13
Dp7aCTGp/JeXc33PGQ0vcH0ONQnX66zKP2BWcCFavIH4oqlvrXKcKG64zaV8GQBN51tJqsoEF8tF
n9ShWMgT0QNBQorTdWsEPHs6OoAIA2mgCusvwUybhgtWD5GuEIXzIKfy2wh/lU5Bx/HSls9p0N6X
Wb0E8VS8CgvIhOnzUJpCvGUGDH2JC/AwOt3T4pXWXUD0QHeHqrlU+Tmg74+3WQxZPIQb7+li1+Tq
gdDcX/Ratooz+f41TWHZFNMHco1zJcW1yZf2NJjPesazv6TODhQrbqxh+mbgc640kbINW1szCqcZ
D7NYsCT68sKDyjkb6j4RlqKpOn9rjHY5Lev/51rjl1U1POly409NPuTIWspxMDSBu/ylgpFS4KD6
TsrAYz3dB8dw7N88XHVPJYtbZqyfOFNnAYtmZyDJHZyZ5jTLPTWZw1W2AdbXx6qLOowZBWgYKPZQ
R6ux56IOh2fmON46hmGRhgF94WVBtFCsxXbeti84XD59NghytvDzg3zZ9dqSYFemV6tPFFZJtrYq
RI/tU/Y6NNMm+9o6WzEtAekInV04YMO8jpVEFiA+0l1jH2tfID/RTgLY54hD1d9iMb6wvEi2rQys
CEvcJZ/D8sGteBl7RKSlJE0GkTBje0MmO6myU1VXkSgR36rU9A7KTPqtSRaAv48HUU5sbA7WWnOw
gkiyb5MJvd7Q+FCxrkYZQCOHzftrMnUJ0NcGAHVf/QOugvuLqhbsFO2Wig5g/0bqXQfycLbEBf5/
mCYsJNeCEsIBaXyUz2Qi409m/O43bLeAYJzDeoVFYQ1Zcpd4IEwddha/jQ541Nz03iv+OJh5sLMt
w05ps937qWanKglrjxOu8S78dgcmPAJ2NwhqzM0Bq874kzH4IRcI84y75zSNAQ4sH61jvDX8tzRA
WP+WjP7mMaQ3shiovdHVKkRn8663/acK+fNejGCa60cDQtoB1ygJqXTyOL7X4qGZ3VCLwDalr/ng
tegkFGIEWQMWgJxmI4BMFrayDm64/DPNODv1rGGx+Xm4KgltVPNX5/Gk0A78KSvDdGcOhL8IrbOk
XGmtuv8dmhkO9LRlXZOOrF96cffz+Z08RvDg+lWOM61Zi0Hyg2c6566Wtz6n0iRFn/c7epbt5Af+
EGM5GuGW9eBV8olx6XziSDAg3ijBhToc9pledWpbUg6OrXndWxJLtfe9GY7bds3m3GYmWfZftrlB
PsPnpC4Ti9fdGPc3s8ehG1Tq2wYwqfL1W+oZS11yD3wMTq2LD3Pi8jtqWNeaUunG08HF9cRHLvv4
xAwNNpKZc3Sm5OJVrAwEb4+DgbiwND7VbRYZhtYhbm9J0p8un9n9KLwPnLXOtZ5sa1fgN2iFc43T
pnzEnkUWxxOkPke9WWqLIYjapdjCe69S5kUQBsY2S7w3VzvTkUY11Y7ELTCjNa79M3fIqg7E7jjo
rQv1Qa9Dy92kuPbNkLMaFuT+FCVeNuV+LjockaA0Wlqp9lGTe+Qxa8KGYCxjGNamLpENVMe1Hg42
Fhx2vMQx1msCkTn+mTVmhLmQRffQwHF3aSWnBhyUh8XqZlxXAxBsp9tEPLgtXFgKZTOzflnKF7FU
BjeM7oUOWTpnQ4boRP44cf9cBk9z26GNFizycZNwSXJ3djmbCAGh3gdUfx/nrpCRSYUGD7NH3Cb1
QTXdS18Y7t2fTevAUbFvyWfsrLXJI++4FnOjR1Zlf28rcNbVmG4Dn2xfMNDj1q9YMdsEc3Lvemg3
UNT1Bq8oNsfZU0+OQAl21N1OZf5QU6kQvMyc/ZcZGQx7wlAdCt8Ko87EjF9DszpgZpzgB45iV1ew
AC0TSFRMHRbL0rXgnAKgBXwC29U5W10TtEGuCBbFHmqZx0f2ifh14oUvHIkwcTd6nL2LsIkBIlHJ
d1KgukHuDikGiCp688Cy5qA2OnbYpmn4O2PQ3/0gm4OHNtQmHsFbvaitINibpcvGpDu20/I3/6KA
PBL8yEVT/GO1FzNX/1ipTrtS9owtLp5la7Xf1B9O1aT3Ps1OwEFfeb0xViRdVPM9nXJ/3OM6PBjD
YL6ueHGF0B8Ji3NANjo/FmV2nc3xLbUppm9iroNpzwRPodX8q876pyWx+8gHGkThDetwl/ToofwO
K7rNbZf1hk5xhgLqug+txYocEUL90VMdHo2wc7eKBvSw+AXk9KP37c8ey+zE42k3zyjLIsb4S1MD
GcpotgSGdZXs4KTRnEwtVasoSGgluGG3DHeppnOh99YFHE+bXRxghjLsL6ZsZjrWFY5J7jVwbaiM
jSuutcP6IVfGGyVSz5nTZ5uE3dZpiGmHW2zjjJ6KxosoteUVA+6xTPcio4JEYjxrUFFX1oIM2IwI
F/RTTT/xMTFz7HXq4OppePCwAe/osKn3LmCqC+6gqDdwX0CbiZyEsPCwCnkJub2OlfCs5GFqWc2k
fYt7BejnS2k19dYXBdaOYSj3TB7mXswy3wJlOjrTCEcinzq8GCCdOJxO/WxDQsG4xCbjXx5zK200
bXSVyFauB8eK05Bg4F3y0LXQdeaYxFo9APNqMeanhTO/miESOivPEAD9zUNofAcmw1vPpTcOXOxh
sKnfTdg3HUqPpzyi5hvrLZrqAlefOqALz9gNO+4GDUWiFHFtMsAPd6wjOIMk0jbKxfiSCuMSEww8
1d70YBNDJhDMqaydij1x6JH7KNPzIgUEg/R7oQugqFDcBBhP1kPDc5+gmggEGfwrb9OQYRVoF9JI
UvPNleV4F9AonuxR3Ma6Ri0dB1AhQ3dp4/7PbMBm4OrjbVzcRYlGkHbbEHf1OE4nnLLtzqfyKdny
aXVvpSd+Mux6hULXZw5LTllcnImFdSdy10QShUvwef7rpoibEw9t4g+U91C0ldDjYtKFZXLwT7pl
8cbaYe+35o/HdfjJIr8OWZ++byPV1s4QbnUqzH7ey6Rq92U1hSfmW7EGVLhUBsF8bJKMe4bWbyIF
LsL7zvTC4TMl5nYmUk/WJFYH3QXlE3Ecsglu8Jsp4StIsXqYRNevRkXQzzHVi2+uUDfXId9XAvGE
J6FaszjhMJMnkbAVboGAbTDePbADI60WkA6CRQZzlzeS4aSsNCqTudIXJ8+y2mfa1HGuWEhEcUFO
3poX0j6I7FHXBM+LO397nvgaFnweUoz4hGt9nsZSwMSm5r3K3MjD9doQW9o4g/wXi+pjZNN8nKzq
wTcz1gWdjb4vsw849gZUgSh/VlM9RnMDxVbwBssh2SAi2NnOTr/VyHOhMzngzJm5yGwC1mcjf0Br
cGLpx5wZuGe0/ovBbLPoxMRqQZ2961YzKIHiMSz0UXhcj0Mn4z/XJBN406WY+LcaJxqzejtFsYeR
HtkB5OMGSk0JvUIfi1B+sV7eEaPD6xEWn3VnbB05q81kz+Z7OfL18aY5FPHBDHDMTmzMvtI6vrlm
evXSPtzBieWi4+beDSZmfShm9c9crqK0xhu++3uatc6hHTKOBsLzcvGqH0xIRGGURxFgh0ofa1FA
JMuCTTppFEFBPJaaObaNQLqvhCC3Xhd4T+NgYGr1yLdoINOH0TMIfMqSGGrItRILNuSgrDFZhfAc
qH02IBIJkGuLWtHbHL5BYLxwMbl5PjiC0bR4vBuyZF2QENiZPCA/cTFszZhwC4CijynuOHpayDLG
8rOkX64z7J3AlPecf3/rhNYnZQBxmZnPgZH+GFicFuo6N4zoag+B46Mt2/RVN/VvAaWgdmY0BWnv
SRzhQQZwuleuUz8FusYkMZoPgr9oS9kRQI/Af9ev2YQvhwEa81Mqn8rKzv7GI7NHLViRZP2PXBVC
ZJVnYThvoy3vblew4RNMDllW9szhyTVt4Gz9/wvl7OE27umE7KD9VGmzj5eYeq9JJkDga3E02Wfg
ZzePTU6jNvtFjG08qNLSQEjtdM88Ju9+VuuXqnX4ZmeXPGQi9q16qap6PsgJIGPMDvTQNxUKt0B9
2KF78lzUCFc1tRngJt6hakKpgYuDcLjiA8DGYpz/Cnrw3qpwPpa0jaTte9FMESkwpTHvXmHrIKen
7ncQs/xtR++l1vXvLLExERjda8ZaB6xNzwLI75yjP70jxN/6ID4SCGKl/uwFh8QezWMXq9eM3e3G
V8XnrSOk8KRC7xcfgP2UBb8wfn7MddUjMrbnuPc/Eo+HmNGsfUte8Ze/vNp7jrE2G6TOfmYEhO76
kUhB1EayWOKqsdOrz63bZtSTbMhTnjPE1TrYmy4jk9O2AdsxjENJvMANWH8h1cjK2vlOG2+OSr99
Z6T1duNIeQz7gS2PoOGORajaUJR3b10iua5lbUd4Xzs3fZ5CCxjcYuELI3mMFhHvEvAh2TRgptF/
YwsE1pIHqH8AUKKSOZ/1PRz9pUeyR87v2/jk+UGkncA+FGn24gH8CTw4Hj61s6jK6cYhSDfDMOTQ
LllDp8RsE5VGyq/aCLrMQPBxRjdP07vlcdtxh1fab9agpnKiTPC00N6PTQNCOrFWcF28mYOBrl/r
GBaY5551IrC3DgkxsuRlGWjP869BVweMZQ38+SE7IK78lXSX7tG6qHFi5U1x3lFNQCy0wGdvwsSl
g8jnJgbe3xSfApp4M9Ktx4iFj6tvPsbBeqPvIzUHNucJ3oIY7GjDb3IynwMN0ZZvE/9zD8VmNB4L
Eec7Hwlsg7KQEfMAURkwCtHoV3wWMfbasffPczKcJfn8sFLZvlqg/CQV723X6fUeE9q/aiw5Gics
JflwozSXtxIbms1o057aodFFaT377Oax3uQIp64UiCaSsG5vYS1rgZInLRbSspAPnhrwt1AbuysY
TiI1L6vmj4RZehOBHDp1FxtIxNTUL6PlVrucyXSHGHVWnDv8ocajaqj+Nc70CJicMH2dgKMU/wbo
ZUcdYEVNyBuAv/7oaoaRzOzdLS4FYkMeXoZdV7gYbZ/L1GIvH1Dvo9LhabTG/uCSWtjmpvVJC4Z9
Leg866SYthqv7oZWm9gZ2Gey2wXkwhDe+T+0bzOMrNgjyFAMk/a87JVJQ8UcUkLiiPIp7P1f/mAs
W/q9X9uMQaWf/MO0ONWhKioUa7A3VL4yM8SzszrBrMhFut11a0rdX9In1A0ma9oBJQGvai197pkD
RkY/eI0Cs2n8mpbVay0d3AKdZpZond/VQlYxE03Uh/4DTLUDm6GT9Q2hrIYJ4BZ7FNR0N4kDzqWE
iolm7R/ormVifjA1gVgP1tNq4uNox1B9HIQGHSVCUFyvfzfpcveEdR8S39/RoQlwKGT+Ioew7ePP
3LJuRbI0YG4/XVJnEbuKZ8i2L0rYkNzdeQdCnPrWFqIfl1G3L/TJAJ0xB9N9GgTy2XwMDYR7rhLj
xmcty5B6HKbiEJjGe10H0wEQ0Icl5YcYsg2Cwt6tKKySfnuzba7kvOJJZNq8togO8Lq9kYr5wX+U
Dh1e/mzhIsb9E+b1p67Gcy1ejaJ2og4TJn+2+4I0S1H02ld672oMS/S+7KaxOntlkm8ohEHb2KeF
+4OXKBXiqYxXCBPSvt0WmxBOk4CsU9ZXCaFCeJSlm73ZnVKFksKV/YavFjbQpohHHCR42jPqBCJp
cmvTFREI7qFLuJYejZ+Otn65wONPpD5BR02XJOHjk83Tn7JkEAtUcS/TeVu8rarSykrY0bb5NSOn
G1MGOCwG7coC5J0x/72PN2L+Ds3eOfhz/mCz1N0Ia6badXQM/Ce78rHOMetWLcfa2HBdCH6swqwv
5RiyIwzSaM3db4TbT3urxg9oJeoesxRueeJsgRqygSiwU+pkeajGo9uH4V62vn2EpGfuuxj3b0H9
H4veOTuHubIfoUURnw1Hk/BAwNef/JLYIQ+YSVcnSxU+9LG4VWCSjiUtQEfi5tfOpOqiSvB3zVl7
DRZe5FlBd0RvWNHJFKGiUexZHFQk6LoI/BOPidTgw8Z7bT8gn9uUsTJBYkSgW2IBfEXWQnberQiH
CpM8yV1+mz1a99QXuGirCVSObOAgTiwwNl5LWp0IwYngrUsft62uTCxvbl03V1L7b61kQ7FmkXE7
R6N5aUktH+iD+Je31avto1PwkzwPXvM2x2m+CrISRSDStecCqVYxlVUTDzM9R5M/vwWK5wldv/ke
ab3Y82khMwQKfWc58/PgtG//Q848Lmg8z2rMEivpDHRTs88kQsqYA6AcLftbYvzdVuBg7vYQxDyN
E8lKmOt+6tjGIS1oL+lwYEeAiS9YzOYIauKmnytBogZljJ/QlplN/Tjr5R2aCFEiy3rpDGwOeYj9
2wB/B7b7kdjpXxXY/oFVMZmw5K+RpPRzi6FZd2h0KLTV39FKgEF34FV52IXHLLVfzJpakZqpa+ji
6TgjLWju2bwBc/KCIRndBHPlaZwCfR5H85+J2sF1h7GdDq73cg7ti1FqjHfhdhLZcqam7k+X2ewr
Cd0bwJimCV5EkJiIQOdilnKrzZrbGSgnnxCFabqRaog5IrPNR9Nxb+Y4t7cQwElvlxxzVuY/BqzH
HtPa+NUm/UBR21g9qBwXdp7uMoxPKF/yZ5HIEFlXiTNYnbUAFm+dCp16rxF0tnpJfvPePHEDGY51
WVyTtmFHCYwyYvFKTHbBRNNNDaeY3WWM5quZD3wW28oZcLath4s/yY8RzOA+bD0kLt2+jhxfWz91
NzO19puOSCV5+jy9ZPBVS4HHSjYnC1JWZNBBYo+URbMu7oYkOTpxAvUaZ1gvXMhgk/EvtWMbaciz
j9YCr3dhDt46tPtuiTOUN5aC5W1UMwduhUCUgfdcbMroW/x7uYG8idV+so2rwMXsWGRsYOLiB0nY
x3EnOqOntdfS8Wk95Y3MGlRHOh8e2sL7IzNSf0wBtHIvBJjaJL6JhDJam/g827CBaEqxBnhK0CCG
SXx/Gadxb3vTn3rfUdB6tSdKPKxBsZkdCqI53F4jDIJNlT7QcbfBx6MfmyI18TKjl+Vhox/NRl3z
ug7/o+q8liNVom37RUTgE17LeyevF6LVBu9JSPj6O6gd95w4L4SqSuqWqoBcudacY27MBDRRnzTU
2konYyX/GZMoQ6QTrrOAfxv25FlA8EcARwBX71I95m76IzVhkgepPrCh2Du8QAeANitNkg3ueoy1
I89JzrlWkmk1ANH0oCjiY2HSUVMPjShMemKEis5OTkw7/k0lAtfY7Op9zT56VD3NG/qqXEBn6AkX
3xz+1L0wLkXU3IzAvHW1a1/w2NXrprbPhVt064RIMDBdmiRb0Oy3WpU/SAPR97bLVtBedfYw07pQ
13NSHqMYayA4d/hWeEcXiATDVWZtRzj8Z8QQXjI8wr5MNp5NdQZUzV5kbI/DDnk04Dpso72FvcBK
LnHv21cUhDuCkOQuF+psYfs+TLnzU9l4IOUg3rqY6FzTBhPLoFhx28FVR0O3MToyuUBCF2Rr76Uo
dzGj2GVpUVlppX7LddTgkEwguUs+nprGbNRrW5LcuoPRsrUfGrYHT0QCEO5xI9vgS7PYRk9zTGDF
jP3YFPEGK2G5GNB4rOeEFPpuBTwDhBDUodqHQwqJLp0PMyEcIiU6gkvyRQ/4e4uMGkmSK5ka2S6E
LbdVZY3cl1gJuoMhXXLM0ssiLettzG9M/lWhI532d23iFxc5vPTzRZlHrb7tEy+/TYn7PaVNtTU9
ukVsivuNA6X/rOvdEcElwa7ZRDafzjVW0nyZIMsyW2ks78IYiTtx1Z2fj2Q535mCgQ3ooF9G8OHL
PEB/P9ObQjDRi0Tq4zm2KgMhhW2s6TX0yDVpHQQxOtehFOTN5Yj9x/ocMCpeRnXlvk8ehFrsqJFf
hiffnrq3RicBZqSKMQMoOzUoTIyfstrgD9AOzeRszF7Fh2GmEydCgig2uJkSX30YR7vaWGbJ+KcE
jpMkyjm7cuEmVnF2kopUlM6GMzWugz9Z714ZHDp3+OHueXTircHKf/ZTqg2HmOVlaXBNxXm8TTo2
doUTzsLj9J+DWXJv4qyc6ZwexlKEgkAMCCaDZak5QPuddl0ZQX60q4jCw7HPvWVwKTW6vg6JejXH
jyJSFOotrVHRZSctUhY90/Kkp+FRsCa+MGMH/Rx9GMGY/Gr0+G+HsyGsjPiSU3Cfmm0O2GY5GRli
v9EgrrlAB4MnYAF9gPmuaZ7bEI9L1iV/WYHCHf2dPxaj6DUcH7EgMM446BUykH4AdjVEmDSTEuK/
XXrsT8jMXiHuOVYV8e/jgLAaG6GL2rsPTl3mBKfnVzjd3hK6ZXxM7hbDAor3bNLwZBAoxZWqllmi
v7QgybY4yxgLDmxSXIQOr74o9E0lDTT8ZYvVBh3gylMfeD/qZVGoZmcivGdEiXNP0GJcdB7zHN5E
b3C6TR7k9NuVD8EOrXPsd/cYY8ox7iB0BWygCWM0+ksPWiChnbvHdPTWVPLdblHvj2J4s0z401me
WHebsi+eQ7o6U00Hr54vfhYPlhbQD7Ix3vKhgPuc0f6v+EWgefT2iveMVC8/ERuvwtWBSkbQSsPh
2s4STzpvRAm/Z2zpkobGhZE3wBbq4JtYO4Y0OqzBZTn9BBWwndojsdCPx3TRoN0q9ZwQO9IcdwrM
t1fXydFJyPEjcOvQJdMv3NrlXWkxPCgz36Sd8K7JuvRG7SrMhKamJLxX8wtSP4lO542YiOiKym/4
yAIEFcY9FyfeSsGDJR0aT6Pn1CeRl+uuS6C5pKxauW2ne4c4s4MHX/k4xYXa1fqw821D3MZ22jAM
4iIcI3OrTOc+APFg15ZtxyK5B1GHE8cufLq6NYNGaBLMZ5S+kdgARKvyTRJzEdITD45g9L1VJUEY
ipKWStq6zL2RKC+nIhy2ohzuQVKMeDS7bNUVzbRkJtStgqTBXr82uO19VvAO1kHjuTsv14ev3tgC
nrY+kSPae9HrGE613Ca/g01shCKsRumwLqSGPNLqvVsbCu/mD6Rl0iD9mhiLqyjPb89DP39FlAdC
5QSQekqdBMyYvOVK9JikKiJ0Jn1GHjGlXpN8cI9kjD/Dw3sZmJi7jXjljz967CA9p98+DQNrnzwP
IYBbk5wr3rnhTAjsjAvGQ975G0wN7SqZwCSUATKqGMSDRg/Trb6lx90Z9NAio+gGCBYX21D3T7Gm
jJ1pyy2jVG9VlC7hN1qyz0tbXfp4miPJc/LFwh8/1T+ilOjYSYGvYmjE/CDFee+mv4EujOsmcYYj
e44TnYLhEetPKtC+iRPOLGV/gR6cNrF+kCQ9rOifvSqFZBchKm5MQo5tjQLbizTuFoRm3kjdQs2e
uisEUGLGxcyBn7mOZ6QXe8ufBT4SCQvzagwpRb+Ox6ikNUBs6qh748bjsidAz0ZcU/Qn07CvJnTN
hWnRq8RKMWFerLeErczG1xw+OmOaYuogrFkvrPBqnTTBNcllv8Zv4DBowlrUs+ukJzMagKGaXWcz
gbcCSNgg0Imh6xiEhPBulqpxxnPnosFpSp2WluU/2njcADyvN1nnlvtgHJnsVRnaQ7lFuNNwzSI2
jjzj7tHa2pqWoDntIac3gdANrfdTjXZypz/L+hn5DFHEPOby/bWj64ecjpDLDW9Ju3rcoVDE0jGU
V81Ox1s/FfVSpHSzAuGn7PZsZOA1m/q4L395fgumGtnvFgdLsk0sQIwWiOfKH6+uTzk9UsxTf7M6
42+TiFRhFTkyRktdExglh3hn13G+rVy5jt3xmX8hd73jkSNsxDZkLUl8bN/9BrFgoTzxAB009VpU
Ep1+Ft/hMPU7SV6hHwPdmmr5K1UJgoreiI/Pr0h1fw2EbJHQeHBrexihdWmtsY/VhySfBnQTp8qK
dq0loS9LuQ+L4KV2i2+6Ghhlh+B1stp17qTdJ1G4ao9yhVJ9MFaWKjsKGjb3LbqruzQDRENVZN4M
mrZrvXc3FO3DVqbTuCcdSwfW4bw6IQzbkKvQFRALPFd9o/BbNYau/YaeicGtGbKHcqDkmYZYdU5H
mKktA/SilrPERwwpAANPJ+auS+qH37YWfGhktz6ipp8As89EQBhbJGs7L8PUtRfIH0c7q8tVEzeA
rtI2uLSmGVzq+RDKKjz4jHKd0tiB1c3vs4pS8db1iCgzsPXbVqMer3xz2vJrBrQds3kHi71j2mbG
nJ3otpfY1ciOMKp883xYdH13QZqYHENmMJvc1h9K730U7ZfciM1T3rcO/0wkN3pK9u1AiCBCXYM5
1tj1p2qM+Wu1nnQdn2lSAvFQFs7eTORCsKWikabsixE13oYbEyiUoaux9nPIdeMcZGO7p2H6j9Eq
aXIovAwyeG9Ci0kU0sEKDESUXey0fB0rU6yVmU+rpk8ZqEeyfymFh1vU5TQwxr9OiBCqSX+cvo9I
PmvFKjdoNxBOh9omNj4bOkzemAjEsTm5QA3FVjSbPYLG/IRXy6ioMutd1tMQrDD1tA7cHbMlEJBY
WH3jCoTlYKAtzHCTeXOKjLDJosLPOhCISuftU5XVm1eq9m5WLVEtyDdpRJhbIyHvYwLd10N+w+IS
pcixmRrB5MLAbJo719WCawlA+JW7TQgVYxBbxiX1svMIb3bqbrgzC6Y7Wk47OTJio0UY3lDS/iVi
dNmZif2tGSCcI5B3e/B8zjvnwWaUvX6bg7kZ2UuclVlUrhjEhO9ROhrbrIvDNdSy8D1xutkJ1iKx
90MsC3HwPmDMfGQZdZZJz8/EQ6MV2LD6mv5xLGr3i52uEAnhXWN893UN8mYYo22jqeLJ5KNjykb4
Cf8z9tLkQ3kpi4qd8e7hNbmy9n0kQrwGWEwQC/XJ1qdT/pbT2UZ9Y3UPFMbhWrXeIkV/udKwCtJG
9ZsLhltfWeIa+OjoYoXjL+xj7/o8sIOGPP1MzxuHsx35mMrKACCtNN4SyFYyxB9S9dn1md1iW9hH
zcnx1hBXGPS0hr+pJbkCIRlp67QxCXFsgbfV2d8JSecGHkZIj05sq8k96xbBCgxpv3zdPBEq/KUp
ab/3DRlWiJYgNbb5cLTweaycslhNImzeuF62hcPoobO1v6ill5WBNT+T8o4U4+aaCcRLF9ttULef
ZuKx+a2wnExtfnaB98DNnBmjxFCV4eQco9pE+q2F3akb2mPjan/D3u3XbA55x0RgXXCpoPsrL6rR
rYsDo+oCDm3X+TXj5GhinR+WaQqMqS/aI2fYrplUccZcepECeIE/soHuEMkwr83ljl1furELqngE
Hto6xwm2oMSPMPrpb+nMo+qTCrknSP2VV7jGzfAIMq+4C5KHiCdauXrLON9PDrEf0Jsx2Mq6rXVq
/QTrmF7b38k8qq27DySv6XeKms8zadvkjSh2ZB8arO7YmNS/FvfjMgYEjgZA29MN/Go1UkfqKh6v
KKvwWvKxKNd8Vyp5G2u93dFqnPZI5PcBfrGt4UziAqXfJQsghZAS+bfS8V8qi7SxFpPKuvzAK168
xlEUn2NV/U7iVN8oysJVgAvkTodH4nyz3sTAfKjhD37EjF8nWiJ4TsAzeZ6LYNJTu0oZX6ki7eob
7dt4H4r+V5Z2GkFXcb1sSKraPINxiho9oBbLnU12NoYekS57o75VG993DzafTzF+WiyMNAfal5j7
/rLtZfeqJ0sTuOaFqI0U6EiLVoEWEsIy6pvU1awrTn3c9AF9U5GTbTkpBiywQf6oZ1ZyNccm++wW
14kP43KA5RoMHXSDiMZf37BhmFRKpFlgk+oSgbl3vOrgzAdjmjaERC7sWIcgJseMsSAKe6QA4cEq
CCXXWzmwgCbfSpj9Mffq9oAmhiJN01fJjAjsaFftlddeg6TPj5HvQLIYBYuIsOjp4V3V8ZhvkYof
9YZhcS2RyYlQJ7EXL86jC1lYSdMNxxkdGjMudCPnQ4iy2voMbnZmE9xVLcdLNqlX/P8EW9rf0aEp
jNliE7n3xOF+HfnbOg0mhPXwVZLSeq/A1hNVKuPQuOUpv2/AZndlauYxjOm9xczvw9FLrljaSFof
SvnaU0Ppef6RwzF6H3wq6pFVRlDsfLoSjNHgMmj0g23AYHrfkHwyWS/9BLYFf9o5Yep49VztUhky
xmrBLmaSr/lkfE5ogTeMoCEudGNzZO668RkVkGJrmvhjRn9p5xGRApBKmT2U5THEonWxCzSrCejY
jUCJjVrXZodNhuOWTSrbQVrkQF+Tplgb5TIjSIZaY7BeXARua9fo0ORDNVyUQvWfwFziZe+btNVJ
QBB22n8l31pp/fbGMb8GMnGvjgjewvE9DJv6y6z9eBUaLV0/9hmrjiy/raXY32gtmXZloc+g598a
CFO8jF5OpOTINUSWrDME6vRPWFL/G85CZ79lPhMrYZ2tqDx3gjDg0vAS4j3SWwVDwylQByYBc1o8
xFstGPsrP+tQwTbBvrWKa+fMOL4imxsiKelOVYgYGL3oisIWAQZlLZtu9lZdahKIQw8YX9DBdEbr
kRvuiwKcYfZR/dZZMkJRBb7BT/yDx8h3Ebpaj4KG8S1bnlfZW8N2YuE5qfmQwiTZjFP0T4OaDwwa
W0sn3bWbtj+0GVGV56Qjc+EwTAwNZqSaBfXhayrc4ZLTjVvmsoICjckrLPhsOyMIyc1jpEMc2qI1
cv/cGHB8c+g86+SnFLQ6myLY5ZFlbMET/zXpjZLMkL+3uvilJbPXZuCSyBAFF3zTmfuwsxaZJxcZ
FkGkodCOW7N1N0zFdbtiEBlkJrJHdUgMcUGq/CMyhe/CSGGaZIQ3U94tm5Y7SDz91CH5waz2CEZw
xJsZAK/JkiDG+HcSJUGozqMpbPxLN01h0/fDJi+pyXtdR5kfv6JWoR1vqWophq0lsfCg5XiQu4SE
NJxOQsyJjbX/Bknmt998VlWv6GZR2/YoK3AbbV3nSl+ZCX1GjActeQCC05+s5qM1Qu/YY+xdDIYO
a96ID7X+q6st0gEb9a2r32SWB4uYpXmJ7vpvr1NR5sa/WJ+Xe5eD6DPMDep3WLG2RClckBEwZ99e
R70u1tBZiRuaik+bmwOnj9avqfkHW1SrrgN9IMnPDksqQ8sCLK7VvDFdRrcpDP9UzYANDNIocP9b
y5ICoGs+befWR4wbugr8VRCobiYb3fG3oM7g1Lvr4WBCxkhXKGCTe469PlyGyR7jK53/56PIgAbs
Tt05mdffkhZ9ykTgqPm5czZzY0dKrzrYEd3K51PBRDMNJGkUbMO6+/18wZxf7VtSSei38mPQKvAZ
1bpO54eHcAu/CXf3NuSE0tRNKnmk2d4d//dh15VzEIfWQkVkgEAubwfswAWBmf/3Q8/vT4vLiBj5
5uK/PzCr/NOADbgTfNre/+9T+vyU/f+/6/no+a1R2fz3gxgBTBrqGQ5DsC0vQYaNjmlgjY6dhx4q
luPgpP/+e/H5HYH9a7BNsj3ZyL50mdoNGIVpmfnjUWoJ26wRsmZJ/uuvIOS2SpbX0hzb8BGY3Ttl
4PAg1/CYeMiuQXSjxMLbAuhwIrvJmbPdRHqnf+jfauIK3shHz5o9JDfnHtrMbBk6pTheOTcgcfwo
U5CWUhrNvmGZWzv2lJ6jko2zTQWxIY/riLYw/O4ZUC0bYfxGSmycdW/OfIRzsowaN3uYIhuXnjc0
pONxy1W9eRWjUq8yrm5eySAprQ0LEoDnXqNKf48bdmK0z3eGC9YWE229x6dJFkWevjdtwdCr1Q4+
8+KNLwQTEkSqj9qR2PHtX+wluJWSn0V/g4GSnHpYRUq85gbRTKVTXTynq3kjUwxKtravpVR0nW1F
syUayR3joa10aylwipHmcEV3Vn0VwZDv0OpOC8+efmWl3z0I0OB+T6+ASAFi6m0sOTKC5ukEf90h
vlhZJl5nfuoen1Ev4T0tBO/Cam6YbZDe5jkKP8Voz2fpA/Q5CmreTNUNTlWNUhluy/MA2PMfK5hx
bkLtK0b8dETijYY9zGK2wXi2QKPSPHGjvLjqTe6/OAWdnqg8UfvBqXVKcfBin/xxQzs64GkXRp4T
b6yzqZylJvHY5i+u0a8dTO0FMp2DxAVotjHjBlnuxxRNGyxQMnWGad/CxXAb+GJRHMgPkPZiO7Bz
ZPTFvzSUVrrx6O5fKoZYl9aHZOGaeb9B9IrYM2IqtrRaBpHw4ujzdOiy+qrk14B1s+tGFJZx5bYP
v/xyU387DC0bsBZXu+vAk42ibD0IEIqLGkcleGNEc2mEthmbYnMuIzwMtu6dwMYB7C7NArJLVp4B
swtk7Ewy87kNYd77MEvP/700v575oGLzyT77rJcrNETJwjElAKqo/0zCcnxELQKlSkxL1wFsaHc6
PFAmccsecs1GWcmHpmXTz8QnrxNl5WrT2c/LPQpUc+PYpThbXr30Y9tm/ggAjIaNQoTfDlCezH5X
T/qlK5Lh9Pzh5/PPr57PwYGydhkAIJITzGhDWEtypHnTcfkC9pkMj+74CMujDS9g3YwzWvFvPLsO
Akx/fAR2vGy0xn19PiWniXZgO96fjyaLDPeBOWU49GinNYbor5od6cbJwT4pIfx8eqn9XhDCE1Kp
YbUeu3+4qX6XXV99AE0+97w/DNTG8srtJd7bRTft0nD0gVN66OlTZPZa5ldf80eyDKnWIVY37y6m
knNkgIrxp0ZjaoVGFpuyIuM7LkEiqXo5WDG5GgLptmkKExVqQulZ1usyta1lhyLiEErb+hAEtJE2
X69lEZC1gq/y7MSFzVSprkB8UpIHWuOfngdU86ACNF87a6YW/dIbo3+hwPeWA8vHIurKFK4mHQKT
Du5jMHprAbjta8SKzzsN1dz3HOp9U+29VsdPIybUvV7+V7EvOTFH/8FN3r00LqVMlZyjQBKCVwbe
UtPi8EVZsQ5/tXffUEvUk/EjJMPGVOLkH6q+vIRp/pYo1ES9HYzXwp40VDsC+42PTMmHTDQCVaSf
2h71OUJx0qr6YLS/uIEzr0FjxqattdKtLg11TsrBxSFN8HrIUg/3ozD2tqOuQ16Ia8rkqaDzyKwx
w3Ofgoj1QSq6tPCvqyaUOSdY0lQ73iHtqOErONZlz3yiPwZq/N0kaYPjlJOGcC3E6LaBH8A/280H
5tz8jkZP0TSFBCL8vGEGGg4PmiPo8aa63JVOvkXzcfFMPbi484FYpvhgOZXaUeAsADm2RKNW9pHJ
ZvgCVeNH1waC9Sx8dlZor4aazgEt3/Yoym9BL/BAmO26nWrtZTCrhzca4tElRN56Ite2ve9Be6W7
0SaxJBzCXduBwKNrSa6IhAvw/jz4QNIWwMdEWsRXO2SjT6zN+zA5Pw5l9IuXle5O0xCWL5OSSf1z
xX+u6qkUywKSxnVkOrAMIRmyCtK57JVVcj9jlwAovBCcznQXnxdtWNqXBkzB9vloMpjFkwYUzV3V
7N0ru3bpu1N9sLQxe88ShUpZMzOiEXi1qEBiA9RduAoXbmG52tW1e+1KEkO4rSXGzWp+rvYN95S1
5R4W97SvXcxp4OvhdSSMknD7T6dcvkxsO/dJH7066AB80dQnWI34IEdYig5+gk3SEBzkUj5/cH6A
HZidQ0U4Mb2pOVPtYmliYDpOHl6OLjCCc9lEHbIhzmyFUgwr2BB/50770hhD9DLQyNkymtsPmm+c
R5hwxKtP5Ucasu7Qe+jWbom8L2NEfapsi51YG4NpzKjADXMq15SczkvMMLfw6+ge1uE1ZOS5x1Rb
UlnQjU8LbRdopNhbDsHVqMecbREX1bET8i8kbWOfFdZwVo56AFR1d53T2BTG1OtRVFm7LvTeMC+6
aweNxJxv6F+Z03uwpnL+ujg2Tokqz2Wt8n2piwPFpXfKk+YfejBszQ09dxDE8tKMhG6lIndPEPWR
iUaY6xxpjsiYwSflhL1cCjdZtjEjTMtxfT6EhHiZHipFTdZ1PReTqs4ZyWlwKQxgDyCHbu3z6S7L
aKo0j3latDM5Td5C473XZHMqhP+Hga29GQe7oV6BAlgyaJELiYhmaWfuO6KWnJsT6D9Q98fnO+G7
s7kn+hy7sIOGGxuvbNWJJvM9tWxmmy3wPPu1mAfTeKazDy/IvpKLj52VbQYzLV8cC91D5BMy4/H8
ONz4qUESWw1CXLP5EzKCNsDONePleQjIE4BNhGi10fdoudRPqvXvkPbaH/aDfvlTt2jq2tAsNnqE
do0uy823a/MUI2HYpGGsr91YzeRY9nNAP5AQR90SbJlxV34fnTzS+ZZtHg3vBqAOgJOxn52LYYxI
0W3uCM9x37kpeEjl6ZvJ939ciLTXIssRrSYTdQJuFbPvgwXVYgM7c2pOQU7t1cK63aJzfTwfoeP/
kaAhH0gclhZsjfYyNWZ50wriGhwjiE+YRbHv4c0/dHVRfNKMBuMl3qJCDm/5SBcyKuhng+OhngQh
4M2NmTYc8XXVMfQXyCZ5W327ikCIpmvDPU6t8rPHC/t8vmhdsEp5625lxxzUYBYAIrtn/3yoh7jc
dm4B5sTX6i+j+krcyP9O+hiklKV7O5Ld8w8jHNZuXZe3PvCRTg54WXQdIS23PICKcDI3Pqv7eyWb
t7jUuj++SK8Ex5ofIiNP2rIC40BhsJLUEusuKMzXoND7w5SBuatm1lJGKstVt6IzkhxTLov6DrlO
Oxq++ekwQWTT61rX0Oj+0KKs9s+nrPn551eacTKR06Id0k5uEUcPFATR2Qbz8nyUCiHPitUFXrUr
frSq047KMMf9yK4jK7HJsXg42IWSle/19m/bU/tEIZxoIdXuSmxQIIGiEyWGeTSajh4IDkXdwULZ
ysbf6R7axnZ0Ll6nW99Kh1dFmOTek0V39/EkL5lqTQukF9hsbc840tFFwqWBlAhH2ral805Twb2A
L/5tZVCclZEFZ60nFk+3GJ2qiD54oYAKtIooBjkfSPIyQ/o/jt5sR9H2r9yjtrWy/X0ZSnrNMSoT
Jm2WszUsda8cuDxV765qfOXa6KY3LKbmm1OJC5qGDNh/Z77Nrz0foV1+ryJOUU832+0QDtWycFpY
0vMh1NJu21gN/QsXOdA4ZmqjpYF3ALv945Hcua4dNHo0mxDOLHQvGw/mfEggI+kuBfHzqVTUGw1C
6CnMibxt4si9hqYydxHulcXzYWKoQoAHMM4mYZfoZRps2Krx8RQChbu2uvaV1r21b7jtXMUDiXz3
aEb0hZ7JipbND5/PpVlIoocbXFNOsIcri/aQ1cAhiTIGaUbrhXvP3UpM5zxHq53N+TAwNySmoMZC
Nb9gzTri51dQsbZ0/HC8TAJH8qhX6oQpRZ1kR2sZAj/r+/xcEnkAV+wYv3gfF9jnjPiPCLVuI7LB
2CsiZfmI8XHZGlL6QBHtLb+GwG/uUVJtyyLRznJ+9D9PjSGQEKDVRHk/85j6KOYvzzCNs9Ieen8q
9mNNgTHBkhwlVEmoPvkwMiMmWeK/Z2qV1Ru9Z5ytSbiprlFctZpNulCOca2cnIQDAlaI3AzWfR0V
zHoV8lMsuQfb1/PXMhu8zVQl7qrzbP7xlEyLiFjfSzDrwYZmts94MT7+Hv16nxeo3404uj8Pw+9Y
1s5NaV10LzjRAixGO79Nfp4nYRuhXy7D/Mf1IN1iRHLJFx+opFR6G0WysUunxeZg9geolHfFZOJk
diWitt4qyM3SfVB1bDUnq4rJaQ3u87m5DhNUWJqbiLXrsM8koWM/OcyyNGf6ZYXF7Hlox20uvaUo
Sn/l5Wb1lZnwODofu5dwMJgE3aWtK3mZep3hnGZOq8wIyEIGWCF1e3r16cmyqXh7Pgj6m0YM1QvQ
7ZWP8egasbf8b+cia71YlYMd7JRT3BXKrZVLjHiKMRNacRBbmDcIBwpt1o3noaj85kS3I1q4hjdt
nrTCYARgOKbqXyTWBZucW9XY6U5vek6uCtPk0qe7dtRUmT8I1fVvXWPrwNTz4EKuZr8m2BvCk0rs
M2M3b5vV1W++v9m5uvHqAfU/Pm9LZepSh5BX2BTecC7HAGBgCCxN4QU+B75wDyWkliYvinXZ6OMR
7fjMxMdMz+UmPoqRv7OlShApEbVOSm4E0iQidsWyt6FgJ5F90irpb4tKN/ZM+7cGQMWvpobc7GJm
O8K2gy2UjsHGcNB5wLFHluy3D52rnlxY3TsuSGyY4z+m6qsxa+3DNxCNSH+4hkOgb9253pZd3l49
RboMkrUHpQxRM/6VugkCKiCLJT3axTSK+B4RcXerDcAu/ijO3rzFJjfVgf6KTOzDs9uiWg1OQmAM
nGfSrDQPRKmoBdbERulzHY0SPwjdTTwnL7rzz2Oh4BbGYkaZDdcJBln2ChFuXIopNV41hHIkpffw
870R/6WvBzcbYcMaayWMP7Ts02DWm2KyaHjaFr9IMvKWJj59XlTj7bGdDyDv2iPyaZwE2BRWNCFm
CIaV3aRktBeR3nZgEw0/FB2dFSf2LXLTZO2XtbOy6sk81FH7GdfSvrHjISqvByr6aJDOruEWPUK9
2DhpZO0ktg5KurAwzxb5liS7kGYPxnDVMoIl50v7EzCluoVgVm+RxKhhCWRk9FP5uFVxpc+COSZp
+g0GONrPPbNG28z8U6VL69a1XrjAD6vbDLmXnuGpzTDSJYAtfqrmQ2jlEQ6BIkelhvFwqnm/9XlG
jZUdmG8t+lPT2tEmc5R2rJyxOoVGKdZ+2upnF9CCk9bBpTdDtB8k2q6f+8Xnc8+DThTrnkDbb0Gr
99TTISgIIXiF+TdnrKfyb60/sq4JwRFqhOrGSf1AXGJsc1J+9yx6w5WU759wpEfujMgsYhmPn4Is
dCMIjHc14KSimsbdHEzfE6Dmc0c9u48Zz66t2Km/Egy4AOiCW01382YwusJZHDJoixOYZMWgH7oR
F/c84oZ+7dRcKlF01gitPqvAO1KI7HrDELtA1sMt7DnIIZHb0DYDcCLyNcPpdCgZ1bBUtkW4GiM+
Sc9YgGqMV1VR2S8dRAKAdcUCvBRlNRZR99B1zOgXSOkdFAz4SLpRqmNtgREtMvv6PHi++1bkjjxF
ZP7GAs+h5XEehiMEMFK5BljXtm3Tb58PzWC1bOCtf+4oyqM3H7hblZtqxL7hlFZNxxHbPCyomEht
7Q/wW+dGIepvqDbRFGLByl3VPCBTzOMKOtLlZJ4b0nNPXhDjwGiYCjZQ/bZRTbgEVW9xEoWmvU0D
jaPBDYZzVv/qtaY52YQm7s0S2Rkqqd+kx+mbwKqr/TCBQaDqiU+tPXRLb4Ku0CWjuD4PXqwZi5q1
MmkB8rRTj5S0pWTQQIT3vYWnElxgPBHqSeP1G0nwcHKKXJ1d9HWgo8iHZQ6M6/ZTZcP4WWU/govz
VtljS+pq9m01TXbP/TKhbTb1csvtCCpTiHqTeAzgF0E/CTAyLm0bHRb7vnAq0jq8gd99bjcCJGT4
4gKs4Iac7v63DzkqaOh2L7VzEXZb4CkQeJ0W4rMrohcoQ2Qzx9pM9os/BbuKRVbBaDc7U5yfX6lO
vUWStLICA9xq0tzsSFyl9chM+0ewJfkFZMSm25OOyOuEe9YayGcO3L2a2OoHKKjyodn275Gx7PH5
lGmzjuPbWiIYccFbaJLuhfx/jJ3HkutItmV/JS3HjXoOwKHaXpZZU+vQEffGBBY3BLSGQ319LzCy
KrNeT3oCIwlqgnD3c/Zeu76Dtf2Q5nH6YyxSj7i7Tq5tYjJ+lCPWjSlXvwzPYiLloJuTjhjukRFU
8FrC/iEzELhXCDEey8rDsurY6glW09ZHkbQUTtpgApTag5hjIXNkOdhYPSymLIzWcd9gf+jw6/VA
C6mATBpauqhDtEFVMOmUOhsIG2+mocBVx6QZPg5VxaxV+iUL8/u2KOt9DBLsTLMkuFwveaz6llUI
5CVE8kuBQwTFPu2VzdnR1XZBZ5XLbDCeMnrRz7xiuZNm56z448nnyGk/6GeSL1d7+iaXEAp1YIlg
ETrwBsY50YvpnBf1E0ZH88TKr13Gfer8DMKK5KIIuKjiH9oVREo3FGTWdZ2Xa8tpix19bodCHB1v
ONq36Wg/tGiCDrx8v8LeHP+sRrj27gTKIBeXEF46tYUi2TDZ1xfwMy2EB+6B+mfASjkE6qq1z7lv
4Y5HT6giv9i6BbwDN0Z/1+MqSDlQn114eOuxpwXT6JzATAN1eez1r0zlqDTiViiyNNh5AL2fidFD
GNScwhhoqdW6zZE60yuinXHTJkR6BUmD4qfOUMujanE7sMSswr7aXN5jDmk2AEaT+xS5VUE5eVsi
CUf3T1hhLFiUJVof3fOHom6QlmpvmAHlaigTCGv7ldAg3EUOp85Yy1ATQBFr4gsCKzz4VGOWljbB
u6yZutfVeNs0RKsqm3i0smTKC5FTrlnKvPR5nOz7KzpvQNJajmdFbREn1whMQkaMPrgNrYKsLdV2
mA+Ldz8o+lOX9r/wCmDPnjMqi/Qr9NP8mDh6SfGHDcqSFeaK+qBYiNAgnYXeczMCN0a1JYv1BaT8
KTGEuRvtel8U3rjXZOucWNsExzlTpHXnUAybskRZISPQql9YczUSTHAFGQSCYx60zYNjzPkHAk1A
f00sCbHdTzBbzEaek86eF7OgZRwCcLI5mRdGbYFP1NTpcPqjfVKd5CCdRaqhRavKAaq9pmpL+Fj+
FMgmWXumy0j5YBW1eZrSRKwHQt160jyWQieuMY2bYgvNJ7mRqr1EvqVtZWLhHy/xodd2G5Eio+WU
hbCymmLAkZ8MQPsMBlWz7oI9hggcJIUDHUVMlGaxyO+rEAlHWrgThl7D3OaOiE8FdBA7IcR7ruLS
F4Xbqc+gMDHtCIaznoK5eDrHku5kX33qIFDXFdnmmHd1YmaCMYAeD9qthDQHRXLY97pJ7SYJ3aMe
afLFh903+rG/qRxWB12lRY9Uex9KHTdsWVGBr4MofjJh21YQEun4ReekJyGx6yL9yKQqzuRdFXXv
tALNdVL4RH9G4tV282BfqGTA5J/hj4mL+s5z5hlQTMpN5NbZOR/Hc05V6ZgWRrruGmKxSsvPt5OJ
G8jJBkpRgkkk9oGtXw7DUaqo24z+cJatfVtn/n2dfqhiKlbsUFQ9IETHbXBLOlC5TWDp4RuU06IE
+FXlBtiewtx6wjqXDnmkNVNWUCmnISaGWwoExMYsyqbX8IhWglpupRHiOlYdUTJ4+enIwTyZUBQZ
6FPGCIaiEj5eoTQ+VOQpb4RDxiZ+DTJfM4NlD46johPaiZShdV9Wt7pWhh+68n70hFpAOU8fDARH
njA/allB+TDNnu5Xfmgz0jR6+9nXykurfC6M1NCSlVeD6sImm6oBHk40SnAZPXVK+8lzc2qm3jOU
x2bXoTpbATyObgthpQR+NM+jbTUvzeSyXoOwm7fMXNOOonpP99sgNu1mcnJaAEO/6qJxK+ZvqrQq
/7ELh2ffnZpdTRUSkz7Bf01Ctkk7wIe0KH6HaX/BAHNnTuabqgUILX/8RV4xwR+1Vqw0X96P0iN4
pwvejSaA9mdvCbtzOAWNyTGD3tCL9xp56bHP4nbV4XCb4jkLsVgUXlFQuSgWg8ZJhtU3KRVVQce0
rz8ogMni3u0Rigwx6BMj+giiJDuhp6Xqwlgbjyl4mwZtab3LIrcBbI7XpEVXV0FGWDQGZuYiHBE8
dgibPRAjyVRqVO8kWdiAy1axu0uM2LpzOU5YVrZkolFEmEzTwc4kbsEt9LvMIqswhWop4hCZtIBR
EmlRfBw0C837fFuUts+6gO1vK10bCfXp8oOhFeTvlBPV2wUArCHbuWShHtq8I0eXUIv80NPvmFBI
ofddqOvl6z2uj77e4Xr1eun7Ueb8qO/nut563fztxr4lDO/Pp/p+guvbuV7828Ouj/jbjd8P+9sb
+35L3zf7YR82x+9bvi//9a7+9tLq+tJ66I5/fs6/3htKlH/d+LfXQGU/i37/9o6vz/t9w/XBf7vz
98tfX+77hb4v/vWdXR8wIGVZtdCNsf0Ol0lH6O/4s/xYZ0Jq3TVufZTmyD/F8Pdi1BEGgO/vAmwd
TGP97DkiqneD5PRSas1bnjsPmNPBGpXZcUQdEJWuRxeoXWpW+BW6Wg6ei0jlLrIezUlf6j5IC2OM
EppwoU00FIx23Qn3miJFBpNWaMc2hViM9oHpXZK6dk91PS7rIBx3Tth+6RrqxRpjCoGzlkOma/3k
twOGDCJHscQwAV3FkehJj8yguOst/zcXakQwkaCEqoA1LA25PrEx3+hbw61eW3+koieKELViVqvL
oEFEEgtplainPRwZBBu5l1ECXay6CxCn8AbMBfXPKQl2ab0zsZzxTcjobMf+AnqVfREVVOA+gzCc
kAl0CcQ8Ps2XrntjUGp0+4lyGQttWSdmj+PKLTcdIcFLH1TbOsd9vIw6VPJZppE/4pa4dzU1DDsz
zT6ngHgOklBWfQePNcgo40yVkQG/Lu70yJIXMcbUqxt+LFeocHu9zaltVIIB6WuyEojRZddiFoyd
c9HcA6W2vt8fxmHgpPNVkuYHqoAkj1+vUqdeWKKJz6DY7YtsXXqZ5F4AoMcLXyt87yVsSEuRET+E
s7BX0c4sSUPpOw0+GxF9F6Myg2MxZAePztVloIm2szFtIylCrqnX6V5QB1T4FC90WzHaoLW15neC
Z8/c+DBtGSUVjcaeUIIBR33QkdilzNbfeIPA7zz30YraeMrzm8Fyzd11Bhc2jqDWx4SshM2zcVUb
njIOkT7rygXdpJ6PQCeuG8m7vH5P100nzYmmad+sr1djmOZL8jnCDa1WOvDWiJJZw8NR8kdirGdO
W+CWY3UbsDC3GAg3AYpyJlmneD5ciErcTAO4vsrnqJ2/QFXUD4Y2+RyqoE5y6js3lHJ+yiE4BG1C
Hq8VtLiUSE4eR4y+TdExw4UjtE1NvboRSdFCcSxemcnRGvI9b6FRQ6clww9k2+kqn+nqBuaKBf0E
4N2dt++XvqiqWzHC8yxspoHQLSniRdoxx+iISgSezXUqTsmsokfI1BgKCtLK3HjSmAf6Vv10vTL1
S82fiu8r0bQSfZg+iVAYTwS8ZCxv/rwbwhWsh4/XPR01AwJ+H69PkAElcG3je0+ibqPeGx+N6xPU
D1lndd97/O65MPTm+zGV9aoFH8TaOffX5yj6D8Lb0kfGhWrDMo75NC0Xt+7VZurzBA9XsoBU5t8q
3H9LuC7j1p+DLPQKGCJ44w+Kn9oKjbF1HAkNPOXUj1VVRUgxnwV1zJsajxdNkUidnWQ8ZNJZ5FUY
HWLGrYXdT+OTgZ89m99PaWTjE/aHTYu15/57X5TgBAGheN1XwwDywrC7ve7LXKZLoW4gwuBxPopc
v8y1y/e+Zng1yDa7XPdNQn2lOQb96z69B3oLO8U9XXfidWS2W2T599WsIgzNKLvx+L3XQNfWxLF/
uF6VPrT4RLnV99XUHjvkv4XcX/emAlAiawxI7/NbCibF9JKA592fjwVxmwDS313fRsB8e+Xq9bT9
3huHxToBirC97u0C7EXWgI31uhfxXLwRjZ9urnu1IRs2ZUEy/fderaBj5IF8ue41yWzbhmXmr657
zSbEoheAWL5ezR2j3w0ZitjrVaQN0X6MXGcJQ294GmMUuFVCe+2617bi/GAmGqEd8ycaRWYfKhsr
3vdeVynoIw0A+nmvlXTRSWOt8f27Wjrrmg4eyffeqErbs51YwfdetyniS1DZb9eHDklpX8yyee57
efHafnoua3wcs0z1QY4x5tX4PY9xHIRpri3i3m22mlWPNJq1VVWVwUv4Gecx3As1WVvbj9XpugmH
Vp1AjnzEWo5gK08ujQMMXUdkFuTIrrLYemHElCB2Ohje8gUno3qUrvullcxhIVVHj6VqvbXSQnHC
r4HvZmZV5319ZCWb3FFU05ZjQyyUnlNQ0zuUx0YyvErvZ6lp1hd9+0entI0fydS5S6ms/hZ3KXI+
BRYaN/yr09+nQZnsHM3YM28Vm5GRiHyK1r4RlhcTSz1tfEf/DAS/fTizbWzzySe4ElfL5L+2ZnoD
XRTXpCyGmwARtc7glGhkdgxW/UqC20Mw5ejfbeeuVfwUcDld1MSIDPq24dlQ/Bx0ZcGvqHVJBEdP
3o3uP7lu2Z+9WYs/hF21o+Jvri2WXZ1butjmPu18fp3KMw6AW6032wGxwiTkODR6e2upnHE0cbWb
yQe4i0CPWXdq8Y8KSu+QOg5AIli1N8Zg+nSohHpUXkYaMYcd7fTg3g2uWazjAWqbeBx8MSCWqJ5S
+hULf5oKLLSEsWWsSp2SXAdYHCfsDhFBsZy0aVLF52CICGKdr9Y48IAG4Il49Dsz21Fne4maIdzp
uZOeM7zRXjq4h6EssDdHo3eih2lRKqgKC1W5/l5KiGmTjzXC97GzZzDgYShomrHqc/NEEuebp8cM
eEhcVxg+vROkCn5ZHq20EkmgGxxFQp9cXdEF/94YZoddOzDD1ZhV3qL1YrQcdbLWbRcBgDvdT3De
dkbAlO2vTeDEJjB1Cyrj/CExBf2QRM4TQGhMMDGpuQy6AWy/gtx1apQ/7dus34MSb865RqKn5bsh
lWR806QHipOwwx5KUwv52aU+EY4RS5j5odcNoYZw+5DwI5yf3srKuXFzH/26V/XLFKv+KaG8e8rm
jbLBIdThsKMG13ECCMBAYrPB2WEOa+nkVFpnoW9L5Bep3t8Xk33qJYckpu2f6elLGw9Lp+qTI+FM
6XmY0RphR99bgAvqpGtvo9S/KWkXHYdWbMvRd3f8EcSxkVZ0aGkMZkUbgna5VFZoHgmuY3O99O+N
O/RzlzT4uqrCknkx1Wr5AHsHe1vqT/Dm6WraFOOJ37k2EqMhyKjSB+sWC+axD7XwqOZN0raEeLYU
kGMbk0UC/m/T+TBBS/K2oQFUFEvb0F0mfbN3rbJe0mXMQPkF21Kx1B0S/ynR6+HQKIR6iTA2TTxt
idaRBwz58BPnS5Ypx70qkPkh6p5Efkb/wFkDLxgwSHrHA8KExWh1UF9j2nWOhrMEd8QhAzUO6sSs
/EPvVDtjGBwmaO2lI7n1yJHzVoXWW6CFcxh2vNYNyugT5a7GikF4ZEZ9E1AMQDtK6TeM9G2tCvMu
GrxfENzGNemsEsEovAh+x8IftV0cuZR7SB6n6xWvmxg2giroag8GwSLLwQEDGOMdAQNI/KJwISNm
ZjtsC1kkd6nRm/DYyTSr5qtU37EyKCbvloRRhqdtMzjgNir62SuZapy/VlpjPVZ68iIljfiuApsp
XeoxFbjHptDOSUu91WvtlSPgozTk1x6LIFkF2IAPmB+u364i7oJKBcw22FgUNeNqPc5JVSBHXiYL
GclcxZBK/uwrHGCSKHGQzAui3II1dkGtLpgR4VBfkS8h9smD8Mp3B//xnZ0WCm0xgRlopuWJDG3W
/g5AJBMSdJU+zlCMSAYeEiT8U25TQsrX8E0ELsRAtUTM2f+UFhpOHwLToqCaxoLI01duxfzAm8Rt
oHl4BgiXwTGO/Ef1I01Hm6AvUlLlL5vJAqLSlXTD6ehTt+REJy+2EBFOKVZmeqkjqtMID7TAvnel
KI9TzRQgjozgFU7tr9aMiosHuRnEtzzLpmOqTH7DaxDR73OyfLo16pEIaJTiCzrvC+Ae1dHHV86w
MnXExX0MKI5ukyFRGwgpatV5WO8G5Z2HMHkZCXB6bMh0m6ul2QGhTtC51d4eXKTCpAxgVyQXrwok
7cFuJCEP8OdDHFqwvCaCsNRkb5rBb4+qSbaRMJ0HUDgp5XMNBpfGfG1q9ArUn5uwkq1mhwp0pdIe
j4Mxw54dNR9ZGszr05QRGpknzlkEwryjsyPumvX1csoKwUZXdpGmS+NCp7gjU+POlkF8gxuSdhO5
NvOFalJvLOHFHVIjcYeLbRZxeqSLagTR2cx6uzmtNl4U+dQcSJttD5hKaOzkcDaMmUiQ4kI5yPlS
QCI1oe23aUto3qJLcOEErd8fLBT2egKgC3oO3Um3mFEyyFSMINzExvA8t83XQ6p/JYy0B1SiKVxe
YCKt2xPD4pREaAsf9BsE+Pqg0VOlgA2BRfhNz2SubXfDoK8dOzc3MZKDda/cmxp53zqTxLGFMOeX
FMnxPTapvCM2x16ECL03NNvx2ibiAPybka0mqyCHsdeqAjkRfxcmrsnJi1l4NZyWWmpQZp4hJSeR
TjcQ5cBxT5ErRBCIAfVZKryjRcGq3VDzTMAjsI02LOVhQZ+bw8pHAmBYkCs5Ds+mDle+U9E75r9w
Y2u/dN919q6Y7go7mTbddqIacWh7YDqS/w/SWEK6fRMLrPxVY8LaM+ldqcbEazRzYIYpv9OwexKR
gga+Vx4J4ePbMPTdxiHVkkg5f48e1KNZ8K+N1yXjrk0pjObWO67ydjMTFVvneN3Q9nJ2k+2CBsy0
43XTTb7L/6Sx0d966W0GIIx+sY+6LRNyZ4Ew/facdIpg+W4uy+cxTT9rYkKjgfPOalOcvi92+exl
Qbm/5h8TEGTXa6BP2E3+WrIvfeeAw7c6Za6W0vGIbsGGpwC1/JHw6AzHEx68RRYwLNc1GBkA1M76
+oAr5C3hJLcgdrVmMq0KsqfYaLYXEa6bO+EhnNeAnmMvO+gggMHZG9cn/Nf1kZMYzrZwgiDYO0Ct
3NTiRBaCEo+JUMFFBbZI/Rj5bo7fGyqT35cqjJTkdpTlcpxva3BIHDJiT3Ss+sfrBtJG8n3perVw
0q8ctftGzN+vU3r0Zrs5Z7TIQejOg7nwRXy8ju3XTei7zcoyPEg38zNReD90prHv7MFcFxRrjj4x
oXOhmWQZBRrZTN380DVtgeu6gXvA51+5IdAl2EfmivDzD0dZFZg2tF20WYwlNnO5rXzvLkeiQiYN
E92A+M2llnbM4LJ/bUbNBDXVZH+/zZeHNI7iQwCW2lzGBEEdOP8bLCmblx59+RpLVLMD3rBNeph9
kVFh0Vtptm3+8uJLy1r1zU8/Y9OqzuAObzvOq2dVlCUAVcAlUZO6R1eC2yqr/KtqO4+SSndvJBl/
azkcV5kaiaWpiwVafNIFHFOs8DrGHr9GYVoPU5wdjIK5Se7lv5Iq/IJ9mW26Jn8vdVetZdszZEm6
orYXb7th/EW0iHbk85TQ7AThdEF8m8nhPi6wdtTMuWkq33POftQ8A00oKUNZN08o6M7HyTPrqvuG
6ddJ0GbalEAXZ4mp2ZMljTFVzEWNNvyCao/VEuHuAt/qtkZH6ln+DxVXK2L1TjBbf7XlzMIW6Q02
lVmg4i76Tv+B7PLUdN5RugjF3bKmgVndjkRhplb2mhbgpHycgQZp7P0LXysN2hyN5oDtJG4wma4I
+clvKiuWtCPWF9TNCK085l3K3Zswf5ZhPWOuzeYxC7EsAqDxIusTm32rBv1+RKa9iKduUUKgAWu2
rCIYKhokzp0vs3SNoCpC19NPN5OoNGTbNLijXq2Ew5yoq3W1MCJU6Fof7Lusjk9laK9NlP0Lqx7w
JGMiWbmCZAcS4a1nt3dWUdW8WWH6ZYsEENFkxUvar7cJrTHssDGmF4zTO0cWp5rRm2w2VqECSt2y
hcN6sWUulqxhjV3NKsOvx/TDDxN90aWBf9cmvbsDJ2Jum1h7txHEbd00TxceuF98otqrE+SwAYt+
2tROfQf/iHC6WkFfseF8yTbOH/ws6m+pBtAavS+8yXy8bir0uK65T6lvshNqN8Ocn5lMtiaOSeyG
5nYgdAUuJt07mUF+oFNWLGIvoHJNztKypLcD0VTyq5AOMRTeHAjJqYkxhll99Rw4wSNrVvcq715U
/bQgLhV8M5rCtagY2mqPoSeVtyWIseXojKgUPArIkwoOv//2X//87/96H/538FncFimYx7z5539z
/R35fx3NZvT/vPrP7Wdxecs+m+uj/n2v/3Gn1cP/efztq6h/Oz9sHv/nPeeX+/cDefo/X3711r79
x5U1qT/teKc+6/H+s1Fpe30R3uh8z//fnb99Xp8FUM7nH7+/U6kBNXj/GURF/vufu/Yff/yum+71
m/j+Iubn/3Pn/FH/+P30VjT/z90/35qWRwrnH7bnCJ7Bkp4rpPP7b/3n9x7xD+GZwrIcwxIML/bv
v7F6bMM/fjeMf1gCKI0Lz9xFUmDx6g3we3bp5j88nUPecx3JAx1L/v6vj/0fv89fv9dvucpuCzIO
mj9+R3LEU4Gqmn/I+YM5nMJgEwrH0g3dNhxdCva/v91HecD99f/l5kZhBqC79sL2PxtP3uKP30eq
gR06N0KtAC657rdL4TrU1X286xAgyIjlDDRhtmnICLNnyYSPuF3Ic9kSyVKOAcD+toInlqMzVnO9
TZuwn6HJJEzMKukLaze8rWfI8OYaDMAR+F227ON0WHvlzo5b1nRePD4kYfe6JyyYjs+IHDQZLOYy
kbbURBpjhsmQcGrpzP3CQN73Zgl+zcVBHn9kulrlFQSDgQgJpsi4ey1qK43ZrKIY4qADbcPNRwZW
zqU6nZvZdxUtQfG2G4rUM/ejqRc60knBfFpkdbG2Q4eBuKiaVSs6tB8kFbbmbAEg+MkbqvvJLo1d
0qr9iPwchl0XH0mmVGWLWiRJX0pFQgvZC81Iq7zDHUMaKdwSsz8Y7RzzXQ/rsLd/YngF1twaNyJy
PgnHuIsS9FfWGN+VqDbgezg706UwZarZpw7LCGl3/zi2nDc8D+JAUENoB4lbMtMwF05MTyZxAX7r
+T26hnFvRJxEJru+i+OOSD8mAkFNd0OkCUMkKVk+Kv5GtGvld698OSx50ZgCVetabHdMdbWHrqFp
4AZ0GqTPqdmeyrV0IUDbIRro0N+51TCek2mbpaV+lLxfialniv0j6kego/2u7QlTNU17ZY4YvpmR
btGX7ppEDcQ28lZ9dP/M5Mf7yLmzajKqaxVrW4NMSaeLnWVRzDkfDMTMRuxur2l3Ta/GZUFMMP7q
fKsU8hJb1+bEd+RVbqcvKdvetaeec++qsKVcCAmtoeoYtBk/sE7FI5kNflp8OkgnQyv9zHRsNmpa
5hGqJBQZxD8KGBQD2ajbvub0XKQHXx93eeKefIePFUTvk24+2U53ijvmVIbl6LhluxGVKhz61vkQ
wDH4B6kWmbpOC7/m+74FM5ycwgiwKB6GIwYntRxtw1qPEu0BUPJo0xq0wZryXkJs2xVk4C4JRPts
wvhiA1QBrSG2cteR0syiRFTJe2uasIY0SnosfB7wvaHB0u7SDhWKP4RbqCanQScZLNQ/Jyz4dd7e
hxYm2E5vdhSzoAFgC11GEWAEWtRbnBXIrBvnoGFTozrjks9eGCSjBQcj98iKBIAG6Hi88ijXRDg9
JY1973Q+FFxgr8FUTSDK07fMJuCgTpkukfFOMs4Ig6zXsnUQ5Pfgp5tlmiKcrYFbLMeRRXQOEeCS
OOAcmcnegdmEP6sAkxHWghq5nlgKc+ga7bgXucl4GGOwtjjyJ51FmY5mRneqS8LybqciZ5dp1HRa
D9oxKkv0dD/rEEEBGeg4I0MSlZCu9/TnZhpFwvBNQ5XVZj7PT/l3sPh2srl23o0xS2frIB3iH7Gl
EtyIpDsLKZM5hFvgrlx7If1mWc8W25LIG4ADaZMf2y7raO6md0IWd02o1ZtEjzYcBj99vSEizZgT
mizeopNmv2Kn8m+02G/n93EJB8+hhJMUy3pyn4wRSNdou6vOAnZOiDwJNzEvmzYq2U7GTP/xdywJ
ftSFtXGM5hczBtrWmbMDDbDHSviYD/E6sWwF8amj7jmO3kLcK9y/eI04OePV+6TtdRNpwWObWSTP
RDqtXE8sIwOhPNxYX1vT3CxXFiE1COnbetkE5UfmBsDZXWr8weeYQ5+2ovaRiiNOW+dcpnYzjw9O
RRubvCxqfGg9oGNvHNyWi7IG1Fk5xXuVoR3vIuCughzLbOTUVMkK5ofcVxA4LroW7yT/1qhxiuVQ
kjI3elghUa8SpFlXwcqp+1VTiF+BXjkna5iP8uBAsCExIaOand2IFAL8D4IMT1+zDmEdqi1FlAdH
8y5KDkAHOqAs2Ft3IAdi4koATMhqOveeuPWGYyarryJt5FpZ8gES7HsYI6dOPfnU12ax6U3o73T7
YZFChgvN+9aSG8sWz3O8xJLOOIkj97bjrNseMmmCAihVHmtQWyjqGtp7K8Rsgac8affWnSFB/vpd
9RXPJgF/qLylCsk3iDyK6DSV37IhWHua90g+V0taWbOv3PoYllzxjOjLhdGk9fkahAM/RknU5DiA
dHKy2z6nVg8On3S1c4LZnvNQdFNMAuEnxhc3tH5otaHtdfQABK5lEX03p3Y22BfeLSd6sSeOmVp0
UNPmlW9AVpXfYmOa2lMxASQh2Wysp/OIGmjtRpW9LIKYNldb/GypmLOqoT0eyPLFKo2NV9c7vRlg
4jkvqWKISJlz0jxtWcnan2GGW2AsBhBTmKqaljTKThypuPJ1uO2nPrprhEgABsSicN0PBQEILzCy
Jw1TxRClq14znaWXMpDXifaeMCxFmAfnY/O1I5DEL+wvDoEB5NQX2SVUbtGPzIK9TVJ3X132GpnQ
f8q6i5czuWU5eXg2DZLFJZpWX3q7tJyqxZC7wcVm/SrAZ6wQm5JCENhfFIEnYgUZ2Y1yoh9X7rPR
2yK7fi4z+6UfX5sghYyQBJD0rBvi16t1NiuqTeRiLc2CDRwzuSYyjKVbpj27TqEt8tIhh0rUDxjP
IQhjPSR/4YgPBzdL1AhG3PTiCHGcBOVGvRy3lasAIjk9WjIC2CLT4+tHvOpRG87c0d7oGCG1LCeM
cHoNE840JPDeBMG3AAJBV6HLhYz1W1ejJhBFATwL1ybHkiPTyaXCpk5oqjIf6HowvPgKXY0jbmKp
kYNSJcs4piWTNUzmhAQJl+dJuUihErSaQ+1GdyzglzTW9fDdnJFhpZU+FfTi+A44PNMCydEMgARW
4K3dtP3QqfnaafdZuc0Te7vFYPiUqs2MlX1EPZohTk3pSSqIKODxbEB51mZhZsOwdaX5hpzl1h3g
JDc9zKHGTsA8shadNGpoXgJDUScwNeYXIe2QyWiia89UEn96sRasZBnRE9MrxkK7AGfQLCh6tytv
Ml4z03jpSxyTDhw3Gk/hALwVuOQcG6hp6rEqvfvW8HaV8IAl4SJZ5JRkfW/aR67Cyyvue02LaVA1
uwYLgRqTU2wZN7FTo3bOwQ+nkoDxOYpozMmWlt49pC0yGF1EGsmHMHsQkRViSc8Bkp418aH1KfaQ
K4XHVXYnvQ9uiowamuP1h4TkOH4VPdnKSX3NcQANCEb0v5TYDCC9ut2dpTbeUtMgY7rRXxRSAD34
aWbI/vJUiZVepj/hu61zbI9AUcBX9zSZUKU4VC5GilYbc44+mExIPoIanqyBHyWlserEO+1sFtsT
SfZEyCDl0YNurY2kYaWx/qZK/plMMxfwFTCD0Jogp4AoAOEm67Ie65UY0Qsmol5y4Bl88zPDlVYr
hZUdYF2mvCk9hpg2bNS8+L3FqNlC60oNEuIzBDGxG//oWtTHsVJA9wNqiS3zOAkZOSxz3EcqWNem
Ymbj7IIaDpuZ1JuAtOINeM6m3XcSyGyKESBKmKDjkepYUYAziCeOpcl7t/P0IvBEbaEBkVMqcTOj
+DQWVGUT4O+I5QrPSkDI1k8yqWiN+RwS3pLmEE3QiuIIBtgjZ6/1UObDqSvbo21LNFlRkmLuLu/T
PLprBxScVt4ZOxYXtybmfTMDZjNAs1iVnb6hcftVtpaxxMbbbCqB6aAsmCar7BO6c0rCLADOxjpo
AX9QS4OZVDdPNpbuwesx22oXvWnqVTwbvQzCjRqX6GdPQDqgXwz31323esSuXhGt7Nz21jY4ASls
pozCvjiEZv/EW+ZY2ZEI35aUP9msBgTPKym7TUDAWK7yU1rSyReynw0aBugQhyZQ9SDKLLhJUbqA
DOvjlU+Ri/Ax0Ml19RHgbvF1fjfZp1vG+k+we4tAVtTmJ0rzGbJA1gLMKfMMS2v1cxyyYBv1jKld
b2xi1mxFzYg5pghKx+IYklNcN5ToC6KQ/IA+ArOR4kI9/JyZkN0GoFYHP/WQBsCYUabYjqQVwccX
CysW7w6FbmaoqURh5/2q9QPK7gjCSnMuEmMfJPFbPnTB2vCn+95jEh6mY78GcvMzjJpjpPKXETk5
2nuKdRoAmNQZX8hv2cWAHOjcYhdkbbAY9elzItJjNdqsIhQMJ9cfXkoXAQK0WKo3qU8DUGfSpFto
bfVZkuRBphgxLw21fZTSjtZN0z4ahBmFpWIR0urt3sD2pTNuS2J9CCxyydcIQsKx+mTYAQQqOZ8G
lIwi97kP2rXAX3Jxu7jCdmTPizLalW6bWGuLwIIgFfljU7afLb11JikcMFBjFrGZzFFPP1SJPU8E
5quVBYcKapw61CLaobjSiL6zmiU8351VyGZdubh5xsS59cp+0+n/l6PzWK4byYLoFyECVQW7BfA8
PSkabRAUpS54779+DmYWvehpieYBVddknsSEhqMUqUZ/Hury06G8CNt1vC7g8289LqFgJoQybMsv
mAoyJNDivUtNh/AdjnASyerDBgdE+vGvRrH5nveDURFona/lc7YXC2ynWxrUoMVQPKXz0fT5+Caf
GBmHuzYUe5GkSuM4CDB37p0wmr/1XMiQAduzcpc6NKzpUjPK7/3ztKKcF+n6hDruvUV1Juv0Vrj+
GBpAYdDM2Md2+XL4Xzjq/ANAxl/bSGSASAWGoQBjuYpznsHRlKjKczjipE9B3cwecyiNYSFWhgRz
/wSlHnVlab0ZYk+1Om51R4PA1Uqp8iKIKgpoF/6m6mlCDx34h2Scz6uFIoWQ8P+EdikqGKawJ0q+
2IpeiIBlG9KiLSG3M7I98Q8eTVQQQH+sjPLNmxuAWHxrV1G01cmfNe3PYDL5fkuViQlrrKcIcAkq
4NY563kjwsr3xXBNEA967rQHi3hHbMrg6WuDG2Lpj2U+bFdkU+TEF6ARq7X+L2Gpf0B050V2h169
FzGp7Ps/UPyyW5NsneC9Yss9d71BXGyhmgtcpDhoawhLtEE0gEWUGs6XnNqTRm4Q0Ljkh2LxP7pl
ufPSAim5S8xk7n5YjhE1yuTCxl9v4kimRKMqNF2TRX3shV7a/IiE1ezavDi1NZM8bLZBS+4Pfg+k
c5YdPwzQR2IThObsV89z4pNv7XvHIYYU3yIGwv1undltEdbH+mZZNqwkBrv9lmBE39D/pVc0V9bV
JRSsWrhNTSHe+6Sxrm1HrKyfy7Mns1+klUC6lIr60l1+2I/9cS2HmZeDYFHrcfcE8x9Ti6qG9jYm
6pOsrCiD50MioX9HGPx48evqHawq8bWL98trvgGmXrDhmST1Anblw3U64xGt1c8COabQUsPkYEnp
76noHAei0f2ZUDSyTsiagNQxEHunbtvsvng4WFYo+s1EkT73aaiUTm+zNoEv5BkGPBJcGVsFS9+L
2745ayf8xFULTpfECschU6p32VCY1buyxxcTXQUffNqd6n56WP3sgxJahzsuwk/TKTJHktCM2vvF
DlnS6D7JYo4fkVZeUAag2TZSnvzZ/0o99hR4eamJwZiAjSrHk2gVFKWN3UXDFR0YHj2pJ3hUu0x+
ulLPgfK5BPtyenBG3z6gBQmM3ln+tPVghuyj50cHUkqgaq6WyT4hGmlDZrUsbPB23E2exMOyh+LY
BrF5e9RDDON5G1Mm/6RXNtHqVsl/a7G92nqj8pjSp8Rr35RB9YOVrNvFJfXRqC6YgMc7CW6Jzq87
TmPbwUnaVye1F62m/Gi3qxjsj3U08oPhIuHOd2gCDdnLpnUbwkNi8Zk5J9ah7YPbOwfJnpjp4J5s
Td4OMuiZ3pNoE7DBCDacEiC5Ih2wHtFoyAm/BtQqjsTmgNPiv2KeiKevMuo1RUJO69wtMEpu60Jj
kRzQWyaBVc/PW2ZPrEGYbEnPpDGakWQNedIf86JvoiUOp6U6YrTdwq7eqvsdtOebWxpYDRqZdCWf
byUymNskqCzxkRHejI7CBvw3Kpvaqi3u0e0/DGgFTWYCYGEB+jfVGdxYhbwUAk8HK3TW+nc17din
mfBpjyMmyLNTu/JULOB/gAMQyJkjiaYMR5LrlvZ/m1yagzG3V7tyMJ42GJ8K/+Ib3JsDZpkIIPlt
pDEKGCzuA1q+VN6Z0erto3A+Btb9GWviHfmROR7tCRWdKjOWzgV5oRmQ022LcQ6mLzYaRDR4Tlhs
fsywYrh1sGPklu1R04ytzc26zromPlvPfDT5K7X6O+Tgf35Llty2Ut5uRXNqKt2S9cerwt/MeRcv
r026/cx+8ZWMiB68hRoPIdIVroNHl1uc+cniYJrQIWwSwSsIXRa/IJhjdp0kz3kXMN+hyHt5LTNa
NBMXGBceb/u6cYGLmUz2TiTXtCl+b/YQZCMxH93vpjXuSmP+2npOXuj77N3qFgeT/jeOnR1x6cGW
oKTz8Rmg5gsLUgPt1SBuNyZbrawwl+UjMG+L35zipscey5TS+XL6dTos+JzpbuwXNZDEjVf2Ix6f
Zxk7Uaz4ntwKyGp3ak3znBmgtSbQlCdjMT8ostWhmazLUm4NTm6XqMtGv3SxQRMmLVqob46Zn4kk
paPLvhBpKodo09yqkaW5D6nlWMr8kCqO+LnX7w65aXvGh6BIzr/abj4UTSUP5ObAF+m2yx4tvJFT
mRj4VxK3Ik7MGnFhD3xgCg2bM5/FsFV0TCRjqkkzadA5BJ7lM2ln+J48kzsbDtUcas5BE81qILya
irE6zf5Gg5czxq4s0u2dGDcIyo82BmK9rOCgoACeCO9kC6G5Dc2twYsMWTy/s1Jqgm5FNWcs471o
d+VklMweM+musC6ppDmrKeIcuTCPlM3nznAiZObgZOOX7JqPPsYFW/tPvcp63JIvmYH1rEw5DxWH
jA9CEvJhdUL9j3th8t5M9GcE7fJpSKTbaSKjlLDCsZPMdhEq3Y1j/o63/aGYJXVzi1wsdZY4qhpC
AJcBx5zb+8dCUmfVbDAWz1tIWuTspMvvjgn2XiOt00PVz1+eVvd5B5DfcAA5x48T5Es2zdXZzor3
UnmP7RSXuwrjCNFLwwUIq75hfMtkEdvb9ir97YwQvgt5h48lDg86pT8dFgXFE3cSNDXBynG477An
xdPpuTHMIYPL2RvYrvfSPHleud5Ke/1miUbR4BChPcJ37fhsm0S+zBCfKZiTmxwLI5KE+zk+HoMc
ih18AqK1WEn4k3hkmYrSpzRjzNwux6B8dRJxK5yiJZvUwB6VjR8SL0WwWq3LinZ66pfx1vN0Xvky
B0NhJp2eCqG4Bg2+ERhEbjBsmxUMcDMDbdT7gXPIekhFGmc08uKGuBO3QxxjnBSSh3jKn9oq11hh
8weOAfNQFgnzbjW+14VJamKaP3Y1JtDZnrpDVV42xUTGFotFaKiBQ3ke0aRUUIrMtLu5Dl2c7Rjf
Y+uuF2sTDMZ83Nd1G7LG/55sVviTsTJlJqCbuc53oXgUGXLd7K1/lZzahKEeCwsLlC38SzbLsCfE
jwsuva2qGdBQLvSCGG8DrNinrSzel8rOTrO1/qtEeSvYE0TF4FNkENNHTWGEjUMN33zUDWDQAWE7
zmNC6QmaAv1uHdyteM96JNVb+aNApG72vF5bJR8ygg/LTzMD6liheApK3ACHXHfZEfWMd5wzfe1w
gsE9JArZ8FmUOdmzI1n5u638Df23PI8QONz2qa74/LRa/5VGa8NvYPyS50+kPFCC9CAjVkElZWlk
JXZmfJljo4/Nun+MdYnWtTR5YjB5uTuwuyKSCeI85BCHCWicnUSSFUxbxAUtMwcgUyZzRVLl9I9G
g/7RtZpnbN4WOrL+16Lwn3YV8bSorTg8jR/81T8pItr/O7qZnEDppG3eglWFo3LLi3TKd0WMTq/E
qd3045TGEwEpa3syse4GJLMvB1Ox/tICHBZIE4sSVsP4Xoz8uNyEAIBCg9HyShHx6qmadzw5m/w+
qCLS7VgoHxXN+NNu5EO2Yw8QV7EhAbdVGP0h9suVTJ7yhWKdiRWxKN365dUTc+UK159JpuUorSgn
GcAtv+UG0q1cdUgepB0kLQm8ada9k/xhKuiK2rtaU8kuZr/3CFY62Ah+6XWe1wpgGDNDdniOd0D5
7e311m+IRhi8g5pF/GnI0v+oxi74MU9Npmj1Gs60mnDbYE0XsiyowePd5za5f+cqvmSmfT8621tt
n4irECHJ4bggdTSOznwZ3FdESIG1wolwgL/m+YYccW0Cwyk3jN9wX7EB8Tqnzsvuri2zErXzUCJY
7j7ElIHlJwYvRIN2WX1+4eWY+AE6fMJ4+W0TH3EVWWEfQdRGeWs5EXBD/jLaZ7D3b3FZk664MhBu
cuaPa1TP2fDG8bYngx4gjYQpccKHCmdB7+cVXI02BZyS/y0cbQaKzKMwrhjeK6YuJsu+GvoP8qTk
WS4topb6eRsWJrExPjnPdCImj38TXrUjjgrql5kqiONHJOVGPbHykTVfwiNfS6eTYpfQvnnA/fVc
mvB6I2cgZkHikaulAedQsG4cGyZoFpVwQBnpMgtcT0lsczWvw6+E0AEbMDU1fVrb6AM8rJb9HfFZ
+mDJMTkuLNxQAQxnwQ+DPiH7yEj5CAj58ZAW/O5qjwfLnEkdiSfAeP7V1dt6zffxZka4lTFaERo5
3M7EFhhvI4WtmR6KBHP2UtOm1/wmKoCWVduz7epKdpamHTnXZWZ7Fncg+V0A3ixMmCtnHRZDj+EQ
K5ihGfbja36S2DZRBlh5ee8OTHQU2iIoN2ieEy1C38Y6iVq25lKz+7jFm4IusttHGZZHDIPNdsyZ
B0K2E/XmO8snR6h1MDsWqElj8qiwOs0gDpxSDYCMQxnBaLlwkjL2hniHsCCGccPFViTePbLOMuj7
+qut6+zapOx4lGpuumBNAgrbJUImaI3pW0tpHgan/aPd6X7S5Q86dtKdxb5XEUFTJu+1xgjiGvNf
GyMLQU4MEFCKIAvhCZm2vXFiPai2u8rkjFNTRZTuhpRj5ajtsp+O2KFIa7u/7B9SG+ur7TaolyaS
TxmcxOcsL5Nws9qHMUn4OVz5RZKkRihHRU58+LhTjQiCn2FgYxfL4GhOTZvyKmGhV4+JWaShaBvm
ikSYhnKW9lEwFvY89hl+Z34ZTvzkeNvDZoifqnN/lDYeh4JwlqRlLuqm6ntTojry6mxp+Q69Tkbd
ggTXmUmV4So6bO7wbEjYPPWa2JfaiJ/XJf6ArlhF49x99kb5SIP/igLVj5ASHh1cn+HQdD9qpvoG
V/NZW7y6Sc603sFXpEmhkTlPNpFE/Ao2ZJKKVzqybVoFe1EvC5jQcOvJqke6mSH37p4Zwj9OaOQ1
AZe80PopJ0SNzBA7yAN7oTNpU7+K9Dt78b/JhPHMT1Z+uIJuCRFcdUygKwasi142iyEifq5ozPse
nxXHH4ilN2WyQ7TznOylakEb3XZnrSlBY8VUYCFqXFZ9xla4hMMmR+sQ295Tkc9yP55e1YJH2Bre
Fmv658BOD4EDExhUtk++Z3yuQB36tkpf7SRjzYiIB5sli2BdRV6mjp23/pdg2U58tIXjZJPlnNAF
uqi3C1JxBfC8Lsl1ZKbvS8Hzn7cs1RyxnMf9ms6t7RMfE8uSKuRdqt7jhIzzuWvS22Tn4tJl1Dkd
2Hn0MsyU19X5Q84tbSpM1lD3DO+ZIe594k6tWZeTsOJPp10MqDXjmzlZjzY5QnaPkj02G/co97gL
L243UuOSLmC1+o5f5t3vZgRKgnapv24MME3WU0iqqFd2XSjW3mKjJhTJS1FPz8u+4MgSJlCL9KOi
SpA8eyZBpxAx1okuDo1M3oPNntfcBnWyXEfkVfgwRh5uBqF23/Ja6A87MRiF0Y5KZxf5Pzk8ATvV
LRJEVHMYrkaUUecWBbmNsujv4t5yj76KH/Gd0avW91wz8a4eWhh//io1QahlZranzN+H0Ln+lOly
qQf+ta47+wiFka3AzWUnH1XgGfFql3ej1bIU3/+hZvVgSv1nn3IUfPNpKggVX7dIFMvvqawlPxOJ
jNhDYbmf41J8bC1VkWNwG43r52z66BwaYJmIDs69hTCybQDK6HxEqGraV7dDpTNokmRjJwWXwuS2
c+WjZZKHGUeeR2bM6CInWCTTz5Qcj3IEcWkJsrAc41rL7C/P4HZeoTR5BuIhCrfl6A7LdcKN69Wi
PhJhswSKxFzhT3/lUP+SC1pXuOvpfZ/Fe6bPMl68YguBr93V3fIwz4zHauJm0oowe0Ow3dpMRwbE
zsHhmmMscO3NY8e2JKZ64c2NSmRnYTnlh8Hd5kvTmy+po59SKJHML+LpqpvhrBwu67w1r32pCRem
B6GzZSiq9HYydYOLPoUuYO300sa5OLX5ACa6BSgnHuhgyVDeQIkrb2NTld9MryeDTZu/K695yIr2
n11p6tF44rRBk8Uu6uySNMktt4VDxvDay7XFEo9Id/a6OE3K7ZT0kxsOtDdBY74UBdDDtMmPGMe6
c7pVP35pmfcFz+C866/bxQPglPy1V3RY2Am/pPWRYbc+2gNyIqAS0AmL78Sbu3ADzw2wxD2nRv1m
mKtkfrAMZCEPPpec9dZW3c3bI4WLBY5rXpQIKuzHQjTWnYPV+0TxI4EphRs7RKa2/V8lc/taIKsM
M+IbWEak93MKoGbil+YSXEkbiP1kimvOME0giFmvED9Xhkfar57sVtkHYClYqtCSjF0axk7bRXlT
3xx9ngv+ZerggoqnUwfmhdEJiJ8hbdLIAgkalq3tkDBgP0xQsc8IE3IQ2bh585TVGnUhHolIZ6N/
0A7mMHsb3w2SWrQpz+Qq6LNX20tEAljJgpyosTBroNIZ912f9FHs14QNCBfljCRgE7QX8u5N//SS
1DOyYEO7w2FGylZ8IAjtuCUmXLDtJbYVELTZ/5foEr4m/fE0Mm/PG84Pu7bZVkMnrmw/DbgzX+el
+8CP/lorYYXoGYpAWiRRZG2sQnY2NyTQy7G1/Tf8NutJNt013x8SF1XB6nrfi8d+eS3AbFr+9iud
+vHQW+xmG2L0siX7ynBeDhXjITL7+Hu6Bb/KQRGXwNvULJFJzF+UNhB6+Qk5SUGpIt0mwmd03pHT
ECMSH415JS2YUxVvP42AZzWnRFbn1ObkaHLnt4A8rROzP6pBf7izOKMa+0MT+r0ZNTFu5E+x25VI
aZg4F6QNmpZAhIfegoN2fFCMLELAcAhEdtKCKp8ZR/QHNKsG60EWsCv2Z1RRZVCO0/pcrahySarx
Jzq+bU9WHV20Tpn7q5zxmhu7I4Oy/Ffhjxh4TfXd5xy6cV0MlxIXXZgxLinovjwH2xGSS9q+pffC
vh2O2gZhsPSSZSW2qHXpuSSAbdIVZI89NmhuLKO785FMob3XfCmEHh4ui8asPrueP9Kbktp66xr4
Gw3jPIY+6BsOK6fQyV+Gr1Z2Y0CahAhVNqMDgh/FVKVMgqRJGTap8budGWNTorrGg61jcDtyJH51
HuqHYSijXE3PK5YU2Cxr2f1yehMaFbzOlWjdIdYDX3Lsj1yBd0r4Kqy6wUON5L71tbxJz/vpV+dp
gRZrYVy/QO/wmCp4/LDm92JSk8im+ot0jxxvJ/lhzJTiCY1vmTiojidOLbNHAu7+bMWEwbeKNgwt
r8VGBetGwmSCIJP4LpXOW5UQAcXXrpPmmseLdVu8hmyUHvnXkD5N/j7V1mS6Nwz9GB8b53avoxOq
czzGyVltP7lAVEZATHpGkDAhL8YCrmwUg0j6ZmaaqM2ajf8c3MxALZiC2yz4niaXoIxhMW+pYFMr
0+pP28EzSFn+xEVKN9PyPmfkp7v6MZNEZjKQZFxvlICS2g6Ng5f/gd4sw829us1jklObcv0mrs+h
JJAN2ANftInbb9KWEW2oWIJurXbJA7rtTj4umfco7BVbMOk7MSdcpCTDbqMVF700n5DH8Ghwu5Ih
UJzI2EXBbHghkiS4xyKwjKVjWUlhTxLHoY+XnyqGXmxPyATSFoFNQ0vfUmt1K/FISRu/SDOrQuRL
uxMPaR+i8FXYpwSqnU1UTEiM5lVL7ztR/WfvUzc5yyn3dLTgP0lhwHPczBGHAZXtlHw22LVxYMKx
dW1uXQTS+L61Gc4j1UE/A6jrigHDekwPMznXzem/OYquVHt/ph7BYd1Xf1m9cRlv+gZGvzioEtUo
E2hmleX2VsQUml3PoM4ZUHAQ3JRe+mJ4RjrNVyJuAGk8EZXzOKKYLXUkSmRSvdhNyd5nO74NM+zy
piAQlHXIP6exL4Xd7fmCMpJoahG/w+ZSq+QPerSHFqnhdo9wTm8MotS9THzrWPRs7hUCB/yOIyrf
6koVx/RTlN8NR1C/6gN6YzgHCF8tI9cX0leZAfb/RiKJkhoToDJfNpovuCPVK/vPmyfgM4tuYqBU
t3Hkq/GcjoiXoT9u1A8vfjbiH452SAqDCFYzZMtt4bySutpa1qETwwjOT542C10EsSokwe6VxUtt
5Wf8OyndcTP1LMuoyuHJ+iNh9Q6PQ0KTuDkHfy7+NHP9ikbmmW1GUXFaNjJ7lSRkhU9+KZfDYrc5
GgAiK+2Lq0VzTMEGzMYeogpmLkHbs1gzxUeeuCe72ljaefJcjzMFt8V0qvvAcPhrKFaiqRmYhf0C
fYfi3rcHCIzW+unX2ghHmowwp4Qc8my4OAamzGF5JPy1OSeW8VPVfRLNurzbPPeO5zMOmEKTsIhL
NV33gYJnPiUCgGiyjQdDtuUpa+9U3/qkLEyAujVznwlNTjHREes+mYEqpM0prZ5t3DcBgg1yJbaZ
yduSfuQZWc7YCqspxpS6oicM08FlIzGM1/8vZqwMxxQi/wvBJnbg4a898MJZKDbCcVSM68vsr1cT
tFM9GKJOr/i56469OgXF3jo7b6OblGdBZ0OXiZTVJRfIk/UM9TCx0Zdfey6HxzxmFyhaogTXBm+F
TNezruB0O2bWh8tQTxD+0w9YxCOSLOR5pFzngV8bf2gcECX2IIDatfztpGXE6Q65G5sY5BXrhAwi
p3VpOLuzljLsuylYyGesK7GPVYiLsPRXh95h3INz7mxbajgnufOTLeLVMlFoK1RW3K8/TDPBab5k
pKzY7PgVtRTNn7glsKWuvV39K6yBNGJFwm48rjV1w640x74V8iNwAtXjHbra+owI/ew2MbYLn21+
P21eELcZNS8B0rbKL4vLw0jcexZ5MYq7NndhN/xq2MawUvkrHeKzTcvJ773ijzbE1+CQiuQ5KEhs
UMvRKNtXrusDYTu/XBaBFx2Pn9hKnhZmMWUu8I+WuXluJWvjOoeQ16GqcnebF9R7qt1g7QYDlSS/
DFxmanBgJswI5fw+dklbT1jMFd9r6UV4m/uz51VMo02a2SZB0IEq46FHZ7H/HP8JBQCrq4pjJiYZ
LKT+Bq4FnNGWLohfeBNOJ+7TeY0YvJkcWzSJ2wQxjQTIcKmhNWKvg3vKnotq+mtrAGNXxKVPhXXq
c/O3bCS6d3vyjz6MhcBgNBVNZ0PAU7F3l68zzREGo4sgSWRMKxw+uq1BWH8pK4b4Y94j61bc7vNv
z4vp+P0C5yN+j2LbblWawd5c/5CCfck3xjQAAYh954nIJkte0M8hdTS4RLIYaZCFCWDrn/x4to7L
aP7tmmK+Ncp4aQzkmVUFDz/Zr6A6cv1cHe2tZZCVP7Px5wSMPX0HcBa9DEh/m7VP2ejf7SYtQrzr
O3PCH0x3e7CRH+4hBqyQ/emfyyO/FUZzRG39Q2QLco0ybBEkHK0NL5RUxWFY5+MKBLmcWy9q+uTN
qZoznzGFlw9KM6fmEuSyHx3NszlX/YHdkHb716QYn2LmGiFYbR2YJMeFdJPf+SolYCS7ipaOfFki
QZZbYRhlpO3ijp+K+9ZEUbRK8O5lO4NWnrnft/PER+ZmCTiNCUJ94+7ReQSSaMKVjATjjjkDpZqb
6sFt/hpt9meA0YFl/3FlmYXRcsDKvZ2LMsfdWXLnTOJ+XDJ1wIjH81uoszflr7FbMvLOP4h980PC
Tv8aFIeenT7pJD05/MwBn/QaiVUbnEBgS+eMGTgUOuvQ8qp5bEt9wa5zGPjG68zCN5XymeOkgybW
iOfM5f+Uemgea/+3HNpnk8086bHYdNzmIQanEphEmgeMchreJWYv1YhGQPSo+E2ogoW/0pVKtsnD
72rMFekYbO/i/L+SCgxbuA/Www7RYwJqrX6xwtL5glbBt1TwbsQFxOciN4JwsBE+7d/+5MEM3wbI
DOj8jXvYTIj5Zn7MqoOxog3rZSQldV4N44he0gxr7+TZHC4wQX9P6q00Z+j/SAs0LA+FWkF5PaL3
nVvuLf1nsvJ996tFQndhH1qV/p7hWsK5WQK7mCgUhbi0Q/lA5gjVpI9WDr2UodAFrXHbMmB1kKu/
5JyaYdY7d5M2kGCFbOUwoVtuwawMr8tYoowv9/T2YWLRRw+19evVGOPfRA0aQSmmf8C1ULzxRwdA
qFE/yPfFrF8cQZdJ9GWU2HRx5huDwoFthIuZa0M8mKWOZMxqvOHRRXyBrria29cKbZc2seBZBPeq
AsOuYIuOAOoCBnrawSA5MubHboMgSWuLC8dlNsK88L5yklsJBYlNDlltvsBoMU8BS9J/Yh3uLBM/
2TA+WgB1WDho9z8eX4y2WfdF18RTtes2crpIskbeJosYlLxXz4lB3OkEYpjdVU3Z4HKYUAtcG1M4
B7ew92KASfLY9cQAJ8nfrOCXbM7dG4io/+JdVCJXNszkon5OTtbcy37GMjjQ4bZQIVf8n1Qnzt0I
9m4ACx+Jf6nbdieRF/81TvJQbUJgPxzv47LXJ5RyVpIpwkfMMyliYNUMmhbv2JR8Su7cIoCuGEZO
M7IanoBcTn8Js3w2jT6OiGo/TgxE5pnr2F2z2zQaWzTU9g1SEgEb8xyqXKhoGMvXpq9rymi23c7E
nsCeUXCK4lKk29uIcFiMKIh4854B6LDzwe2hEhM7VneCjPyAG3s6Np29BjVEtvOSzq/Qo+UpkyyN
Z09LUHFGuFXzk0o1xKKNSQsy9rOos/eNrxfgKJrhQxXHDfhx0Nq1f+4aRAHEdBHQacxh5Zf5oWei
qFvG21ZvPvrgFQczo/kiC6SahmfX7u8goVOBMXtjT4yigJVK4/nnhFL62OAlwjltHlvD70KO4ZJm
B3GMXfWfWLReGtkVCJm5dq3+sjZweti6TQcu3V+TfnQTP2HdQ7WfpiOxKnxvYi4/Na8fmmPrA5Ga
e8rs7G4ZG3aCUEOIVINdQbuix0FcUvIYcTy8ywUJx+Ax5pfGx9imlA+rXM6L/2zhPa+zmvSZtjhV
zgjlCBFO0A02YlmmzNw2SBMYhRU5mx01r+wyKrTl7Gav/mDftoaZd9LwEy3jwEQiKa/k4bEHgTpi
LvnBGpEoeq0MUo+56jIY3jEVA9C06Xe92S9oAtnBW0dzIbvcXp5BhI/3vI2E2CUHWIZPbuW9927r
RBPDdKoi/82xh/ukcDDhovcL1liI46zWJ44d447Hc9f2o61pKSvtGtZYsSObKm5g1IlR7X139OOB
d1fFZNrRuGUYgKPWNuHF0hHfpdbosCwi6WYo6XfNtnkyni1KIxYCoHdaHJGcv/qQVhw+i5ncV633
XuXyiciK9OAtMSThdN+Hj8sdGBzm9s2NIQDTpUk/xzmTArVQt5eutVGo9c9inKsznjxiVIhfCogy
vQ2Z/6/ySuwJ3m3drDSKIQYwSeDSWCQCzmHk0sDCvCluj8Jha41ohodtfCAzdx44qzgQl1N6bgaa
nYzEqhMBlG+0ovh2ICEX5Mg1dfJE9dZGwsEf6CswYVgF1r7Hs8wZO+XxKxj/t2QsYfZb6HnmBbol
T/3WVc/uXIA6pkc3IixN6FYLhvs8+DTCkZV3RdSkWsC4Wa7JCos9HYbtAC4f9kIxoDco6v+aHg6u
D2IX5wPKO3v7mTh0kOppZO8qv2ly74K+Lv6WOPXMkXucUBxKa9J6tIZ3vNXoD5bKADbv/4XzzC5X
E0nRZWvAOu5O4yMsBL9cX5/cQtlPsGaYrGS/PFktpy2vbYbs6l6hwI7cZfYPyqX2wAJ1lB5t/MDf
UhX3xKZwIbTGP/CzhLKvvKJzwo5bog88FTbIVscjbqq2qrdC7TEFrngg4cW+rxfjuZrwJjbC+sNF
DemieEp6GP4fvcSBhXRtOSlS3+xeH3RsyhtJMgGVpnUuHQ4J5szUqeV8KkgDwWZY/y4WdbEd3j/X
Y6Iqrfa+XST4dbxkCFNXZgaPTSsYSdiiCP2lQzkZM/lzxPDaG4AmRAbvpdgRZkwhG4pSAXSFUFzD
jv9w9WACQBeMJJPxiZAppbzgGmSqGVbr0EUohG3W+zkexRiKH0Jp7coTAPu3jSVlPPEn5lgkBKyJ
+WkdzAN4uh59q4u4qxNvB/wOGdBkrmwQjUVCTGte3BGgxD4w3otl3hcW/OWdm5ZF6JXq262b2w6y
QqQuQp4ej9HkVB23NRClxaiRDQRQV6Cz2dnL6HR0uUKsza1wYRxpm+w0Cru5Fk6inz2PNPa1NC4J
nsZQbIk+ZF3y4OGCjcgR5NOcoSGahRcZeQ7FUdwRYXOc5pqwcCCPRSe/BjiPZmehS9nwxEzsF9c8
+Yfb+yLsxcCIKDgAS2NCmxD/iRcGKWnuvHIiTjTk6ARi/uagdawXtM/uNXXacNKQyZe5+Ozt9mXq
SPGAp8Aj7CC4Za0NdEGFfMGDdNcXjz4POTDlmiCPo0ZvTU7dVz5tRF0b2z9difOu+HkoMak+kJMw
olpluTOkLxQYiFkMJs5db3/HVBnriq1Fbg/lgEGA7EwZCHN4LzMeb1U0T6Mbp9dJL0+7xnpJrEgs
hTq6v1N/RM9djQ9eXRLN2bqsYLC2FjbGXBMv5mbzn9qAWW3ib4cWL/VUYldNYHRu8TseacD7DfkI
LtFvOj15cl9Dq3/dPonqkfiylF/fc2mEzMyB+4j6kVkks4SpODbY4dhvsNCf4esINC8sOcCM4Nx0
N/XAFhtaIkdgPFUXzGTU8lCuRZJzJF8JqoYUPNSXYehe0U/9R+ICONj1CxcPupBx/GdgqwjysiZ+
U9cMz8Tz/9g7j13JsXQ7v4qG0oANbppNcnIBRTB8xPFxTE6Ik8dw03v79PpY1bjKqi7VRUMjAZo0
uqqQGX6b9a/1rdoM3tMkJgQWhc+L2dVoxnePeM2QTK+xDYEqstrbuGDv6If3FtrDCtcWA5KS4EWF
YZ/zBfFOnYhhCVQ+emrxd65amMy+I+IYewHov0TGlzaFVZQ5s7a2FOm/wDyaRg07rPLuDMPwTlrc
Ydw1AFUleLSwIS1TU4CeeQDYjLfMTTDuhtkpmZlLWRU+s5xFWNXMhdrI3swMRdYUEJHJMU2YMwaK
aYhB1GBVSpJukdY5zkzAyFH89CVdE3H0mjnsAEX6YeBJGmHz6CMY5FijhFP9ZGgKwdDLcYCYT3M8
Z0tFCZ2ghDIZs5DT191xRY0z3StNezEGKfdIh6aIP9ICe1FSGjeJRAmuKZEkFuvj3qLNt0ExM8A2
elSqcMkZ2GHdhqrsXEcmnsge6Xb0aGHUQpVvmFe0krIGRtRhYjTbtnZI7ASNr1xgFUw4tlzXFlAo
2OGUptwFxz32IrvFpHAJPQ7oKG4EvKCecvX8oIFCrLhIf7KkZjpfq4A3FoUaElZNOKyk/EWnjiWK
SE+7jo5+1gefkxL4QGEmqvq19eaHcjbuxsLb/MaZctpAX8/ShKLUFKuqSj6dYfwIMqmtCXP9LKEI
s4YiQ47pqbALx9dKfkelms+2y02BVZaRM5KKiQPCTudsa6fPXayR/E44/dfJzRCUhzBdqis8PTsD
XOAYOaW+jfHHyDX2JyHeLcPigF6j+Ohjt29G7d3BG2YV+keI+44M7MCgAdIgF54behppO2JhtJv5
MYVjwWDQpvqnNnBmDMzEHObZbDHyWpfuuKmD7puBTuD3cQPWxIhPRPE3HCFwmXTJpXLzR8A/kGST
4MnpkebqnlkNhy8KUsyUxh6Ratw6ncjXvcw7dHV4M1SRe8ShD6TCpcOY9FzR8P0tchoXKMBbgV8w
LmFVVkx8WQrGCm9eaUYEz+C2bbyIfxzd3D6YeHLgSIQ3s3qqY1h9DrthYGlbs9LxDkTPkiDGGloJ
VAkGz7aZu1sDTY6/8Rs0e8l8Xx/OWfgzzuxjnFshd81qjXqI7XxSyDbPFN8+ycK7lmLWIco1KOps
+n273OdcIjZtXNzO6h7RVl9DvAOU+BSq+U4DQnG2iVbgIY4/Kr1IkFFzjzWMka5bjj/Z7MFUcRQc
ekyhpaVwbhnjcSRcRcIYixnOiGevqCZfuhJ/Zv0B8IGyAB19nTQaq2O4Re4vwS0VT32KTQRPOvut
kg+dTbBk0A1vC2zbCe2lCLVyIPTxtw4RYiiUjKM5IR/rkjemAGotVW/4TcU/JerOsr1tjFQBtp/T
OKeg52Eayf17qHWYx0hde29V5YQneljsIOP3T3Abag2yXjRToeCYrc+kAs9Bw2G+BZLQ48gjB2cS
qNuENhE3/JhDaRzBcI97jKjljvG5nLQdTkFEQm961Ifi2SbCpLvhM+kaZhN6n/lAdTkzuOqt0nJx
5hSmHI6uuLTPo8YiphXXEbPe2kFZPw4MuXYgelkqUsz9sIfCJLl1tMhkPWBYLUbN2mEC6VcDR4Z1
Id1VjAlgF7HCDEl8J4b8VNvM/odBwCds8peJme6F80S6IU9XXHN370Uks7loke0PNDDbcK2w364q
rgokFC/dhIUnNeZpgz/J70vV73Kjf1B1+0OUvBwvD+/MGm0Y7Fi2cYZHEuI8gbm5R+Hh9wSQKOwT
5lFeTOpMnOJiQAvV5NtoMRPG4AZxEWMLXH21MULEa50u8JnSJt5cNE+NIPs8K0m4UvlYtBS9xYg0
bpHsqhYg+FTrF3uQDKX5Fmpmw66c+npZvpt1uplt/clcCpTcqVWwQfqvNGrfJxtnv6mSmhRHtU+Z
y/gzretsJ6rV36iygBASWCfH6IMdhN7nEqeWR1RwNZheTAd0cAOQgJF2LnZWEG6NiiQTZNZTaXnD
Vut+4oFl5ksClFMO3xGVaoQmu5iBMtsYmwtj777yk1zSfptxlEszTpfobDvV1zs3/NCbQm5ajHxr
M9vQ1QLCGlcVuf2E/hs6jv2SBDJ5YLLNFea0bhrgEqZlv64ydS742whV1Ec87hZPy0u2dm7ftkws
2+qZ0+tGJdpJlhrHQbMLwfdae46QAwk9NNCkwjlWlEcu4v0uG817J+BrpWgqW+dd9Ab1JOA3EIHe
touDG9re3jQsPlaCsCNOMa0Kl0BSkFGnSbI8gdMLk4PYCrGv5yxR3hF/LhSAuDg4ev7olFa03Pdv
Zonvluqhl3i4uKxoR8tlRDzGxU1hQtTjXstKzFRWNyZnPTZdDvvRPc2MOnB4UsNcdOT0UmsAk6yO
YqQYLw0d7LMezUg2rvd5IMTTVJO7Vq4foQzaqKlhSeyekltIOPRf1LXAzDQonDKwNromgn0RhUTu
bC7AWs6AMsqxPlfNYa7DF7oXKMnKmPVwaAbNGqDweMtsGeEUe7p3hYi9Ddv4qWHkTJQVxqtXF5ds
igCpBMHA7WW+ALXvj+jqaGoxSAhyW7L/7BNE6VTL9wM3hKnukkPLnF1wcEJ6nD+YY6AWchO1y/eg
L1hHBfIz355bVt9o7wx+6Z2p1j3qPZULACVOgDl+SkNs4yGpNy4YoLarrJvMrM7jVBy0ThyNvrtf
9iG4l/OaScVV1WTSDNWWeyirR88IDxIH8nYkvLoexh7mo53sDC67uwpatR9SWLwP+vjSk6uBaKQb
+KUSzjcNNz7KiXhfdXHRwvjDqT4CDjR3uratxwhuOBLHqter9hymBm2Ro4V/NX60AvXFr4vfydi8
j8KL7pPI3JdialgcWOedYQ/78XXE6MRDf3ILrk5jTzw/apnmtW5xmWzSzyVbno+GEBMnG38Q3s2W
xHrMuG9flhZTy+LdkEUGnXREGe/FY67j8dC19L0I9MfEk19FkRCHmFJ7lbZUsCrugjgBMA7h6erx
BuzyxSVV0mQQE6QH6Sa3uosjonWanxKWo1Emr3NMvQ4OYW3UFp5u6rfkhA9ZBlwjn24NRwaY03D8
YoYkTDToF111AJZC+ySNhxjQBv+BkG3lYkvUk89+0J6JvoUMKVCybJAzM+IjFohgMd8fyM8n5kQ7
xlQQo857sEKcdpilRxJ/HcwI1+8K5t1MgewNJcTIMfmbRmp8G/X2M041u4v2ai5OrcmZ2DVgY7ka
qiHx2c0U2S+L5on5W7/RwIT1uHLYLC5ICdEBH9VhTLkidBwl+UbSgEqB6ZKsy1/esTiehUlOgybp
HHaA8+3qRbdddKqhGbl1emQ8uhqFItLd9AzFrYG97R56DP3rPJ8kgSE+lSJ4sMCJgAVqgzfMe+Uh
End542WQlbnMhdWX/G2e5oCgxv9JOtINw8h3DRPet7cP7CWxntvwXCg0do3w1kIYlljyomXgETaC
2ZzybidX1WQjk89hlCTZSLVH+fTDiNWXZgxnW+xId3DbWFhgWX2fNKR2Jyk/C697FupryCL469Eg
N5WVPSjBvj8IdR1SEjUEixGye3wnBhlYpwTgU1HNsykWlErDZ4grb9UFXGpLV4N+aURPRDqgy1gw
7kdubm7OVUJL2Wh6rwSIjzgZj111ZSDuDyUxEE3FdzJvnyc9wp8cMr9i3Hk/8sXDOZy8dekIx8fx
VoFNwExUNbIKGZ++fSnHJKLnhvPPZL0TcL9gsOLDnL5BDd1Nqv/QzfDJCc2D1yLAZ6X5bXsaqUjm
kzkRii6ubyGTbgcn+jBE9z4E45Uc1ZWS3HtNw2jGaXzrAL7EtxPu4ghSTD28mXW46ypaDKa2xMhO
zxpvHjJjtImk3MywQoOQgrJU8AMIONvIBYpBvKCxjWPKrNREsgo5IjmW5M7SgcQgsQj7Qz0OQBQt
Dz59FTnfE9PS+TLbxi7RFKdBL0VK0H84uvmVG+mHleKPpgbxVDmu48so+LRdDa4yeKgKI5NuHpvW
k+uB4dTgME7BxM+qxf03ilwOJx9u1L1osnAwXzhwbwyCOCTB+P3Ca5lKtdHLhBheI16a3DhOU8YY
GBMkATowXmNJ25ShXhMC/uw4+4RF3rjnZQw8TkT3lW5juJIa07Aq3TO8vxqM5mWgnZBtjjFu/y0A
va96DN8461O2npysPn8UHpeKxjNfXH387TNIrIjjHCFp7B/GkurLE5GTUr1rw+47crLXhV1CkXP/
mtHEPGItEIoQfK8fq2a4GSlXt1V3DyCsWQPIiCw33InGe7MjB+sOwQD4uTO7qzWshPocElzTGnbC
ruPiPkP3sUesw4QAveoad8PKHjgKeTpHMIILxLtjuUjE5i3T/VuTlZkPzzOGq5LGWSrf4Oq81WJc
ZSPu7t5D7MoZ4khofx36SsobCottV0/3y/e0sXooDRyJAZQ+14XJvTBDno7M+lQr7daTz9Ce+rXr
mRozM7acWsXfJmAMJk8YymgJt5ax7KwlB91ik3IYjOoqO0yYqXy0USzQ5NOHxNr1JgfQzmjOvRjP
UTK9xI1FTMPCIwFx6kkmuIujmTWySQ3INc+xAvDouE3M9ZHRqo67KYAGz8A8uJvgIytRbibsdnXS
XzpdgMD14m/hzPelC2u4AUjTOclW07nyGXPwTnQVhyRVn2s8ETsRqn2epkebSbCfJP1I0qdlzkEJ
PbfSaafV3tVV4r6H8r3qX0fd/BEb030t8vuIZbH0igc1JvsY3/cKB51A9aeIVltM0Rl+kxXJsUs/
kiOOpvGuGNNL4AoTLrFV+66n+3aW/IDYRdq+5a3nNzSuBIed3HXPCpuzl+l4RYf8hhs3Z6UBqDmh
EeoguPCY9t40zQm+Qn3HBPvM3DAKjAvRwZepGc6tRWmmKU7uBuWuxO9kMKcoqh2LyoKOSTNiH9XT
3LNBU9ELc4KTdD+nt0FJgj0ln6/XjnOUXfjuCHk0SueJtgPYEpxZhTSB0rlnWek3RWu/z4bx6DWt
AGaQMIklQ0IRqr43LRvmAUBXZCfOnwPnPMDya3Ld/cZi2fHhmvoqqkBLg/jc1bp+tevpZnQY1czW
d8cNejcJNcIsIkKs9GuTRvs435JLeGp7vd3VDfwhWZ4sx6x9jJiWBcbQS4dnIe16M+HFXkmdnt20
cdy1E2zLeCb3OIMmVj1GfRwW8EpBLiaMSBAXVkrr8avMtFEgaZPS37V0KeMMMnfwofkxptmxiKyr
HL7GWVytqNuT+Em35IGfzTa46cA9nGeNtiQzfjYmrPpWE7s7KecjMPV+rUV5citMDZomU6dSO+sY
1DYItAnps/y10RGCtNnt/Ty2IO8YBs5/r3r3ei53GaxOMYdrkda8hNL5kQLG2+lVekUEbKAI2d9p
52IZaXPtaJYBQZIhg9nG3z3F2Q0Ugkts0QEaYH8OJ65XSxTn1MVPjla3mwrpCWyE4E+2724C6RCh
7RFZ4zSTHzsiZKlKkMujinE9xxghPfLAZCy9S8fGVAMNlJNF1W5GyzLdMRjN5GsNgD0EfsWciaYh
8kZviz8/kemXwQ9nZZnYTshIMLSFh6orY1db+WO6Z+jZ+5V7mc7xTKyytu69aChep5jTV2fIyZ8J
OQX5oTcpE4Xak/WwkxqPman9CYFFu8376WKgFa4Nvbs2/ai2uq49FAMu+yyEcO16FFWgaQYx0xPK
xBmNRY+TyB7juB8foI36GtfnsToSGCDPJFx1iMoce7wtwDqGNKS23PCLQXH7zJDk20RgRzVrsUkU
AjoKRbTVA3WZkbdXSfezGcLkyamfBkIMzLQEO19yKyXR+gp5i/Qm7x6UuflAzPEhgq29UfmI4w3h
A+RO+tN2CSM6pdoKhitOqfePIUaeDUCcYjuFNJRn4HoKxLC1AUHeXSY+bTJVDIWtN7ss6RI3KZKK
MaehIKyixGOVAArsNAl+c2kdmOq6K99ZLPMhbhI/6vQvvi64Six+bXzuW7LBW8acPrmKO9wswEc6
b12OWESTJfozTu6N3jUMgxrcRBZmY7YY81Aqmp2y2TwbclxHLvnZWME1EzNOeziVKw1jANzrj5Yv
jlHuKCDHIQawb3ofGDo8jR1rIjaLLdYh+r5kmFJ2+DEmtnGYNSbhXrazOzpozU48IdDEazIs0zrq
pbfK0hzvS+jdTwM0PN4YSWcUBdndUjIU3FnujasnL9yatMPEj8CplbNG5+EeFIXkWHGGUOWKeTKs
yzvL615g1UYrygfWuP/3qu5vW+5wW5J5iGsqWlcarRZJRNpjrhJWivRnhFVo0zPCHAZ7C1H22Bvm
MabWdfFdm3dR0r9nVWevwbuvUkiOezMpsaCGuIiS7iFyk/YuExRMWcTkqO8Cl1kcqZRzt0BA7wif
VKs2HtP10tu7BpQKh37IxHROmF3ZnKFK9QC/kGZ5SjxYIe8aJ70n/kbAqFMnUcrHlMzdOHTVQRG2
UZ7zCkPU27pQDR3mM9PsEbIR5R7XNVVwZA66hKK8nAOKlGbFRm18jLpXQ9mwOe3BW5F4CbeF8a4J
G8N8bWWrqbvT5s56r/s3lK8fDXigFxyKOw4FkOWK/megsf9OTUkQJ5rwTlr5GjnVRh6iN5SiODIi
Xewe4XPW+rrGS3pqUbSmuGQjgcrvm8VDFZJGCyJxbug929K+wGxagwZEuvCccItPoX1usxabm1TN
IQmbkqiRRca3TTdx277C8vaTpg1xkIUv+VjkCNLhNdeJLxiq+m7wRS4Un5LHAP9sNTMt2B3xNhFQ
ekzH9DCpY272DH5R62PnjdINtfCP50Nmc1YrM7g0EYgBjIct+eO21lDCHZbCFpl5hFoTEHuBXevX
Nqb92KPVmz3jFTGzuHHc4IoRWT4Nyp65midinxJrBs1Lpj8jUNCVEpZN3aLlhkxw8yWQFYHTG0vR
rrNSv6DJfcvQuuRmehjxD91kmvdIDe7JKYDj/jZZqG2XmnBZXGq94t5+b/VzdCpdCz93VIPNLOeb
8r7yOp0nN6iDXIyqWqy8vZbkCD5fUZ9d0KOpUVNlciigkzIlGB9CLXy2Z0/tK2k+RxX0aFzDA+Ki
/lMFalPogXOIYL7loxmeu4z8MoYJvEoLztk4e0sxhIkVkQhg/9Cnwt1MojXu0MWPcQxEbGrlttQd
9zHHt+MPkqNL3c0GOxa6jONwWeF6uCGdFG89r7uESR9fo1KRBthTwdY8aNFH5WntHeLWugjEHpwK
MaqOSg6TlanvgQNETvfcBFm2UV45P2HSyBBckzMIfK4OFfG7eYpfDCafRj9lm9JI8/USIR91roIl
IMwdxGgyiPKe1gfjpENBgghqbIc5uCV3HZyaYrrTCk+eUBcWbkcNRDVrLzRtz34XevjEaFSyGzVf
vRABE0RnrWp3p3JgEjUWCAPa5YYcDnpYi80fO06xKeuYEifLfhjn5M423R17IXJqanWrisjwLm7l
mWyTdnBzE+qFDJg0dR8AYdStwh4XiOakqRwkiteTvd03OhhmYX4R8pz3sYN0llXznezZgEWQ701N
b05YAt5xr5rE5mR70DXM/Xinh60L9YbAdUL7Jduunw6lzZbb3YoSgNdQNV9FDhN8buwOtBTQ4Eq6
i0IIqEam3Iiz7FoQPfDMtEfQhHEgZ4/s1litdZDTORNUDHH2S9Rp3TZ1uxPcYPO+nsRGOqTCqtI8
ycjMfcou6LSw94VRL2iBNuOQ1Xl3I3XgrRaW29ITTMViqLQ6McxVX/B0qFniD+beZh7aPcHt4kCq
rrEZ8Lal/h4Wbb2LBZuLFjCVpvdjCw0sPjumB7jIlUzwI0mazXFuho4sacFlwDECQpLU2QQkYvMy
qQ+ckx9x1We7wc0Z5JZyr1o+m6glu+5FDfiuPnkw3RrIeG8ewkFDLUnKcNc6C/KbH2dKw5Njq70d
zLCQqqhGZso/oTMxaoiHF+SUamvatHDlOcHwzr2n9DDdC26HXC69/DGGk6veYnagrV4QT1UE2KpU
S/ABLElk5362nWSXLLGKWIPh7bUclizUnDHKR4ZD5D8xqCKFCRBeMj9PHesIuMVvcC4j4F+E2G5w
N9TTORt38SMxKORU3aU7QShkFbT04ABZ8/WhC6hyNhB8QjBY7QzoLKptro+qOlkZsnodMmEpo+ro
NouNmy7tmX62eiE/lsImWgG0xoluBMoZL03stdSdfbesg/PcBVc56/Xjp+U0zWOoc5eKMfvvMMU9
jnVQ7nvSsfDdbWNTynMbUsI5GgLbLAxpOFdz0j4VY+Kc3CrYz/MoqRRIL7FLldFQUG0wFCw7IMnQ
BgOGPsWA27ZW9kMy4ZQWpvT8umqa/UT9TtXMD7Ks7gcMjyT0AAXW4SZrix8RVTu7FLiqtzA8M4EQ
UrfTG8imn7CxeV5z5OwstWnKxmGBmlMQlGHD16OjYDIbKH+i1tsU0wUxmhaoLjLuBT2F4ELQhZPw
MWjhV3jOjz4qPT4pNtfOXWpos/Zsmgb9nOm+KQQ8X+g37silyB28dea538IVSAjxIhtwsyDrx8e/
a1oSfQMl73i+8PfVMeHd4CPiWZWV6R6CNLkOVvojnsCg55h8ELDrF8O07jSiLERptEdBspLkO3bp
pN7zffBnEl6MM3O/YnGdCXzhc2F6Se3eXST4PzFO8318sT33vSQXsuuLcfLTLtxxlm/WlZw3ei7j
e5UX92488mMG53DGv4uczYEuZapJKNzaBVgbAsFgRtUUBAfxpSljz2cgimhtdgWxphrT1yRphxcs
v8uNBnljbUrnOTJVyB60b/KnSEFKM0jStK1FujjTYVqY6C0Vl+G1LWbMyUC/rPxHyL0ZunBjMgJN
v1XiUFVJuGYz+LJDrcQPeJ/rRo0RoOPihYqLXZ7JUFQsClMUHQKOtZyEM+9BLPt561xjBZsLoMlN
hDlgzBjzLHRA6uzzbZs/NKriqFDVm7JTnyYh/Z43hMGkBHVA68UM7vsUpM4DTyvZzwOGFWhEWW2h
XcRwrVwLGI4St/sZ19jeM+0BB/sCc0rZ9iVGJF3P3ovKPbdOhb0tnrdWhy4eTlW1ic23UODDhxOK
LbkCs4E5uuUMEoqNQAVAFJrIe2FaBDVDGQazYpwrBqPcyzyO9TZvKKDC9nlMVcbOmTPkCvSbOB9p
SgVLatrPVoDOmV9tw+TrTDjXIFcoQJJ0AjTSwClRCiqk4gFbow0LoZEIvBD98wbKW63j0TaMQ+Sw
Rzrz+FJiP1xTa/DWWDbfUVopm14PVqpGr1HyXDOvNIgvb+nbGvZViQCkO8Rcufvx+Zq+h7yzsmT/
5fLJ4YebGb1jPGc+gleRPTGqHPi/BX5cLp0w5OFWcEJtNjk1oX5Q4ar47X/CpAFhq7wfSMmoaxjF
st6pdy2NMyslXuuyoBgBzNxsMu5pwedvoa0ss/ORzVE3JC/BQqSb6eIktlnhpA5ey6bdWbgV1raD
Qpa33UfdItSoqjnrNlFdN8cWE0/1hqb0B84MG5J45crUZIrkM8Pegq9JsCw9DL1FjsOAYB+2EEWC
Idz3uHC35dBPa9lgvhw5CegctTVqPF3Yk4CZ4ByrQTwHtvPDYmqGuQUESJVcR2Z0iUvycYhL0r5p
8sUZEONDpdSePWE7jVwu48T6nNr5tjKWzNFIr8YcR69IKhWlYAbfAvyV6zzQvksb/hQLF17JQGyD
ExKPt0ndV9AdFneS8DCXrv2WcRMsFaNTUpvqVHK6IP5dbrIIKNrctW9Dzn0etw+TgoUjb3qYwYsQ
WCIg9LWt5rVJfDwT+AC71G1ZRax57eqEBjz6IEpNnAVvvkiC9yHOxvNgUVYaMmYNe4eKjr7uD2X6
1ev9vtPt74UW5MuenxuGXP5C/hXnsaV/hHEbWfaVM6X4+kX9E2Yf6ZberLbxjCd6gACSEjbkXEtJ
WcDvTgNwyRlE632HDDm/saIxtE1dogUa2riFh4/TJajaBSX0YUzaC0fclEMwFgiV4O0uyZLuWiO9
pABfmbTGTA285NVNM2h6WCr6qXgDB7eKWJVWWUYGRUTBDyBZMWDYLuHQTvVLg8spayU3CBCeDCId
f8LdZcUtCSc46IbQntwOI3vrYPzt6T5k6360FLt8lj31y9OYveQaRmoDXQaP0V3f1RcR8JGnIzZj
gJewkYj+BUWNPYyB/GZsQzIZC51DYxyDPwcrTzwgX5rNy1ikrzO7X2dY77CCmOERIMLGsAeGQhMw
aYN1RAOv48rgmeNwoUPXoKD2zqjNjXKXWmbSUCHnDcJvnUaL5gQwyrvRRqffhTgoW6HdMbD08aCL
9ejYwxbBexWO6EhKgbGyp63IbFx2LTqANHhBi/+81Kt7eA1EVnXoDEouQZp2FwOQLJmCDmJ4BCex
6xKcYM6Y9ttePRoBiePKJGbvXvsZEFebpX49Yv/MS5aWuZwP8+wy8CVOtG8wB27ngahd7GnaXg7z
0dTi1wpW7Cbro8TvKFtj9M26DcVuFUTMrRSB8Q31F8Vd7WyqmvEvMCu4dbhHOkA6ZantdO7frcvU
gracY5bhbmN09hTlr8JjUpeIxySrq6NhDruKm/JqWmCbQxA+N0z4OTXX+gv1hd8Z3YFJoakXZiTb
ZvzUKTwlQizvzco6uuh6EzXxcD4FDxwTFq8x6hoR7gX9VsHi2spsb1TpsKlQ4OpKkimqU5ptymqN
I4KllYob1WETZ96M7AZsOHCNzi/wNrM459PGmQD09o4zbf9/j9z0W4+cLf6uR+7y/vFe/Lf//vA/
N//jD3Vyy5/6Z52cMP/B+cskhSJM3bU96z/r5Jb/YqD0sUh7lmcI79c6OeAfQrqu7vBncTL/Z52c
YfxD6J5ruJ7leo4lde/fqZPzTMriil/K5Dx+ZLplWYZtGCZPcvnvv5TJlT3peCnD/jRLsHqZwtQZ
PiUxnQIkIsaCJlwODuGi5MLDDNJPr3pj6r8OVH+rwicDe0HHTDp5zOeTYryebsUMTdJr1nl2o2po
od6lMc2FG7ArkmGfJM3JCx8ALO1KmFCamfAj4W7EnkyoZ6ct4g+gSg23eoeNz0mm4zIRMogJEzj/
Ep5zSYnpTkJjhWzOZBrp5CZb9Sl6Du4UbAM8AOd3H3E20xwXNfi7aAAg7Mks4TO21mpIsFVQLYWk
EQpiImrHwTSXxYstjS8kMDJtctVjxNSt4MUNT2X60+xNxk13cV5uMz37aRrtW0IsguwrNxW8mVTc
CAZ8WMHII4QAVAY2Zrr3zEvjjetfvl7/7AP8tf/PsP/1A5OucGBhOpgLpPGn9j+ttdpedHF/ipgv
aOF72r+KMPwJBJcVYQJDZUykTgKqucpyVwcvUXxOAMhU74PRj/tQfrJfNHjg9OGuM6+UT2HfeFGQ
sLCIfGtYM/7++QpneUJ/+oZJ19CxQlBc6Hku3/Jfv2Fz2ufY/m3s1cNVs87OfFcreBjihkoHn1vY
iq4Ynl5i/QhxS0WEB5gnrQEzrHFGQ7uY1qNBcxHzz3a4afUXLzuw8mEczLB0ILeV2mMTFBfBLblr
3wvrWjUISvdL9xHpvwV5mPF15J3KABgb+Dfap5h2BE4AsXcNhrM1ngPrRwXA3cg/S+Ap8BjS8D1M
H23QG1l1Xr4T4VeWRAwKMNLYDIiHYzdeBYY5HfJ9qOHxxNqnpa+59yGDfVrf4B4xayZYVweTkNa/
hjVuZvICFvZcDEchyek83KrxrmXIFwI4nBVt3nzLW07kAfBfkFxQByLfGb4Ly8/FNQZ9LcHH2VHF
aFaS1ueE7Wq+fIpi3ypvDKTHtGuePIt8PuVjJeBzutvZR/B2EDHpA4tClnILL5AsQLaNPztcoN41
GT3EUWjazB2nob7jDnPQ6eSr8ULaqOtpNZ7TvvVT7WWIbnTtA8esHzaabzGaiRrb7xayiKIgummw
lmLuYwQSx6/t0O8qXd4WxfzQQkIeaXmlbAQLEZYJX8fN3+b9Y9tMVFpQ6VEICGkxu3wS7BT5KGz8
Oy0toKXLFZNQHKQTvvlxbZfbRfOYq4y4NSJtTnLQhm/CFZywoiD6++9vbJfoo6Zf+bv9c+/pr7Wn
//H/XEOqZGmhK/b/0JB6eU8/o/79jy2pyx/5fVtzzH84ko5U4Zq2Zzr8+987Uh2D8lTDcxxPB01g
Wkt76T87Uh02LmmzAugOeh91iv97U9P0fzi6oJXOsw3bsoWUuvHvbGviT4uOxeNbPDxPhQ3296bW
XxcdhGH0uixCsYaa1hb3OcjJrniMS0x5+DCgNOlJuUff/f0c9Pt79BfLs6AC9tfV7rcHNrk2uzqv
Ujq/PbFf9tM8ccaKAKxO7dOrN+LQQXCxcXMmnNB1LlAdv5ySvFILG1Q1nNrZOAROF6gOvt2GO4aP
v3xqf/WM/uqtMGFcCKnbvMXLu/7rW4FkYMx1U8EUIv87U0QBVxcjk3nMiWXCqvENqFPNSEHK3d8/
8m9b0S8r/+/vBckKIRxpOizAf3xkLyqb0kKz9I1CoAwdO1oNybpujKl4Twf3ypXVFfZFMIOBU0qw
1TpKJLeu5LpkhK+ONV0m6vyoLmxHX9AS+/fPb9l4/vz0LA8rlk5lr0lO4I9PTzO9PlchVl0XzXV8
xKYFRN246BVTsik/w5qjY77+r/bDv/o4bJ3Pg41Cx2P1p+2wpCHTgSdJ1N3lqpapDbLGhmlHar0W
WJOxDW8be+dBjPj7V/uXP4lfHlguT+yXbya5Pi/i3q3D/PlN8+pWMm1vU+cVtuk6ZW43lOONbrlP
o6c2f//Y//KjwLDDmyyk4JjpSING5V8f2qDJqtcVcffIAuTCQaUtWmyU7boptO3/3UP96dsu28pw
YyzuPlltRlIQGBiyEIyAqzL8Fx8la9wfvz+8Kn4zhqQGRi5f9j++qr7UZzhTCqd4RFtin+zbLPNT
Mz3//SsSXB3+7nHcP31wbt+ZNLjj5pqxTeKlX8c2JpC5o0+QdgSIltS8rXMEnY4sqGV5j3//+P/y
M1leJjL0/yLtvHbkRoI1/UQE6M1tedfdaiPXN4TMDL33fPr9UrPYVbF4ipAOMBAECJisTGZGRkb8
RtctwzBNZbKihq5jDVUCiLfxV3cMzLdQsRi8vWf2+DULzE+DNaF+uD+qos7N+rdhJ6vrIyWMeHZG
8DjF5OlQQDeZKBBR9wGJLesrFT0gHWFDKhvrZumwiEldxQYxaU0mwSY+aDyRrr+tGWpSZ6CqsHGt
Lx5wGlPV0D6AQkpNyePxkZsnLBa+2cl7+I9n1oehGve2VmHZ1+7Q7UBZpznX/9es/X++XGY/hW7p
jonipaE401/FdsyDmp1QVd9hyGLN5G8tST9URUWNZjwV/VGRXZ4FGlrDY4TVn35qRKE0hutjYGZv
Gw/hXgqUc6J9XPhes7+NG1zjAjc1YxrX0Cb2vNbnxhVfSvuaZJ9TYPEmzUMVHAf4IKikexeNfcmG
FE/ld0T8dcg6hELaXYA+/mAhkPazVNWF4KPO7SSVIj0/SiX9mF7JjRSDl9O4hgYdnqbbYpszUNT9
RK0c3l1zzlQHLpr9xqZ+yYbhwVuhQblKpVJw/DZeYtCkSi+6ZX9Uz0PdPo1jfEn+9C5iv2kyajCG
5hjc95MvS9OLitWYgHSIpa1V1VSF213tYHBIo1iskhWpD5q+lBtQe7jZ5kD/HEXHDF4kYJNtboRY
5QUsjVc6x6rnOkjcV2qXWyT/AU+kFxX9MjTRTo1VHZVifMSg7wHkzCdMFu7vn7ntY1qaKlNtdwxd
VEl+vyLMznCNrKU/nrvloW+rfWB7L6ZbnwNb+REE3yIXjS330/1Bb+9Elt10NG4mnavJIum8GjWR
sYx0xhpFY1hL9ISABb4BpgMfVT+5XreR0ARRJNr9Vf20MPTcrkSPnSRAo8ajWJMJtzHo/FDBfUcf
/S+0v87VAIPY39oD0cVyjuBEVmZ1hHawFb9AuLH+zS9QqO7aov6kThPDwoxs8BQu/eC0pQhMKzQB
zKsGL7o5Hilrq/25RP9YjB49DY70ZWH8uc1nqYQzAMckyspkBeLAj/PEZvxxSA71cfiklqKBK1ig
+RZW3KOD0YybdpseM6I2yy8BuggoCC99CbHJp7HeMhweHw5afuZ06+l+0SoYaMkbOHd7rfFPBiEV
EvrFRt1bypDfj1Ht8pNLX3pLayDKazdj25rCmUcGV/1VPPktKcstuTMQqSFqZoh1Doi2Yv6ktxtV
b84RNhCOWx4Nq0H0wN32ylk1sdTrpYWdMHf2kDOBuGoS57TpVrSTvJRThKk2YedvIZlsc1s9BaDC
NHPYK/wSG0lNKJr3v79I+qZT5ymoUoDUoaDrxvXZk1MDepVEplakLp5Q416V6dcktJJ5i3RSsJAY
KuL/dzMeR51nocJrxBBX/m9L7Ye4dsaSRhLqoXlKA1lPDlZ9zlJwPpL9hruNLRt7lCNoHay53y6q
57xJUfZBy5d+ylxGZxuAofjwBD3TvP4pqQaqMHPQdeh1JBuoMgXJhypXH+zKe0ny6knu+scmeotw
X6UfcLy/7srcnrPZ8CoXDn/Kk9EVkOc9IioIHCJf7uPMpYFxtZMfqDA9F2r/w9Oji1sip5AgdG9L
34awRbp24evPhV6Ovs1LX8OV3LTFr/ztc2Du26CQqUPfQejcTDaG0+ycAiVinBQqFTYDqaaMej+I
hdXCAogJTnbC1dCTwFNG9VDBlelBObWwK5HxynwaUc0eVwk90R7U0Ti1qfeAguCp7L/ndfNWO8M+
Rx2nDHF9VRarBjMnkKVQZVJsCqjE4+vFiJDg8WS4Lf89kPrwVDnRoSzBJvKZXMV+hQX+YDreyUIh
D23AIzIyKOojnD8A9TYazKHD51ThtyEWO3aLyfhMiNRti2IKdWcePObk94UQz8fE4vdVBUKJlCtR
tULWEGESxwdDuTVbFO9xlmgWL4nZkW2G1DTKTdyV1ysDEB90cCkc6Ur/xcQGNKpdTNCrczSYJwvs
gGvV63+Bb/64v0nmskadG4HPgsaqYeiTKat+YAZ6rA8bAUGOVPwz/HbXgd3zUMTrQ/MgGeGzwf1t
UL2sPHPttU8VzsEeDe9AFo/4f/Oie5TU+vvYSi/afoRtG/IsuP87595JBnU4DrNGcY2/XS8QwqO8
eCH2sUDYv9FxSRFGlgvlHRLUV4RQglVpMbgyvHXgB3ULx4l+af/ObF9D1izVVhVsXvkV179hrPIx
Qs8VOTud9ZARnYuC5zZ1D/ANDzSOMJpXT6kdLOSM83PnzDBtGRTc9OZWsChIcpOkEe22verDkf1W
KfoJ4TgKSfCRtWFPmRLQubRysLDs08UsbiaWUlIT6SP9O66Wycyxve8AqeQc0tLbFU186JLo2cF6
Me6wAOnOKnhBNteqNLUDjs+XoQ9eJK9ZCOnq7M9wyJzp4NEw1CchXc1GxXdsgwulsNeoNiByBaZY
AcPR+qhW2OPw0Sqg1WIMgFHxtwoViJhWGzILiEyH743ngQxqtkEA59g/xbLzU0rh96iqlGGdDYmy
WEg55m5jUe5VKBVTLFWnyR+tGag+GrAfQ/NeMe25VAY+1XRDkJ8zf5oRmL3xYxilqOP54DzQNPdR
3or05BxqjzGIz4VjNHMnGApANNmhTsUjZHInhDgMd5iE8BJIwS6WYH3M5CkW5gKtApSzlgq0A5uz
kmoPiTNCjO/Td39AfgSEQhDrDzX6631Q/c0OZ3fROmaJyJUmH7YLEbYwPATFwsBFqlYf5VWAejcE
rd0gkbEUnPqaHzl6+XMKSdf2ooMnJ/8urM5M7kS5wSAGI21A5WGSO0WZ3A3FwDb3i+RAq+xiazki
hMgOuu0ufg1HCA2j1D5CHf4WRvYrggJC5/YYt96Xntbf/Z8jRpvc33SriTa6RUMRmN51uIkbSHxO
xO1jBeUHMwRdP9o/fTQ9AUjRhYWzja7Pnw9J957nCutN0jIZsq5sLPmQKtl0OsVyS96Iqm3SSRyy
PWJda37R0qefSRINTTdZd5r9xBjx778lSGXu5MhogOeUFOsL3L6t0hsHMGf7Kued7pVPbiE9e4oL
0Z3Vr2xv6YiKLT9dZo070DBQUXBoZ1z/gMK2R6Uu+QEVTjMIZHmfe5xXAN9uaLNdLCM66GbwnIHw
HXQEc7Nm36BKLZvKc//1/urP3S+0hXCmEwXXm8MJTBwaQY+LKvLgee5gVNCeUyg7o/3oDIdetgEM
tLv7Y86VXQ0KnkBIeZiJr349fTUAJBajwIWQtP2KV8STUutHaZ2utAKRAYRPDfIgGQ4+Leb9wthz
0cgE+yOeY45p3jzNnToAzVUNmxAfHO/fzrBfs7o9V3V3bi0DO1vjYNEpoWNCJuZv27p48mv9kKFt
3Gv2OZc+LPyguc1oGoZlWJSL+FGTe85zzBIdMoVSehuiAOK/wEV/0lVv38flkxlWTykseyxTjyn6
8bguPd4f/3YD8EykkySahqZl2ZPjF4J/AjLLemQFMmfsgxE6sgd1ufO/fosEKi8/3B9xJrdgSBto
joJ0NRicyYwRPbKzAR4zEr3VN7XK0Oz2jk5qnstB46F2MnADVcGTRpZ2piqMO8li7itmdX0AeRFw
+rgkweY40/6ZTQmoceMYhrCrHUTk1frPXVJvRJksxmHOZt3ROoJPEa1141PYxUuPtNu8QrxJkFaE
1kaOo01uxdFD68jOqUNQjduLZNfq6uN/dd3oIF5oOm6q4ynNfxbgHBK4Oj4w2ftf4rZOoMpkNcBv
+PAkepNvn8pQ92UHIdM2SQ4RJGOIRs8BlNBK0DkIw/eHuz16qkxSyC1HmZ10WmzF38JuE3VKRard
8yClMtbHGwDo+6IzVwrlif/VUPpki7XAan101/qNGvIBRy6T/EON27QMkvL+SDNvfmalU/WwSLZ4
zkyGyjQ9MSpoplCTGrZt+WwP1q4tYTmnBbcHJRFUKyskGz16ofjXeJvMeA9L81Hy3Pf7v2XuLDsG
K0zxw7Cp/FwvMNUEQVq1aB4F2SV1qmM52m++rT74L3n7bnneFvWGpRrfzFEiecL+iRSdJ/Y0gMDx
tHr4P/2mQl6tbtlIyBVrlXQp4NZChdmVdXBopc8521fGsTwd3I/3p32btBBKaI4A3hJxFNje1b7K
eKUrdSIcwbZmn+1DckY/+tKpn2uuLzStlmY8c3RBFMrka9RWQUAY1+PpVVEixxz0sF2STWr5Jytz
X/WQSts/Pi0NSccY20p3kWO/lSb4IC19UdFlvT/pmW/NrHmPMGFaadPWi1W1ptZlUrexCmmLzMtL
3HZnPQ7RCvFXVYFS5hB8pbf2cH/YmZBBwFRs0YkieZom82nR1L0W4k9gUA7R6BMWOfQfrdnCeliZ
wIbuDzc3S+oi3BGsuIlu6PVSt5njDiD9us1gY8PAg9NCCqYxjY0QQkEQPaNnqxTR0g11eyerIgNG
qYGmEaXEyZke0dY2kUnsNi09o6Z/M/sQ6QHsTXJ0eCClQM+WXzDnWKnVXwRJlXevjJSJTIIyrVeh
WafXVaZ3SNqQbavxpYN7Anca3dZoof09t7gGYVhgB3ifTfuKqVo5+pC4aJLDW8i0eCNxcmTh7zRC
tcuEsJF5aPx+IeOYi5iAFWTAt4rDLKe1BXipoQI3rNs4+j9ua7GI0a6A0eP78NJoBmTIqQctDG9v
7yfOa6eAZ1Hst/s7ay5ogJgQMYvGxE0SMhZV4OmZ2m282N/7QqHb0B4CG54MatZYWWxrc6moMrve
OpAGcWLFmb3ezCoaGD0MUkSfSH09erO5Ua2j5jnUvY1h0ZzUNnncLNyEM8m2qnLBa7qt2UgdTy/5
zvS1jkZ8t1GQ3LKhmuBcXh1csOuRtI9EbR63EAQLgCIKXye1Ov75QiNBq5LzscVUgVq7uvVbGMjo
43GE3fYgo1mD7UDq77Bx3JjnvtMWzu5cgKKu6JBZga24iYujZkBnsRsCVOGjmtuso1B9sOSPPjog
ouFyf3IztXZW12BtES4CNz4tD5lYVMuNAa3X7Ie9XViH4h8Mvr5Rw22GfjdEJDnOc2eqCzf9ze51
xHkFXs4rXUZEY7qoGIxZLujoTYnXehGY6zREDVKvMd8UECAE1uWlhFXEvKuU+deQtm6rrK3Og/H6
O6L+FDRagYEesAi0jJJyL2X92cnix4QeQ26bF4x+y03R4zI29EtQGeXmuzI80ZB3uyUa+tM0A6qx
DKGF8oAkF+tODb8Wj44DcangMl7nZvIv1o/fHdv+YNv7KJE+u+ju6dDULA0dJ2cwzkHcf0YddOGC
+vVYmS4LeDO+PeUEC8zS9bJUkhl1xBEwPKrzE9nQV6mBgV+jvIU2sy4Jq0a1hreOW8nKsbO1Eq5T
NXxKLdNeffbjvRN/itv4gorlM8y3H5YQ4iyU+iG0NKxeqX7K3HSjg3B4FeknDVsi37VOaeJtuS+X
+jdzi+zIMh+ZOoyiOJMI1Xih3sU1oAW43OsmAjWSgA+vkJGUUX2GB7hweubHA25PAinKX5M9Veul
Ocgy5jRhrT8UJYKG47fMfxXdctEkTZXqqLX9Yxq/oUMAf9DZdkAHyipex733Zpr2p9hUFjKc2/op
O43cWSa7EUAlVYTx354pXjBUVtOzCJH8VqAfiUtDiFmAo55R54MLtEd9badnGoJu2gPyG33RbBUw
lkt105s0U/wOjQY+j3MgjdPALbXGUNcuzfMcmRFF+HFUyYPrVt8JplsXfebRbM+OAaO0gbtVgbSJ
cRZJFsL3lBUhQik5ENc1ZQLQHNNzr9VN2ymGwHJq8dmGx19k4QX+WS7DXFQV72PTeS+BU55qD6pj
Lj3nJvc2hXh3gI3X06fhAdLk8sa0nJeWV38vmy+dNzx8C0f3Y2nQRmnthcxGFa/nyakU2AfuWJbv
Fn1iQFTG9Iy1o45w9thDgPuNj74efC4r9NsLnNs9S6PhR5N2bdIZD2B6rQy9Ovrk9DUuk2pvX7Q8
eTf4xzJrvsfQqEHqW9sSnWOMSaUPTsvlSVV94UyIgDH56dQlqExwKIB2TgsDHpQ4Wxisb3QExJPC
/opLoKTkDwZwfa2OvmapesQ7EtuNBM0g+a3UF7E7tz/BkoHvCugA5QkeGNcnABFyx7AyW9TnhHQh
FzZCym5THpOu+17FMKCjS6dd+jQ40/qIan+pQHt715CXUSYgnCpUoacZotkiwpxodAiDQX+1QduN
6cVwu8eoQxsx3uLUgjQlimDmz/uLf3utMi6HnwRNEZt9Go98q9Lllon7qv5Q1XQifekSmd8RreYh
mUCxWISgzk4VUBYlWM28hamg+F20qR7S4PPVH7XaX+xCxgAo/YCb09cc07Sxe+rQex4QnvvzrcZ0
GZftRtA3pneqizUCFh20QFTP/Vlzd+kysjRFBOURsY41wOWmEQZa0bPWcYvW9U8ew9/uL/ltBsWt
aZCbclLh3JHTXG+2IowQ7Egc9Fp6KEB4fxZufBlq58V4cH18saP6mJ2NPHq5P674lNfHjMvaBLxI
zQKM1rRLNkiKhEqrNUDzJIrSVqxVa5tY34AC7O6PNDtDsCgAEHnrMN4kWRt6F3dY0UfuXMCkVgX+
w3Ly76n+lKH7gIlV0EqIo/tfEar8en/s2wuWWUJE1Eja2F7TSrvnRnWP7hTPDQNzbIx3vJq0QvlX
BpOmFObh/mjiZrxZU4fbHNQRN+f02EqG6kiwMamqgm4SdATsqw5J1ZydHo9pHpekdg/NUjlm7tAS
r6jps4VvX3JaGiJsN3JoQxfROkv5kUrqNyjLQLI+oUW4qXI0GvAT7OOD2Usbr3eFvvkeY0ASrGdV
qZ4glSDrIzsL52tu8eFIUttl5RVlWkWIpCpt9Ahj0YQGQ9fVT12nHuLi0SB/bpqlstTc4oOq4LIz
KR6QJV+fI7/VhqBP6aPBkD+C/CFNf8jdfJeh+AtYaRXJ/hH+9VK2NHNX0NTlRaAKCDsl/ethe3Yz
EofsMFMPT2NQH6XMxzcZK6DAEOQP+3Mfugc9qCkVjcUHuY6o5wcLh3nuiIFgIV0iSREnbTL5hB5d
4dYyLYXSfzXgFJbeOz4az8kQ7ixtJyOOFoUmKgam+uP+nhdU4ummpwpoEL2o5Gs39U+0IYOkCtFv
1QMYt62309CFhqYuV9ajByMRx7TvUex+Flh31Cres6L+p8fFzKwdvhGC10jLep1xMfsPgp6z8Otu
KlkCBEBxB/gC7vE8Fq8/TwbuaEwd9iAAsAOmCl0b/dNyw60GEBu9lZ8SLIVUE41BnF1AtyB8dP8X
zBwC0Bsaj2SabWASJ1eqXCK7amZIsVSJ/JhYNjrD9NcRckG6LRqlhY0wE9W5uSl0APuUQcxPdmPR
Ip6jEWE3nm5+NIz6GEf9oxQqCIErS2WsuZ2vAv2QRXiFOTAZywfg3FUKY9XKh1zzETgb954anHK4
tpkJunnEjyi2MEn6COwSk+mFLGlu48GHc4jrkP8Aj11/WrSpMkzseFtWhY4dX/nUl/p+hFvuDjhV
VP1jne00+gx//D2hGwOIAiag0vSYzFrvEY4O4qHfFBR93THY1s24V0LjlCNfG4Blvz/czCRVEPRU
CilegWedHGyUoQJbwohw0yfVk6FsOuNVk7yd43XnXv0qDFP70Vl4PcxFk1/UOpoo/HezZyWvAsZY
NP3GD72HRnEvni+9SW33UCYnTC5d5cWMgVamQbr6i9nCFqDSzXXh2JP3t5l2bVv69JI0oXXbfOnz
05gqm97TDzlK2j6kib9LQal2w8aBx0G6P81PXL3RRkljI+GGKEXj0a38t7Zpt4peHiMMgj+jBLOG
y7DwaWfubZU6EiAzzg931iQydEpZo4WbcXN04cnXcCSjmJ6P9qsy4iqLNJGkGwvrO/9lAVzYgktD
gWPSulHMJAnKvkVsWw1ProxUAh0yTLnXGtDDsoa4FyJrFvyMNP/5/qedne1vI09m22tygvsWgTjk
ARqOn206dBmOT7Gx77FlznAjuT/gTOCl2ssugiNKh3cannrPSlyzo8VttB1VlOZkZBWe3whWmVxM
2kIaPxN4qenbgAgAVQCZnJzTYCiVQLYEosUw1ugq7lCq3PXSBwyP9vfn9Ws7TrJMyoA2zEDb5kNO
e0JB7xvIegMQq+VgL/vDuIbrNiIFFO77EvlyuRxOrqIK+lx/MawedT71VBhoGCGfe1Ca/N8+R+Ey
z2wspnIbCZc/bpKRA4MYBO1GmCRUTmJkaygYVgwsRoj0Lvk3NhEepggpUgTaDq7owkUwu6sFkoi2
nFCvmAZJ/EgDLIoZzwu9Heasl1FO38MufVfKS2/SmPV31fhpxKp44TzNbWq6zdw9vNxQOZlkFwj4
4wLpB2S4Fv7zlKF7wkYwAmYwi20gdbsKntX9zz93IRisL1BMnfKIkG/5vTrXjtgVuA7MUw1/bHUA
EpMjDEYfdnjv+5yCyXhIIGveH3Runia0c6iaKMeww68HRQ67GAxAKxsN30bFjg+Rnj/FqLamqru2
m/7R4gPfH3L2owqgElUgU78tYZVFjfiWwfmtI1DREXRE6ixSQzGm/6x4FU5LUO0sDNpye2HouSUG
nAXulzo776rJVx3TJvR0dJgJU9HerMGp4l/eArX1kcluwy9jgS6qsdDRmAsg9FDgyyErQLFxssR9
XrVWGDBomwcnUfglu0IcS9v8RYuV7cNLBerpL9LiNIXpxyZsYo2hOlzXVBBVKTLHHrUWtXIXov7s
UjIQBQYokiAOrzdOXHYdsvUcEAEVkOGN5k13Fi9RDNrWLD5fz/syaEtp8C3ESkzxt3HV63G9PJHH
WOJRooWXOPsqmTWaYDbWAE8Dbh9qArQ0PQuPJMwqF3O22dOiUT2XgVfdss/qUJNDW6ZAXbQJ0mbd
FieWSxRmF795QWB53dBp/ZvDAvhDMM1mYAktBtJj23C7tgOszlwJ9hIipGFePsWdd8TH/AhDf1u5
6buG19bfDA4YBAI3zw6i0vVijxFyeDjBUDXs4FCHu8w393k67qNjYsfrBnX18AGi6cLT7pZGIb4x
3RqAw/CcbgrFmhS3DarMFM6w2UQ+bcBdwhq3LvLDWvGABx+d9UZ9MBL1h0G3wvMbvJ6SjehcDE1a
rqrB3bdd/ND1PiZq+N/wVirXSLVVK01xhdLm5v5Cze0LeEkUVtkWcF4m6+QXeMDHEI82ljXuc0/e
G7i6tmO3D8r0g2FtVHWJiDk7Il1Dgau2RBv8+stgXUr/tFH7jdx4yGe5QnH0UJMJGO07PrrgpJZo
C3NZFxVz5JjgGnEbT67+SsNt3TcrYifMS72UH5Uq2ViD9eYHysFd3ASzE0SQRQb1BYpw2iOydW3s
Or2jFo7yXoOzglOmSIUVT8beSLG7MouFPG92fpwwxqI1Bn/nekXLenSsIGZ+pfNQus5aTTAaQ5wh
HZ/icQkkORc9SSjRNxGqNzcQferGIVQgNozvw19U6mNJHAvNb1WlAsV5khNrJ+TO7u/SuUHF5hSN
bhpI09vBdbFN85qSL2hAS1e9F79EVCmSkZeV8YnF4aFUnyVoSH8xLNVCviJtD4LY9cIaLm3HymdY
/Aa3QRE9S0Be/G7YC5Z8GsXvEEvMxD3eH3X2ogDKRiih10KTb3LtoiXvGZHCsEGjrlF4D73v8fiq
qDAGYalDXqTr0WKx65oofS8pmM3tXoeEStep1fC+n8w5LdIoTGUu4vwHqqS7TvcIBQ41arCTUbdO
+yVW/ty3dQCF0KqntXvTb84T7CNq3WW2gG5xa25zHN2pSReydkqkj2hur/CO/Jv0nFKUzKuIfWVO
s0fgG/CgPWCZCjJ2oQrFBZRxkkEB9ePNKDfHMI7fFfufZIz/vIdMpvzb0OI4/9bLjpKqloaWFR7h
A2HaVXFUhwEVV3cbY4cXemiLo5NDHqR5xwhz5RDq3cIWEznO9L1G3wO0F10mA7Tz9W+wjVaVPR9/
BkUeGUY7Yd175LltvUeCYUFmW36sR+8DZosLb4XZHJoCvKAfCamqaVI56GUNTQxkaGY9IrSKukn/
qWzkz0VZ4KtjnlIgwU6GqB/h8/PCtEWkv5k2mHq6idocMgjfZnzhPKAfg/uaDukHwS4SqZ8nux+V
/DP93Cc0pF3tZz8G+AWZP4eggo9QLuyBmUNGpBbYq181tGl2MlS4DLl1DxTaoAtR0ZhJ0gsi6YcC
4feAHj0S6of7cxdfdDJ1hqSfL3prUCfFT/pt18mOWhRgV0iwyTf6yEVkPl3VaGtXCwPNfWCKn1BI
RMdJvhFaiL3GcZKSSp1sQRXFuVKGpqlXCMAjeeJJ+R7nho2JuAFO3wvregtjJO+STXAiou9E0W5y
1QeOBDkrV5il7mLja5yAnq3wQety+Z++t9+c4SdutEe8sl5ASz3Xbb5z7e9/sdIUQQQqSmicTM43
UobKSJUL8LXif0FQx4kfsjZ61CXt3/sDze4i0aNFV0Pnbpwc4jqxFak3iWGZjpOUREFWbp0Yr/Jo
I+wRTBLglWYCILw/7DRgCxiESG/4U2Ctp7diXCqq7Q5qi1yIvBfVDVeYcMVYuFnROlfCPW5mdFqW
MtWba/G/cS268hayTjciRYlsNLYeyqhF1MHWE3z5wF97RYBgIkAoDC2H4k3aV8D6A0jSfmUsba5p
9BA/AEVbNhjQTa7nyeYq5Q5eZItfgZkA58ZT2UOoSQpwQkXMLnwzj6lwii9AaEVEdCVa2fGzCYrg
/vJPv/qvX8EvAL3JBrsptZWBrEp2gGhGYXZbCZRwzBVRytWxqrqjUhi7gsrL/SFvjvSvMSHGoN4L
8tqeHqtOCytMBTGiC6PgJDCrA3rgkXemj7SO5YMdfuS7rCys0e8PPLfVuJ8pY3GMZLgc10FrHEqa
lCor3iNkoY24yta8GDV8Rlz3UYj52YhQ8VZaSDensfLXdGFesclNimi/2ou/xcrOLbzUArG5UUvj
JOQMm7R6qqvvaE0vvVPFDH4Py2IoChEwOxnptsSihkGG/veA6guWho7irsIGHdvQeROU00z9mXXy
GRXtc6aXT1pXXaJisXYrnge3PwHiv8LeJpJMFlmqo7LUhg6PyZ8emsVi4FIl61LkN7V5VXMTe0n9
QfM/3f+2N7H619QpUdKvwjqDevj1x2Wb6gH2KqC9UcUNI8zR4oJGXXyR669j6OxpF6xlBBwN+udm
2W4plWJ35Syc6rktxsvw//2KSbTGl771Q7XqfpHqf7EZilFoNx+zLESq9j/RPgGdW5j97KpTniAV
JNe+Cd4RnO9c68tuI6JnBBBV6IaV2IzEZr3LkuhMjwv/yX4vx+nCppuZskaDlMoeXYjb2oicS1UX
GYA2DRnHmxplzGCNky7i0uabgcsLictCLUgs4mSLMaLAcQHhAsQ2ST5GvAXJCLFWjgdAVaP+0DW8
qaTtaDlbK1gKV7OjoTCE1LjAzE0f4JjfaJKb03UQooh9h8CZjmZHeinkT7mzRF6dXUzQoOiZERgh
4FzvYkx2cJfwCI2N2hzFE6bAQK63Alw2TeQ/kTt1C2wV/lSNkcNDOkfibhMdZQpO18MqmU0Pr8D+
QSB0I8U44tzDh2sWTsdc5Ae/IQrPQHMQS5o050JJqa1RxrlXj7zdL1oGCjr4h52ikIepATLMqNel
JDFlaeHWmV1ZZJp0MAMzPCN3CMcsj5z/gr/bvAuBqDhLLnDWEiYb2fAIgiVBzZnblQ4GtzzCHtTv
pn1XyfGkFvBftxGsd3jJpzp4s8zmCK9JYGedv8oqhCQa73zU+uA2TcrRCdls5pYRJmRauzVwhRdw
sCLIPoQ9lr373Ff2QtQz4Ka3Ipz4SDBW2SEtrIUn8ezMf/sdk2tA2JRirxT/x5pI0y9a/8lXvF1Y
f+rTTRcutn21uZjwq61gIPVwUwcM05JE3eSUGmF/FnXAFuCAgHJHa2wjP+Aasa79ZB/q4EqRpXLL
+GNkqkv7e+b+Bc5N31nIHNwC1dq88wy4Iu2mDoN9arSYaBn4RplbNZM2o5GiTi5tA7JrhItxU3Gb
v8im+QHwjwD2yjbPweuDTEoL2LslncOQa+1JHQIcPL6FOfjnAMnYmBw+tZeix9zRElB60D+ioDaN
Hnbu6UU64r+hYQ4pHoQ+LwZ7P2iMngAefoi6cSGnumkRi4iFQDaQLAN1SjLJ64mOalHJYcutQ3vy
w5DxFisPRaiupKDDvfutL18p569jtPBi64gK30o2+z2aEFsfYwOvfLDLcQNJaWHX31Cxfv0sGKpk
06Bugatd/yw7SYBhBgYeyxjN+PaxUJ+a8Ky3LYYCUFd50cjvgtEoNJHupwBzB077/yNP+dAyfnkx
xoR8BLqmguReeP+4wXdfffco8Enl4vtlJuXgA9D6dujRGze3sJ8qAbIvPe+XQD9o3VnojjUdz6du
69T+izt8RusFu8Ul+uTcfUytSRdySaZgC10vsR57QVcmLdbeDQhuJLUEyCMgpSrd+gXrpN39dZ0d
ztRRaOJEi3fS9XBuE/Yqvo0tBUVjrUnNOkN2zVGfjTRe5c1SPXx2NCi/BnBSUvkpVDryykRtkPLc
JCGGHjV6ZIZ6Qn8K8DDJh+K83J/c3MkVexXIrvhjGi6socjUIWHTpC3dZ4i3opcx1F8hDGC8EKw9
A3VBzCHvjzp7SgD/izBFkCRuXK9p2FQlLlRKC9Zr52lvLsIn/k/HN3jmSltuJRT29rK+7yvnT8uF
4nwa9O8g20Crvuk3NK5TokDH+exk6u6Kfghd9OCoNoyhe9He+6rc6LW+LuwlEYGZ40laTr0MDCmi
1/Ik8yG/0bW0QgnQU9NVZEhbCWHYSi4AOCirutJPggFwf5ln9hLflCI4TwIhsS2uzN/enXZRB7Za
QLM1MARuYA6pZbj1a8yLzY2rL919M1sJEDQ3L/gyMLLTgJx6el/VqdFsUokmnA8OXaQXobkWOln4
w+KA0yjxwhRnB0XXhgcXuiok6ddTtJooGRzQXpsHy6q3akCxBGUjTE03ZY8yoVTsft5f07kMlpbY
r14GDTkqCdcjllY79mQ2LZiiY2t+F5BfnHo2mp8hxvUWym+NhT+vvPqbYQF70UaBZ3ATbF1Pb7Xe
48TILRGILrgANbhdfOnDz1J8plmFrVl3tvCrXBhZTGjy2ELvkQaSYsMVutE3dUK7lrDuajc4hm+E
bnbpblTsSSgfYG9+sZ1q5Xyt22JfR0tkg7k4wbtDyN5zy8s3sRflaHtMZT6vUK4RyWwbGTxLPjtS
soVhDzet56X5FoIiRJ30zwO/TiGFcqilAvaaIjWlWuvVUo8IxWW0VbT0xA17Rky5VYHIREsiPbMb
i+qrDa1CMCWn15odeU7Y+znvExjFOS7NNt7MghGljE9h9BNih4KT+dgt8pvnPjAde0vcOIbgG1/v
aGNoOw+OL2z8DHNgD7eNUThpBCegDSt69kLPWwgBiiBloeK2sL9m0ggdDC44KMBXzH9yF1Cz6E2p
LNnZGo713HhBB+KLBN7wP4MxQXLPQDHS20KWXCgjzJWMroYWMfu3AKmmJgsOJHUjhEL9sl479tcO
7yejQla5FgaRRxOUnZ3tGjIcrTnrcPYWpi+ylenx4qkmcycRV25ExAfclAtdT9hlyFGZSARkUrpv
g52OiLYeBOB6Nn5yEggTMzRPZmF/bDL3aGdLjdq5SCqEtFH9oBRPpfJ6LRToX22uZ80mDtvnzGp3
Nu/GfjjYzojXZXIJCkwnpHxp+nNfH5lQLgwALrfA5F7Tojh16gYpQPWEP7OM/3SP61i60R3MVjj2
sl8fx2gpjM881NjqFP8NIVxA6eN6ukCbInBqTbMJG+NQaxAnIJAW5qvnmYcAgzP2/LfErNd9FR8S
eakiPHfYr4af7DytzpQiNLHVGSLjJOeAo6GROEDw5HLndE9DwyXWVKsC1Nqf7zdGFp0kUR/Wpgid
KHesvKsomAUAD/IUsicX5QhXBNNvRNGCCJ1WSdoBWtsG+Vv3mkjP0rjEChebabLpIW/waiM7oenz
i5/928GLgzYYS0wrMY39Ztv/+jEe5AkFicXoItbxZiBVSKRThaGJOFlnO+jkyJH6ZiPxmYU4vOsG
pwqBJhVTTXGoDI7ZwgrPbS0FspQKdpnTNEVlS2kpk5GE7cbJ/a3RGyshLQMD/NAO9lv3pV9bpb9K
9VUXhgfyt9eF4WdOFJIrGu9w3izOjTGPHaHtG8cc5Ejqtui9e4PzkmUVDOcCcSr0oe2Sv0jasO7M
xcFnoggAF7IFCA48y6fviRJhtThqGbxo/S9+1e4aKfyKr/uzVTgvAj1cR+m2Hd2VLKUfXKc+J4lz
UUoLtzaFcrWBp0V99h29XGvNC6J9S+HmNiWmBgfJBDKCeNHd7IfC07u2dKuNyWew9bWFXmlU+XsX
v4TGx0BWN17bOn13Xbg1pv2KlRH/9iOPx8fakz6J8EuLZeFRcrtJSZuF2BItIqiE0zefDNU76TW1
2pTZ14Yg0PndDkUiL3lXregUJtFSDJgdEOwoOBVRlJxSJLqBPeoofSXkDwLlq/XaVsb/4ezMduNG
lm79RAQ4D7cs1qDBmmzJtm6ItmVznmc+/f+lNs7ZKhaPePqH0RdGA85iMhkZsWLFWlgsGwyIPfbq
TkjUkXx4GDQCptADRgFLNIR7N45OXQCVgvtx49TqFx+qKB3++5OW1w/t7MgfhsYrG52hYGzr1I7a
F/mBynBt/K2yprqi9H8KMJowf8QhiiCQGlIsXTd+yeX3A2lYgOHcAbTsLgiFyayUZqvUiGEYbox8
dVN2uzjnVzRorkRI+hTlVeNHe4LoYWPty1RMrK3BcRXFDP+d30ptPptS22Lenub3hvzQ9bcoEij2
oY4UcgPE1cLbPPojOVtj4pefLQrUYDkknoypXwB4AexvPZ3b2nOc2LWQI60L0LGa5+/vK+EYFFDK
DY8bT3t5DFmVdh3XEW2HC281OGCm0uhZ7dnRf7zV2gymK7TwQTsk2snwZ9fS8eLhFPyfoYMBQQcN
Q0q7J5xXDCIE4V5rt66nFW4A8ICYmoe4BetySYHUZYl5NT+ocSFn6CEDTA6Hd9uksQ+uReFjEtbF
ulaRnN67NNbPjc25/CAoYGBTMdVNmLroy0+tZExq5DDkC60rapmzuI6RKSlexU/JkL3olQTJGcP1
QfJFniSoXVK+qZMmKujzG9SA5or9HIGJ5NxYJEpOUrdDU2lY2sq0VZtvdfoPgtc0WCu3FaLgwoHU
cL/GyV53fnJ6Pt+Gy3jN6kREIRVBgFgym1S5S/0ysWsvNCGWAWyiJjrWd5aWYyW+haC+8w4unhUZ
cC4wKF3Qjc4/v1ROgnKKooajX7/PYxQ6nSjYa3YwHVtcsxzlWvpSB8AaNWra6Umx0lt01LeC4WV6
ZDCcKEgKgHL0OBe/wzYmvSgm5g9fw2R+kBjrLVBwqC2IzSh2CqchwSJwmI8SKYyFhnPvS/s+pZnV
eX8/fwMXWjkQ3vkV4EeCsYrbzeIA2LmRJX6Cj7EGog0V2W3uFGiiWfpiB3+sMnELDEZTqsXyCjtX
re5c1Y03TT8uk6rzXyFiyYeMcegl7t+J+qPpbqc0gaH72k9PnMyvNZK6+WONmWsvGZ6kx17WNxvH
cCU+itE3CByAhwhgiI/1w+pT7itzr1glE931TkA+eogzF220LDJ2KprOJHwHX33+fOtXV9Vp4pnI
ToGoiT35sGo2BXFetEbphdERB/u9ePlCBEw4+tQMOEpI1tbmRjd/pSgGbgHYYkHRx1rSkuyyl+An
EPts60d1Cn7h+R6F104/uVFdIjz2NpWnZH5KMB3rFGtjo9c+QdhgQBHcRww+L8sT7h8jkLSS29eG
AUZdMn4z9FdxBYh6cGro3pXYnKSvA434yUTuVSiZU7R9vvWru8BZh/RHFL68AQZI45EWp/U7kUY0
8dp+l3MLM3eyE+rBgiQmLkjRyENH3ivRyIzrLaD8HU1cRCQxX0MjSedGuhCIip00N50xqr1C0bHw
usa3eAeROX8o43vc6BFTOVnD7wLjXniaqNG+YBG+y6a79tWUdoNmuVX0rUxHiC9bb2rl8iaVFv4e
sH4JUiKN+nA4Rz1LJZsRas+hMdHMr+pxthXanPhQv9YooG28j5WLQCSIYiCQPIWr6Hw5WujSUCpF
5Q19dZ84M+0JGWpxWlu/1En/Pc8GZo7/uaNFjpBxEzVqTrkx7qXEusW9mqTKBzUZlK2ftpIwvg83
s4eUFlQV5z8tt9tSzka18mptPg4DbpJ8owL4liIA0yJw9ZYhnN4dzK1Z8rXYLJqgaIdBjxUmdOdL
K11lzfh7VyD7rTt/iwsG+EpuAlDaCTk3UXiOupCVi3cOiIY4rHGDvl4YXOXl08YrWtkHAdOKPAGy
A/Xv+Y8ZnQmmZWWW3hSM+yH9OjcjRuXqta1Pd10Atgf7KKryW9PYGhi9mJPijhIdB/SZhUjDxdhR
XUxYQrXEZ9VKPeaRUYS8xqW9CTHAgGogTFNljGmxGPEEeQege2cV8GrGJ81M9iZJpoVWdfdLCkwv
S/ubuhpc0KOtoLJyrxNRxFwUKaXQRT/fIdLbRmVQrvQchl3ocblaM7hhACPAfmg7aT/pON9IhSdH
d71ZX00TA/MRQCgeoTEdo0nXthDQlSzz7BeJK+jDV2xGI7rgk80Vw0SvA/aDZYmdXufOq0n10zJG
JQKe2Cs+68l8bUg+leJ/c44ZAoIvCJ+Lsnt5jms5zjQ/4nZv6x9z+Si1XtK/Cg28hkgy9u1OnGTx
1gQVt5JSrHHIg0JgDGWrBFt7R6BSKKpwjqEqLT4pefCzJJbDymv1hFvXea5JeuM0vyu6ezxoruQx
+i5+ydQbuy56FTwa28/frQzEzGWwiY+Lz2ZxBTAyy11MoGV4Z2kkMRnREM5FwjeOQHAb7TKbKZZU
9emDHBGGQ/YbOV3zb286kVviTLNRpa3EedB5qjNCL2XIEs3qSL+VIeWrFgrCva7TEjbcilEPpG73
eqJ54eac1Nrly8WCPB2wsM4ApKhJPpzKRjdNada08t3Qy7H+sYJmJyi7A0ZRZW3u7DJFY+F2CIuD
rVRX7OaurjeGlVcIJsygAwHAFMZ0/SK29tlco0HqFF4pM/QeH8Mu9ip3mgml0O8a81vNhA1NgV1i
kpbp3V4QiIXGgx9jOhm9lVl3pfjt1m2z8sXys8TECa4ml1q7Db1NBk8Dvti8vWqtZ9DGawT28Tnh
NnRA90Ap2jLyxu6519X3sSf6Oe520F17S4J3w6EUDIKLifkaYZpRSurSwwR1p7XtTrKyY3Oc6uRU
6O2+7J5KqDY5rl4JllIRvfYtD/K1Op2fQHuSw4LHmbY4KOpcjCT7aenpau/WeXYSmdqMSe1YoUXF
jJkZSdSl0iGquztht1wyyPD5tbcSL4A5mcIkTxf9BPH/P5xVpwDuLPOo9ORCMFG6d1/6UWp26rTF
cVv5FM+WWiQaWtFbvpWylNN9r4PgiyDcCPljZwj2eUBAnL//22fDw4HOJ58BlEIwsfNnS9TOmhjd
LDwBg4kxUFWRDqiIY6638bVd7qJYScR/RocF0eZ8pajX5ay3jOLdpgJypuj/Me29k+KtD2h1pXfV
dYo5Rk6WR0Yqk6Rou8LLCSKhql5PM7x/0Hl92AIvVro8PJVAkOhvodG1NOlM9VJPm3wqvAFtTfKx
ZgyOtpFel9DRfC4N0dCll+8WluR+/uY2l14cS3OMkJzphsJrmvp9gncuAN9r+HHyP8aou42WuoXi
7AJCxsbS4hieX1g8NRMtwpcM9y1jscNVacRKX5UFjuNVc2gn4CqrcrMROvONFTt7xb4b2mNS93cG
ZuiC12RH2SnLQBtxkty4vlZCBP1MQdvmDoOivnRykCX4TQMGrR5kjXZEV7rNbqXo2KFKLipKvZS8
1EBWRdCrKoyrN9tBAqxZbgdgsmCqMU7A53R+tJMibW2/8/mIxq8O4HU18cVyg8TJNz1KocLSHGI8
sSRaDd2Wesvaacf/Slyl4hguSTlGqBdlhia1Vyd8wTopMXUqaKIr84FtvHfxXpcPCmudxEmQ5Wnn
Lx40CZ1BhY2JnjXlMqdeaq7FPFOD8TeojEgkfRSfa4VoZe8UKqIx3iATXDwu5C6gUkgUoFWUp4sw
MnEFMFQFFSfpg33IJgvggBa+QgHw+dOKt3b2sGIlBACwx2BKXltCdGZqdYUWm7nXGPIRa5IHPcDb
R92iKFxAQIKthloKrBBguIturTzSrBszlhlHepVhfhWZ9i5FuaqXnVtBiqnQDtPiLc7jZWEp1gUH
QlQUV/GLu31ogjKsGiv3Mkm/NvdF2dAh7naRKe1DUm8J2F3F0adK4x0yTNdD2N2Qwe9DtcOJe6tb
fnHviR/D1Dzqn/Av0ec5P1hSyBiZKUm5lwcPDlNiOcE6yFERd7Ps8f8jxVp7tx/XW1x7fUahEjg+
D988Ibjp2nyeMCa8yp+OcsJT86laTes62f69rhWNsTDaO8leKzaO2WWSxbMDf8OOYH6AU7C48yut
KNB3JY4bse4KM5Y8Z3WtjR+VaS7wL0tP1pSe5pTRkLJXHqY+vEll9PKLeEvrdO3jMojpALGce07G
+Wuo4zoHjuLmjKlYmzzaCxvbkG+9L/SNx95Yagn7w32ZdER7C442Lh1NvOtoQAmsO97MB5T1tWhB
IVAMkLIscKoccae4qQuwA/ThMsxgOFhtnv8jTwgi6PnXKKmeCCxY2WovqdXaO/9HMk0/Mtj9cyjt
LDPcwP8vLlDxznFlBSkQxCh7cWOEiu8Yc86VJUvGTlCTui7+OXXW21xgrY7F0+ehbP2M0fUQSKfQ
GVms14VNHnd9zCWh8pl30b5sEWTGoQ1Ng33FxTEUoNycPcf5mnfBvjfRF9qij15e1Dw1AlygNzD9
SDcX10fEAI7pm6QNkvQqJq38+tCMsyuiuI3QkImakp/lbmDcGiPyCsrXjV24gK+QcaP5ymgSEsOX
HqZNEhUGNpUFHOTuqkSJZGws352LGBKef6f79x1NsNrXvCCcXz5f+xLmhVeJhA1aVSxOO1Sc0Q9F
hEobRSp6P/Oa+jeuMUCXZPawJaZgOKhSf4jFrJDcHVKGlMSEFGAM1Pu9GGXM+w42GN0gPkTQr1Nf
vWaB6RbDn89/4yUX8/03onkHfVoczEUPJAGgHnMMATwBcQpVUNlh0hA+idSAxEv6Tpi5irld3Uiw
vNkKCWvnw0JkVli+w6Lm+zjfo3QuKrtp2aMxesYayhUgp7B+i+fukDDdoCK+h9j5MfDDo2w/SnV2
+HwHxGewuPLpiyBbhtitQxDUzn9AGyZTUhoWP0CrdvQkH3WsEzXsmz5fZvVBP66z2Gh1igK5FeuA
MZTzgFITQzUD7YXBBzRMdo2DR3bkOilBXsANytZ9u/qqBfRBC9TEl3o5hKjBeAjDUqfPQnuv2hfp
vtMOLTp/rU06B5gcZm+DObtmtuUkvBKM6XQxIs0gKdu8ZCFWraH3Bp561LXKQR7CU5oYXksektfJ
Bva5klXQX0fOWSho0lVYfHOIXU8mIYm4Hsn3ArIPQE6o0Pjcue6BM6J8Y8X3y3p5gmzQJEF9QwNI
XbzZ2Z8nK6yw0lGrYoeOMahrsrN6hGnQVoyhvqpAq6LPrCt4Fgc+wEl0LSjlsJ5Fiz/S0TXXN+q1
lRSTffjvj1pE/1kPCwogjpsPitSM3a6ZvoV80iO+MO+0U9TynWpj0cv6lGjycdXF7mtJmRmz2IpC
zl3DhnBEOT5/V7IfiT+5zMC68Vy6drshbby+LpkkGj0gRhfsniRPFGyBkRyo5NdcMU4mJagYF9AH
TGFpTPj6S2+HzLxscUpWYzzzLkguAv7D6Fjss1nrnRlIrDzTQw/Y4ByLbPwXfHJpR2GqmCDeDu3O
mlDrkSkmamXXxlcmI1XvZRNzwH2onwyoD03UI8AKKk7j4vPgc+GFbov38uFXLt6LqrdxomuSMD38
h65eIZ/UUQUlQE8tggdBE8k3VK+9UqfCzRKZnufLLhhDZIb8vW9Jgrw6Sn+L7EacWTGnPMcb2dFa
wsZP1FGrACOmRyw+7A+XZTkx9tgZUe6VwsaNzZxhy9qJ+sXEBFSU0xFMlS5NPUEUEl4vgsE0jXxZ
Gl8eDaI8kjbqzv/HtglpSzAG+sWLbcv0DGc7O8k9+xmD7aNu0raAejmQUcKkEj9QfNqy1h8w85L9
ykuZ/5tlrmszPAIsumJGL6jMXW3cVUbys7UBKwfZ36vtxpcnfsl5DLIwf+L0Y/gjYIFFDJJLrbIS
U4tINW6Blz1dLw669qY7W6M5l/GVhRC5ZtxJEcLwi9dUSfk44gIbeVYqI8vbeTKOe2GMLmZN02De
Db61cXhXToZQwqd9BNTC0y2HL43YtDs6JZj4mNmXCNpepJpeH1bHoJoi17f8l7jU7+yo+5rU+aMD
HNLmw0muwp30bcoVfH+2xvlWQr4A/rC4ARRBZWY5RKLmTTiGScZPsmjmTfI+KcPjNJcvdq8/pqN0
MuXklIbINSG0o6huo9T/+GHwNVDl34Hq+hMQnb2Va6+8GuAE1Dm49uAZLTu1FZI7xaANEfO6kRti
F9jJ2U4Zn9qq9Yxsr0tbC66+GcFxpYjl9cA9P/9mu94au7iPI4/gwsTf7GY2Dpvgflh+mTFsotgH
4giPPTyn1jL2uoBHTaN/g0EO8BFoByX4Yg39Vq51mdOhPGigAC9ECZBvXQTljlJCUg0pRDajvJYb
/XusyL/76nsb5Psibr9FVXWQs+Ia59NgGv7Ax/3poIyEx8JvpII/j71rmyTMG4WJo2BUvIMyHwIb
TKAGxU/KSXnmZIb1XSY1Rw5062YYHIflTi9t7sUk2ZnK9+cqLq5mNZbdJqbbENr5kcJxixi6EtgY
fUJcGwAGqUuwoMWLo8MyoB+MfGjRX6UyGrNCva9Sv9cJQi5tEvBtZzWk0VZ1w+lW7+cfuoP7TaHk
eynurobav2/0q0azX0zK6VqGTC1p1NVMP4B5Jips5y0C/srxht/NALbwaoYYsHipfS+Pch/Y/OZS
u+3wuO+r+XlS/OtBhZAeab+rybpWMu2vo4ePaZWetEekO2/aOqcZP721TZ3uimkImXQzjhvveOXA
8dsgODHIRzHzniV8eMdR17ZZgjiC1/vKbRGpX54qWb1LgvGZIZXvmsPoE2pQeK156ojVQxz9zPSr
Qa7+IJ28BY1fINPge0KSCEFdWmew287fbYoMZiQ1yMbNqfMcNeETCp0vwiCtae6tWruV4xQRfcT8
ZP9JUK02tkL884ub6P1cwamD4nqRgKtG6sh5GeOEIGceokRIItFhVnHZoHmYRH8tlHOikFtTiQ9T
FVD3JLe13f7qjHBrav+y9mcnQBEtg7qDAmSB+AGuMkHSBsjWopqAjvNtb7dXjRk+xXP+IOtAAE54
Z4cgb/kkvWzsg/jHL/bBoUckOK4kEIu6MoBKJdOhQL0PeSgLi3jBOG1U3CGS7kAmFuL9MdXfIuOY
a9rGS1j5VGB96/ALhYnMRXcfy83YlDKrZx6Yqi5Ib+dicJ0c35Z42g8MIjabFvEr1SUVPDgC0/Rg
uvoSRwTlLuUC5XhvBDQQuihJjhckBtBqMLmVwxyrdRBoBqfylEkbD7xSXbM6BCWR5Fq4+SzSkk7P
zP+4uToYuri2X9ZMOVi923eI+XYTvmididQu3hSKXP0jZ0IsIqf/P21EgsuyS+AYeJqDNQm2ySKw
9k08SkZmDp7tFw9QXR6HsPVkP98Hdn2tgr5B84Twb9Qbt8wlV4qvnsYF7QRBcaHEPf/qQXC0Wpbs
4Z3oNNukmEmxL7MvCahugEUHjJa/TRh9VTuyUtN5amfUTA2aN2H7Jy/VnRSku7xRIz6FHn/Y+KVK
+1+GNt4JUa3PP4210+lgTyhkJoVc0CKQK1LVzbbk4GtcUxMRHYYovu4RlEgxWkXX04iTjZh4Cb2y
OR9WXOQp0FG0GtoFMlo6BF+Qt45VA/O3DSlcpOP/+vm4OyFyAKcxZLyE/czWlMYoQ2gxxu2wUPXr
Qsc/M3OZ8T4qpnOrE4s/X3Ht+L8zy+loU6xcuAq3cTYPSotuZ9D80hBD6hOFqz1ivLO/zl6VgLQr
Ve+tsrjp9eKJvtnfz3+A2MBFsINMTmsY1RZcFmTxAj7cf7bEPLeao6g5F9E1udlNYEDescpTahWH
z5daOT0UiTCnmPiCU7zs9GdV3szphDK4VcQ7obiARdW+MyUvqasHnAfqaIs1vFLjM0CLORu5Gygh
ue7508nqOIf9yO46TCyltISs6ipP7HzXB2g6osquBMapKH4FSdKSYkgvI9JsO5xbXE64O4L2ziUO
HpGpAa12rp/pxr4ugtYN7D//fnMQ7CEREZDqRYMvzKeuRNll8CysLTgoJ6XXvlRAD0GTXFtg7Zmz
aUa58nGRRzLToCE1qV40iIPeySTJJPKU+nykZL6tWv26HBM38dNDqG8pQa80MXkbUHNE4cWSy8ny
UG6x+M17EgztJY+tQ662V4PaHjSUoYqpv4uujOHZzHZFLu9SfK0VSXaniMKbCfSNqLt26b0PVoOc
C9HPpX9LW9oyetfpiDRzjA51cZdqL02QPo72FZYUsFPVfaVbR0dqf2Es8+9rfrIbsk3zHexcDhJg
OGUEhUWGUSjxtZDlmCX8eusrvdkalLiwyhMd2nc9anhZZN/WoklYjn1UNEKK2EryB6cab2pT39d2
/SzADsnuD6oTP8VKdNLG8Eot+i9lG9wb3LB6cijS4pvV+HcNA2ht/FbK6QbLaO0Afvhx9uLOhdoZ
5rk/IKU7RPvQ7g5+FMGqlWDMo+CfxxtppbielrHOFoaFyBaTYC/nOsuiAKeq0JrJpPidL+pb+o6h
8w3waS2kAnfAuUBElpGhRUYT12lZNSOSgaBuk6XTi2npl0LBoD37edDYWmnxcpFvCLO4JVsUs6Ji
CswxcVE2kLY2NrZuLXZ/eKZlAzgJqAmGkpX6gnl0FMUGBVFerYfMAbLGTP6EcuvnD7fSBsW5QgBV
ovxm7m4RvPWspDOZoN0m+CsCwSvUeGco3SFWnWPFDIH9d5ze9SXzCRINd3O1JfOyemLAR4QUL/Dm
UhdpiMjZnBg5JhGBAyjpo9Ltt92k1r4DCK3/d5nFiem6Im/xXmZCHdy5C/90yQt8KDDUQ7TZTFrJ
c4W2CKOlqJNCqF58c3UWhH1roZcjehyCjG/RNEor6SBpX9p2op/rIzry7/VQiUMkjQpzdMzTXsxO
OR0aA2OPak2U9Tc6XrViN7upu9Gi/FWKWs8J8p3U69dqb3/bOEgr2wt1nPgHUYI/yyyAEXi/9iOT
RxaiEswS0KQUI659ijtn94xO0lNc/q2T9LFxhu+ZpXeM6bhDNP6RpOkGROol1JMfoWpv1D4rr4I0
E3RJUOGQ6xef94fcC51rq8pHCu6UBlvuTI+2dJsiu1DFxjdst63Yd5uq37h7Lo+0IE+TUivITVBf
i836sGjid6AwMSJUqtMfdOtFJdZP+b/vG9JMYlqNupCJNXRMzlcxYnn0JV3voDs+dcOT0yI7KH9P
9I0O3uWbZRmYsJwnUb8uYf5J0mD7qkrnwUhwG6l2y+I3rdhy/FKVW4+00qoSMCAxxxRlKqS282cq
bKUc7LlCJXuK7+S0Jj/sbkfHR9TwrbMAzgrHbaMXFeLG5wf4MsyzMMg94gBAtSiWnS+ca1Y1+j2C
QF3pu6YEzWp2XD09pJvw4sp+CoNRh9SEZZRlT7+XczXoVcRICuUqHn0IgT+a4pHGWJ1lG+fw8kbB
rAdJVOiBou235OLWRQ43fHaosROHaZ83LcOXe5BcuztFWYVt1pbSytqCmI8jsACyArVk8bUBsKvN
nLDgmLzawf1o/gxCj0FF4W8Tv3z+xtbOioo4MY/1Pn4lLyhymjPrGD/ZLRrFP15r/9Hp3rL2OkkO
Fe6pSLJ1Pz9f8DKUcCBBLYjoDIUgw3l+REIpJfWGDOXp1Vs0PnVIVcl4BfgnP2cuPPzb+BtJzspJ
EYMG4kPQRGElftCHMBIbfZtmZoBUU9zQmUfYfBRcJf+ozVdMo37+dCupANoL6PKD0lo6SfPi06sm
ySnLGukvBRvl3EmOuRkhpV6fzIyiLj74I4i7Yexnw77Jou5u/NLrD/+b38DANVmdYLMuY02byXam
BsjIhNHT0N72o38MM/loRf7RUDN3dpKDXFoHeUpuapcejrpFkFgJA4xc0icUKBVKBIsDrEvgkHUc
d16d526V/mrLl7B6mulpfv6ka69WHCbuCaojemXnrzbXa02p/BnlqdreBU12VWvPipkcsrw4FM3X
zxdbKVCgLvJSYbaAP17QzPwxj0Yj01Coqa2dyqhgoDyO/ujOzaNZPWSzhsL2z8IGlAh+Mnmcz9l+
yIe9av9WeQPDaXB+6mq0EXFXykN+FVEXySAxY77MkpLByLsEszdvNN6UYnhi7OKQBW92Yt34zojO
aHMzMwUs2S8TSNznW7ISqM7WXuz/EExNqUwE4TQX7cj2aPUN/elnpS0PI5MeQbrF/lhfEc1R4Bka
xMv5Lt+ay6rzaQnjoOrWdIuo392oQDe2vzUaLNwLeWOD11eERYusB9pXy8Raq3W7dxgM9fRwOPKC
5+4ZV9ljj0ByhqyGP/75fE9X4iN7+t/1FgFkiuO6MWvkxeaUSNFrO8zkoOjN6DDH++ItBNkf838+
X3PtEgBOxmATWR+FFGURI1uS3plRWMK9ip+Y9isrtSvZT3ZG/VvStMNgopk4Qx5RTxsLixNyXugi
4ipSbSFQKXi051+wnkL9l1CJ9FRSSBkK0VjKjF79TQe67iVCU2lPw5cQlVq4ZG6hG2vvVnvHE0XV
dMEZU5u0iYGJWb2MXTN9yZXn0PkOjbVN72Jt6+yuoEo8LIAiQyUIFsGiOH/YvO5tK1fzzuvLewct
kIHivlFeQ22fFlfZePRzHtYMd2r/owbFP2rJ3aRdbez42vniXaMrjyAnCeJix4dEi2UmOzrPGh9q
VdlFTYTzMPNuL4nqY4Wle3L5ZJqIXfdu6sviBzGBoyA7Vrrmye5qN2BCLps2jv3alYH0GC0Nfhud
18XepPiRBn5JGhIp30RlkcQdvWoFvuqW5PhqxGT0HfFgUnEy/0VdqYRSkPe0MHF4/R39FTR9pLbj
hMlM0HQadkXrZfLTOGwUdysQL6+fnAC+Ljgm+sXnr9+J1CYaA27FsN91Bf6WBA8miE7qcJWb193P
7rcBf604SvIrEGMRHchTnG8OHXz5OjS9rZpOXd1y8nQh0kMytuwh1FFimLkeUfnE13mvuErwwIgd
RkLfBv+lUW8hObqphgPKqW+f5+E1kA5d9cMvvmDQ2cmPZff40heZO44HMzvKZetq0Z0+beKCqx8p
gDN8E6RkSazOt01iaEhCZ7Tz1OxmDDzkpbtixn0gvE1z+RRZDyqjUY3zy3TmQ8+Uc2rfNEiz+VgE
IkpaHuxNtoVY8SJogVEqjLBSES9rj5b6SkdciPRG9JYH7dYcq9uRcI2rW+PmcXYly3eB8lzDk4mN
zI2l7DpNU9ecnY0LeDXd5AiLuhXJE/STzzenCVUzpWRhcwIUJ4PGk4OBPtxTEmZuXjQuVs2eISU7
m6uyU2pXuy6DjS/3IgkDpUTPmLtYCN5SdZ7/BPzWaQxlU+vZug7vgXVzIoae7GQ6BBtV9OXzisUQ
cwKLIFjgdnK+2BS0TVChN+bloScBoinfneZP5V87k6uk+wZuWuhaWEPrtMLkjc1+v+rP3vtice18
cRVz+QATEp5Uue6ix29W4ooB79obwq+z9WUOd0C2u5rdlg4oEETyl8Hel6mrpY+yvZtPkxrjNfuz
jYedFbiWSoHlo1tb7PJfahLuIjtmwlE5MdxxUMOHcr6v2m+J89jJqdvpaDdXqtsX32Qtc3Hq2GHi
vMvDdKfN5U6ZHpVsH1j71P6pd7JbkWobaCAOmhtgNYedQOWa4YGB76B/w8jKNRIL5SfUeNwupnd4
arP7BnbQ53fNxVXDfhFjxcA5k0gXMASuApkU5W2LpcWzmIQSKsH55MEloFWONgRxLjP3n6952aZk
2JhUgkY9ORQTB4sTkkpSF8cScoACoRRsfyG6BEPDLeFvgpcVyWuMmMkU/AyNjcJr5XnpTfHE9MbR
0HQWS+dZ4kxOYb+LIypaICb9deevpOmutaNn0SVbdCVxUy0O5NmCiwMp5zWFe+Q0XkEmETFBbrbY
oTEinPP3QMLRgs8CS28hwrexzRcxUGwzGqEC7yGLkBeXqJMGOfcoz1oakWsFN1lhugjT7gQhW2jL
yerflM03zNRTBlT4hPDUOOyrrXxmdc8//I5FCVLLY+kUGr/Dn6H1YuKpIfVWDv1+khEXkkZ8TWev
3Ah579y15cZDAhEFiMPluYx5U6PJVR6ZrddXP9vma+2c2uSbn+4m/atkH+3uT0/6SvUVt5FnHBvf
9au9Mh6S6ghNWwyIWVsg1eVtzgsBVBHEXDAjbspFcHLK2UFtA9BoPCj1ybJOznRj1shc/ChP0swl
7yaByygkiHnWepp9V8teEbn290K7NY7WgDjVrnozhp3jP2np1efn5b0Mvdix//689wrkAwpT1HgY
9BGwTxx61bw3sgM+a/VDnO7q+3pCl+MwVvvY5ru8zW5lODSNzhd7MxenOb+6zRs30VzU3Ft5Hyow
AHYnCADO8KhYG/HjnVZ78UOJVegGQqtifvJ8H7M4Tv1ZYR+VSd/b7FqIWBQTMy94Kb7FATP39phd
OTIWgJbi0Z/cj4N6lTpdwahN/QO5Oxd7E7fz/9ZxcpzL7+hq7aueTN+Q7hPzryEzqGCdUtqo5pcy
qujhe5Fsn+yhOBkpqvQo5lEJYHmgOofcz08QiK4s45EcYCepr20/0wv5gZZiUz4nlf4QyfIBuluC
tWnUpadWUv7B9FRo26vCpfAlTrxqMm/C7jnOv5nmVRySxhlf9OyIdrubSLehVO07eO++/BDIfzvt
IeIgw+9IsNJOxYNU1wWFSWHNz2GRHFKtvtJSiDwIL3MhfX5MzLWworwnyVAvQDQWIdRw/GAcC5Ur
Q/zKQ/NPcFM9GsOhRBuK2/Em7k4zXF9G6dSTYkJrozOzH8adHiDxsmMio1KvlWbndA9XuJ/IceKG
CvpW+RsHfG8Yh4iku77i69MelS/ta3aYWmLT3uF6/mve+reSdMcMTzzuah0dFA+wRzWOZXxTtve+
fUAZLX1S7qqD8xCWsIy7F2bV+/i4sQkXGa/4lCF8k9kKfuPyW9EraQi0Sm+9qSv2+Y8uf7DRSvwV
3Es/G76SzsJS9R8fZGnkUD1m9o1SXyn6Xk9PFVyQ7s5qrwzzJSx+pM6hilpm23ZN4+lj6ZY0r6uj
lO+nQN3VOTBGC4XjygnvVUa1Z8Ujn5n1AxPTGCS8hMbBajQXwdzgK9wS496K34bhJu/uAmeXPWfl
T9UZdolSHargzvCxq0oIgbSCYKzca/5xRPVPDQKv6N4gMN5GwVa7YW2jYGdAREWKGPhggTNOslr4
tjqQDTKMBSLHJxnshQmBmzevcIg3Lr215WiDkWvTj6JoWlQiSaYpsWTlQNfhuOdyLzrzJCwOEuuv
FtMXS7bI78bK/Q7bibE22l80JRfZvdMnoTTIaeuVDPNN5auQaxFKt5+ft61VFhFvxL+jovMIChIS
fXTndh5fJ6XeSlYuyk1ONZkRc6oALZfAQ4ZGX1CmgqrYPZdM/zvM/syE0RFoWknGm2z+5gT3vRhA
5xpXJoaWxuEOksderynk2q2O+VqmCJ5LhojIBVMtS0VvhxHZ2MgRz6YKJ7gMqn0toYKa27/S+EfY
qx5FZeArXuUoO799/HzTLyE3tB+4ZmhMiKkTYt35PeOTNJthrIE5DJUrcjfBUhSD+ar/14ckkYbI
qkEnKOqvn6+8kjGB/0Alx3gTgZ7loeoGJ+vjGKDWjkiDERlU0ZdJtHxnMpxavDme0W11clcfliYT
Xw5vGaBxccSSqcvIo+KG0SHsXMNnMRUm/EJEriq0DgXcxSeA/Vq7cbjX3jLIAaA9AVU2aPWe73Nk
F7OMQwCPm3wvjbdUcqfmWeyzFX+T23s7ZKpLgkOJs5qUbIHHK7XxO0kXYggKARcOOOZkmCMAPSLE
ju8m/X0qUCYUAo3+1bCqrUddKQcYuwVhwiHzXfz5/FFLlJ/tJGYAIIZ6b9XZSa0OhjJjC30vBuya
BhVFi+lU9Fc/P1Jr71eY/JB64lpAt3SRhaeJ5QydY9UeSlM7s38VqvCW4ICHLwSTd6Uc5VUI5Wys
K9KBRbJ2tu4iXcCLWO2YmKQCR2p+qN9a/VYZjo7xivWq68945rLvUbYTc3wBVhGfL78SOIW0Ff0n
4hn99kUN1A5KPRQgovSgzat20k/l8NMfo62HFCd0+ZBoIVFM62LOaDkIlidRThRpiRT6y9Q9GSCi
CRVsGOder3cHvH8OJvLJansvtMXzIDi0o+2a8tPnT7uCvUDE4Buid0vVCXJ6frxSicEUZULPzwRW
iJHn0VGXNOrvBdm63TwK0K033Nr5H87Oq7lxJF3Tf2Wi7zELbzbOTMTSG5GiTKladYMoC+8SHr9+
n9T02SmSCnHnXHS31JSUMGk+8xpzNrjkYZay6G9Jx17vXVwCLhGS80FkdNmKt/yicFLXLBeSSWUg
mihJAFUGGTIi7kPzoi2j3ZTeoP5er+LzUS/CDByDRRJJedK0zDYYGCBXgK66uQGnfFeV+enGc75e
xpLlDRiFMjiHw1v9+rdUSXOTLAsTmJ4+tvKYEs+E0OZdDcMvdfFRmIsaFynckUPCqxtDG1dTjWhT
4lSgOdOquFRBstqhZreiXTh5OxtVrRjgFboJrZ7d5SVqydL8GlyZyRSMQWRKHXF7uuWafB1mnV3E
5bJKyqgMYysUC1UNsKJECTeyNip0Hh3fdX8C/3XLy/C6MwOPAmka7BMQTaGOKVf6b4+86qomN7Sx
WlRasUwCQIO2uoiNZutUylKKX5VSmFfB5sIyZ4WuLNo+PzVpugkxkDRu8ZTfyeUl8xOVV2a6bHNe
bGvEPX0iwqFadFZIP6KYNV28+JaC7s3ROgtqQIakxwEy2la3ks5P8hyVesE2VnY4/yyy7L4HVtSi
G+wOaD/YBkDL+6LF5q2cgWRdUCf6eOq8ibmf71JcKlhppPZRdaTed/4Is951R21sUD8d4iUcPRQ2
IKxTeJAC9J4LOdMMZgJJGt1tl8HUzlL1JP0iom3efjWnY8uR4TbPQ4eFYruLA5RAoDbI6o0Iw52d
4AqoV1vFFbe2V7ltXV04zTiJliCPuFQtr3CU1DsHldQ8+eITzdto3PUIQSPRKoUr7Ho9odzZc11p
eysmfmepUzt3VbI9KZV1eW6iht/ailEx79jHZBAo5VuSyZqX5VrPUHYwsCXM25Vd39jS3tvMz0a+
mGJ4Eba0c0W1iEYsdNAUkIIoUjhGju6YOzfj7olC+S7CjEeHwu/8+HjKXDfiZPdEAmYB9r+jVtTa
hlAa0ZULo4c6JtMBQJ6516+KNtmoFBNNaulNMq4T1Cus5xujXz97Rsc/DJiMhFpfkjy6pMgLJ9bZ
1RV7VU8b66RM0k8znsfJofU32Oqt67JbfTzs9eZ2Pqo87H/badIaYqY9aiU9BN5ye6h/skQ0q96m
RbJonRuw9Xei3/PhLjY2YMGDURrc5KSHM+AyszFEHAVPePRwOyR5mWdS/zNIeM3+J4lb+vh233/H
b2ELPHYbZNT5/VZxPmGirSL1Su5ax896sFKTbJGm7hw+d2ilb/a0nebfqVSNbwwuH+b50ubufxv8
IsdqojGGnTgxwei2aKAp0FfIjIPn09vOFKok7ObyNeMbsEtrcxNmaI5jyZlXt7bHdyJkLgU4GBwH
IETGZXnWCXA87ppRymUnc9Dh7fSpmDqk8fJNH0mr9ecwq9kKb0GkrrNu4Bw6Ou9wpujxXprH0msB
1DihCDYF1VpMP6fQm1WAMuEJ3SjxvjOzSe1kOo2moYxXz9906BSIo8YNWmDYDemRmI+ViU05Xa9y
TWFzl0zfbrze652bAxKZIfrCBCvIkJ2PaJdOUGFRUEAqGFYWcQgEzfXQHQf8cO1RzKyBOhiN9HBV
dO6njwd/524ltpaaE+HwtWR9JnwtA7SQLzD72ZRpewj9GQpLIb7VfRH9GsTPj8d7ZyrTUuJF0q6H
CXXZW8pMPQ2MzM0XKtGvOiJtFIgbR/jbG7pYLsAFobkgowt68AoawpEQuzl6doo5rEYDNejYOoS5
dYDUtxrTz6igbJD0ht7qfpLirHbmPkVDTW2y+OaZ3Y8qCSZaT7a58BN7EXi4g7nHwE1eEwshgnZa
jaH37PfdtxZjmHldxRvL6sTMRZJxAQ5nFcVKgPCG/tCF3z9+etcCCQYdQVl7ItBDCPKSPGhgVA2F
DIk2BVDR1GSb0A+eRBXt7L7bi/R+7LuZq6EaPGR3kgEjN0VoKuvabvYl+YWj1zee9rVfibwk4O2s
S7RdKSmez94YLW6AeajWjQHTldJ1OhBpj/nM6DmFUUeD9IWeA12sOAfiX8ykYGI26utAvWnr9s5Z
eHYtF6mdb4Z6qME6QsODOHcgYCvC1xpVAztM72y/2QfsihHO8G5wE47z3syWjBVWMP8G2Hf+HAhb
kRpIo2LRIA82ZsHKzPtVjxFPqWxkx1g6KZmvRWAR5RpvW3Q+lKtJDW69EBnyXE5/GnpAKTVqTbZ1
cVYWAxzeaRxzkFGQGK09LU5K5wnKVtabilppd7PJVqknYCGCaNEwbG7M0veugL3MRM1QYikuwcPB
lGrTUBcI5an3Drm8huaTFM8f0aJF3mPuY7NgDcEydYK1vrHwe/j4At45LNhZYPpJejnISfmqfgtO
tMyMLCOxWI0hzWMDTj3elzG5QhOXN4Z6d/qTaKLaKJVBr0QBQyXOW6fPciyCbGS8uqXu3ZUljTXi
bDoZMqOpzWbeqBGdsHQ2WCewt7Ne//qf3jIlHOArJjrPbzTL81vuhVI2qCrlC19Xt44brj3E2I06
4BS7Mb+uaxcI4lI5kZoV0Eova6BTqcZOE8Of8U11lo7uEUrZwXN+pP6+Rp1SNeJT32X/OWCGUTn+
LQ0bH7QHL85IjmvabY2GVp0Lt9gc1lNY7WkiZcquzaKdl4t57nXrOM+WfhMdDMXaRm1/49bf2X6Z
TUDwpRQMdK7L/LpIAifvJqiSyqAt2vxHXFtb0iG8z5VVbgk6iaz28dHV0q0xJUvknhRNXbfuhBDY
tCmi7PPHb/2dcAz+MisMrh4NJPAD5689R/NbyVXUQ7y63RFkLNDEgZNovlWka4FjEmJpjoVC2Kiu
Px77epExtLRolMIhnEQXe200isIpJx2YBNO714hSvJNThUi1RaePR3pvxrG44HeivoMTm9xuflvO
dWkEOF3SGovCeosewufcGX9hmbxo606ZNY4bLfupuNXDff/Z/jascT4snbpQTaQGJHiYiipFucv0
5Ni7IgF+IBadV9/5arDvXZPpNqw+vudr2Sw2LtopRKASo3+VzseWHuuWQK+tbLZVU26zsfgGcH+l
+Pn3sBs3FpM8PiR6+KrhyEZhby8KcTfZ2mycpeWXtsgeP76i60hRUuVdGXoglMN5f/444rQW2hix
k4eD2Gnj3muRB0pxQ6E03akFR4x1Y299973/NqL8/Lf3XvS1ZVclQBy9OqIO+6w46Ysivvc+EOs0
PgSCyMf5H62ofw96WbVrR9BexcRt1vYigg4fZeN6TGj+jsFaccp5F0WrJg4PrhfcuN33XzkTnTOT
ZinH1/n9dkliOX4Xgv9Jh7VdQLuom7sqA2USufj82Lsky1epLuZ1WWBK6s4cZ1wY5QuYjR+41x/J
Wp6Mwrqx9b5pcp7HE1IZmWVOc5Et+HKhu9aQ+IoPx26wlLsg6sJZAjrVt09B6ZXzMq/z9RQBFSlQ
tyf8iypvW/l3Aq6XpweLSQSfo8DG3twvGtLX4lM9tTZuTukWta8fU6zMR72+h0L08XR952B+E3Sm
VSfJALgwnD9Nt0pMjOTp1XtApAf3U9nOGncdgLt1Mpo7/bdyaI6OhmbjPsHcMqZBm4betxtXcZ3b
nV/FxbkVJk0BFZX8CubWkvc1+7N+8C2wygm0KrRlnWhaxmZ6VIP41g7y3gYtKxXwcOlooOd8/gAS
Z3DTqsAKoJrVhVingfWrVUcalEFxH7Tptje8Va+6SzWoKVoMn33VW4XaRqk/aQYUtvzG/vHufiqP
ToynpaT3ZTV40PIakD5KtiIFbsdgaQLMWc/CdRWwe3nlcyq8U9+6IU2X8D9lz8nSGCoESKG4WLle
5oSjGXl22BISBuq4Fq6qzMyy3k1Ws/KS+mi4RXgjVnhvu0SLQKOMLG0zL2XjdLV3DOEa9LYG4x6j
rlVht0++ZR3wDNwo4/hYB/n248kmM4zLhfr7kBcnMngRwxmp8qOvytqLw1WrZfMgd5YomaxQPbrx
SN8pyslyI3xqadDrkfKcTzAa30NZexpV+MDaIuo9mxDwVTttHxLYgx4Ti6QuZrjD/BJYHCdjCggt
7G+l++Z10odkOx0G6LPM9Ku+YmOMfabjXLKw0LxMjXbtKPGhKwBR93a0SQ2SwDYjLktf2ibaxGX4
OhrtZ8qp+EfS/QsV7XulUiyPaIf5wqwWSZUCf3enFyetVo7RuPgKRH/G1p+DDpKobFfd2P+ZGwN8
5MwFC2qOd6UDEM2pw+c0jQ1QSjkdn0HcxbG5TrN+bpTpxiqtE6rGw+zjl36tZgUDRxb8OZk5Na5E
5HzcAPt+SGUCEn45RJPz4sbZ2q49JNBVt505PvA2d3yNu2avBf0mafVlpwfbOkwncN9mPY8fyyZD
BIaoyteq+Sbrg4069DfixesNGfiCKikxvCje0uXx5kdTqSuJFi9GY1zXao2qVPI4hcZ9mgvox2r9
Z/5N0aplmCW/grH6ZhvB1xGrpSm6Ze5xtTbllaCMwLFAzEwQez5xo7RtTLfkSpzeW1Si3TaGfo8u
8kxtq3k1Jbva92+coldrUw4Ju5NjnSyGM+l8SN33w67LnXjhw/0gH/ALscq6ZpW48cb2bj3r924Q
hIokkyJrCNj+fLRYd6c86tR4kWhfMhqgQ9XQdXzxmvvua9/cKOnJc+Rs2+HWUHfhoGEoiY05H6xD
qrqKKlSODf3FnAJs4pqZUtTLj+f59fEhh6HFgWIXd4Ul7PkwtdVrFtZfyWJ06l3SNCA5gTzB0zHS
7jHHWy3WoSRNyaHWtKcbY18dpYxNR5AbZCcnBb2IfUXYqFU2AkENDZyP43Ef68luSJ0/o1y7t6zs
4EJdIRvaj4U7VyRW3EgO1dDdk6VuQsenwxm2t9bTuxdFv48yKiYZRGfnD0TvskAodZgs0jjdRfVx
BEyhdqiRtu4y9uFjTe0296u70fRmntLPUo9K6DicUnWCXDKWINecG6I1120S+aBA+DHFSdY4b8+v
yamzNLQVBQdqtV7GtrhT9GHtGnQFQvs0wTx1fHVOHo9u/7RHgepWBfB6LlJXRvEMGiYFbQ7D8/Hz
UrNIFct4MdBgLqZyqfgnq1dvzMXrJw9nQLLwCWbgWxoXowyjZ5X6QC9bLV/a8rF0yUKnA4Y4qxvz
7upoo6wBjoFdGNAM0JyLeacKxQxRJYywOixmgi5zpryI3p+5WJFAeW+WzqnxwxujXm8eDCrFkS3O
dOlkdf4MC62LrUJ1okVuAxKva6mCOVOVbIMy2D4znZnq34iV5PM630EYEWYNyFBI9lc1tDE3IrUI
IvbjatrK5q2ilw+6P60yOzpknX/jyHxnKwHsRNxBQsN6vmLA12gZFlbqx8DeZUqC0ryt7vFIO1W9
sxxZQo1XLT1TBGAkrJcb71QugcubRUtViuDLdtalSdiE+mSbCDtGf9BfZIDWTV+9VxO619V0F7o6
EOZ6ZRrTPtKT2VS1ICnb5MY6vcqsmVdSbQB+D3Priq6sRl0e5CrXEI7VTHDgjW775Kb20YncJW4/
3xJveEjEjYDxvVEhz5GJSPwsg59PrFTwgSo4A6EewbeZZtWgf8YM7qkJ3UUZqqcsm146/9fHD/zd
US0CJNxs3WuTzqLVjZA9I17U+S/LF8soH140fXiIMxe/3+ERO+RjeJN+8c5LBhPL1sB5dU0ZC8Gg
Wq7PA26Fu9JSbzF004tLIpopvFiz/eTE3z6+zWskBAeUVLEFdGXD5bk8DkIvIeyuAPFQu90lrXdA
1zmW5w7KDubWaLrnUa3XPRSfIPnVqcQgWtg/5OJ/cAagp65x8zZtWq7oIi1AyjILmxiOYIamk6kO
D2Kyf9hFclCM/iHsVKyMzSOT/dOgxV8H75ZJ1ztnEOPbEklPmZba6MXurLs1cVFPdDcl5dyyprlV
bJC+WXWzyvfXZYnjJPLCNu5gIF1vbS3y5i5WN7GQ9AulIXbdDsg8LxbQZ4m8iFL6ZHgokzsPE8jI
Tg9aYNxrkbvK9HDRtM6SdXlQ/XqGDsdKCW8qash9+upSSLWZ9qS+V3ZBlmKVTliMxNvquEFzMC/D
DWWno47YsDDqbdKqwPLcZZhXd0HhvUyAiUuyxY/n5TVdnHnpALZkFaCzzTl2vurrEPX4IJR635NY
Gul4wiZvUaKJKL16k2jc1Nn0lPj2q1G5oIq7aiXsfenOjSpYmAU2G+p3K1W/mHqOUr9lzBP+RDtN
N/amtyb75dMiOIeDLK0aOP3OL3OsogztNj9c2JV3X0XWQ5T1p1q3j10wHENQi0mvB6DZw4WVaypG
nRa29jRCZoUnvru1Ciql2BM84vNZ1vedUh77qHyMs/yQe/UKV53lOPC2773Gf1S04qfZ+s5sHLO9
ZiPB4oJ8zULz2ebMXSptcsz1ikIVLTQ38m5Z6r1zwNOnRc+elgFw7stb1airlnaDFYHEgRY9sOKg
Wlp4WgkBlT+aNYCOP54E7xzwHLNwTlCD82CeXMQxAY4Bee6SkbfFz7FIHmx2pkrEj2QTp35ybtRB
rts0cspBq8bbCPIsKl7n7zI1+ySBMovxRmA8dGn91fGGRTO1m8LoEOqHgRa35rqBohFgYVeM+fPQ
6LAXKg2GMtKoCTNT4JXx8UN45yCias7VSBYMkcfFQ4gKv4hdBzuQRFOYP1+SrNwpmVi2FepfnVj6
kAfFLRLWu8sPlgQSgFRIZPZ9/ix0JUzFgE3Ooo76nVL6vxC+BnaZ/dlltuCtj19aY5rpg70TbrZq
/GHehPYyw2shaNqN/MdITDjPlW5LSCG9TTrGBc5XyuLjx2PIK7lcgRRLKeFwsdc6Dn3e1CGFw2jR
jUfV6U8uvWkv9sXcHzV1b6RfqGB+cqumPjSVD4tSeJ9GB0FMYcG+aT1oqoGCjmxSLhzveZjacBm2
ig+wJeJnVJhHhQNPPDLgWSnozOeuFLrEgyHxjWznTTH0yGb64WTjasz1TVF9/vj+3lt1HrQCKTcM
0P6SaVxFidDQRmYNcG8hR8PCSqbPZpa9JG2xh+nNYdnbq48HfS/UpTf471EvKgHYt1dGXQzRAmo7
5lonhOd3IPX8oZz3HrocODs65Y299L0z8PcxL6ZcrEwx6lOIRoxqeogShQpOcCOAlSv4aq5YlFFk
GEvEc3GooCdfV27AbWlorAS69qVosrnr549+I24dYO9sXrLHigYA2nkIzF6MldeiTZSRnHIaxd0Y
Dg+jr+xFnyeweFN3OZXTydUrd1UJ9asZePcGqi+GNUvSZNUWw8YzykcDcxL8pHRjifHGQ+hU0bwq
vG6pFvpa1MWL2HVoKcQL3KIMM7xxA+cTT7JYDOTGkRWjaCJb9hf7TpGP41g1JJERB81TpDzhDAXH
XZsTOszd2Lmxjq3zuON6PLkP/ta263LfKgfXp/ya1VBQp08gqO/6oKRcCqpMVypAnNNenaJ85vmA
vfOie7RLiOU+pPIIt6pADR47NXwwyOSRul3Hwae+HRcDejNSrT/GM60NgW2FIaCacYFbmzN1S9/o
9m6Jf0QMbnzSgTq5T8HweXTEZ3sIX+Nj06iLVunXUZC+9mZzzOxGWxQ16he22j13veljR07OV+fi
awtUvxXYT2b2LiPt7WqutmtvqRaaV+8GKWyiIowGAeBxHF+cVBMyIHC3vWjh5d6qrMKVE/ULAPkI
GM1z554HtRymDuaz2Jehdhca5vG5AdfQ9uV9r2IqnjvtJ0sdceLNHoYAU3WS8yommQwNqK/2UxmM
9zFmoZGYmSscm+etRsWMvsA4/Bo59TNlHyr5IWzEXvPzg4GJ2Dh6e7x3FlqlLurSWVfFtkOaHpbf
ph+11ahvBmO8UQE4X8/MGenwLPmD5OMgOS7rNuYQm62nMGeCCbBlgATd+JCpP9z2x8f74UW1/F8D
0V996wpKnaaL/dDAdKpLdEoNUw0JY2dqzjzE58bJ61WpRo/eeDfq7n2D54dwvSdbSb54kI+/DO5R
6RZplmLAYOwq3zVmhYF4Sa8BsbtlwXBRKf/viyRYYptEnuGyWFwljWlPQ0J6Dm5bjZvPdl09ZSll
uwG9YNOHjGCnM7M9jghAAvPNk5WvlkdfqW4A+y+ih7+uRPqxIowDsuhynxWFngGqz2Xy7BMa9Ycs
F0+TIj5XcX/oi+lOb53dEHg7xS1PXV89Wpp+b+jFfDSeQCnM9F5fYemxzdzyEJv6nT6EO02DC/Tx
a7045v66Tu/NRoKCBiiR8z3HtlLFod9L2jUeInOnud+E2FXOtrV+toCSCOvD7vnjMd+csf59Bl2P
eZExGGWgDK0cU82JZqPymBfW2vueFsVKVboD+GQctUo936ds6VFagQUqj+H0OGmHATCBnuJx42ur
pIA3HB0E6jW1+ctKdHQOhxN0jY8v962udHG5VNcIrtBkpjxwWXcCCxbkhc+rrKrhpJjVqqbXa5VP
vVn+zFRrX3rm0cyDrQN7YByNmaRwQO5aG727zVrj0DZf0uml6AVaA87RGLXPWMW0oz7XunbXmQ2K
Wvqe2J8sooF836INlNCJ/KIW1qtutCc1CeZ2kM2NwYOcEazdYNzowj6aUTqbCMsrZVG4r6Kf1wqk
Vk1ZWi3eCEm5s8Z0Ib8H1b7UshfFVXCd1pZ6T70wWBmiRM6rXWjInQEUWht18qAK8Vi11YNkl029
86pP3Snow9dgTJ+KGNEEo//idbeyjqtzD/KzbDDjuiWtGS9bzK6Z+GK0mQ9VP2GHfucp8wnYa98u
jeouggpdTKc4Q6DiWS0Q0cn/tYX+r+/D/w5+Fqd/vcr6n//F99+LchRREDYX3/5z/bM4fs1+1v8l
f+v//dT57/xz8fR/nv/2qxB/Ozytni9/8uwX+fN/Db/42nw9+2aZN1EzPrQ/xfj4s27T5m0QLlT+
5P/vh3/7+fZXnsfy5z/++F60eSP/WhAV+R9/fbT98Y8/CFp+m+ry7//1obzVf/xx+IpGSPT16jd+
fq0bflnz/k72Q8GRPJAqs9zB+p/yE8/7O/V7WsbERgigAbX64295IZrwH384fydiYrHIkgXccvo+
f/ytLlr5kfp3ei3U2TBukdAwCb37479v/ewd/fud/S1vs1OBQFT9jz8shv89kMXZh0oVrldsJ1ie
O5edOsfPnShXBeSsMCTn0McvrF9tjv25fqc2zGNcAL6EsJ8fSkt51UNVx6fM3+qNmz4knYknz4Sy
h9rBSVZD5SfFiuLY1Kk2c+iIh4hJBI+lEyFDk3bjl8ZECzOognpuun29r0vTwYozH1YF7arAZ0Eq
nzQ/cXZqIk6j3mlfE+NFNccvE8po7P+19SoqAVhHC+e58P07t8JN0taUU69E9lagpmcLTTyUNPB2
ORnZqelMRfokKeqqzwQ0W0cpX02gAGsjpUyClK59o9F6CQd4e6JA/2l6UgSAdCif+G/hZ6ZWnE1x
UYPysO21gsvLXZK23wIk6WdmVToPSdo7iymXXiOpoy61EX61liIWQJkKCgBQrz4E75eo1Woyem8d
TRpikmZerconzHu+NHlZIjgws+0ayk0nkucgdYiotZYyp459rRDuV1MIfZ7W7XhfKyHyLFNz7GNj
WERR1N5ZGeZR42SUs250ytcuh9ikCKi/QRbdOKXeZKH/ve2zDVFvYVph8EhFkqq/zG5+exxloPs0
TbVq7UYJoBDxrWtzcxWYDGmPqrq0C1uZUdAs7owqqU+xEwTxLBdlhAfPKjPN8U93EPrCUJLqyYE9
atmKuTK7eDzllTYs865SV8Ixq7nnZeG2MpBiYnev752DBvD8XuR2P+s5jQ5ehbJ+WqBf0yDqibFW
MhzqRmTLZKrcRV8b1SFIMhOpw2lGWD+cXHXa4gI8WXZ/8Kd4pHAd1rMhyfNTmYTtfWLea15gfLKV
yNgD3vj22y7y11L9fWm+wUp/e3IeFUuTHpiUIpAW2ZdmAUMurFRUnrHVvMI/ObPI1Kd1ranJNrAn
FeM0U33oXV8b5lOHZK+q1eZRSSMWhJ6tQPyMm2yisIDXN6JevrlUS6JGMx+dhTemzspsOvsuTi37
Lhvtdj+6lQSmwYmvOn8Ra870FLX2QOTeZfOmC1pEPZAt0mAvbL047wH2INfltiBEvbZzUGbAvrMb
taMR9vGpSba1q31ONZu4jaLXLWimLePki4dDzC6r69Q0r6OJOrUTy4sGc4vghDcjyW9enHjYN0HB
u+ip9qpFG6/M1APdNeTlZ1T5FlZq/OkJnd3CL6y95QofGOD3QRusp8Qzmr1pdZsBsO1eQSlXK6Nh
VxjDnKlWvfZ0d+aq3dM8cbPdYPXevSZ1P4g/4rtkF9ltsWud0XuKNRSFonSPmCN0OCradmw8uG4w
rYXTGZ/RWfhZgWl6KF+CNtFXrhMaz31R7ELXWBdGHX7zR+b/lDUeo5QB8s8eDX+1OE5ZNJ4coe9i
xNDQaxZafVRxKYsrUzsiWplWQ/iUB1l5Yz97g8WcP2lOKZPyDPgeBHS8ixRRpZ9Bs8QxtpM3lK+e
j37tJNcAagr9Cj+GEeOgbtpDn37uy/ibmiliYVUDZNu4Nlf20LkLpbDUoxvUaEsG1Tzo0mHnuqhb
5iIu502F06YbjbtAt6hmi6Zfj2bgzn2Ba3CYhXPXraI7bCN/hebUcZ/qqXEphRuuaB7trHhy4fW4
Tvo9b9v2U6D2Abhsfx6NYXEsQ04oJHCBtCZJuqLrBDrds/25rxUjG2gfrQfb3xt5Nhws8CrjrCtv
URYv6WBQQOgsw+WSUg/Y/V7S69qpHSh3G/lWLfzqJ4j5bzBl48+50kYzluuwi3zcmHLRm+tY1boj
1LBslqVQSVvHbNZai5YlrTusEnPKyLQyzDm5mL8PEzVYBr2uzxoFuZDMa9d9ESjrwSNo5Vl5d2FG
rAoReWP7YbjvhF/v7MCukPQ0/uw6q7k3jba599zUuQF+vd67pKgrjGz+Q6MVwMz5rm+ksar3hT5t
08rRt1OfLoNS7b/VUTTM22pAPks3m8egzNhqezSq5VfsrsnsbXGERjlIp3Pj2S3mvuoOM9uPuzWk
QDobjb2Pe/2xJBM4hrQXZ72V/aRGF62xDxJ3NFHoIlnYBIXRki0rug97rEJEvyxz3/+chJazD3O/
mZd1poNXZ6b1Vl3PLN9o95GwuueowTk3Spth1SDj8a8o+SxI/n1XZ/O+qOdJeRfWEcgv6Y1Hg/Yi
VwyayPIyLSzWSRMHO8fooa5W9k+bFg32Ge2rO0TarFKDbZP5yloNAAM6rowiunI1WvErxu/ewsW5
Y11ODlZ6fbnqlW5n4ByIcohDP53EVygCrGkSfpmG+FD6HZWmwX4sTfMQ1UiuQWj41VXY4tlpNc2C
Vgc+r2az2tq1QZkvPOF+iVKUBY0aRaFskPmN7y6tpLCQtKhGDNvMjegbNHkdG8gsbpCNV0Ox8+mZ
Qf2aVzhmA8C0F0NPfk59eA4Uod5XItgbXXBqh67de2Re8zBPTmoQPXtaBOYRU/BFqPjmfNL10xiE
ayAUG43JP8MN4t7XcjI+H2stLvHtZ6vQkXaY4ThH5eHYjNTXk0z56cXZPNRC9N6BMugu5Cih4Umu
KUw3jWttrbhcqs2vxKO8BoBlQc6cLpS0gCKvDIe2b7xNH+s/erY5Ao9fwnLred2UsEUFt5xgCe7W
Qz+nqVTukkAvds7kF7u0zL1/7ZLE1O4sNb0AZcK63OWavvEK0sqQ8trWSDAbL4ZqXKSNtQ6K3Lkr
9LzfYWvzWNg42Ygwd8D8q+2sE+sg88rXKRHl1s+kM3gdoQ8HVqSbWRNCB4Ed1A+EkJ8MK0/n2YDO
Q2+E1lNhduHG6dOfRdU/GPGQPVu9MvAIxX4o7OiuTqevpgyBY7mo8mq6F0Z0siB6713Dd9ELq0Oi
0m76WlvDc2cGw2qKK2PjWNXn2tetfWKZ6NyNSm9sDQ8nFwSwndcwp2JaNUNwSK22ftKlNkUeVwen
hRcSen21z3tLzKR21vPgDOMTFEX4pnY9x4MG2DVGfJLoEnEUY60z1Ga3KnxhYJdnofddtTbQvkTA
jg1CZApDhNnxp2jUYyy/wkYduejenWV13a+8dvK3Cu/qKIDRLqpkrSpOdxRZozFRaLK93VzheI9B
QXztdK7ED7vFaohj8KpDlh07p2vuAiOlJCsv2M1HzjQea1NHzRrFvOqksLVjZTe1L1QmMTzqD8Yw
9vfUQMTLSAmvKoPPRd0bUGXIUGauJ2ZT4AbzSqTDV6baJssC81dZTxiLmPZX9HGglpiK8th6qO32
+XTUozx8TSJ/MZFvfOro7d8FA+XTt/9fR8U6LgbUFMvcRlWG1OftX3pf1ktbGak3h5kG/VRBJ3jW
DZG993PL2g9vX0UlHDLkROeNF7bQrXunnvtBkC4FrCIlRH/ISoJmpcSq9WRlo3+n98Yrh471RDJZ
7bTOQBKxRSg6L9N050WOeMjqvFubiumvBqqZy1RtjU9J26czoSX1pvdLOns1h7jvucnR4dKOipk9
T4bzJSjD7lNRlKBy5Vc4R9bzojWeoJ+Iex0E0truC1QkpxJkc1iqy1YMzqEXlDoqr2aVq0V2KGXY
HuU0ITZNE7m7VivjnV9WzwAvhm2khO4ar6/gEHg0tskEBKX9xF5GtgKvevS+SqJZt6ZLas/U2EiX
vp1Vr37rPcR2h8J/kShfGwDKpYacaV3r/dFqou6o+diVZOXRMEfvMQradpWPkUnY6VRHoCCoE+Ra
5R68JA21mZk0P1ozgLKnqN8qo8Pcmoo4B5WBkETZFcfu//J1Zr2VKtGS/kVIzMMr7Hlvz0PZfkE1
Mg9JJiTw6/vDp6WWrlr3peTjqrNtIMlcKyJWhKxupuHND6ZT1Fi6Fm/p2Jz/e+PBlKx9tPz9fnHt
QhDU+P35EavusridfYhC+IuC0MO7/xopGawfaq6MJ3Mlyi4U1ms2OtZr2biHsXaLp1q9VAROv/Po
Z9qvjzyY7StBTZigG93wQR2HTswe1CWz7OFjHvNEl7XxZte+ezfUFgBruGSPkz9+ShWok0LykeRO
Mb3WXOR9lLtvYzNNr7kdTK+Mewxj478sLaqnWvuxUeXvQbjmj12WGu/Or7LvnPcFT65joLFBrmxq
noxVilun7HeRXqKLDAbzfQGQs8OeWt13/nR/GakZKwAvguy2L3IwN7v874v/vvP/+yelO4c3wMo1
GWsvveJDf+/5g/6wU2NnFmb+y9LeC4qxHxgo+k/+PNSHpu7kXTPr6gzzz5Arai+yUpxnq0UZ4m9I
RB2kzn3dBPahBPCJy3oo4Xvz9a1eGrXPprG+q1uuwhuW9ECC8/rsad54J0qnX8TV7dren3/NGLdU
Ew7HaeP/scf2VyoNM1lT3zotHskhhcGI/7yU4UNHFZnn0/NqR/L3zL/Y7sL0nPeqg8xKe6g92V8N
4u6TdnK89y63xmOuN8fTVLbXhnY9zrKQuzpEfwLh4YeazqU6EIDbMCRj/XHLqHswzTXdtDIIif1p
Iw/Ne6NzntsVBEjp2XrpUnnElfLerkJ17ztj/iJL9CojOqizJY3N9DGc0oO1VDRlpfnaVPZOpbTt
rcYvp3XS29yl+uBK//eCo4acmy6uTYvIPjP7IaaPlsLEpBuICyZjmaxnLKJSr8pfP8zG0olRUwkx
7H1P1Ub6SYclARcC10gASNVMJ1MhiYZ+GlYziMuFk3wzxtrl5vLa95NH1M21lpO62EV0z3YMx7FO
1zXHFgJTcGzn0RpklovrH9JqyitKsy0zvAjxkmWP2dMduiQSWMgGsuCUhSOhbbX84UoaCd9sftX1
WXFq4IqAV3MUyT395FlXHqHd6efsV29tx/hsUcjbmHZfwoWyHHu8pPn1nVn+ZoTWcucfnhjuzAFz
+7aabBKCs/nUzZhji2LZDR0eQ4ZmgGSwSHG1HnOrhshkATLnbiWG4XzaPZQH/ITeI8yjqMbZnmyr
g+D5++QtlBF+TV5I8nu4HKaV87WoxqslqUAGPXx5tUi8pYriHqdihrqDRPbh9ibgcYAifm9nqU15
5DDuTqDjzasc2pLo4pTjT390BZ8MUdiJEUTFOwVqfG1694r6Ky6W9r1f0D2QHnjO/SqPDVszAVFJ
nxN+SKx+sE+LI9/pH/9hcmSj6x8zop1TzBiD9q2W3WnIRZc4zhLFaM2oGVIRu6v/u59c3N3aaE3S
Xv5QGAUZliXixcY6O3X/9HNxqOrgV1qmb/46HdrSvHPbgBnCoD+URd3FxmDtiuFnV+oOOr1gtDu3
oljjyIcDBmvEhwiW0y8c49/01N/8nAjjgd83jpC0VjnpBiozwaJmZneH1o3LzL0yfNbHEv92Eq6y
Y0MNBqYwdUmYdXDGl8AmVK2L+r07RQBjhBqQw1HjQtlcp6VIz46QHTEJIHx99JA9WvbFLNZH312c
41qHPZx6Ou89mQ4HyuvE6h6FUbsPgxed1qbPbnP1o/CxDfeY1gxBB0d7vuQAGX4j/xRbAklaZI9h
XXsHFGE8S350NuYDFbUoD8ZCGHVjE3/h6HXeM0Ln3WzRGCQKjd7eMPC1UpZxTYkYibUbPEwTp4Hb
fE0uU+oeWdtq80wmnzRmnOZhsaGYi+KxnMQPP+JHO+bIgADDOXg5Nc8ckuVdqAKCQSZ/txZTcJCb
29FqutCOWF8wc8EZTXX1t9bKxPOpeMnzAD3bOuOeqKlJiPduj4gq0BqROw067+4LF7UcovoPWet3
PPab2KX35FE2e+U6EjM1PSWuIbc3vJpOXf4Y5Cx6GVZnG92SZ8/v0+gHGK6y4lZzeglkHSuQ/Avr
pUG9NV8YM5tUusP8qt6R3m4myNXRZVTlLZ2yV+GS5zX6xd8cUahv6xT4YsEUfF4gCM1z2coGXIdf
J5TrfT+IJyFwh+kc/bkEZKY3bcNmtb6nDtHpdYF7toeJTFfN75VgIrqvHzvD/ln5GTqk4fdwwonM
2xyp9mVu4stAZtIekycM7lJGd+EFDwNGdgDOXJK/zSAFX+GEfXXY1V/ZiGEepmpNvAT221o7j0Nb
NAfPqD+V5tGxzXk7o5l/1WP5JDQu64oNBq8JTpBCTSdXZD+0gQN4y9zcoTSOTL/9lm1/nXPjYXW4
W8H21K1y+dhsK7Ql2OK11PBuyt7nd94ikGJyrbJf3m1VWGfD2wci8Pay52Tvpt/QJrHfFTOxAU91
GXAA+4wkjBvYH1WfkSgsJpOB39jVIB/0wPNorM/asV9o9LvEnbYaugdZ2O5f2q6XxRE1cbGohZcI
a5t8fGHaGsmSmp9SAp7REplIPhAGWJpsIy87GC1uEFUjzbtn3B9cLN6Go2MprA5s+5JW8l0oxzlW
43qxLcRfQ/pQ6grl0xpec8smZaTs76EKSN+J+l0jA3Vzh+fc5sV0a/VHd+XRbPvwLF3nlGoTJXVx
sdB4JrN23ARzQNpYMb9/vz2pUao475kZp5m6BNNy+P5FdO+2+8GZayRmpArjG37LQpPQxm3PsYnf
2TeWfBtLnXOwOeo44qUbSyyHvj90bKz3YeLBLPTwzAm34kxE3gMipybe3oW84IYwk3Rq60gd69C7
pj3nS+B8NSH8z5yqP16XPhSZ+DCt8GGsmuDse3kIxMejV2H0wLIEJRjcBLvoN/yn/jh+3yWDg7OY
KZ4XG0xoG1X2uP/XctGJZ4rg3szXI20CpnaQAxSK66HkJV9VcS6RVNxbtmh5fyLqX8YbKsw165y5
pCiUhLqs/yx8KKBFFNYwdvAG97Uk3y/ZMhWf7F3ZBUziurDGmdfEMlDXak+vI3a9EYZx2Bj/HCMj
Mqa75QQEn+fC2Vk5Ru96nE52izvT0uIyyS5F4tP3j838C23jZfTtR5K7+W5V2wg+X7DhJAAMJd57
SaZAZFX7shBDHBgRQQ718m5a6CrquhtjGra7MEdt0/ChhfQeSxfcGVDsC8v2F0iN5wrZMFOuFSha
V3xSsOyqUVnHYMEJ0Jtkc2Rk7uRLzrE2aOPOKKAzjX8R/7ET5lXaoXNYQyGQSk2MbJaZdccTjcVU
nYzZExQSRovIJD+bWLwhYUca3Qia3Ug77060fLaCGIbWso6b7jSWTpQdTeFhrzvKfSuMLU9yjTmy
f0Vpiv9q2DDhkr6tTUg9MQ/m3knXS6364NRP+cVuupYdvoGpqwfjiDTrT5TVEEcin079styg7YoT
9bed2MOK3GES/qn2lyl2mi46zV5V38JJszet6mzW1nOR5nsnVyR3LKizJkm56GEhbQyPgd9jvEqO
Z4XqYO9PRDf0hRdwfODb5Ojs2q9piz3rUO45fOx4rVHHTfb8wLZinrBYTI/VtNw8UXQJ/U1S5i22
Xpm4Y74hwQ5nMyM37seeTc0Ft8VmeIytlp+nnZLchXZ6aDRRAkHZbMqC+epPESq8FD1Z7t2cdnQP
iGK5zf5w5zIuHy9VyGxMPXhUfhVNNnG5NS/NsfTAVCfLHI5T3YkzXPOQmKO3HKKnVQDcLZEAP6Uy
Pjfc03gNZlSK6MKfq1CLXVgKdfj+z+8/cDe5T+3yqs1IvBDp1iSGfs3MoTgsU+nvScjmO6WbvaOm
5quuFQ+EHqINk9N1dJYGWa4CLbCqu4VB93M1OOZt0qE8hnNwdpf2C84bpwE2QvuuGGmifbRWheee
N1ebczRvAzK9nz3mUzY4O4l1kvxmcFU5VbfZQwCpxya6VHZ5wPeL4IoImFtBKSfD2INHpWv+UJX7
pXCStvMJqFDx6Ojp3hzslh33sDbCe8/mhXxju/gLCJssyqtpBA19518NhtcfjAr3ASs05DELnxuf
YcvR8J3zdgFGKx814XQ/8EZhZ9X+u276EJUKpPLo2hGxj4Z1XlvGQ/DaRKBZqmHlFHf+dmO/fAGZ
ySTMFzxdGaeMq3B8S8N0+fJcy0h6pYvb2AZie7SAkXO/XFxjIJBEkMA2mOLYF6XzJjqJ05tf4AOz
qPvCEdEORC0x1iE81u2oUPfY1kML6FBk6zvMqzwi7TNvuKeN+6lu2+M38Vms4YcIjPUhEtOQaGeR
d2lk/V1LZjEo6QfS64oCibIfXYOqf/6+P1bqh8fZDWDiv5shT68Vh8PU/3W956AsxldrrPnLku9d
pg2ELDS7Bijd7r+HiC2A2tG6VLG7dOo0zKN8WAL3kJuSbqMS3b1uAuNsh+W9CDsUQKoYr0p7+q4a
vD5pi2XkVw31BT3IoVyRjq/C1TRUwXJeDdTE/62BIZRLYlXWtVht5wceKsZZpevXkup7AWd1t+iu
WgjxydVRyhpZZZ42vPWZ5Ho9cf3vQ2SF3WLWB9bRLOU7yCFdBSMk+Ay/1W4VnVIRNkkk86PdDybI
b6ZxTYELg+m2bq4cMUepgNKavDjiVVq/S7sr9oQktJcMuu3NDrDosg6FUu9hMA23fHKHkyMNe8R6
m/LMSWtJ9Ad/0Ex+hXvyB7I721POmynaD89//L58nef/0tJfniIjG+6aAByiEv7PVpXl5ZuaHst1
ANhxul1dWN6Be0ys7iphBtSWYhJM5S/4m4PvaPcfGPSha6lx0nC5VXbVPtYWfZhZhILOwwQeB4ju
vDI8roNR7XuqJNEEaGPcU0CK4K/ZNvtYZ82ToY3mqRjgfHRlNk+cpnksyszEbJsHtRCP8r49QDdk
NBiX7I88hfczmrF/6+cJmQA84bAt9bEOjKMXFohNGuBuUyNey7SK/dYxzhiLnKpaOXdD6j3IoXf3
4ySWu5ECVllyfez86pwzkfYgNAyGFeTUOFGHCZ8zvdHi/IE1cd50UcD0EEMY9zmHt2FfPcP0Xul3
3Yvqs+ex5pCytrah7Odlc1TwXiSTG9M4uCgea81YlTD3XUNsTilRtGyGFIkhF/+lXfDYyyqRcOLP
j5O1inP/t8cS8WH05IIifWwxkC6jhyaaSXPT3nxERn4wmMP6jEr3Z7PeHGk5711RL/cM3NFprBF9
Vp5+GsZ8ZXOTL1lf/a4zSa9vi+yateAG/QjrZ04M2VX8gE4vw5MWbK9uveL9hgD4GOkpS77/ArAq
ODjf9zZNi1O4OdpSciS9ntp9p2xv3+bz2Z8gCXE0zs07syC/traMg3K79N1fU3Bl1gRL5fzfC049
x84H/23fN1EB98FTxKTJq5ud6TFykNDA2tSMbX6GmLvhQcDzrit8KiqgPncJgQI4kR8bXwznuoBI
lg6C34AmYA7Hq4sr/Z5+Xx19j6id/371oLYTBYZDlbB89Hp16J7T/64cXsE7ZAIECv6iuWt9UOrt
4y2zCW+C1B6/ry5DIdsfTECvMMZspljXYR/S/vp+NlbWj6eBuBWqIUymyr64F91i4SIp7JPpGPI5
8vG7lrBqbJq7qdbLhzsgIMcy7LDWOtxJE0JjiNqHYFSvneZVbcOM4SqAcKMLjYf/95VRsnSNbH4b
3To/5nStb/aAupfzJ6D8+DSN+mdnonyt25RQvkbsVT46p6oIjb1iQ9vZ35tvzbzu9zrtWo6YZUiD
c7+O/2wxjU+OAiNCg/XXndZP37v7Vrk0tdW8iYiwWJiI1dBvkcS9xWMaZjeG9QTE3yrqNzcdL/X0
mRPR8MNxtUWlFiIRLx/nsnd+GAMeyKFTmbShFSPNY+bch8HTuAT5B12Fvoic3haXhsdvBdkYRM7x
mx783qUiWR8z6XXnOlOvGA1PeZJnJ94gAl21NZActspnxbT9MRst8ipL5BWm0//dvjCmqkm8StpH
xpXbR22b1iHKtwNsqU7FyPBfUlVYWa3ebO6nHHnEpIxru9FsYK82ivLqz5KzVVkL1kTbVwTNE3yk
+crQi3rpVvVEPYy73Wj+3z8MBw+N/13s8z9FApDCeBkyzu/jaYeB/v8cGu0bL8AExYfkTjm7RzqR
xa2Ky4Iij83fIkZ6GIjykmGZtKYs9mlNTTlXq06KZhoOQS65ya7/Xnvt8khxWV4Xx3kp4M4fDeMz
88Ybige88pDFHEc3ECfHnKP9f68twZYkkEeHpqvX12VTebRhTzWENdyxpaW+a1Pj9L9fL+fi/1Dw
UHDgMuZh0olpJOl//9PEoAFc13URMBPaqHcUj6fCa9tkBXpraldc3DmradsmNuDCladVEy0WFhxP
2bDsJq9NhoZjwxXyWq1bUhlukbHlLenOlRChhh/iJ0MQs7VgBY289yRUvuKtUjwEHdOx3VI/d3Q9
PPcWVUpg78AwWfU5fbaa3UPtn9gBmwS8728rfH387rmLN2wd3oU1HGwkMMShFRUGp5yIi9YnuBL3
rOzx5muininYEkd7ftLOFbq1g9VVL+7IiMeULnYsRuuIp5yzXMmdvbaTVueRDiq3HHnpcOvwjfqj
y6WzU07BEy6ZFldluvehYY8d/+/IroyKOH/z6ZJJLJgOQde31PHOHavG3dt+PyT+vpw2ZjU388NE
mufNCJvHVnpBjBVMluB4cErpLOIlCj+lARzWdvpX4xR9kooIAVQenpcJotOsmyT1F7QxRZSSzji+
BgMLtbuOOm0PTWZhONSFFzUY3mmqeTgVGIaQxlvIuBJDqHSKoOZhNxp7PyRzoYAjOOJM3zra3hly
eBONQ0Pka7DRXyXsxXFwl59rgQGeUZC+ibspgYVL/tsZ6vE8ERmZYAZox7RBwXHwc3E2JdWMTzYp
7nD+PjBTIxF++lsMk/vYZ0BZkR9VrI58r314BSVH/7CUaL7x6302xJjuZgSdtOxmUvayj0tPBIyf
qH9cmhtmPxYzvRvzFS9X2kHOr3y39Ntw4AbwOP5jIIzi4Lp0/0g0kpKkiDt8Gw+LhOnNfJshcCl/
ddKBn0+XvSXIHdGYmCMfcB+RK1W7lOM1GZ3sK2/a6+ri4ZuO688s6m8olm4V4dLxIHLjaBlyOiLn
rue/NKEY6oKY8WSjhLFm4lsMInJlGlG75wJhR/c7YLaoSlN5Uj6g9GjcgtItD96A9nJRzEmA7Fyq
3KFYzi7czFPprH+EJ25r759EFP7DKW/AyaT8UuJspyyVCbtgPFfzWzrIaucz110V8tpI/6dRemCJ
BpNPQHAcXHS9qk+Qe7G19jYP3ZOfNpqaS541+wYd54QbC86gG74SzoicPON5DYZTpUvs5P/6XmYf
UayUwLPzvSOdx5r53hPJLSV6MEz3XaK0+zxNEKChNS78z1zCk0sVT5ZBXxmwZhdnW8UTGdyIJ4zJ
e9dRMnur2EUT3A1MT32ohy07LTiiyOhPfg2Rvnb+DriPxAb7h1lSdOi8Ok4Vza650KljgYLbzXql
8RgB+gZ1ICdpIi4KVL2t0CoF4loF6qF2F5InxcgZhfJ4tY3LHFo7t57x9UKhM8h/Bfr6pOjb08rJ
AAUPbGtMy0e5qv7k5dHfyoDEEc2c74DsYGs9CE6zcxBPtM1ZuEYVFz2Bme3aPHpW8W+qubAl9Q5O
Lo5NCCQgiyra54pLBb54c/otUMqo7qxIthgg70wxtUlpMNdgyTAZUE7Vk5c9LE5xKLcQzHVzKA/L
d1V09p6B5GQI1FMfBJ+tLr7ygVHtkdIrTi33aagLk49c2z1jz8wMgbiusplJ3Vj1vhPs6gPZaNB9
l3BCzliPFZvOsoZxbt5rywbd8avi3hx9zvfuU/nDchBp/RE0zmk2vOIapuUfYL/05GmdHptZsapL
xlVD33gbpfGzLeuvPO/cPR7YCW8fmsKO1wBPsZ60qvGXr8cHZHMBU/+ruLW1d9TBqt5g2LwpWo/L
2tRxWDwZdUgZnyqeBvHoVWUCX7FZqizTl7F3pgsV9lsdGlFcW1lHdjTmCsU8HfpKn4uyfjUariuq
MjiMHdrzdYdku93THvbxbILWFjNn3Vi9WX2DLbLAZ3PiZ8jpbRWKBIM1/R06KOU1QTMZM4Rh9Tek
gYkLnRaxMyDKDxrjqR58jJOQPiYapiqgLLuR294kk0AfBZC8pEsVH9IMezNM5c6+KA5eWG0Z7lhD
lyUBvwJzeOxdEFpwuvve8BTp+ec8b0VA7jDE6tcfg1kdF/y2gIWp56UYnZ3vlimXMb/km5f40iEq
6Y3xVGHvqDTQo7kohrQobBL0uHu2mS+3NwakIViWKpygCJs3f2cWwg29Rsz0kDtllxAkadqChERA
tb589ILxpbSjn3aj/X3rhA+WN1ztyXhqW5B3hMWU+gwwCxdnmsiwHooqM/deOz82hv3Rld65zdCD
QGYyoFaW94vl7Iq5f3Edt4PniBQZQE5/S7FlCvtQXxvfui1zhXCwDFjwVof0yVrB7ocsKf0biyRi
Q50ixmINrAOj6TftzZb5Yd4cDw9RlD1oqR0LwggWNZ6NfDn1wj4umbcepupZzaECmcn+hOKgCoAu
Jp4nlHu9xzKRvycL6MqfX2FOYaEUQ5O+jkrKFnFxVEQilOn/DMeMz0WFWHCu70sPb0r0PtvAkvEP
DyGipbjJpWNlyWqgAxJjeawDRwKiW7/Gxn6OOnAUtwveUovnZ2XsOR6Y/9QaR4nKMPesV4B6Dh/u
NAp6/dAbeaynlQ15QGpl+jYvVPazHsg6aYHf922aX5B7qYehlzcib0zVOyeOUkVoabVP7eo3cte3
BXnFDh0itGfpwXlFy/OSrZxi3UzsLvxbUqWVuwMd7AAkV3bPFaLRzoPhDD6WJQHOExdta/SJjfnX
sGUso5kY36JZE3tl72tAv2Jd9jrZQOkimL7onp29SseDQuQQ8L7hoZSU02zGTtWwV9cmzm0eZaUn
Dpljv0pTX/BooRGg5JPCOehheSlsS6HYUMD/mY+BveEQ+VqQwYcFLZkUZQS0/p7qFrWT95cGcCOS
iAX3Vc30tGKRzzBq26fnTk360dw/RXZ6TQX+roWfWXuUAGg5M5O227tl1Yym32mO4WB9pXWPT06e
P5SpIIgjAgRx82be2xQJSZdH8mLm8M5iMdh9Qnm1lvbfgK3CS1lXV7uynnKDFTkxYXYN1vF+jKYV
Ksf6UAF0vaP0W9MYr6mktgyyrSpwwqepISYaem8M/ZsyS8ygPHLKisD5oUh1gA4tj50PLOLn/hNS
kX3Rq99wxrwbqQU1a/1brcZJyrnfAof6RLrGlZSxX4OzgrPmwUEtDkcWcutEBOp3rzlDUEfR/3eh
/WjYRCa5PRR1TqxzWz9Hvf6B61d4zssbKRP/rCnvDl0VLpe0zQ6YzXlHj8npxLTxyAL1z3f80JsZ
DfWFp/3IHSt2iNR+i2j4RwEUB3kZ7B3Q6Fib4A3bNFu8Mg2SkEqNlAfVa52CE2ogmYOVzT+xKwEd
cP+NXT5egtGOzqDN4yYYAST3cdG3TBHbwfYW+aPFPagPM5HtM1jXsClWpaa98pQVRxYvIQ6dSFUY
7Em1EadSgmTY09XODRMMsbDjpsi/xjrnuFpQXlS9Qh/S/3Bq4cfDTJUQantKlnsKqT2+seeMrQZs
rVWJkxqfwVwmDLKqJ11pfsMm/G0E9EK91c1nWuuXDvF4okL2ece192EORDUUtMnkLci+OmL9K981
Djbk4ip0m/jAOI0aL8qfUKVN4T6YIejW/H2x5HyHGlGg0WdgmaUtQsZaofif7X6ZX/DQgM3voSaG
Gao3MxVKkj91jsx2RPnZ1nwWO3W1Bp+1nRLrqKbHpVxfdToSW7bI+pwhC6TVHmLdQ65EqplvU4g7
SSjrRI2+++JORQqJ/Ef20fyhKQLitVkftYu6YCmIt5Y9xFWjxEfqbRGObB6cRN4TeCS7beWNyWIi
cMRvqdr1PQhkpNO9Vadh3LbjqU4Nn2l7mR/YAqO96tmu5exrJGTmQA2J00geQr6WSI8qeZ+NxnXG
x2lMN3qKgL84WvPqgIsgA0M+ttR4a91JU/Scde5N901/qHo577yiFNAM6fPQl1/DisKoKSYDqWX9
1sDKHUvsoPEC+fA647MR2TtiTjbknFGFPiVcQPZ70k/DRETuow8UBgxZfpbB2BycUASXtumcs4fY
PXbNTRfgqGnnN0x7NmP+oUll0dokc8SzRkggRnlQOkf7uSwCgIP81WTViYmStM/UmqyQ1PPgH4RM
y+uYQsAs4nfTL96VmEWLLPS+SjDQQ3aEb51PtV+DSD/nnfLPrb1dVyuWPf/qXBoKO3gmNVxx7zYV
GhKj0PuwXCmnnPwSzlX9BXvXPPE0220icE2mmunsSdo3ZBgIk/LotATtyVzXP26Owqo2cRNNCRiw
x23UsA+i4+hQ7uggTSKcWOYDZSVW+R6jYp79yHYPvs07BBZsQ4G9mm0R3pW2YlKdHSImBenXWJx7
PXYH7Ekj/S6CiaEwhf3Q2qdXLVqQ3kEyRFxf+mHoLlmFO06I4nH1nkbPfAlWQD9ay3wbkqro3zzR
no3lD/q+MJ4C4jam0Ptlklq7M01kHAPpb3nfizuIks1Wz3wagnDvW92dofM/4RAZ94NLuw7Zfs1o
ZaGfvXkeGK6qVko1WpmpzHaTKa2jJ9eWtHUC1N3qPvdnQE6jFzHtKSI0t71fCshyNLqb9M/CzQET
5LT5axhGcLVq+cfsCrEzje4P+Mx1kQtUBeRp4iuiWqBGPXlfBdCQdo14Cj1UR0/s//CGcmulqQtX
s0+cDvfsrLGPTjoeXcysJ7s+dKv46IzsbZX4es3sayGhGGz67XSn/Q4/UClSbkP0VvA6TE7zw+rK
x2mMMDxugiJRjdsfYKsa8C/OEh2TufUa4utu+Mj+qU+h8kbHToC7dqqDY61HJsWRBPYIKJ273D3P
1dw9LAazQUUOja7IOVlcbKykzUNo2oLpIq94D8O/s2Tn7TtIiCHVOzeTP6YiQOmzCUYqJklgfX1g
F4Vk1gAOySzvbpEd4DRjWTETe7ALWIxiJIUu7lffo7rTMnjtTf+lk8S34isPHNGL7FZFxd9Mmf1t
lcUlaKOvecG2Kw+QFSxC3uZ0fa8kEtS5EUBWbF5Whgm0aiDnQrNOgGbRnTjqgYkg1C0ExLtKyLP0
kPog5llMfdZwOJDu03V20qfB6TGZ72gHfOxoyu04bxwkabOLvsWdU1SL+UEx48KhwSqldPsX5mrr
mfObQfvCMK8Lf7ILKsd8dQHg46JIf8vI+xjDMsKenmrNyZ19BTQRG+nmOC1dYttxeWayd3NOlq8u
TItANDh2NHa5N5GYSaxVyYMkF50XGd4yxwmmP4Stme5CQqGSNbCQ2CvuXLnN2Y8EW+aqrw8K075k
LZ0IIUZJuydXoiVEd/H93N1lQ4WKyZD1/SypIlWbhadlhhRvzYUi2x7f+3kMd+UsHymdgzvG9TFa
SfUHZdW5NekIKFSm02DUDFbJ8oIypqZexIlE77XgFrqO+eSWnNwT+Idz63xKJpeRmdheEiREn8Zo
3XnDiv58O8dzKUSiCcBuNIityKhMncyy9o6DyC8yfEojXKygJq1LgT8FA7Cfdbs+zuDSybwam999
K2McC1EDyuKlaat/Rm+nyVxocINCPY1WHZ4ktKlmrymNbgNH63Qfjj7BCBBwh2rG031gtjECtnR6
GdsdB6m5BPdBlT7hGfjaVsx00BgFSKOMT9XVOa4FHbU12vf/w9V57UauLNv2iwjQJ/la3quM/Auh
dvQmaZLm6+9grYNzgLuBrdVqK1WRzIgZc47A+5ARCqFsphNYxIk57nS35k2qLs8bsyR5qOKBFGrr
iiU7MXqmd6YXIuHg8MQ+mdHpm8ei+C4r4Z7FBJPWDZjOdlxc3IY4hHS2WOviODpyDaENIUupH9AU
ONP08WznzjVNgt/fwdDnh7pw3pXOaWOO9jX2jXuTaL+7MTJ5flTmqnSa8KjPong1ZmfyI/pKt24O
Y5mtX6FQqdS9Zr1aO5a8syo1pOWwMFjqikGfFGye1fnCRjO8zwEZzbf9k6GDMM5Yj5AbjrkJ2Mkc
N7SidXyQk4Pbz2FNVhzgzOz6L6+BR0umTJ0y+O0LpbRN4vcIPGGydiJy3CoLSNvwCOK1DJnbJQuj
opG3EprUXnt1S587oI0fktNn5TgtvuXhh3eLHe6m95kaIxblFKds090y3Ts3Y8781m2xQuBmzpqb
nqQ332v/5fW4oFzB9uj0AlEA361lXHn9s10YcSk6PbIr+glHVfwyKmq0+QSHHq9t7MBgMytDD7bz
OpiMAmayfYJZyj6zghzjO32n5s4lokyYivQ8RKnoOYOXCWSiiZNjGyYWIWDEuFWtj+amMxXOp1zD
nusOLtPvyVw4to6VuCa8Ihz97LEPeIrdmYSngGJieNpWbfRlT5bHlNT9EjZ9sCeSLx0w2drs8304
luatCn3jZqMGun10i41dbG0rw0+2QuU/TTgN4DyJFw+5R0K5RWtvH41E/VZM+tZSF0tNhmcrM8t3
PPv+JH7G5gqWL16hkfzV+77ntaZwqA0kbcP56yEu9VOsvzXvsU1QVDn5xRGKtfdt84ng/yLEUK/t
2F9MA6JA6QeY7driqEwcP104YCpNGZpD11rqSC5LpLx13dGGGempKTi7nV5uW7A6iTGQ0YkwT+Ch
w2QlXzSz+FTA5DZDbp/n/7saTUi+CfD5X0oj+dNqobmcGMApo35P4wy9LHdRo+jVdDfFBlW8hZqL
+5TBqdN5JNXihD0uGbXcaL3F+VjjXdVJfgcD6lgaCS6++D2YB7lT5ny5Irth/XgJna3WcNCyklBf
TW3yobqRw4YJqdIJjqVFuy6TLFylLLNjaQFNkEfiChNu8C06XGYwyVzOzkWUTuOSWNQL/op3KpRD
oJf6xnXgCvW6aK8Ji5ltz/7xhL7n5OIIkDlpqlb/UxXmn9pimRVSu70yHHlr4p4lelgAfM0JLkZf
X005VUujjv81PdWS4Z5SzHNLVr9Fa0OpRTsWxsoluNLYdkUZ7x5VxYoqXKdsUPYsbVFXEmaCxVRB
MG/sBbKZEvEtdOJ+a9bd3z62T5AXPuc2uIhwZnfDiP3ed3/bxg1r17hscHkTMeAkc7LP3BoLcALx
XXdQZMxavYDwCnf2YA6EMhAP9O5bsGtkFZcYeND5gP9a7MSuffa05fgNgbZ8SSE/9A4GQerAPyD4
90gN5BbM+0iRajgaU70zZPYbNYbw4WyaNWHuLnQPiS12TqWVfGkVgm9UMh7pPfYbitoSS5H21rIP
3Dd/winYJfrJxy1ixfNhzDxDtTU8WIKJSrSLoRbxZXa/UucHy36qjIUmzZbnbhws62iblU66VB0H
di1b61idY8c09lkF2Y9N63VbQFcb0LIH03jPK4PJRPzQ+kLbYH1jZGO5dC1wpAIc6StCzK+knzZy
aBw2X9QQm8Sv3uQd75NiqXNvEHA94N+iXhzVRy3RwbSJtrZU454CM7wMATY9yn0uhp6dTNzMgunG
2ifAVjcAnsPYv4ZO9REmye9oFNfaCQlsjiZnrjNRIuai3pTJSLP0/Jr6H0AC09KQqE8VJk8SoXzj
SCZggkIz/i68+tANtCV+MCwsAjALpwC9riQxDS4WUiV11P8e2vYxCJ2rLjRebXDmGyMpzn3u37TU
Qwjw636fOU25so1sWrd5RwKP2KbAcrWYEujqFNUPdK+P3rV3uvh2AjotJxA1yU4aqBisM++ZHq9K
W5yMYljWnpdswgJb6nfyXTCVYz9YQ3sDpKELxlc/gHBkSJMiRQmc2owMFpNv3WTBRKqqoPHa9HzY
PIY9cu1Bjpa5ifzu1NaGt21y/eHN4RIps2VpsrYxwCnApCdFcKBJI0q5KhjxbuCK/4nrlie/jUzY
ZMyHBqndPCf6HAq2XzORtXetilaVx8CqGcxVFJsPkaeYAWnDJ6S7E4IpRkmMp3BLgGj5qUn9g28p
ZlA/Rc3NTeoU/psvVgOxddp7whQJ7wSvl9F69TrRC7yYti+WjudvYrCksy9WLjDUrBCx/U3Kv4Is
FxHzNw5lzL9raT6Brx5b4QAbsO+ugYKAqwyWSVlht69LvSAOII9wQXHaCbxyzXSXZuPyyKhIvZTj
jVwIj/bygSdlrYt056mpvEf+XYQO6ksHMc1Kf6Fo47Wr8LoXnWJplQY7w6JULusYZYJMfmQ69EH5
1dUne2lMjBIatvcF/hLv2UupmP4oN4w3sCwWXW2RxyZpE9hF8YJKOrPYABmOmkv16KZkeOp8+ChS
HNba+Dm5XO+Z1n4mvTSuVJ0nsx7H31qAEY/N9gFrd4e/QFoc5AoepSbs9cPzQ9ToC2cgOeoNA0Hz
Oef8/NDmlYV6lmcrQBvOAdHX2Igq77fkT+BdlFdzxqK0Tue/1Bl2m6hF/w46uNdFCYpYjdWeTq0h
HssvDPn09gzcVQWJoAhvfguOHxWwwk0viAL4+i0rh+Q4HJzQVXecJO62N+uTXVTl1m7DeM1djp6E
kXbbuiksY0K/J12UvFfR2N+NzH5HXCcC6SAGihzHX6wS72aQzttiOagw7uEmkj05X+z88XbMbMNc
WHvpj+LczB+qCvuQ6M5EUycGZ0O2wbnc3kfNORapwzjEIp1TmL06IHJix+o8Tornp/MvjHji+kHT
1rpqgpM22hnMtai9M0JulzV28vRJ9DA1YR6elr/Y7JuX3iDk1CBq72LXrF+Y9bFzO2eOGZPVLFJw
OV2GMMS2I6VnLUZVb1jGkM5xHbTfeTe0d1CfWAJGD9Mvq25HToWsIc8Wl5ue4dNrSVH4Hz5GVunf
kfTTIa/iaUOTP159+pJr41sbn6Ps1PwHXaoR8PnfNh2L6EwrdHQyleNGZRMFhqvAx+tpqMNkgwWg
DpnIp4h0ZVIdMiGEbGy0zbbT+/zHbC2+cTP+oEj+iFtNbbTQsx7JxMSRRQRLvY/ya2oMqBMKhHs8
dEc8DMVVYE/at7XX74pYWw4U8p0zOcfQ9opzqVrrOqQui+jsaEO+sloLAmWnTnEypLX9eL7nHaY+
m/3iZ6cVdxd7P3BfMV3TctJWUliC4/8jHDzyd8D14THhs7HK+oEEmm7ssS42omHDpEw7cex0jO6e
pj1qH10Vw456Cx21CXuO3mHwzI/ELTnw0A4uWuXHHKX5RiNn9BGM4NbBRlVfYTUenv9aYobuYsgU
B1VP9RhW1hb8EzKS6TXk4cW0SW0btqDXC7YktLd2wmabFnHxorDjzvWDg1Scf/t6O6NJR+8j6ZeB
lxunALnmxOKVvRYr2lej7+96WGbH0C2jVZG1CKTPqx2vz7+nKRAtQ9VMu9uyRovFtjN/JcGiHx1S
ZGMq9wndH66Uk7LbcS76/5q5mjbkjH+aCV9MXVhvPh49hO9AbEoRVtuki3iGzs7bfMQ1k09pD7Fp
5NZv+AUlCmMZlrJdQcVbuvgMj3aTr+vRi09anNoXM4rCdWuRgGo0+6eVk3myxm6guJsK/m4yjWK+
pv1RU6/uxFZvoysFcUOqo//ujPleGLAhz1CzbEv6SD/E8fSHZGr0UjhVc7R7f//87PlhZCEX17mv
bWVkm5uyDPCSF4oiUet9k0e3icsHpJbl6dVHLOxiOVLtbtvBjxY8ZW1YkyoG4gLkJBgE3VPlGxeN
YMBCocSepjKcbmhtm2dSP2SR0DqvApf5XVuenx+wh5VnPXwN2a0D8YdQvzN1RGahpoEyetHnvI7O
wvv3ONT3lWwZQkxVfbbQYhmHc8M8PyU+2B1GfC/7aJIa57/XMkBR0VUPgC2GDFd0XLiI5LRHWjRR
9TBMZmNseyopmXFc68E2iMqJ50nQ76oOF2VrdfkrO4qWuqUbR7zyf/OoQaIOMEcmkeWcqdT+Pp/9
BHvlSpsifUXW7JamIn/N9Ly7wDl557pLa/Vt21m3NWwWA4LJ8BdlFxh7jPmsfk9E/j41EBrCAVfo
VIn0KJzcYCM9CQ/PycN77fCobyn3u9FjnfVsxLSM6o+uTUhSDoab1onjX1iejgEdc8L9DJ2K0GLv
6MeuKLNDZvkfrcbo4PmiIc4F4KA2bCSxF8prp5/eN76oeuTDcOtw06v2x0pR8kVfyS8/opfHcTiw
6rjloGDQlJ0sQ7RH/HtLDgbnkdRcnkE2Mi6QeKaHDPzJ6FkI4Kh76onsej5t0iGnxAjrj6CQ6wxj
0FLDpLQkfEvWO+QezhIFoNkOwo/ALfa+RsooG8L3vm957AJjOfXsb3jB1/WvKbwU1MIdQgS7TYLW
PtFUtMsw8LrjMElKZmXc6n74C49K7ksX16iIKMumVlX7QninyoybNdXexDNlzmzXkf/DAU0316Wr
WhjdoTGIrkn0vUWfKWwDSVKcOr9iiGgOGdG6iZdd2EdPtHJdQQdBzEyi1xY80FpG8SM2GpMouO9s
6f6feQiQEbssRvL3RgDUzXuXdf6DEVjAeNf7BuDhv0sg1SztiZHeM44arHkFA+zSf5Fwpl+i92go
4g0+v3AV2Xr00GNb33f6AMCDmTOINIT5hdU6KMYje4pGHgP3yhAM5AMag1myLPQquCLS74Ks4MFN
mvuLkpN7qOReVXSDjCuTt6nv5ZXkyY4dyJjxSxVujMoaCJFt6sKvX4qw+yfaiFMxY80mBgRCTq2M
j0wty3VbJO2Pbh4HWapDoWy+j9AevzQHAF1CFYt7oLubSaEOghtg4YhRHDyfbeHkvf+mIo5+5q9P
jIZ3eEY5qrj8iHQM7mc8dc0h6YU4R/OHJIGYpVz7iqsn3Tktg8507nyLcgqWEznrUmTiT/5WZdRi
+Cxm1ZaEgSPbS2uG6kgakEPWilH9rX2ZJ+2rKmxYQdFDzk5ueJzDMpWa3BmlumPdd06pi6u2ChLJ
sMb5cto0fGVomOy7rrXwxSAZ/fcWhMXA02umbNVD8qLVE+wCHLhIKQg1fRdvO97HbRlKfRlx8Jyz
2jtqmDn3hfwIjGoXVpr98NC0KZL8ZT7/WWJcO98143M5ueMBwMl3lZb1MS0D51hqxjnrJ0boTWYd
WJFurnQMhId8CC7FxhIDX/n8+yDyJK2RbSk4xbKSZXvPBv+CTMNVk7ht+i6sN72DT/bfd9FkQ7V7
vhSyfks1H3OJk/+2Nehc83VWW+lGy8P+TdxErDU7349qFisIf6fBkdqEqXYVnEDolT052cKjF6Iq
rAGeVN4t9yN3kWGJPCeV8xlGgCGDmagSq9Tbp23/0uXRzsT7+okAPyAoEg2EQWCtzazH7jFBdVGx
WZ59Y1tPLRtw/bbclbX+ljIa3OCbntas/0sxLmgJkQcVLvShKi72QLLCIxTx2bSfkzY9+pmG5+YK
ztyzSA5y75YBl0JyfSHJwMuC6bwBfLRihYK26kiA7GDx6+h1urWx/F9T49i3XMM52VZMUYlTZ/x0
2z8KtB7MVDXCyfMFrjpLPzsJlImUBbA5r1UYONadwNyNM1JdqN3bvQJ+v2ynoAFqGBKeEuZwyGwa
Lx1A6a4ZDUi3bvwNCFncAnvleLS0WtA2D9sHyQ75FCo1IuSu7+yR1mv657nSpLOy4hetETiIRizF
RE6YiOh+dMytvrmHFqR4RmJLl4HuXP7wgoRMUYoC/2BoRK9+jRirNSQFqgxTpNd7Idd1qa9g/JjL
WvnOEY/r6gmONNterZ4BsbZPkqWsNGcDewHXBUT8pa6AzIB4/Ojgs031mGF9wFSiIm02IA7Wh6ow
fJTxBAXckpskkpBT5jOtZVakOXb+6RxUp7AXD3JaGQTt7m3hX/tE786pK89AKIZlFWJu816qdho+
WsYIF+HEzJbnT806w21rMdtJRTh+aEWM8t1qKxvJ5xVz4EsWJi9tI5yLBWeUI8oXyAY5RY2NeSVz
VLxzJgHbo49hY6ERbguhGVsjiOqdblKawnnOVlmnDZfEKDmbgUcWBGfwGQT1j1lpOzkW6n0aTGvn
wekwlJ8ddA0fW++E8jQYs1ao8l1upN63Pqf5sxDM/CFVPrG54UBUzyF7Uvtra0hqHhPcSZmTVYcc
khVjAOv9We14pR1dGffQTPekXp/fhj6Qw/svCxd2n88/iZU4W7KLw3UBOmBiXpuyE5f8tTCSfptC
c/lOr30sjn5UDvfAU3ejzo1j2OO+Ggcr3UrmB+YUWx96ryyU92bAZ9bTI4JPXGuTFZ69xv5+Guwj
J974NmgNGEg0nB4pye637HzxQwHGgyh6mQIMdXLGidBNMHpuCZJ3Xv3z3zNCkiXWlKUDmO3r4IQD
PFuyewsKapdWyLPwIyqTqdmzVFuXCt2cyqlZt77idnS1g93Uv5W0eLTL6OhQwOIvchUx/jT/XQZo
4AYOSgm35qEC+8pc8ZWrq7yMwmW5V0mUZ4Q5wLTK/Gj87MtPRflGKvGDZbD/0oY4PaZAsUg7vLg8
RvJrbIS/ZFolHEg2z9Znw9vhNTuUfdbvotH5KaeOlFDtxQCnnJH479xa5hRyhKLraMMLIW5ZVuyA
fHxhaqPRM/pdWdIP5uELKwTWhLDKVxmGLxOgsv/58xNMxsUT+fTc3Iks6m11nS0Eiq1+G+kl9yHT
8qvgubyjLUMAUJ27m1xJiFTU60xLAMGhXODewfVQltN0xnhqL3w9UB8zLZbhp3tQsHBeypHf5sR4
9+Ygo+a798yKJa7CpLkZ2jxkD2ED4MwWN9317nYz7FKwJF86T5CJncmRFchXf7Q+5Egq26lpcmdU
1WjVYvu8iP0EcQgszAMF+P1ZPnIMmssSTO2O7B4m01xlO8is4zLMi+iEhWLbhdmqs+L6kdcISqos
8UVR+Q0DrqROpsPGDout3VfbKqi+WVyxD2zy67keJ7swn3YzPREPNjzSsjqzu2yanXt0JVRevfcb
pyveYkmhR4mo7Qs7gLW1tpoe1DqkGieLggUXyMXjmDql7ETG3/czOZYiqV+96F18R/tc4km52Iqs
eGZmn1299snALp0Au0pE9iJwq21g2evcyAnYGw/iEFd2jlbzyYl9vI9/WZh1PT/6MFo/XTYO848S
Qp6SzNmMqNkgxCYH8F2n0dJjbB0ZG781bm23/Aw7+aeomxGnafUhMobLQab3uzGL97qkS2nGYz6G
aL3iQZeFzY9arifEwGHDMi02+4QiKhi7JasCCQPVih0VBsNQDAhyl40dWh9IqbU71kh27LQwvLE5
seSiXM7KP+zrB+EF88oCqS/ElHXGzPeiotgDaMaZl7CYDTNAdG7KkKPINRmjmBehM4OvpPvp4Jpc
OPO8liwE75hgKOFPcJ69O4Z9HBQdSU9WiTnrVrD1VKW/jaENttKuJXtRQG861S7DyKip6k+NCLnR
a+sAv4eUkVqxUIDlOcp9bf2CR73Pfqjs6FTWVQ0uCLMq/pXNxsC+poAKcgaQFbO5jdeeDb0yzl4l
uY5wqrZpy5nRXWRSfFWwKJfJFHsYBrW/WfE3ovHAzOV+C6hWK1VQfg6kHE1Zd6eccwxiwwPGNxgQ
lS0CDaIvA6FsaWjinjv+Z4J6thwbnlSBlV0SNtn1aaStTCv88F3sMQS9IZE17nUIk4sQ2JVR6twd
5vVrDmgWekTeLvHLLwGz8/jGX8cwLt5ZlNunpHgNuaBkkr2F1bAXlVRbV1Gax01z60NLZ3ONW1P7
XK22bfG9wCwgVXQfI3/vkQlggUzH7VjWr5EB4o4JGRb938Dc+5XB8k2iGcWmMH38Ur79l53wQMJc
ptb1vwKDIpoW39QYuWe7xAyQZPmfOjN/yRAXeJsm3r525O9ycFj7bd8ykAFSUcWoBTtHIAZiYSf+
kf5qXLwpXhc/GtXQoA0wtmvbeR1k5P2xmgvzAYYE/KPL+JDOuxJM7OMZOGXARA4TjXD20nkdbjZq
tknvv+cbYDO8OWnN6CTdhbW8lJ77R8GNSiyNOQ0xC0syOemXdZl+lZ0fHPP4VFRyWHqa5ePREgsG
7jqjOT0UJhMyyycLztTPmkdkvLeAPuyoevdanykKvZiniCqnLUwUrH1bv4wNTMMaYz62CIFmecsS
Jmfs9NhMcJPXxrRjwfe0weET8iURc7HwjvdKH5d6A2sDz+NnMJKs5PG9FoiuukmnmJVfVkrvN8lD
5JbMw9iTt9LH7JHPeAXKKfCzVRW94PDrzD5bTYrXt2dXC8b8hA78KwEqeEoN/DMqty5e5M5xcmbS
hVY1m1JW307pdRuupD9yhDNQkcINyn0ehP0dSBEd2gxRENXCa4tvGP2Ec4z8zwRDcsddtHPT5jvU
vGDB2OrHaHhUtbE4oZ5uK/B62J5wChDp2Y8Ai6CKkCsKSYEEbWhtbDOu13Kqq+uUYk3EO3/ouZuX
ml/LYygZL/Ya5RTfS7wf3f6jbXiDKtJrZZU5O2e84Ibc4eD+Mmx94BFeEc70VmL0bvXcekhXvNRD
QYcEMeAyyel3B0sZzkWzjhslaT/wdnYXSCv2TaMkhBPISQ4slBABKwHYYMWTwzLqt7hSt8kFjVFj
TddwSq+myoO1h4HR7BTPQoRoZh1Vv3Jj560xtHLlqiA+keEOjzgWrj6MTw6RZD2Z1Cc+c9g1BzyL
T4Xc5/Gamse3Ce60EFNXlYx3Y5BZKxRoZr5GS/gnZRdG3f7VaJb1IDt2rCXeWwEpba50d/Bp3CN8
BOG/TooPZkys3GHus8ZCTSEDX7OqEDOMbI5nJruMrXYS7d+xWwokxTpd7ZfLNgQouRhB4rICkcYN
PrSbLq8OZtUzLhmyT26Sz8bOsRGyto/RlQUCRWjENVh6t5on/O2I5d/MHCyyXI4n0jS4kEvCCZh2
rr6F5z0D8Yjvg9VFfYFzz3ipTLGHZLL3usA91jZVZKT5277PXhxvjtY0ezApi0HWj8QiK+K0uJMq
f6J9I+hXN8ELQu49S5JmTQqLYF45fQo4xCoEtanR/WfWrcOOD/vbb1ad7x/LJncYG11gWLqMJ6O9
oN/kths9Vh2V3jaUJo4KmDLT6C0HUw3w8sbV6IFaD+RIOB3/WqlhYxZMm1ne2ga+uAS1RzoEZnjp
d4wXWvcN95Z9zbOj2Yq1Hk4MH+eb2iYJUTIjPvlIPyJoHnk6/RhJop81M5F3kZ/tpNhVsXZOR2yt
tpcTr4D6fWw8eI8Fmq1M/lUdp7Cbj+h8ubxZPAFICmrMdMHtbcJEyzcm57bB8GRlmmBmdcZgSwad
pza1YMXhKUPMNuRChhQsIsEBapmYzqPJu/i9uyBgDPsI42xI5iUlhQfLI+lOuD9eNCdkuDkrvc+f
kuJsPMPclXmeWkpbGejIz0GSQYcw9aMLF2rJJikSJUOKiOmi/hxaI8fWm7sbs2w8rktdO7ts0mYc
ao3ftePgBdDZfQuTINyTFbVXCYbD+/NH4Mj/50dp23g7u/K/O8dM7gKJagHVqKFKiNN7LirWTwV6
sTRgw1Gme8UN/pdcDZyqb2A7vQWTIPll6MkvgqXhbxluG4U1xjGnL0LyrJOSTYqXkTssUR3Ag0Q1
d691XA5CKX4b5hego+Gvb2B2pVWM30ow2cx7XevIVMU7NVz9vOn6tp/89h5HPM7SIqgOiJPTIUpt
SXq/Wtpu5/zWTApICwn0LgX3Nq3X88PUyFenMdZMu6YjYGHt3ZMjva2sbpmwtUuV2TvOw39G41X3
gDbwOPWts4qwKf9IoNJepu37JwHF17VgXznqM2+AbPWl0RyiAoNIVCfNHcIa+5Uq0z/0jRaeO41O
kLBm/YKeu37KAh58wr3zbmKnxLAZZu9dZHnEmu3mEjMbXPogVZd2z8CuD8vx20/AdwXm9dk70sxy
iyqve1XE+ldiMNTWDEr16mH1XmgD5xCkmUeh5c7a1Mp5g1uCuT/3rw2+yx0tZ7sylWu+Afwv//uU
0t2UgmWJfWCd41ILgON3eKewN/arsvLslSdYjqbHGQxNrWtClnSrbsVkCroJ00kVFOoxGfM+UTN5
GRPgeFYA4SCBqmO6x7BuMdIFuo/eo/nn54+eH2JUZyyStVo+P9V1N9wnJshPp6lv9jAnzfBMs/zL
rm//93M4Q4At0N9uYeg7BCIhuyi9HC5DoWOyFppN/URs9P9+oZ1/NTDQLBy9DTb/3y88/2zaP9zW
GM7PT+TA9AluBRaNJDr93wdEZu0IJPB/f1ZWOba4BO97ljbBJR+j4BJC4j6bOIVDc5jOdovIOFrh
rvNYhQGSprww2z620PPWBnPRs8SLwIw4GXZscov3jq5HcKIMtYw6Ef3SxnCvuU3DzUz2lOU4Nknx
GrAENuwvgnf/Yif5tKc8AQ7b+/fgEzWCI8ZInHfk/Wbf4lZcPT+t+gS/EYfOpsPpNktF08xlm6oU
PE/JSFJ6vntwWJ6JexAeVVWau7rszVNSByWzq9ogROnolBjNr3EmXbAo5b3m6/7KdBZ5oUUxen15
Xt1i/LFNTW7NJ1yEqQv4wbrtV8C7mhcVpdamqyzH3k1ddczmVQamg+feZRp9rE2H+Hvlzk70xkov
eg2Jki/cCTv/8Jwa8E9ay+eNwK4OQJD8leHMMB9ydtmy05Z8bxSQ7eRs46mcLwc7MU7O2PuM6YPg
4StcDTziimXjo4CroahveZCzZAXPgiNHNj4+b3AZI4QXhhf9IrJpK7f9djcpKy1e2Nb02TnWuI/8
ONlkXpqvmQVU+7jdDx3DsedL+79SHMNO/M3oX2RFrPe2O/loImvRIj8QUMtfQ2PYRK5uXcuOUnUs
JSDctrAvzWRxdIQe7a8kYaPplrvSXTwqT6hK0cDGG6qWCjnxxLYRqrslKUZVMyHOJqcW55BTZcFO
G+Pl86t+frBnFXdIiOY5fnhysMzTIZmHJ3opJKGxYHSSHBpF1xpMSMcpXg4eXvWu80MyKopR+PPD
HOWSsZveZN2IrdHE3aqucReKyQkY8lruvTZYXRKmJTXq0G+eSoae2/zV8zomXHvjCbTpxhNvrtrj
yxX3om+7M3o6XL+hEV9Tjnk/z3N1KWm8Tv9JXeUoyYTLcQ/olqSOAalUkRmo59GyNUwHr60I5nhZ
t9JF4Tx8zLgklzmg2DS8YSTpPtwY+S4MwTYACpWnMoBaOdS6cRgkg2OoLsC8LIYfveV9Y2ofrTJ6
MJ30lxWHxfq5UqSPKXV49Z9zgK7hVi5eAIIibcNAfhM6/12xfpXHJoXuJyuiHzUL5E6WyZvVtXF7
Nwr7pw+M6VgG5ndRKcyvTjzzqoxrTzLUYRZbbJwhMLbNNL2griXU4R4sUhDBCZgrKJzOT8ZGH9Ia
fPCwo2ukKQ/94P/VE3c0VmmR7rrMlBaAEG3juUxRuRj4TkRrLFn9YiwR9gww5iIj1CTyheeVxPuM
YlznIEgeuNuia5ZPm5p10fhtiUkGdqNfRihpC2eegbqsiFzgHFgBIBm/9ThdTxUpQax0RzfOvYOF
SQvoDpWZweKTlTlLYk5d7cZp3uOlo/ngqaPcAUk57KqJhGXfYstZk0xW5Dnd2qK4tSzod6aNC+QE
nlU+grRTzAmqbwXmZ2+ZmbWDVbyaygAvELoPIxRSFJ2Z4YNhFwWzQtZmGd5fiCjvY8VWXNuzbtwk
B6Bf4KcS/6+owFG4VNMXK3a3Ey/l1ip8oKH6VBKPYoeFlAxaXQFPNliV+vASS+yWsEojwqylHK+S
ZAarBtq739qE+XhnMWGdC+n9cqdfYeMxLnfCJeTWvVU3xMhK9+4HEoNnDu0/3bg91Xajs9FqyNtX
Kpdm49e4yznH0BihNeJ97bbscmc5Q3iOyVClvvjTjE6J2at2tmlOEd8VfgIWA9M8gexK09c++Mw9
Y7NH1bbVVhpaSA9fc711ApxkB4+Coneq2ofR6xBOUwJGOTZc0/pniPLHtbQfm6znpgBmIYYW77mZ
y6s+asWm7/0vS9HGwPDe9Q3rDj2WwVWmTHZNy1i8mMMHXee9BcrwFpphgiVPixVP3LaivxwAZnAS
8BuHyf7MWBcENsD9SXTx4yDnkhXwDtWEKQX64VkzeCHaeDqKpJmHIzrbHHRm6BOpn5QBhvf/2DuP
5diRLct+EV7DoTENLRnUagK75CXhEA7h0Pj6WshXVWbPetTznqSlWWbeJCMA9yP2XjtlcKMjOllZ
yr/5YM07OeAeSVuJj3umgmznW2E3OzHzi2CTMqkj0KHmQDu6Fg+MY1vnQFU4c7HskRuG9EDWZCcz
YZMqhnBW9AXWGmftgxolR9plv426XSMG7TxEVbln7iOWkvtUw95L+0OUSXrGIji3lYOAvZydlTnB
bjZsACwFJmSEYMpzYYZ69yJop43sFgNFOaGGh1cMGrDew5L/boLkE5USBYBNP8IV1ofZC4bka0CY
3Bo5oV/ssUJMKgaiRh5m39h/WFC9p+Bbu9R5MSLu9FQQGlFhILJGfr2mR3nDbq/hwxJv0tGwX+hv
sjmQL06wG7qf0YbSFSQW3AAIhRumbwxDylVitiPw70WfappP5CCmnTFt2riKVlWJJauozc86XCJU
qhevSwDx4K/l1OfaG5m6JiGhxy2sPDrT6Zda/62YxmA1dKa1Ndv4Bmqx8bZW0znQZx6n7k5WHdTG
KN4hRUQH4Bafs29hRKzDO45Qdp4L4lckxJzWoO+mCesEjxNfDrN7AdWV1vvYhgiAYAGhCey/U6WX
sGf/xcSOg0E+mTnCguAShR+1aX2afXRseCNRUpdql5nXuEU4xAza2SFhOAgvei5ib+/6Sm0MFsfb
DCl4YEbuYagqQLQWf5xt7BhifQPK++No7kKvvZud4FuZuDpwl+JWpL/3T1FOKBb6BwIWpmgb4SQt
a4aG7jIaINZzNcVIE80G+81cXHA2ID3QJosjT59cqyiuog6LfZlZ/qqzU/xrso8O5dsopp9/2Ez/
P8hTLJGo/+d/0jL/ryDPu5/qT/4fMZ7Lv//vGM8g+BeZm7bluh4GINux+Sf/jvEMzH+Zrmf5jsMk
zLPc/w3xtM1/OdxRFM2e7aFECMghb/4d4ml5/7LhURGPZXkkLDNi/n/J8LRhZv1nGp5jmTC0hDCR
wphOCC/0P+O2GgflLdAXfdDgMdejXe0LLDcYy/BQBMGmGpL2woRrVaWiP8SeupWReHQ14wF3Hr4y
0fAisxVYErx3DQjuPRlT6BzRRWC+7i5xyhBqYWchWnB3uFx+2dmrk2kfc8RJuxETCRM1xq5YonDW
UZQWwyHpQfFLV4LmnYPvTrrGRmTcJs6UBPDAg0Plc37X/TtNOegW6X/ryeI29MSti/Wy0wB7NAzU
XaI1URPjAMyRnBRW8SizdNwNSXdLU/kjR/GmHO1uKCERwR1t8XcuMsRuXnH12STOeWPjvDe7dTI0
aF9Z1YS3IgporRM4QlbKdqY2xrWji88eoG/S6bU1hNOrKNmkNoC40vpNGOMvZBW1raR9bxv+vpJM
isnd6DDIu3+lRT2EDHkTgp3bhvyz1SjZpHEnqr2ayesUjC0cpLBEYEYfDLwOfI+C6ZETb4uJkrEJ
44dUhPVOw6Q1OflXbVfU51YkX37VAXQlPdPk3KDGiK6MdJCNdN29UQ6CfuFEbnxP7KEMtrRUN3Oq
mHOpkoQ4hHesAlJk9HqD6FuciCGIVm3TvBLXtY41gys4bRCjKaQ8lOqmBCxY9z6ixDKaV6Va/red
99jM3njyOkU7FcLGJ5I+R6g/H6esAuFzreZmcWXk7ykukX7EgpK17qdjuY+JxwbPmbvFicqSyZf6
yh/V4ZlCQ9VYFvpgH3+zCWBUzflzwsRd9A6pqKIHNppfm4xpaBrCGIibedcKaOE5sE+FdIjxLAbt
YDY+XWSy6YS2DttMccmb5AXeI6aROjY3Ao5woX3j5NfEvcb1qRnyu4UYf9W6Z2Yq1zPk2HAc7XVv
aWR42L5vdTc++FNOyTEl5dbDg7qqlo1WkfnvvbBpa9rk3kOBlpuwyTvbviRpE2+aBmNVoVkNGMQE
KKJ46sizVk78WyZKn4hJYjGHt3YX5Ue4GAbpZ2SzhFwi8AFuNGA/MhibU2eEFybN27hy9LOvG7bP
4YgqgKSJgvzyESx1H+GfyZjn9Y4LYnxuLqHgTujAH+s64/PpAJ8MYUuXS4N9EAWSouTbSqL2LhTO
fphEgbozuPc6QqIyd/xKPOTMeFe5uwHIKkT/1VKJh4vIp1bOuBs1cSP8eAtem5bLvzdSLLpVL3/r
1DjBBu436D0Z3OGxWDkerbET4x2E8bNiRG+dSXK8gbaZNj5Ta/TSzL5BT4c7q62OQ5CJS4BABDjl
uAuNeTigniM/nXyYUYrm4Ac7I8G86iXsxszWMVbpMOHbHYCmNABkdoHD9G8KKeqg0p8tS8GtoZ93
mJVsNCvjAN4u/TCyq9H/CYu+2bUpUWV9n7JJljDuNUGCdoOPUeUMTTQvd8W2CU9Rcqt8ATueoe2h
UYxxBTtJ3/tCrwcRD1zGqhmqV6M9jLjTV3geOHE6C8Kubq6kg5o/zIrOemjfBQ/nMW0hkTCyjQhz
O9YCqkfP+5HyHWbF4mJcuiUD/RHET7UbrJhfT4OvI8zuSmPhM/6NdkOp3tFJyx0giCcXVzk0ubZn
nVEubv4daCH8yUZ2EalxX7SUhWH+ipp8fhjGYSum/rlnJYB0MHqdFAx88l9QKB6SEQNKTnV9ZjKL
U3s+2YOxhH8E8c0c9avHHmaKRkwQHsAZPv6Lvx2qoAfNDgqvVeRbEbCejS7ccgRSG6cPt8R4so5k
T0Ar4MJgS4nykhJOlFoyfsvXWuE+RiVnbUTbdrsh7swXZmufPH2+TbwjuBbzoYlJ7SPUBOD7ED9H
0P/cRdsdQYUELZBifpwGrg1OSoJhqtcq8Td+42Zb4dJaF0SJkqZ0gD5L5PPgABNdrh3DGXoIJ2lI
mF96G7OMnmj406FdJHe5I5ksi7d1S+BFEF0TT7CLleQMJi6LeOzM6yFZEH5g8IiunNa9Qb4FzJ9p
SF9yFa78NsDKw123ZOKBNcDWEi4uSVEFyVpO+HEjjPnMjLq91wGlamuHhkoZx2jWZBH5RABIdJFT
2jqHoqUwnDP40SWrwh5IU9V39yJujX2Aejm0w6PjB2vPBnfBT/YAlWQPaJ7LwEHzrm4DgLPnsTjD
z+/uAG5dumDvZXEG7ftkyc59CJe8gMaD7xIXYEeWv9tZsXoqC8zSOg/TTcUyDY9EOjifwOlOSZh9
RpKRQqCMg1fDV51af9enRnBJjv3ECoV3CcoGsWt0j0bG4evsTQibVz1xHtjJ3ByQTSGIbvwNUnMs
Ro11c9KFoiEh50zWbGIrJrwRz8HIGQer6I7Z6po3ZjoaTnnW4p+VJxfQIGnzRSe2MEnI0A49dzMg
lxQLJq8twd4ToU7cQ+9WoOZShJ0sittMMV91IDQMHo4f2ez9CMV4J2HihXXubOfYRnuCghvMC2we
HGB7N6S5mTmiCxNAtoki5Go1DqL1IXtEdPUyxAnwA7NO9xUWCcaXJbigrqb3Ch8RM3mnmgCjTR/F
nyYHdBI1P/FSvOcaXF5ruu4BvUmIz3KPSJlYk065uymhDdUh+otUIeZl27lz09zfzx7Q/tad5PJ8
rv3W+Fs1w9WBMMQqTr8mpi0vACrsXD4W7kk7iENc5hXmOK4lE401q6KeiS4PpjAHXAaPfZlUu3Hh
IWkX7u0cVN/CsVCzznNwCTzSezNAEOs+6wa+IGttt/XPlBThfqo+6360T0uwD8w9ZtuxHV5FjGpr
aMvjWIzOmsSGgxn0sDcnUnhilv9jL7pthb9t7bBcEgwQN/q1E0NzZC75kMeKo9bqi90YAVUYmXfW
IUO5WLE88kNg3dI4WHUSsV1xC/IF0R84EDoB/ofbmqy+2PJ3akaX5FgVKol+E49hgEzTMgCF4YYP
AOyxF+R8zb8sKyUpoD2CIDByNpCWmFowNA5TJ0Ep1GM0Qima7EmHYcDNuexyyuYmB28Btp2D7FCN
rJzd2qbsqmDQNi2XwcRIUdVVs/GKEpKo8YKcW2yGWvBwLDHtcGzTJNbHRkLr6aLljrU6VtaSLzgx
s3UQhTgAQEUfiyIokRCxDvWsFpeYMLeO1TyKXt+S0av/CNCqNfbgFps2KPSE3bKMzpxE/TqOKSnR
qOpsONE3oIPQw061yU+b0F4qj6K8DU0euYz4w5jJvszy6MzMpjoGBJ3H4zGn1NrRyyerJvF+2pSh
1+CRCkm+sFadWgGnIBfHUtfS83jOvSb6IvIUhIjLsGwKNZ4eh2B64lIF27eNICtaWsjt4fKwJg8+
QLeLA7vpmNY6/Cp4E461zlj1W6nHntDz0ZNZr+aAlywnBBETQIStuonFOVp+wkKqC7oqeZN1xPwj
DHcYbc0LEdWcG0UCwLqkrIQqo3I2/TrOyfXIeA47EfDaTpgljbLUHAbwyKLevUOnmW17TqG9SuyH
1DIdHFMh8ohsOnAz5cINtiGE6fVshymIovzCjRptCJDJVhawGhDsJorXEpC1LL6F5FZQzW9fVp/S
gSXIdacgwh1Fqz5y2LuMR3Fw6qjdMhY5WORBAoNgKJqppIBtGaobzDL1lMKwqPIPv6d85ddDSZEi
VhfzR5RlmjQK8Sdx8nKXIh5BXT6fM5nCcz1Mpj0c8hmwmQrJGUuxp8lcnlG8AC9JNGayNttno/Uz
OMGxlBj77Q4wYdYH32kiiLVzOjDZ4zIKcqyL7/yhfHJ3ackGR2NrQZNeRBsgQ2z3YZmOLfETxq03
XJDLxXROjCWit4/hf/B17VUeZagp+OUKe/xtpXogvRLnojI+k2w8zHH+qOf8t5wLAeYFGXGIPbSS
1UOr8/txQumH4RmaA0VCNftr6EAT1aN/jxztKx40hKD66kfheGSsP61zz3+27H6+MVt87HP5Hsx2
/uYo4xVJfvhMuEbOhqfyIpy/cAQPqZYn8gUlIdioFxIk5jgf6x2pY9AX/UPoD9tZOU8+TI4lEZiQ
1Rx91Mjwf90ELN06/2AFaLcG5Xn70nGydWnMFVibHN0XRghpDkuAkv4JbcR1aZ2dkJ6voS3Pezem
tWB5U3XgmJyiaXnKwmNUu6QmRg7+wsI89axgY1tddHFfhlyViW95OBsyUpbNUsGmPfWEnx77pH6d
QwbXgV/+VtUAEmss6SvdaV9EqOviyU/3yZSjVQd6xSwjPLbeiT0DBqGGohn/OL1Nqac7t6UkT0KT
2Klph+gOCbZrXYkHobjC5rVBnlfej2OxJ7CtxH4FJzvNGd03sAbZvP51YiN6QIHASK6bipNllfgY
epIuuKvPGu/8qrUatZuqaZ/XHYiShHEaTLg3VDN9hhnCo21epw3PkiWC7K1MSL6KTUwsnNYmtnEk
F1XrAMhrQLPmlvULSszeGR2acJvKrEsD7qoQcWIWZskZmuvOU05ySIoUHEnc4FsONS3ijFvVAZ1/
kKPksij6cW0g8poLUFPgo0kuqorPzLeR+YB820wpGKm2msBGBy/Q34+IwjhMSlj+jTdQe0vTIdaI
KJPXGrvdXw7ZnBHCZz7SK/rDXwNq4SZruBq8fyZ5uquxpmVLNZmc62GaiZ/N0dcSPLXnvku5fc07
c7LnbZxDEvFdTF3oSecSTZubmmyJ2PxM1WA/EGHfngO54EaCbeYM7VYs8/wYlxb2d7VfbvliqPxL
AJ/4Ys/VObVKdF8TQN54JlsqdtjPEzV74O78A4GHtgTe0VAZOziX607DxzKrz9nzCjpL55iB5nyF
UhojfEzjaAZGDTwIft4GhM4burKX3q7DlTkbH9Bj3PjizWjNyxfCE4K1r/RHBNHE9YY/yq3bS9ri
MGs88AV5s+B0yNHwZ1A9UQMKG9WN53E4RWzNdm4mXyhq2HMM6AH+oXisiCmbT/2wzJBFGKyjCegR
tjByKwri30Q/n8bGyNdOTNpCbr9kAvwG6o03nQz9sSCMQBKFCpjqqBUzWA5pbF9t3FDx6nXtVdHN
ahFw+3VzCgJi03VyDFRCbK1D4MW4UHmJVzzOJU7FFNpsOUOdnDJBGx3k6Z0M0Tk5UNf9Wck1esK1
6YfzFc7JT2Onrwgwgk2Ss0ohiIamGaGQiUr3CR0ED3esCUZNDHuvouEzcfx1PTEqqejkjhGmTRWh
yw4867EOy6+G8yZaqgvV1IdY5O/BSCRGMIp8UyWUxZajO2A32XDW6BF5y8sNQ/A323X7DXt+YhQ9
HK5GBgXDWQyXEE0uaTThHbPdfaID44iXhg1C14+chfMLPh5ix1FeeX3jPbQd82gqCJhThEqiR3Lz
FWQSxnjBtK3qANvM9D01Y/5AytlDmDPZdhb8YoSxvYz3xQAaQYL+K6LxPnTDs5fh7teRtSXdmNfx
4Ip+Otkd0USDhp+VARlS8OAZTHjHqASkHHizsUtm/1xUpEhlA8oxmkZCndS66VK9Th0WM8qPMU8t
8qW0D15yuGBDZMyHEbjn1sjhO8LdOOF1c4+dGoOta1qbHkIYamvcyF53GrziHklrQJOftVeCOiwS
mVBVN3d+r25uOPPhOhjNA1TdrIzC/hQ2iJiacSJPIiEuEgEMkr3sEBYyvPQ9ga01+yRGqg84+TBU
OoZ3+Jn6gfTsiAzXAasRFSWa1jRs144B+4AqBVBEViGbLJ8dPy9glav8rpbZdmyGc+V5w10ydLza
uK831DcxxjRcpzejJsQtcsfzUA01zuNb5QIwiNV3YbTWfdeMx4yl8WmQDseWekAmDZpj8P4o0HDn
yhxBDYbg9XtcQ4ArRXye1YPlsiqF77iB65fT3Vg07OlSObgj4adFGe4xgkjgQNnOTll4FRJykZ9L
oHQ+pvkxubaFv/Es8ThUsw3osHs1+tK5lKP/lPZ+BZyLvVuLfWnr1vGwXvx2TsqYksvUy8WlN7g2
qsauD+NXa2uSbE0Q07ruqgcza7ZOJD/QmvoHwRZSe2LACK34TxV+hpC2EN3vfd9FB5Gp+BjJIjzt
4yFXtwC5o5+l8slNqGcg01WNVx773HxzmjHdp84tqEiC40GDhAJ8IkY5nXL1INYHy8k6dF1Zf+rB
N+7z2T/gkIHyiRruVIf+uAKXY6yaahxWdq/JgahQarb0pidOkvu4YndH301EnLY8mgCzOvcNDazE
yYPBa93Z2timKKdxw7HC0mYwHUbpsxsW4Qa+dbJlSrfRuWKoVYunPKvGG19rjVcXG8Y8qqseKOIQ
X6Kfn+lPO/ljzwLfs+2925PjYqYM77so5MZ7qnAhfIeBfa3xHx+bIKdGxZVHdt9BAb5g8zeDbB3i
z6gmfQioCzU0OJ2E5B+WlmwNdZQ2G8OyqxVEIG/vp/Zj5jf73JnHS4aw1TEJu0BMtPPn5NHU1Bvp
0DSrvKl/7ax7jjpNDYU+hk2CYpTNkahI2IyrcAfZHaHqZPZruxGbvsK2hCCk+uI3H/ZBBZjEh3E8
FbgfKg93XeKOb4zaVzyBjK0L3iaRkNuUO84hIit9Cx1swGY0v0cQY6xkaje0hsXa7xnSqS6uDtL6
oxmLHVTHYoN54qvkNDuhdqjugUFtaqNGAMa4CFbZfaggRNcNPj/UrOHKETHi1mKYt5VRtVuCl9AK
2zH5pXIuUeaSPjqYLB3jtrz0uXHB6SHoE9z04IN736S1esiwgTHEapJdYhvDrTVFfy4T69ZN3XNl
e3pfYKdi00HP6TUHj+RDy0mORVdc8KaAnOtGa9/idI1nB1pLpL6Q9tfnOV62NZELsGkK93Exj7ve
5vYqkQqcQy3vlG5sutz8ZbSG7A64zIqN8T3xn9mJtcO7hbSfW8U45MhrLg7CkwQv0n5o2vBSh79Y
otmq42pmgEHA6dj1ZOJ54vLPX9Acloe6EC9qXGz//ezuXBC7TDXrats4hjxaiKiCgkAhO8A7L91j
rKarW5eUeX4WkhBFEJZs61OrkvvKNz9TgjNM/S7D2TsM4LQYMBPOB9B2UxrWoY1GgFCOSfRf6JwS
t+8ZiXcGhBK/28RU0mjcsluq8mrNdorMN4vEO1ZeOXkwiyj+UmXhrzCL01xAVYV+8AfNbYXAsPkL
O6LbjdBnjx2ln2fK9s4GNNwnzJIxgH72gSRJBuMmfRFJhnGn0l2rSIUzicaBI9PUp9CcbVIjkE/P
8SGHoAzr0X8atXyowvQUdkF/hJ1qPmk/ei+xeWwDnBccU+WhMOSdL7tvqzcfG1uqW8eWzAzFF98r
wQFjc7RdrA5G3X64doo2K/IDqsE//4xuSS9F9VPV9cEXgteVvB+MRO18NJOi2Alv+CXY/pVFpHmo
mGrBiC5ZXI0+tdRXKpnDu3H0A4/xwjpQT3Z9AgSxrvABbwJGpota6DG1+a54CGFIWqGFRUp2KEZi
3DfDQlGH1lQnQLdaTaiYHP3HqGGEqXxwoYNhbwypC0KujMVOdxnKOD3guGmplRDKYPPP5ZUhJ9Ih
D4VRhq3eiNInZDTmiiBSJIpYdc+YbBl5RM3OwFoZGEgFDFFRQuSuukrulAkp5r5TmhSrSLJ9p6zf
5j3rpT6u7pK9ltM9CsyrNtrokA4rEYwtXQGApPKIjqqHUmMhugS3toNZmphkeXlojvHBoxNM0LDw
uRysxTqkRAEhHYfobp6RUCzbMTYBZdvTl8fxVeQeCKia0c9sOqxfZvcPYfU95D5c9PepXb56XAJ3
lo/+M5KSIgxrJqRxXlBX/JYMxEYvhxxWm7hp7fGuwC+3UinW5aignZ0AXunYuGVz/2gsipTRuoQO
ObumtaRRTszrcFMidnF70gLUZ+foLbRXRYICbFNCysBCV/5z1gzk/AXi0OuZSMEseJMtyO6sDYBn
Zt0X0C9CNDDf7DJ3MA9oYO110Fh/c66zlampVhasZTjHRDg2M2sN4oO39WQ+jmQ10yItXRgBInVF
NDaSmgAJ1pYhGB1nqB/7FAUo6iWwhhMrobKbqTKaJLm1XvOqXL01uuHJ5ynfVE7MVAaSXNi2B/QW
j1EP8ZR3rJ6mX+nip/DC1EUqQhHM0GM1ml10N+Sg7UbrMeXjg8NX75DC9ci7Rvx/9b3QZDXx3Izi
t9lI0RJtSIPUWGjneWJaSXAtaq05xceJSNWHFYq50pubX8A4VER+ghSrAfknAXSZ1FCl0nf1xFMq
AwROc1ReypAMDAzwj1iRzAGTslUcya4pGavN576WD3Pa/zqG8XfIi2ezEYzb8+rBSOtn4hhJvoY8
DT7Gvar8RVcon1zt/9aDvJhqnA94kmdIgLtm5CY3gytywHOadR8GDc6K8eub7i0iLYiZV0dzZqmW
WTk6fKx2oeo/xeCfbWiP67AmkLBojrpadmBA7SBqLHPUDihc/Q3XmiZQeRHJatOG+VCIbfDS5UKv
kFxeHGsTNmgzIUhcmJ0SbxXcUXpf/YRFOWSVk4IO32SxsSOLcdf42THOxXfdMyAYo8ha9XF7ackp
DUL1asMIwf1OvmmXvOmi5SXlD5QDP08YQHtkuWgNsll1Y3juZ/Ud5PUq7mt3W6WsWliL7lL0z3aR
fxJk/dfgaYX6feSetZjL2sztYTuuwgXxWoVhvfKN5kv0APd5eHwkY1m+zWONWbCdD27GcIIRJgMK
D7+7NMDC5G+tAr9aEflq47pxNPAa6lRcXiT/OjG2ka59U8WENEIaj/TOaBwmeCNLHpTCabLEiBuQ
kf5O4g64XMd0kewjC+Ue/F9yDbP0PjHmxyabL/HoPtpWVGxKX96Ydz4z+Nk5Ydrto2hjZ8E92rwH
LfIYNp/1mgf+XW/bz3w51CPl9Nfmsd2afnyRQ3tTaX40QgXIVnvb+bddIM0AHffU+Rs7sN+IjEMI
4NQPkGeoEMXai0yD28ACfW3xhEP4e7aHvyauOZEgDga51sZvOAXAFDcYLpwYtHZLIu5czVcvi9DQ
mhRPWUT/zrAmzlNC5nhSYH31e7/wu7WprZxVt/dhSvvgh4nczwNI2dTNKd0ncqjL6qVsij/VIK+p
tuOtbwX9wY5YqVZwJP6oMP/u7Kh8CKKHWVrqYk7Nf/9FYWlZpYAz0Bo7RygwX8HgfIhIObsqzxjW
W8QPmAOKiCY79S7Vp7kYnEsSBPZRFzsnbrr6YloU4yzBLn3aepfWraq10ZoALzNYH83ESUs01YkI
wUUECMCzzaa1LrK3RNVHsDyPwUCiW9gG6dYPaF4IOOh3gfCIKixxzbetZhWVhu/MWdWqwi4m0gzS
FaRMaUK9cKf2jS077jY57RlzWAzujRrJgLHDJktHWbXjSQfW1gnSYzvULNLRNKdJkfPlZyyjZF2D
PBMHwALDOfI/qp6onbp3FmY3dLPiqhr22ak/rIoxIH+vK8+8uprb1CSHynfRkPcLUJH2v82iHwRs
73jnlmOTIZtweANjLratUcUgeLUHLTWLiW2cHyOXysrwPxsHIPts5d6lhny5y+oQlWalXwErHIhp
n+/MaLylUDU3pQ3JtB4g6UzZzUmKbG+n1k4kaYmsEr2OXHV+Bm8/8X6nhCBjOfzkur0nNYyLJXhz
quIBt1SxIfvtr9V1P54Oz5TcvO0eAiX9xvTsklSCtbT13eXjk80hjClNr0jibbYmYSi0lnS3nc5Y
pJt3Njn3jNP0waIBn7LpFidds0lBhyPviJHsWZF5gt6hFgjUX8lxvsrA0qK8YbEIiGnVJQNsW+Rq
3GLtPWfWeeFwqFo/V6354PXsmS3bstdd5eGK8N7Ksn1HKw9Pb92aSH/S6leIa0j8Vo6TdSElrEkB
eYjhw6KqFNBAyK7uHtvFeFmtzi1H+gqsLF4UQbxNIMBz+sSSSFqIGpkv9i4uqNYTRydF6eR9aa+L
95MLfFKjcTWj9t0xGNro6D3vmqOr9dlQwY9nGn9r0X04IdsyywqLjeAx5XoZ51FwG5jP0ilel6ep
GALyQcbEXlkG9//kPI8J2XZGcBWT1Kzy4Z/HdR6sB1gOg9+9iI7YKAaBO5P1H87HE+03Kgc+l2KZ
/7R7mcX71iCCw2lSCSknQ3NSjxNNoU8Uj3BurkE0o84uEZIyj72dtuJ8X4Xmxs2Kjw6Ha0nuXck2
dF1GHr8rK2ArB87qY8YlXFdt5JLsWuprE6ltrPh80iR7Zm38p3UUXW7RL4zEjRmaO1IBuhUlgAdJ
Q7isB1I5rmSS/Xhjtfc7MMN1zyajeex8wHsyt9HCMm5Ffoc6pmOxU35n0XR2XArrwh+JX5zNL2z4
hAGHq864ocvH9xfmhyG+pHZ+gTD8yOf+6M41TIHyBrR1B6luGzRLrKL/Dv/kOpRVyiowOBFV42c6
2mVakHVeV4QY9Al7tWXfOef8ip2oWGo4ZyiiF+knVJ1Tue8JsF31NeK1wat2KEvWhUIFYTCiXI/a
e4Y2SUoa+83SqDAdW4DIU4O7LTIb/0a6h9y5ObWNz0Vp0gMRFPdaF8m8scOFFCtalrVIhWLgwlMG
BXp2MOObEFqPrYsMa1jKArntJ0m1DTDqxcwY1NbLJldi49EG5Lmucz6mBKVV1yi5DefihYS7/M5h
Pn1K5LxTjVx2cfOVEuEp5t855CkahudIZ+k5NtjkKfJ3qLZZuPE/vPhJQtuVdtcWV2NGvQ8Tz+Y8
aojDSZO7hQB5WO6femJT5gyzwZou6B9qcqkOedDf16Dmc1O374lfs1dUYjrogdCosRLkW4RI8Az7
DXXcdIPdeR9jHzxWXUOfKKAlIOokSa1tMbebKLk9DmE9Z1vbx3nh1umMfxTOXuoZ5W7uTPNFWNOf
gGyZR6/I/lZUbVugBEADiuybbfNTIBwGgiPUQUbjqrajRaOTH9XwayjV7RWeXUbIHo5QDIti4gtQ
PQst16hfMg9oGm9UAVONPYr4stEJwYGJrjURA0EMc99KUvMcjT1f0EgymzUQVeeDiNIE66ESKx+d
YWr2URW8GkXrMz49WYJQEreAoxVSnfdxrZ8qzWuh/e5XD/WT8ulLAn7Zcy4bPmLIshyYOZYCPNii
0EdfyGJvNHWwVszEqswkABF08myic5fBJA6o6HAkk0sSQpQUFocErX98qnzvA3CBeJ9aU+9MZ34O
tMHsV81EYYbqOx7Vcyqi8rFij1XxOD5Y06OnRnOtCAm6NeVCZGaGfk5Dy1rz+jLRt4V9MbP6fkQj
wIomgdLeXAOkpNthxA8uK1zANWoMBjoPveGh0cDkt+2rCjlUzWLBBsdV8x8TlkMwYhZAdI58oW8a
hqXDluSUkpyUIXeKhLK2I4uP8uKQMAo1EW2RLJ8pTLCC9ATVMOKNdoUkz4BSmTFM8DwaaLdiGNxY
4Qpv5B1O4/hYcG3LKr+aHfnWHYZ1XSXOhjqVlZa7q2x1rcFrw9M82625QqaTbYSAf9pRCxpZj6ie
FKch0/hX2B+u+cSfCJn7QDJA/254aBYmolIq38B58huJ+BWTjrmuAj4KOep3y4bHEU8EADRMHVrD
P/Glv2kM94iEMjIGm1uQJ/0GVOuhIzqxLDg+2Znu7foiXduGFffLQgcKGgk9Oed6WmMeYV9xTCzn
0GmBkC77MjUYe9w2a1WPLqItTJAq1mcsUhUgLwCBqZrD85y63cnvmrUiLXo1xg04uB6lE/bEfoNc
zqkVYvvxLUk8gqnK5ecFlAfQCp3GiIVrF3IC7zAnf0eRy2q34drAFbJ2TOWT0UCLoZyefIu4otLN
DlkI4vC/2Duz5bqRdDu/Sse5NioAZAIJOHwc4T1zk9zc4iCKvEFQJIV5Ssx4Gz+LX8wfqjrOkdiy
5PK1O6Kju0oD9wAkMte/1reSMvXXBQxjiGh2dF3576MPwsGNeN50XjntMAD6pP+dYCq3QBlxwwVp
fuJ9gNefMg6wODdwKFLQZPXVp9gZRm7NmZUY3uyk3U/g/rCrhIHe09itGYENJ9tuP3HTJ2saX+5d
H42tdsgU5AyCslPF4G7FOIa35PrHAl8D+xsX98Hc30Fli9G0h9dOvwKyZowJksrrH8xufg8KeOQa
QaA3wvekHJgrc/TqEwbai4cv9xsFkmAYLyEApO9d0bt7Ck43VsKB3jZYpcP0pk5nol3O1qBrV9gq
OIiQslVW6+tRecfeBpoevcDUYeBg2BK70oCKksyMYNmV4WOy5YAr6Wl0gxJCHZvSue7Dw+Q6Z7au
ku1Et+6r5kHHAYu2a28pY5NnO6HBUtOGvDMi17vLE57teTaiA4CUZ59OB2ddm+NVVdAkA2LiShpJ
cdfrLt6m02uba+BaPWYcPY67JnQQ8HKPHb0xXfg62SWDBy7Mbt4yq79XSnLWblJ/w4xkC8A62pTz
6JNzCrdidBkx4wfbarfZZVx2mbUc/fJ2WzcSymbqMvApOVVUErJUEnTbwfT7NbPCZDdONIvwGID4
g/gAQB+hMVKfehyY08DzVztEIen4oMCvrBmngsVtiWeZbH7ZC6yIu02X1DM8sVE/tPxohdi4R8os
lwvRAGOkMGeZWX/d4PvhuexV2Inrnt23DjE72u0Nsg3KOsGkFek6i1QjJH1qRBtG3NMkXYLxEyOv
AgV8SCFAHifRfmHcoTY6n9iERQU+SAFtBENT2tuYtVPfWcUDR3lP1fckD+NjO7kUCZoNd11aHkwV
P6AD7kx8kQycq3PJmTGL7JNJF8i2hXGOrxRTQ6sYyiy+jhxRaFfi+DTJYaxEmEtI2ahLjQtULQhu
Umpa4a9+7g0SB6Ip6UD1oVnS+g32ZKt81A+z0PRziOwYQJC7APO6dxtVXZX5G2pAsAbuNa3Tydjj
S+iOVuBdg3kNTsYC8Sdw0frXAsyttBGfMU+dZdSdDZw0BxslS9m0jDZGamzbUjpX3cAjO8+sYuv0
2VUigVMIBWaQcyXj6qg/ZjhLCCDkw0kQjcozAuUhPKhucJrLcWKDPMFcf8wpCNqWjIe2o2/wf3wq
k1X1rdd8dXHhPABDS9aZb9eoU+1t1FPJOYIvrCI2kGUfYE66S1Lmd0WwIN4bvLPLiBUgLMYCqvem
6aHCbt0knFDN+KDMsTkYuXUWSXvlNy1jEcLhM4Ylwzc/Zbr6lIzmXbz4Y0k6fbHotopRAsu0ezZJ
+8UdjvRQ00laDeqhG63dLA2EWY84hxi+IIkkl5YdGLdOLu50HSDo1S2ew6qtbzt3E/g8GnxHMPYC
I9nV2O5bTL6MjJaZdrRptI9ZytrMWfCUVOVVI4A3FEOXbHv9xcdTgVHWOjd+BApmxCxgYt3eq4o9
EbV55MPhNKzB1WESbr3wdhTFQ49ej7EjubH97JwFWX2Z68s2Jik7VeOJ0mW2q+BYFkh/v3LYIs9M
7WEG2TDMDJIxkH06WDCGi6E8ZwpN0C+7tWz7IRvGB55BDf3h275M02PK8ayUbPD667HBskVuzSLc
QEVVPz63OV1s8dxeuF2LK8Lp3oLSxkAaaZpRgi1M4JPV0XtmlyQikHLhEj2PFUcfKGIGx1jnlKkO
7H/gMLiI9oQuY9TmkIcXzLhjwzI+oNUcqzJ2Lzxi5IV+YOp36Hub+4lxo1F+tWgX0pjYtnKA0f/S
eQevKNrjkPP0APWNe6HN2bHV3daLh+Q2hkVnRp7JzTd4W60jyJYCvIDKgo3T2ehcI9sFu88vZrMn
DC6BMrvQXwY1oCq6+F7rAq9yF9UOexf03rDinK/T4tLMK4dywYEtSYDuHWXDDdtg7tW2uJCGwqyR
Q0Vse3VYIkfYplHySD7uY2Abq9JtTobt8GCe3uBuEr6pxwNzQFw/xHfWvrTfhfW5bvp2G3VdcvL7
OzwtxENBplLSYzOfrcZLiuQjmeEgMhAAYzZdq7B0Hulef1aG+9aaNKJ6BVHXvqZd0MfPrkiXG9C/
Efz1vbm0OlNmtivkMvikGIwVTB/9LBBXIvqMQtSG/X3TKbKBbXSd+87Zw1ZQ+IWF842Ztzuca5OB
ejEU+YZs1p0oJsWZTXzWNAzsZoqPSq3TvSPAaA1i9C5lnt30S3qxH4PnkTM9vni6rpBjcMFTkDlR
3ZpM5zBUWH6S1thh3YPHC0cXl0FMMfGc3CzTrAPRVH9dmlG/TenP1aLBhp5fMtLYp5LdQhWUdyAc
YbDyh2JQFWgxGy8Jn5RhNNQb64dSB/WuSjqGTPRrR2qZLJLvlAYfbd6XT7ZVURcFKxqnIp3Psrty
64Hbkw+gT81bduuPJIX9bcwJzDIh4ESgnyLwqaspsDj6h+NBSsTgcTGCpupUwLfcDsP4hBeJk0GK
rFmE12Vl4pPnEBh1VON0sfsSZeRfVEyJm9/iwg+R43hmQk+gkrzdKYhSFGvxr2hH2NhxelGNzH3B
6vQPTTd+05Sp72vP3TgEaNzK8Q7USTCTHaqIa8qD3FqPLPZ1mx0yiZAtqG/LLe+EOC7OFdm1qhXg
t3TR7ewKS2qlsIClzFFgQZiIMAvYGeEp9syXWpOQ7cNXgdXtGNaYFDSkR7jM1jvelW9NmJRUJIIi
rns73MtBVocCneIrs0TA6UBRaxbcqGBc77Pa7lVqGZTZFtQp5PF9VRfTsXT4LsL6ziPuAveuPRr3
lZuX2zgpkg0tkvg1vK2A1AWhPH7qsvxEQne9/C9OpwoHT2FQ8sbOvOYhXI2Ny8F0BgxCsoDNkb7t
sMiTcQlP0Z6tG5vXgXN2Nu+Rxp48Hz2eQSegosE6Kk1jB9AEvnrIA+5Q0B7OuMbM7q3MkluCTmAj
NXQ3othsIgUxZHdcvi6m9xtPVP6mEvD2ihZ2DbUbC9KwPXtwIOHs42UJxi3HRDyQWUiRdptzxqqG
4dh43lNo+fpYjNhk3C91VRl8/Fa5i5rIXE3xRVx0OVjdWWyiAnB6I6/wvG28OrQu7ILhrzIDLsw5
nQlfU1YdzhPK/RTdRtSW1CbpQ+m0xxbc+2CZbPlnUwMjmbduAA8qIqYMmbG9NwY1rvOkoPh8ap48
IpVbK6R/xxKJd+mI9j5ASzqIPr1mGXURBiLn4M3k2knoUWq2+PT6wGFOnx7zlggOgyRgBzq+FJlf
HMCYMldPv8ZOvPUyFV5KCwiFrx6Jtq8UuRIiZuETk7Ee6ce5Aiie7/HJIudT0jA65WGcqSjH60oH
r6Zu2E3C+HqQZYCpiVOTlC5YiuA9Su1q8//jydPF27//m+X9Mp580WQvzT/OL/rl9T1ryh+Cysuf
/CuobFn2H0r4rnR9y3JtyyR1/FdQ2bIsMswWJyTlsYcUUv5HVNlSf5BCxuDDL3iOK5d88T+jypbz
h+I/JnFE0xfK+TtBZWX/GFP2XE4/+KZd4QjP46Utv/76chsXYcPb/y+6HgYrMqbm2M5nERw5HLxJ
a2DazVB6pWr/oScgGTP0ogMYcdQqvkkLPXW0igud6reScdMqHCuAzMHn0X0IJ7C5dbEHC/zAUX5T
Ot0mQrdfm/BZypjJSl07HlMcpnqBNW7Gzr2gbJlHdg4NhNEA3piwgnhvXHp4qdibFSzSbXRFAuW6
JXqSvoSKIy2xew6Pp95p9tVA11fWfpmqatd27XPf7ltWwzybr0dvOg+eVawY7N/7dNjJdzmUh5yW
zTxtLxhnncDyLtDRDFiU6eIF9D/JQn+NvGRNo8Ino6cFvHRIoJGdZFr4XZb9DLUlLIt/sO6cy7ho
+TiXhHr1179eLi61fPieY2Py9x3Ps+3l6//+w6d01oFOizXR8eQ6CObTSKoT5OfR9YoTw56CaFkD
VgT8JCbKgBKjDamRdUzR0y5iDsAiu9SqK7O4KEvvYKIBtJx1aRbaTibeLsd6CBWb0ymECjUxyTfe
FRwN6IiYDUYV3oTdmzZrnjauQ47LoifTHh4ArtJfaTYduHRAhzn8kN+87yX7/vF9cwWDS3Ftx/c+
vm9qAWuM10FPnxhFWi2NBOrbzAB9WzTEnGaU/crCVhnLJCNaxo6Vz+a5tWgXobyPA69TEz+j5u6z
lBf1FBzMZjmjUKjHIGBVs/PYsFd4rAe4o42RG0x6uXJ45DAijpgvLR3RxpOFGeXX78v+kPn3lKkc
n+tfmqQvuN0/3ExpUhBUG8366FnzCeDyubfNY40LrPf8+5K8EfiofWX79wPW/Bog+cLrCdJ253N4
7qCyyTR8w1pyCtNnEToYYnrvYKdqx7HzaPiUouOUhD18/ZvX/fH74HW7kA88x1I0s1pyuU6/WwRU
VZZlZ4TQw/VrRENk1SMT2MNjnyVQkAAjD3BJfS6chPZLulWDgK5pd/wc5/6JQ4pazRPJMQhGwJDZ
Yslu14fhvbAff/M61YfrZnmdlmAttYQnLdf98DpJEtnSGbU+wmn6PKpro8o/eR45lqDjhGQU9WcO
218qD41dSMR0yEGvnhzv+snlNoGK2fpiLZzuiwlYz6lCUpv9c5XPgHPrA+E2CXTWMpu3PpIvQedt
Q6/6+uu3wFL/w5XPO8C+JWyM5Sy4XLo/ftLw+DxDzTjlKHs6i7nB7WTcJ1Fxd9UFM9EL7zK39f7X
P1P85OtVFtgLWyjf9Vjnf/yhsc7AiCqojA1arDCynVnVt6lJOSA3SOxKCFKE7ld+i116DCC4Ycun
0KrANvfImedtpgkFXA1yBpfrogJj7T1RJzAX0S7pzc9ZOny1s/6CofF9boCjdb76CH6Fm96aeba1
W/c3N5r46ccoFIsHi5uLf+vHd5SVHGpZHEAE00bQJTS/i6NgLCkScQjq7Lkx2/tGZierGG4lPoUo
jJ+cjG0vBg2QyGn4KfX9vefWxxFhLWD/bKCh1gNAN9TaaVzNg+usiwW0A4aa9uyHMFy6qEkPExyW
V1WE7aHhGrJi7l38Twjcq94jmuSL0sWK/67I1P76a7R+srooy7FMU5CxMG0IJT/epQBy7UEU9VE7
kOP5Pk+GFJjvslPzqtjYBbzclR/DM44pysxb46rQBStOkLIT9d+92Ln79Sv66YXFxoGEE/qIwLH5
4ysKEy/LWyCfnArkt4zNs5jis53nnH69+1B+81Cx7YsUN0mV2HRO9JQJPiLJQqVzN/toAFpsOZRm
I6rnwUZWfNrhHfIteteFSaHbOKv7RFOyAEalqcdv2K8hrKP5/fp9yOVy+f55tNyVwlFszkyoMML8
8Ml6patV6vl4PxmVV75+RJrx15H/IMukQhWmZCVL8rfCn+L9kq2JsgAgbhzzccPLxmQN6p+KrH1j
ZzdVqd5bq7RXvj+Xeyaa+1FwAdouE6y2u6ykexX2E1RkEhuqeU7xWq3DqUL4Ht46tUiPgcPRhrLe
LgDC1toIBpU+126Nac+mmLqZaZqKIvM0Ju4qNlKSeGTiaBmILwvvLKf5+OtPxzJ/suwql4cbk3IP
doX4cLdxkZNH6VV5BGp51WjSS4Ywmb3gCU0pXnC5Gq2IYzydVROcMCZTsx/ctZ2/q9uK3MmUfBVh
+c0LRjxgiXHqZzYxnsU4evTo9c6jYtcROtuOhaKEuZS31djD9p9maomGx8CMX3XfehtRwpPAq7yf
RusG96i5t9r+8yALuZfNcMwykwpD8NY41M9GjONS1BHj8IKZcojvaw79G5PJqLYGpMmmusPQovc4
aD9HJXZPVTKqlsmwSRLHXvcex+cpO1ht+pxhItmHnOKoPqaZrkOqdTz8Vc7Ln294pLZ5k0q8hEU9
PDnQ3bdMKe5rOufNip1GrJjQMyMjNIc4zO6YmWAg0o2RhO7aov9tVYUl7fNhYCJHeNYmGL7kUx7v
K9O9wlj2EGN+2odxv6sWMEBA7ppJL5UhA7cN6ZpNnIIOblvkZEVeqEjuZ+lGJ2bI19Dbm70t8weo
+ph7o+ipmXsf2D0NcS5sy5zoChPMObEuf33N2D9ZoPENcJ5QHFC5uT7shDoYk1JjHDs2sX2Z9w86
AZZlpjeqvgZxgHY3baV+40QEk42Jdx6cMjSWpn8qgP9ARH5yiYJ4wxfRk7zrlLtjLHqcPOvClO7N
HE6s2cSHy/Y6zj8ZMV2nyOa/fgvOvz41PVP4yvc9tnQKtv6Pi5uw8jhKOzQHnGjnovPBQIYan2Vu
rOqcOUFTMl9LUMsqkkTMpIHLBzjqavrcmRZOD7TvneEueGhiEkCG2iVJQEgbE95KFQhz0ujSc/8N
2ZNIRI+6i8C6jEgWnhxR0chKDsaStY5qeVvOg7eJKBgGwai+YJtDKhrGN2cwmd6h5+mMrIofTxS/
8spmn9EoW/r9GDVHIqJ38ezRRFZdVnq48r1pMwHUtm3n/OtPTC5f6o/LKFsM9FjfV5Jv3v+wThCu
N1vd+1TS8nPC+XkukuwYRbejXT/hxWUWTD5yQ0Du2oE/vpItvtW6c6+R117adHzHIHQcU99Y2UFL
VYL8EltIftzX6zyPOX8FePPtz3lqrryI0B/HOXzqnNxsOo98j/1bW75TkQCLmruiFDVOu6680XPH
+gQxbl344XOZddcmONIMuqTTg5bL/9JCXsf/Gr6X57/e7veHuj/BXh8/BcVcQXKuJzXwcZM6422m
fjetjkUg72OL5oGKpgRm+ADLNSzDghEfoydcdAWC4jMVijeJDVEw76Yby20vwsEmQc0ohPE04W5Y
7R72c6941RrVW7f+15xg/Y7H+xhGe0DQL1ixn7siuW0r95YPvopfOh9RM/9CRPZinu6riuEiJ9A3
d67fm+XZFGBM6OrydzuU5Zb48NYF6G/XRPKwXChVP94ysjHmJQiRUThLwUqJjz9k6on2hiE3mjDg
h6MMcdoHdyYeiJoWSdoXEwqNW+jHMJYBxRJU4JEw+BjBB0E2JiWQ8OvL9F/2Uai7vDhlCgnqDaPL
hxt78jCGazEOdPsV135Y78eOpy0dz5fKei3NnnS+tZtCH0OheEs9B5eO+KLT8roHrrMCQTr95pJx
Py41vCLP8hHgOBYgsn98wPZN2EDfhFdedc5JOBTGzuIUNwh9QbSukIHX+DrijdDxnvZ5CyMs60da
+Z8yt12Am90VmxbwLzDjh0a89gNpmHfA5U9COuZaBpAqsCHqyDmOy/OGEVK7FfN1Mrv9hRThew24
BOM585vCd24oac7Dp7Sdn6i3vhxEe5vS4pDV+Zr4MpbjWmyX//ZmAREutNNNWPs32SivaUihsYVq
VlucSLU9whuCgLOHidusZzo4VmZpA4HW7jNew2iVA8GZhDgyjfsCavjpz6/5byETH+M0rt7f4pf/
tvyx17KadBxG7Z+4wf/8p83d/7j/x7dS/+P6bnf/8Xf+8Aeb//7nL7MQLKTCH/4BszBW+U/du55u
32lp/euH/PN3/t/+4j/e//xb7qfq/d//7bXscAHxtwEdKH6QFn3uq/8zM/H8ksZN+7/+57/+mb/k
SIWyKNjIeT7QWTKb/8lNdM0/PCV4gqJe/IcQKdQf7I4pcEe4dH0hHB71/xQibfEHd5FNfJs/AYfR
c/+OFLmIXd8tHsJzHKAB5Hj5QRIf3QcxTOgqVW5ZSsg1BjHucIWt4Hc3mv/hTlt+CKKrLTmvwHlm
u//jCmUIp7BNWAbb0humaxtPPUikNtEZhWeqrvdxl5Zge3uslSsmL5Y+jE4Y4srxq348FkYdoGuY
E+aJomt08Ukhk7Uvo78cf3GIGJhlmmGk1arrdHGHLbWjI8FLcMgwcNDupeNQoXlmJuOPnyPHj+Ey
p9g/KEeijAAvArE7oHU6MW3/eix7q4L/XELi2riS8eZi3Kd/wMS+Iw4m5gLvPuJXgQkbZRpLuIqa
w9hk+Rkyokyjhs52O3iJUXUxOI2pOtTsQQvMbGYTP4G8SOy7cbRhGKw8I7f9u0aOs5Nv3ca34+cm
BrO9GYa2oWGMXgEN9opjjH8TExpVlOxBFGb34/isGfjJ/PYznVf2/AZNFgmXXFavbooOWkFgx6Mg
Rh+63oUKnHm+gN09wedWTRYMm5lzNmFyeCfQlTPDqqGx5yYj/Fugd2N/E7q9YjbG2Nhj+NflfF4X
gl6W9qqvqJ64CoXUFli1PEpO1lgU8rIijeoeKZlBgmDsUsomXffUO/Wkd8PYzdRqdIxQPKKuw7Yk
aMlXAZUzCol+tuHcha8l2/cap6zJ4YXtRldAUbCbOiOlQBgt9SHaZymWUsbELgHUkESjyTCq87m8
VpzryEPabhvoc+MKwo5lFMz2trZLnPrkdwrA14xxCF+NI8MbMStORrHr1zedm1hAC/VcNduotjsg
Nc1QXOU+1v5L158zuZNzn45rkL8OqroPLmeV22jdVm8CGRniXjQbJpsjGYdqYYSozO/vByNK9YNX
zA1NxDSH8LWZicy3VE2rZmMR8UDXGFzD2JJShDDaQ+Qnao2RrCUxD39vZQ5WQ2RQTLV9nbsjuC+A
D1a3xuswfSHcjXsS3Z9iBeVGYJS170zlLvZ62Ne6pdjymZajIDh4I6y9FYNpDY1xcCDCyKob9cNo
8YGvDGeG49m4Mzxi8m62vhAyy6YbKTr84nUfQHGTXlNMm8pJaBwKSjl+ysNe1VtG4amFY6Zs8ETQ
GfJOFLU20SHxBe88byZMOQKebkN7fJGM4pON58eNxKfRyXnPDjIFJEdtLmH9sBy9iyTQvXfXdy2O
Jmwz+QCWzNbugezH4B5U0jkOnWI5pBuUvFxx/yAL00IhYpq3OlJfttV/DQuvvp1HiOy7pDCG4MhY
GHcTaymM4rAf1XSYcLJFj30fcwiDce0C26Kvmq0aHPU7LUrjscWhwyE5nmys1YKBX7zr66rBDKkm
g0Mk3Cczdx+ESWCWuLaph5sRUBgnaYgIpCgD2t3by9BSDFijihgRDQy51bwm7Dm8y1RkjVxB2DVe
TYcebpoxm8m7gqYO2afxk5kcWwhf8cVyHZYSDwfctI9plqGGS0wcPcIU0ZsKJ6fmk7JJq+c7wkBN
Dm9cQ+syoQDqI7Q2TbLCbFl/N+DXivHSsILAPNjIjRHxsIDT79Zzl/xEUU/gO3SGH4IOViWjQy9n
Q26MYsxaAssYFD5VTRwhISSqwCbXWFGwTQdnYApsJMN0AYpZyMMwBLrBjBlM3bYIFZuo0MlJvuO/
m+gM0gjN67KDnbfPY0UeyhKFgQbR1YW7yxyHh08QhBatCB100VuvNtpmKypOPTeEZFW/Z/mv6r0L
2NI81c0yYZ3achq2DvFjm2wFRdAUKsk2GndZTD0zoC3C4FSRuOiQ5IstDDotoFlGUNjZ1+acsEqh
8cHcDOLWM7jgnKUepa/n3LhLtXLwi6mOWKVtZxnJuylwqb6Kh6zeU3ZgueuUgvj0qFDup5UC0nFB
S3fqQFHJMxOAP9ScLTs/RAKrVJYJaqHDWBfVZnkfEHqZIM3lZi2PReNwQGrkjLc+L8fwnomcmcDL
mChIkFmbX3iaEqFVxc5UgdcrY0quJhcHxhzoulkxdGckAFgc7L+bVNraaUPkcN/cyjiN/UxQMU1H
IUBsYJBZ921UlWcTLB6muNhYnBkFo6Nrv+2HbpMqPVIxoZ2E85PmKr7wGkHdXypGq7qPEhzgdw4o
FkS5bk4ufRJ+DMIbTz5VIvACTIGRN2+NoZutDb+tfbTspqQi0ne0yVTdosBiV5Pg822TFdMlFrE1
QWq0j2kXg5yyktLIMX4xw6SBTZFib6I+VmeH+mFx3fpLRXjPA2HG1eqzWle9Rz1hZdsGp1jRVtHX
CZ5CTwxn4DCGTzSd2oPbwkJQ67Gpu/5rAOs3vwqnecnmj1iq1gn0qqexiWl9JJ40iVOTMGDcZDMO
xJWl3FlfIvNngJIFsMsN5TwEZEJPqXHPjqXHNQzWg5QUW2EDbCl/pf1e+Y3Wh75i9TrEvizHrTYq
RrIubiBFKZ3IZ8zC+SSPI0qovIIgN/ifOiPqQaMTlqzXnae6ftcxyZSbxpTFV2Y+YDSzOWop9lOg
jJAsELx2VTCRUrKTKW+vRDJ54aFn1Rop7MbFxBOkyuJTlsV+9W5KR6Z7SHGyfaIudQLRWVX1WsqO
kh6O+Vl9WzLYESBNzKrbCgOlzwDh+2hERbKPvFHoHV0oqN6uDDV3p0ytmjRcruNN7Y1Gc9TKtO9L
ViB1H4h5DG8xR3TDOuRvye4LNAFMekauScehYt8EEC8BN9uuAbED0JB7h98sGE9T1VKqyyXeRo+T
XYX2zdC41AzbtTsGiG4qvqGFb04vfKdiGZgrDQOALTN8whqSyBrAFEh7eA92/xANqY1rH/twSVI7
daLrKOsCfYlbFfSpBGg2bqhkSWATjLTSfYKs2OTPmVcidNjcb85Z1GMxnzs9okrDhjb9r5y9xuIe
TgjRPfzTEwNFI+LuPnRTS9+KLEbB+a7XVlE82TLIyzMuHhlvdUJK4TUAJO2/2QNzEu9mtEPQdRuE
ytxWW0TNaL7Ksc5ygK81NoBXB2TGkjZMVLM2He4wahyMfsCJIqhxrO9qImSC1olCkS45su/R+tYq
Qxr+Th2WQwsFLVAqxThq90E7btgaD7RA9INE7kIDnE/SVRY9on2QcNskg9keKhowvZXsHQ6yods5
EGQwzPL82mglzqRnQ389tzjyPyuQIR5FVAN16UQpYw34oEpz562J/LH7NgfgTNeAlgEQdfD6sqsJ
4BbzQy273Lp1qnGeHsskzvX9lJHF2hhBEfHkN0LjJZqbYtwuIQje+KBzMFt9JUmJd3k/gzmsNc7j
kTo1xmZBatc4kmblnRNnrIvNbLq0iokZXfSGNhGfJg+/NkHuxX2oNkSa5vpLbwO7p78+qI9M/aN2
r+McMtmm0jYhuwDM0rSu7Vzj/A3z4Is1uaXFMNNs3k1KkYnueHNBw3lQhno3TYastxxliMdUVjvn
18gP5kiABTPUVrJq4gvHjhQvnrQFwgQeYRORo904Fp9lphK9RQxflMwixh/sjmS0NhkHRAwcHqP6
T2FQDzQuDh2hPRJNYV+IuxnyNuER32TXKGsQRDjrB0xHWaBKb9djK4NRyDHA+DrMlkHjytBIvcFv
pzO2FJ2ZH4WXedFRwmiCMmBXZn9wc2eMVjxvIXb1Mldfx3Ia5z0XqeEfZid235ifS/vQWA1W8q1G
j/DuKoCFRUMviHQ/R6hBza4b8lY/wKExSzDfpmHCSfLstlrZvuzpuq2augF2nML9yeNyCq85pdr4
o9Xo79wqtcRxTNJhmTRHZdNvGUlCarDUoNTad0aqC9GGg6fY7hnQD3mlv7BYK/dqqJGvAvbt+zQw
A+pJ5wGUMA0ucYJHgBH/LdQbnhIo3jXPnzgI23kTQ1jhBxm1N9xHNf7er2UZDOmLYIkx8r1uXVGD
O+c63QBeEqR1WoZPm8gv8e0nYCX9YzZ5OApo+QzkS1jZrXkoexrmacqw4dlY0mxMYNzB6F/LmkOZ
3SwNIVmLlZProQDtTusyr4o81RduYA5fMs7h/QpcdE+y0i9J3accjtxGHGIv5cdWedhQ++pKOrHU
PPaf5RSE5SrDNBPvsNADLZWlSfScyuOCXFROgaRqWgX/VZulWle21dXbBFx5cTtYAn9yzHpCCn1k
XQGko139LdQZO2Dc5XO49ToGnaRUEfguonGs5BVHGfxCrp11X1EBmDE2ll3WPJbp4YNc5lG7AMiN
W6axaRrYZcJEta8VFy6hItcLdsqTNk2mjVEziDB9klJgX3W3/U6L+Yk8/GGI+08BAmAgGzIoK4ut
63urRQ7PWg4Mr3kH5VYuQ5uszm7nTNz/P/wcxBQURbosbGeZ6X1n6eiirmiYront1DXXPfvWE3WE
5DtHN/yNe+Sn78gRfLU+PjIMPT/+pKFsJy3M0tl2oAJDd2BtfhhS73fjGP6WD+qQZX33Uz7MFroQ
2OSQTiwa5rUMPrc0UOfFb/TrnyhQGPSU8BY3nskE48d30pLyTrKilVuHXqWOQqZK/U7q/fWPsMxF
n/rua6GXpklaXCyYZgmsE+3zBuc3+vZPfoTAyONgCOWp4n2UuDw6bzgZkKbB0noomJsWqbf59cVl
LUL+h29DKBdwo0Suc4X54TuvoiF0x57MGKRj9mfks6pjPgzRS+dWasUJsr1SZaiAMIKF9/TMfJLi
8N8MGX9y4f3wIj5cEph/xqyL4dHlweOQEdZ+JdD5mzf6YY653K6SmRZDAiRDi+j4j98XuJScenja
LSZf3jl5cDbC+JN25xPYkjWnkk2TPcfRg19dAVFCwoECoc4kNXEPdlfMPU5wgDt/XjFt+PUr+9kL
I51kUmuOSRQ3048vjJNsnFtwBLeK/c3LXDbRo0zdmjlFNK9Rktx1TFfUyZtScU/Nn+v+/fuRQ4aH
D4WDKtbVD/eK3xMi6hqXWgs0pqiMz2N5bpv+9Ot3+ZNr+fuf8rFEp1eB8Oo4cjjLDKdAqjvYBH/7
RyAD247pOmzskbk/vJECTLiQHQsL0Y3tQgJmivmbO9L+U7v+7n6RSM0MdgjGLkMxibz947eVZBE7
mNoZ9lFbGhASpVte4zX13COSC2gzQ3tUhGbOkuWVU2Z8NiceIY9sIWCfUOc9mJ+6wghPwWQCxYjI
RzMrjHBGnLs+nhwiedQ63DeKstgtwLal6kQpBX++Y1S0regUs9eEABYKO+lUvzsH0RIHqeLeiLdd
MyBzkusw0LHcrqIzgsOSvlqY6OltCQWSg6uTGeLJRQnqSBTHENuwX2UWQU0/AsoSzVLeBn4HXbFN
UzDwhWlh1QkLBn6rrnJkcp3k0pbPA0mUz8Vg9eUlz2c/3xcoLcP/Zu68luPGti37RegAsGFf03sy
k6RoXhCUg9vwHl/fA5DOqRJ1W4r71lERCAKZLJFJmLXXmnPM57TPBEOuonHzg4wtyOipN0TZgQb4
mOOvUD1nj0iX27LwYgVqbRwMw6GK8RMibtfwSUEuyYDx5GVVEwI0sqoOl2FiDy6nzZh2j1Jy0/pK
v651Tz5d0wC4ET52Rq+6Xm2AoiG8YPXZpKumcGJvE0m6UI9qEectWGRrsFe6r5dUMaVViAfFLPTi
QtipjMsVf6NgfAbCYzY7UbBSI2UXx+ct0UIRHkTF1bMrzRRMcu1hyvzUZoDIaWBUqKqJnB3yO9jD
4qn2addA1EAsjnYI28Naz9O4P4ep5r8UY2a766hIixTPLgAuGp6o0XY1Ns/vobRR4oGBTq27Wm+c
cVOlsk82SemSOLdsOqNDvVJGpmffBcJLdOy6pnI/hnTRV8ZQ9Ki7S0rLZUw5BOWRYJLwHDcVZhyJ
g8M+mwO05Z1m8vNfYZn24YNFytGTQo+UgJiEDvgW+A9uEyFoRy1GBUXjkvjASQ/XOG580EbwPM9l
F/jmOkhYXa5N14QUjENcepuAWX39QpPRedIKWb6ODtk1W3C5jnGBZDh10wqm7dYC+R08apU+tXUf
x+g9t1SMtOLMpNAVfDS1mXXXhqJ7IEnV9ungqVbhowyCsX/KWFhiwMosjIAqExICbIFhwTXVii5a
W4PTN1g7TdYBJcsTY1eTnhJuO7pbhIq4soLaniOO3bhSYmAd5j6kK21MzxjLwGmDHZt6ld2oGs/J
3MO0534mLZQ+WfVDqRIVSceIuEnLqOQlniIQjqHVNbq2NOYGqarEdnrHg0hBTO9wg4UqptfyU1Dk
tffumaqPfmjuvaJ5GMoNy+tsZKofCYKh8srNfRKfhzHaCw1zsGpzNq4ij3nfXvcggZIcKHLa32oJ
6yf80R3mb2WQG2OzUGcBqOlkhRiEb9y1uIb9z4Xh9gMC/EiPlDuGXHr75ttJh50zM61b0jXqm2GD
2Ac1Qlju0gJJKflAM7/bmrmDHXihp0oeXkXZ5/2PZ/P/asB7eW/rb8XHme0vs97tt+zynnyrPr7p
/8PBrj6Vg//vwe4mlCFhWe/Vv4fB8/f89JmQYYeMm4U8A07GnJPX4z8+E+v/uAj3VMswkaYgPf7v
eFdn5it4Jrk4DWzKiUn7+HO8axCWh8HEtWzGsXOY3v9mvKtPFcm/noEORYpp8R/rBBL7bPHhGSj7
tjK7ouhPniybo3/LMwULlF84m9Dz6q+MINYGLeVFz8lG5CoB4wvF8b9Qxeq7wjWjW2Z7A6s3PbkU
jZpd6Pjp+7EXa9k5B1sZ1dekbkl+NWq5drXy2JKIs7YLqW6MXLibf33y/8MyTnyoTPht+IQ5t4XK
dtJV//pEjwXreayC3Uk3Jy0XbZsnv8JG0tLf+xpi3DfG3D85hu+DWSy0U0T2BYq9HO1k6RLgm5jb
KKrqhwYETDl0xjnizrnDI4ngwxv9c2y4/tl39CvPIX1BZoH1kqpvmabnz32p2sdxSBmA1B5eOJoF
Jhi+uzoQ9T2W3+6EqBRJrv76599Z+1Bz/vidbcNGDce6wv5YjfmRkTplXrUnBgIR0h1l59mdh9AX
cUmSVK/kLCgrH+fzmaDV/FQTjMYwwtoWOu630HXeh7b4WnmmPAeqQ8uARPOR3/osWKQv//yz6lPZ
9svZZvBYFRR1Bie36XwUS5vjEHcys+VJsW6QmfUnF/Lm6LaEY7kMjbpOyVDMNdayVr8IRYvuwfe5
j/SjwaozSTr5TUwQGOGzC8WWI6mGgDZIDYTwMu3OG8yY7l6hKY0WQAmhn2ZiO4wanrsoENvU//7n
X0l8WO9wYev4ZRx0yqxPGdB81C0xr2SkDyXNgCr0rHIOLUdgvysme3KXWWlErzASkxYI7nOrbmml
med5o0X6z6/mXV1/9qGkdAZe8wI1gMbwuzYsRgwd+a0Lpv/5wfDwyPu9VNZ2S8Z4wTLj3qK6HHy6
r12qwGjKu7KCRZsF10BB/pCKjFQjmwSn5d+k7/oH2cb0qzsuPTVU2pQ/9Bp+vdpUwhWbKvPKk1F8
pc3HoEDGxauOilwm6HYjyDH3BB7lu9J1zx7whLsgNzWm6eiV7D5J15lBXI9vghzyqUE22aAQk2PX
w05BinHAMT8eCh8E2F/+ZNxxP5yFQrenO7JhOJPm5sPPzXtHS4d5fZLtkCMg1au7iED2VRVNEV+g
PtGyopKjgEw3aWcaF1kTN8kJeu0RM3dEZdLCDB4co8Efptva1hJN8BBFVr6ncPYWSmX7j3qRZqeh
zmENUHPt60QOeMxrLzvS6x+RIYawVhX7qc0IJKLwd2kjW+C0qqhy/nJbnBcyv152YjIrYlvk9kC4
14ebfMKHGIyOkp4809qPY6lzikXBez70G0VR+4vwlZxpHMhoFfULwQY77NIwizpKfrcakm8yQ/Zh
grwa4Dh0idZsBdXkowAVijaULuWggbCob4OAiixT0Z3BIk1oQD8/j0n+RCVTPeVOOWzVOup3veLJ
VaLo2amg07+0huA5y+Kjn9TayfQVGlZt1t2PCRO0FrngM3dn/HaK9Wq3dDL/fDb8fv/kDDBVXJ2c
FNOt6cMzoyFmASqqFhxJJt+bUdN/ok1TnComlDhX2E0cJdp3UYcAkOHEBpMlqy3PrrcF37V2LQk7
FxaDXVfyrOe6PLe2o3eL+UsPe9tffl5t+mv98td0VM1CxmojlKJo+PjIhoteZ2qUjseuN6IVDQV9
HUWDd41s1Ih1bA9PlNDGwpT18Ep65LtvhepRCdtqpatOdHOcANVGKYZtXmbxbT6GO+Tg61KBjJuK
QwyKYeMgvQS2K1DIZyLDpK57GhjhtN+7I2bz0us/m6kTP/MYJx4DEBOUZTr3831JAmxAYB1V+3mX
cqY6+lNaSyTLYKPT/4bhxGjHkzH+Jiu6dqGt3jQNY5up4Y7pC6YzfiO0R7qoFchJC1aLU2iPyCkt
8Ki1l5/daiRXqW5I/CMVe9FoVstDOsoweJuVtsy7obxqdki0W2i+uk2eHdGWZcf5KyVUdaLNg7Mu
2m7rdZBT3EHT9lETDi8MspdpqllPRRM1574rUUTVE1aWVJxtIsziHHe+DbdwVNdVo5bEczIKW/t2
bSxV6ainYdrYip0BxydXVRAhcxr9jauCGRsaI6Rksput4cIt575dXhok5CvVQ/5Qu0Rlg9oylyY8
sC1o2v42b5SY0FpHXOedtsFF0ZdGuhsC0XOZhMM9HvTD9HR9HEKVnG40D+vKd9rTn889/bc7p6Ph
jDYYnk56YlZEv97xG1J6Gvja2jHqieQSpa1cOy/4gpRmeMsFAigaHAbcfRdEMqw6bELeCeXO8DaY
0GY8u7EPmp9GJ7eTYp1bin2MwiNhBikwhJz4uenIvBkoz/5y25+b679eN3j7zEkTyQVk2h8Vxnz8
jekXbXKMrNqhQI3GhHBJluJmb1b31RgFu0aAreRc2auuL544JzaWXwXrDB7UqiZPJ06s7NmFj3ay
AjMjzOGKmL5cVLUxHAe7ah8FiKI1T/5xbYQgMbpUeyXx4YXGnH3VR13DGy3fQ7j9eudYqDcyTjat
ACFC4IvYs6Ym1AUZ4ZpTtT0Vpm8dkWXKzYDw6bFp+acQjVffon5JyluwCUHBHvssqpc2C9IT7Yjh
k62iuM8H76VXiQhwYASuG4DRL2MDPpxWinMXGxmEBfolWmYofxs7/FaNIgdi1MvdXcUTR4P21zNE
6n7PjCm0D3bSrLIGFD0m+vzI8lw+toZ95wYJqrMkqVe1HRZHFibxfFwPcU00LflHgmABtRUM8nu9
WGk4F1YEBoltpRZ4UMBkXZWOTaKGn2N6kCJQ9ad+Smz1tNHZEPyWboI0s9coXXwcXhm+drsbHrU2
UY+J0gDannZZuih76Y/KXi+cEjXoVxGpzadI78qtIsNh43TCesnr+jFGmnsN+6y8Rx3ztUW1nfao
LafihlsfGzgihiXTy3wo0MzkPmoal3RGm3bv9LZ5M8Hv/nw1zjf6X09oloY8twxBM9yk/Pz1s9bN
3s5MIzMPZKzEG6qH/JNZUQzr42iekXnln7AX30UFncWuzJJb3DYQ6SuhoWCR1d28yTJNrts2Krc1
QS9HnuXhuhANM3WldQ9JUZF+7ami3zOAg9QZRuIJQCxQXmIdTyVSE7sGmshYVbnPysS/ojtltKhM
Xv5p18WT/OffeqqnP/zSJBPQDnJASSJM/vBLG1UgkIVwgjlxW5KvPaLH0UHRo6EDGpxr3aUw0vzg
xa7xlyfvVAh8/JeFTc07+wL0j+OVOB5cCz20dciH1N4aXJK3oUUzUFCxW6O9//Pvye/0P/x7too4
0WGCq/Og//XPa8IE8CqLzB2vLSxSP1PjoDUxJf78JfEuBo5rNrGfoiGsKmxzcZHAE9C0g2Fo8UPc
KG+eEUFKVfB8Npoy7tFtxidp+YLrZnqy4jM45cL01gGM0kebDuUipN32DZqrWvrBN82v2kWSZ8YD
LplxI9EP7DX80mAkXpxEz181N3YIB4zoHSZGsjVROq1dnkF0tYglrJ2gPEqXnKIyNcu3FJoWaXf+
F2vEaIlZ0IWIEzQn0Ql4w5BlKSn28xuyEtpOTl92Vzvdg1HT7myqkudi3mmfUxNvezzINzeIdiqS
wddBRVLVV80n1/be86wi8MJuaP7iRjeqdsPdtCbazrSeoAe1pGiMU+xtZB3pxqONHf17frL+U8rI
vHb64UXNvOhQWmrJujkeAKKR0RjWJmHjAnesMEgcKEQYPBQhuMQwZv1iTisAz5PpHZlR9dXSE1oh
CXHU0HPca6G6w70dajbtkeEKGQr5k5YMj9HBkCUhYaPm30tliO7mlxASu1AWDP9vZ9TvT2/aBJT/
zM10HGm/2f8sA64iD5+DoU1RBol7HdC2XfoyPWJ2ePUyT2xCU6vvw7x8ja0mWEnPQehWJq9/Prd/
7zqxEHFVwX90xQTdgF9PbU+HDgoT0D2UTrKyPc9essaMXkoTtYZEaK6mmgNWIXHvAlZNUrgeEGvD
gAGGtCnjMb/KfbIN/bF/b0xLRfuOOyHiRyZtXD/EarPTFHvVmJxR9CNAzbvhaxiX6qaIQNP/+ZeZ
rWO/3hcYuFncipgi0QKYGnz/nh7nIqhpozTVkdzUlFQzKt2d2TkkRk2b2PSfa7uydrgFCxT0SXAx
QqPcz8e0sROX2o7Q1eDSe0q4pyw0okbLJ7R/oIT9qP8kRm8vOs+5Dhn2BEn5HIqncrxFNQ+5uWIV
BLku0GePd7UHjlP3lWOEFuyiaM0Xq8iNi9VDiIW3R5SHp5ASocOyY1YDb8qo3VUUSvWdmhVJ6nRB
l85rmIlu0wUpiODOqW5+NBD5rKUK138fPFDxmlUobvNO2ENJR5FWrufdeYNl1h4JSa9U0z+T3Gus
vcLI1vM1Mm80oI9KZy3RvTgEBAbBX8awv5vJHMwyFtIEWjM2D7kPf5JIYSQHUzg/pqiTWDuaSU5+
4cKN64ohW/hzg3u0i0jlQhXqolemuG+V+3jawPAL1pX29Ocz5eOAHpWbw2ye+bzAiEgl/KFX1EL2
p5LLymMZtgQuoTBc1kWUXJuxjhdhWjn3MhIRvBWv3gd2hI8yV9L2L4+xj2PP+aegeaxhCtQt1/jY
/mBBGZSV1hYE0E4djKDUkeWP0McJ5yAcEgDdZvDSR2j+3l0OvfETEynmr558xBaYPuZ9uPRCyKZ/
/nBm5+4vl9Hke9IcLiSdPx2D/V8vI8WACuyrbndEpuevNQD3Rp8VT2ljBPukRpxnunr85lRvtR+L
d1St4RoqJW2iLlRvbim/VeSAvusWrn9hoyCjgC+EnjMnJIpEmPXPXScs2J2KxrbullHpgEFoCvfF
yDomrIyVzr7bgJwMw/V8PKqaYYczs1/ro+O8uHX3DaFwfl+rtX5Vde0pNxvnRQvsYoMIKqfszDNY
sG0THPREpCdLFtkpRtK0Ghj10njhWCnxHitCeS360nwoCcMoY626KpliPJB56ZNbPhpbGA/mQyDj
/uAzwI3ovJhNoz05eUVCYiCjl84pwPFUQn3rff3Vz6Lii9uW5zxI4u/Mqda0cEi9kfpRD7KJgdmb
xKMHXxu/Vx4MWjc72y70rd/bGCPq6hOvJ1/+9AaWNX/zfun2bwsGekrMIGy6wQhjcH7++mc3iGO2
6yCKjqNsnbPRFvTnu+At4IK8Cbu2dpqsvgq9tE7/bDzNTHeGA/Yw7kvl3mjqHIvML18hL/33MYDF
zWZwjGwXxXbymPo7r3TLc1jUrORFpy7ykTiYPLQHxLZZQYKsoT6RRBwd9Kz777Hqsa72aaSobzjb
TZY3bncijya+FGgAl2aoUNk4OD+t4QsJeowWEKFvVHX8UpG+AN1/gMMT2U7wVMdi1WMY/24qA4k0
Q/ZaVg56uxIQp/SbeoMIMjqlvv9zo+mdDeE+SsgN7e0D4sSfL8zvIzIB+h8MEgIqg2rVZa6zr4s0
fekDd91q3vhoWELeeTqoo+SCPeYQYv68aciebiOshmjQAOgBbnc0f+0pdHURhGcV1iF32FbORDti
nPHjWdMFJQzU0anJyFG1bYoTkUhe1QEEn5VXpv76xlaj7NRHhI2hmI524egkdxYuM7Sjiv2IzA+3
VWy170ZXnWquAn8RBwcW52BAQf1tmrwkE6VzCHEQUYW0s9QOskv907yZj6NOSY5TPJWlKeqmUxP/
puptA2FcLV+rPHkYqgD8izau2lINXv1afgFOOtyNosonc3ux74yJcf5jd3olJG6q9Is7s1AOaLXt
gzBqsWKOApUaO9MlsOufm14Lh0vp5E+6GRT7dmgTfTG/JdYUedLkuJrfm0zf9c+3gqIniw8ZLDQ1
zd2oCg5hS2f929vQxePh2dNilI/SgeosoBIzIbvHdDKcCdvpdxZmBAYDVvpSurRlVSc1P6PNPsoy
xrktsxsLZO4+Pal9sfpcTZlEQ+cP9xnzw0VVKNwTisC9NXyinYZJRYdwin7a8fYtJjvKa8vYhZZe
LQ2lNh/m90pxJC8h30d+729qT+hgrnJbP8B/o4t3wQWNNqKgQ2ebl4pz58l3Iv0RqdH8im/SrOOV
fFov/ueVefH4y/fgZPYWMRlSGwI31KPoh58bWBLpFtrow3zonxcHHWHEYj6o+ukWUJdGWnUbnmRk
29eRlckutqAvG4ELnkECyQMQ1H4dTayUxEW9I07Il7btgfKNNfUm9VI/sex/bC2a440kOwXECNfh
6FRn081AaNp88vmYJZ/V2seF5eufEPYaW3IKLfLq2v5TFA7H+Q3kwcTLpnSDOwansHgNc49PJaPr
mptQ3pqNsMiQcqbOdqW7A84YO/js9vUnLprk0R3sRxPPzQK67gSqiN4HYgPXusYMhFtM9JgU420+
XtX6iFNG7//SH/uNDoLCeqIhCiAB1LKu+aERXtad1RBTSrhEKV6i3P7cKp71FWrKVtZt9gb3Fc4J
GfZ6UC4RJuiHiIHhpfUZ3JG3Kt+dXIWDUgq033huMmIbH7uORBVC1HiCWnDI2HVXVYoTkWAz786c
lNoLrdWOqJ+s43xs3lTBMP6lvNCnJcWH8sKZHjC4rDVtKgp/fc4MLHwaLMLFEf4cuiEzyXwCXLt4
bL7ZFgApUwbqgxGqziYG27llwA2Z1A80OKNsYsS0J3wsGh6cBh4xeSPBIIPXvH2NW/LLlbz68ud6
aJ47fPiBae1QD7GiAH/0cY2Uw7YalEFPjrlgPj10ytJXg/xZhVY7xWAPX+VoLMPMuCIhBijuNI8o
A1e9V2bbfBrMzxtiQE6djeLjzz+c9T88tV2E0rQn+EwF658Pn6bl1Rhbs/RoFLa3lHgU7udNHijU
/aR/rxut/HmsC0ZtLwHKLOa3zC90+F3vGTXNR6zAstZ4j43lENj2Jc5oanhKd9LopF/EtEnrsSUN
SCsR/5NtjiHUuczvnd8iRaGB/cdCZw1WdwY0Mi4CQw0eBpEFD7i9V05SlfdSOP5Dmo4+o+8AIKaJ
lj6uAjPATNiER3/I7nyU0v7CjfaRYXGjI9V6Z5pFvFYSs9nadetdYsBde11qr3h3m4uIt9JPm/3Q
cof5sfZhonDyLeM2L52xdxsX38ITlJSNfWdFzbUGOPkGVxyNfa8lT9NSC2DN3/qwv4+loZqSTE6P
cZr76R9XQBScWubERPhoAAtTu7i2jHBZjKXtA6An8shStV1VrvKoesTLJ85YX4OEgPcxyB/L5LHN
6HF6JDxfOvqWWtBmF7MIalDHfbFpWsffFNP43pt2+1j3N4K7+ErBCrXx1TK6i1ztKGtpPsybnkAs
2ji5VUcLbSrMBW6ok1eMf+krmL9f5NrUDnW1Scti/Lbus3UjqmiblUfA0qhLlR1BqtaDImux91uc
XKqdmg/zMT1d4x3JHpj7IiaQQ3KXEzoW6qbxmWREAgoQYZ6xBo3ndhg9+ri8YCWf8yxwWbpPeqqq
KJpVJ33shfrgb0kuIs2KT8vYFmisloY9aMc+cuhja0q6RyO3Nq3xPNZ38SD81xI96IKUMXnGKRg8
Zb6x0WPNPBQaed9xEtVAo337nPXSPloBYCY0Ne0zYej3fai2X323e3AJCvr05+t6FtP/66bjIjma
yLM4E5BY01c2f72uEcX1pXQD8xj3gbGyzGE1ee7flCyxyOioEtqQMn0mgsbtgB9o4RvL7GGjuI2y
Hcc0fMsSYoLV7rUY82HnKmm0ydUy2PN3KRaWVOqTwgSJNRFfxZKANt0I6tV8TC1bQUjK9Mqk0zvh
MSOhPorE0bG9R2LY6vuAZNMnv301SI15towhurQguRaBo8uVSZPuWCWqsmrlVM0EtfPMWOaa5gxp
TKdyb7W0CLzisAf3YK/lhMoAMIiOHrGSLPWscVOqVn9Q3dC7BPy5GAlK/x2xBR+91T15Uvss/VYc
9czgZ9Jaotj+2QfTOjU/xWvVNc2FhT7ZFoZZXyKRhIsYO8D2nxccsphXdpOiGbXyG2ld8ntc+kvs
jHiuI9Og6VKW3/uUkCUSgEXa4yXiERP58oWyXL8ZTYPjOvPMH8clx+V/jzdg7rFptz/ejzlP/HVe
7n4YQLNg03W6d3hLHA1Dg/XhJOE+EMgcWNbRSp5HIuzuPCPR7qygeIYLpOxbz1bv/jneaG8x5inK
yWDTxJVxDj0hzjIIjR8bM0ST3KtGtk2LhHye+ZX5jXU4rMxqCuNA7roPDd9a+d7QLkdCZYAKO+ec
CeTncEqy9BunuqqJ3R9qlaFQ0kf9a1lWqxBnyedQWtBzjB6Ad9BPATCiRlRTGVvVHMzHoRVySzKf
veoqRzkVrfONeR/lK8Y+RU0ei2kHwf2jysSIbOj9P986EqywZaVlr9pKMSl4FXEoiEZezLtFnhDj
E+Ginv4Z4ZLkMpKkcB8CPk+znlxoRbwZQ2Z8inkUrfELPkMEZQqm4dlXtdg5RCWZ0o4byR9qNeoy
9YR/WDvpdPwb1E97QVAsMRzEFNJBQuT74wuOOHqxDnXVb/ad7FM6YPI5RrfPXZx+oKGPBALgIQwW
VWcnO6njF1zMr8eRme27/7zbnt7NLc3beEHRkn5W5duiVcUe5IaP2JdnC/WIgtWEa9mpCWPKrP4I
OlK/xT6nahBU44qoiYLsdnbnF4rwC1Ly4jofGY1C2Q4Mppbzbs398ta67XuRoCDoe2yP5ANkELgs
FLjzZnSZkOJa+XCc7vAzZfew/+c463hvI8mbcCSZllGYQ68OfK44P/zq2W387uX09Y0OLhKaDhiR
WtQvQv9b2KRQYKPYuKl+dpk7rDVY4G0SA8EcZDe8NPbwr3clIcGAbRfcxKi3DFV94ofyoj94EbpJ
ymP9Mub6RulKKqBhfEtR5X+Hmn9rB/cJuTThD1bVnQzSHjH4Wem6TqPuhLaQYGvhh/JUkQYrWpxy
ARPrLxXOMdfWlU9jTbL1qKndnrSD4ja/w8rcpZ/ZBGOQYTCGzHntalIWKQ1Z25UaxcteyZ8GjRwf
kwb0JmN1txuB4meJb3/38YkH5FjNX/z3yPzF/B7qr2/RuMsZDFXr/tC0TX1fJ0p/L0dYUinw1lVn
kXJMZk7h7EmvOdqu7r6FnW1xY0ecUMLqWqtmuFfGMEeizrIxbBLEJEpIWMx/dzPHLI6yIMAsaHE2
DCnxlSrruCPCZ+/BtWt7U1elgBYuvQdfERSJoj2nmqyP1AXa0SOJjKFvEp4wZPV7luKEpIjwjQmM
+RiLRLsF+HVVLbAevSyudwh8xqUy+C+JqcI0T5v6lieDvKhWfRCI9O8jxT2rFrg4dvKbDOL8Zvhx
t6LdnzD7ZHd+oWr7c4Ah/6z1fnqnau1G8KE8NmbDGKgQwXHe9fqhXuUtzIu+7aH+El0fLfM2MS7c
Mw+NRBoZ2uERtGJyqHJok0TIW6daouMr26LDRYCqsUpPrVOP76XqLtWaU5IowGIbx+3hx/+vSBBK
+jzLlxaOzRujlGSLRE8/kP2enz0nq9ajl3ZPQB2Ia7UqA3rWamii6jt/qK+xiWug1z0C6wh5HIew
onxjUUS+grce07R8UQsN73rmupdWL/tHeC2b+bjIvGbvZlxIlRbv67IYtkOCBi6lQzmsGmXUl9IM
GUQEJUW6o5QmcWbVEVFIcJhVkPOh+as0fwayoz6EHcIzPW7FCxouIDgU0u+KKm+Av5JvJpTJ0vHg
k3vFuSHeaMfwkbnVEEbHvldZy05fGX35c1MTnd0LEu1qvF9q6KRnJubVtRJmf28gIzJ9oA95cJ90
OjgJI3Duca28UQC0h9hr+LZBGLAdPBIvEV9+IdU7B872hcVaAxUfngAwZloS+NFoJQx5CI3ATz4l
mJNT3zBeWfbY5AjW3dbCykr71wPp7pXPEZmKB8dmYe26UruLPOBNRRJ8BiS7jTqEJ3rqEgtjZDZ0
i8E+F5Xcw/tLzp2XQhsRafNSoMk3u8j+YrXF1lZz2NowN2qh2ROHSjnBeQ0/t4ZASau41ie1Y5qa
NEFys6DgrhuXGDhoF/WOyobVgWz2c488zrRD2bn+de6nYyr+sddqg3IKMamfrFIrr7BjeDhUibGe
d8Oo/JbXsIOJ2bWuWdk+xrZmvQy61U+4zXJbwnZ9sav4zOg7eXCIaLwbU0asLhROGnX916x8HmJN
fs9ai0eBbn6i+GFQpaFXGUSSHZRCJcLVQVRTBg66WrM2j1FUh+DrsqDcDoqw73xSNiMEqQ9D1hUP
YLPCJQPxcD8fq+PCIZ3I/gbhh5YQaLJXt0yH0/xe2SjtTqlBAM+78zcEcbYaIl+/t4zWRzmHGSmx
lmjF6ccN0cDsaLC/yKr92jgeWkh3unZUV3kQueqsVIikd6mnxlu3L5JTpfPZhBCUHVBA59HI+q0n
6RbXfbNXSZJblKlRElvfVleYOdemHm7EihB+AABnpwxGfGFcXWzzlJiX1KzKK3K1BuGoHaA/ZReR
fnn1TAxEhfha5BtLCwFtj19G2Yg3O8hKYnpIZXejivvBqKRLXZhnA9TKt9ouTkAy09c4K4sVNDbs
WlY9TO2eqfxmY3u0KXUnLveBDJt71okPg5aM2y5QYz5QN0b9lcgfXxGyZUyelGZdqYm4EEdkL7tC
6z6b9Qv6jpmZj2C0whifOw5KQN/ctWGzz3o0B8SAf9ZN7xBHVRrAxtmRmcCNxMmNa6bH9ZuTW/ai
Y7mCwY62dT5+cRmmwi1pi1tdIGy0n1HgFLf5QOubLEJIk1uk07H5BcUbS3R2o7Odd+M2LW/wNhas
pfk13U3n+M6L5ZxEX+svPaOXva3E+Zr4b+OVNELkijGi37FpIKUiXAQKUdwbPE8Xg62oyGyaHhVG
iDEA+naBgv3qZon76I38GQs++IT0kYWljtapbM1T0ifVNZ42ihN3e619bsJQO80b2poke5FoL82r
5Hl0nWCe696FOv3PMWJkI+IQAZY1sXFMZJKcKKH0dVmSFuLI8Usm7OYbKlYSp8qGlQzZZKPow2vQ
OMqqVlnm/KOP9EhYzifS54Mb+cmR5i81o+psaxx8XG2xg+KHCGD69SHFuYSN0XTAmr1ADfe9H3mX
WpCc3gWFhXjW+Fo5eftdvCQyM777iQm0Q8ufPW6ZKymC4s6INHPnyCkhtHKB+kVq+9BDc9sSi2Qu
55bFOB0ziECw/PBh3lHn9D2reAHsGq3HOEVqPm2KoFHvemUzH8lHW700KdybrumJ8grEwZHueHLN
IN5ocQikyAVsm2Rm9I6U65grAsLh4Kjw5Qf/axHI77nHPysGzdqNCmP5GA44sY16v513s6IBWugO
1cYTWvlU1L2z6YElrdsurJ5yPotdCAJlNb/q9LqzFeAqTpVCVm+UuHJfkkd9ZkFIRpNM/AegU9mS
h2/ySvzoM/KF5pjK3FplFJTczrOCJ7nTUdInlH6upnyKhuIs/CH5UhsVK2wGkLeGwK9Og0+up6F7
Ep4/qVpawzm10+b/EnZeS3JiXbd9IiLw5ja9qXRVWU43RJWkxnvYbHj6M0D6W1+rT7RuiARK3Wlh
7bXmHBNpm7Lid03mYZMIrr2ouvjNUb5BEjwpifXsYQw5ucyGiNvtrRdVT/xdFertSh0ydSm8yDsW
gUHCV5jIi6ii4uKNhopgxRi+/DqRBW1xsfH/QPnmRCrtf/2LXydc0fV4Po2f/4LsTjLxqjTmCtQF
F6h52prlQU+AuxVcpDAD2Gg5UPhY7/cSZ+zFMnR/M5iCQSpGhQc97AkLiHzuG2BJdsK2VdDCVDum
b+20Se/nO2nzMD+aN3H/xpwLXCr1iku0uLXwCzVf1uNQXYycoojZwNVJCmel6kO0hr0Dyn/aDNr4
f48Sm2VAMk7MKcN6YX7AQOnV8rhROCakVr/TLwmwnoOn8Zsp8UG4kyNi4redfZvuIfKnkzbVpCTS
jUtGMqg3p4K1j61wQ+KsQ14gu6iQGTuNdbec/5i8HhU5RlVvnSaKtp2dgAnpnco62HUZbRUHRRcO
J5LeLDfpNgyf4GjYuXGZNwVd1iSU4ki77+ehLOi8U+a7VEhaOmdzbWBD54u8Ma21bsTuUehez5Iz
rNnOBwpzNPfQ4A50he2r5mCXFsNQf6tJerR9nWw2NzxCr1kwbBr+Uqro2dTS6s2bFjaVOdiXwiRc
0Au6Yp9Q0G3LvnsAMuk/NG3yc+Oo41Yde1yjfx93EWWvKuDVe/8dc6P/fWLxLYji1vY2CZarebVs
gCRaixER2+z3AkGTHS0wN1tRu8oJgRsQtWyLD8U6/fYoxjpykupYAWzRxSFEKXOM2uTnJosN75hE
BrozfKzoUuEerJRC05axWnvIb5p6pdHZeR1b86vvOcVfYb6myw+0FJ/ESxyP7VulOu5S62P16la5
viXvoj1U/sUvh/4kgSKdFV9liE/a0VIWDv53/OnReT4TmUq6V4LiifgUZ5+hVPmhdxg0uu8e2oFZ
v1z9vTufdcLeIjTaMbe/duc//vVv57Nz4ffbvyWIw6ekd6DG0y1JvHK8G8XQ7jA9u7CF2MXXWp6K
Mv+c96rEap5a9166+Aew+DIBBkNzcP26xMotmvdeVfOFVanqJW3d6kZR+2U+Hnd6vPZlJvhhe6S5
0TqkUZplRrSrinJhy3I4JU0dXloUjqQGNOWa0QlrNV1ZFsD3PNrwrrgO3CMZ6cQeNxYprnZKtgHP
aTgYsVcsa5H256wzijNky3pZ2LH74YflwzDY3a02skPC5PfBlVa6isM6/VJ05QJ3wqkZ8Zb5vaac
KqsTD2ZKhoA2+tYxtWrC9aJKs47zZpwOMvPe5Wkr8YOUcuVbRc5CWTIx8PiGVIBVD11ruIvKSr5K
LRlI2QiybZRVHsLxNiMye9CVPVce45YlgXaTa2km4tX0GDiCz8qX827XjTYGZglfPXTbpZtk4YOd
GFdF18MnWPbuaWCUBw82798dt6tw7xTGgx8KsTFrCcG28qpToI17u7X8vYYdVC60lEB1q4QlpnC1
uaXw1oDXef6eKQzBEmq6IsvWflCCht+AlO66AN/2zFLkr7T8HgY9lyYH7OM8FvY13Vu2aYXNvnVe
tMGF0xVZqK6FjWy7TtslvaPX2MF7UpI4dgxi7z4QjHZNQtfdQJfPd0UZU/q38TdYuz2uZyQuncxM
TKr9Y5Lr8rGNouEx6mxCF7QpNNOycsblnkKzw9spMbmGvt+8KCbV7P/vkRJb7Y+zCmDIByUtXuZn
ENfDZ+fo+QElLqMsqUHSTLp8q5EFfc4cJT+HdtWvtCpOVm4uHShPMf3uyoPrmJhDeM4pLLZKwKIm
mnZNCYXH9fMTvZYL8uziEEKMOc+b0qlcUGyajsqoQM5vMTVu2PFbCFCj3WOQDEVz6uK0OZV2qe6U
cQcWz6Tn51OBT/WMmub1Q+uoeFyk4TKkcdJHg5FE2hfJycp9eCehait4XkA9Dfqt6/V1htZ04wbm
gOyotKbVJIHCUVORmEq0Y05TENMBWFvf7o/SIP3Wr1T8BNOux8vBSZHT2J/3y1GvMemECHbGOjvY
RUVAW6NF91piSpfKi88StlnCwCJCOfTps2D9UJjFPszyeNqjlH6FxrpiUtDPxwrpmHuPVXmr4cMp
3lmAe5+a0n0vK7t/othVdlpMjlCZp87LQG671ZvuJ2tjiUbXqCiWS3mwMhWTQKyecUwYazJPvJS5
3bRRuc/8eJTVasuFZnhyGF8ew1o9BT1qlmJI4/X8aCzrn4/mY0B03nsrrDezKams6VTVWET3Sd6M
d21hsro8RLXzDsJAIBTrxHV+NNTkY2tu8vDreBJHmJIR/PSQOU9q3Af7Hs7wvinM8FSOTUHjdB/I
17Iq/a1XRtp9hGC8LbtyXM27ncyNo+K61WJuWrfdgJvKGjfUZdWKG1S3AyunneZNpqQuUcKdvej7
VP9xjBxcjV4GeOIfPiXYZT8MTLEEeV1k+CKa5NYrxCDnA9qYqQUdF4HaLeK/h+MZsMKOYGTE3WlE
3JOvmzdE6A92m2lnG+zAU2Dy7VP6vLwbWcCUzAhqTIeu++RlDRgKdHWD0YzbYdI86sGxjJTqgbiI
Ex117wqMwlQW+dQuskAs+vEud3ySJ5LS3jVw9c62n1frPAmSo4u6bmWpokZk7dQ3Czy1Utz86XFO
B2Bl1YqPba5rVoJYEKxTtbNxSqV+GND3bJTC829+o9zcxqdFHEYvI6oRlGX+sAOfQuwvacfStc0T
zXZ6fONH4N1qvERfCAF2WRkiqNFzFSytQhKU6T04lWLefmxAP+wnbfXi1zGRso4CJpyudK+yfvxd
7CnK0qBM2czHIsMZt1Rq+H6IHs8XCUO7A2jY1l3nk/TfM51oZRI1sEn0ocaI1raPrN3SvVab6ZZx
7EjUYPcc+Hr/VYnSLxBfnXuKUngbubWGtE7HQDj66VLqol/1nWNsCfcInvl9qpvYL9u1WaTBsw+e
fN+04d3jXnJKHNlf3A6dIzfhM3Jne+kDZD06DUoaquIH5H7KO+L3YR3rQbYHglrvlelzF2qnr82m
yXezrr4W2qFsDX1ZwdNYMzZ6SQczQprjmxdRjOYlBnq8ymFxTIG+aJpGrLHMd1iDcqFZV+ihL6Ws
28cAbtwWwo4Jk45Ik1W/FFKlaWYNEy+7rb/2SdMdaycOLoY7pQv14omP1mcFbKo/dhk52g9xpb+l
Ve6VS5p1b0GUvAqNplYg8S/bhdKoZC/Cs/ZzgKZ+z8Gmdom6lOgFbZlbW9gg0+qwZMAtbLHKTXXH
ijtYkwXc3/IOWWvU1/LWG2LvG7J+qDF134vUfHVKEZ/nPb+LlEUhY5xn0LtfwZkv6JgwGMyTbhmh
ovtultqTq+b8FhlXbhLmjrXJSl21kX7XbbotyEx6dSLiJ0DJm1wW2IVEVWxRRjlr0CUpa28a3sBD
G0SHhBRDQXmN0rsaJNFnw9hvVZXaeGxzcvy0oYdoXWrh5yjiD/IypvGe3S8qk7AUkIQkPZqR/ZZk
3HWpMEL4bbtWjBIPnDnci8i4Nb4Jpx5k0Xy5Ml266G0n5EPteyTmWiU6AHdLbrPxUfZ2SNK11x37
2ByvqVAAuQNM/gwq9+TQRHjJm2LcIpvKdrrtl9RDrtwCW9jNFkNrQKgRJlVCXhizydgIr7XHErXg
hUa5JcTaifvdYKrQIVzk72Vx0uysIpa0/GvemzexPxSnX7ujBKJcBbvYFDWzHBe5aGIJ55JGeb0E
LtbA87ady3xs3vi6XJuBETHW5zhGQWDqSN3rm0MrCSaA+hInFlPGrG2hBrMbmQwqHeVgKhaTk7Ev
C/rLXbcKetpo/GgIL5KCtpobjsEOH8HdFZr1YiXSRkFcePuyLKyXxPPpnCbtyew1f9+5dnMsSg1z
e+7D7sZ00G4HMchbWtEoR1/5NG+UyjRpLSQoOjyGChBKwhWCmsswFNpdiTXtzoUFDVL0VOF9WrpQ
9J1FwBV1rdemSR1kqXvgQfFu7FPtOrqqvlTjwHqPDXmSaBC1njD1BvkoElruptMmHyYeeaytqGvd
MxNVa+VgBVi1kQmq2Ecy6MbSvBFGHT6NitzaalbtBA0/EtOHmImPYW2EmraPGRjeR6rwtdeEHQ2f
hBfSpwfHy8OlAqZksj+aKwJliv28WzoKNdOo7shBSABnCppJSBvotFGHpirxmtpAgsGv3cYL9b1e
58bz/Mfz2Xl3mIpW79jitgxXUkb20SOHU0M1eSB9zDpmJJgtW1G8BZMESe0c7orNeI2mvSIv3Y2d
tNUqHzEpcqV3l4oS/DxLkoy7YYFVreY/FlaS7EhxiZedPjRXoh+bq6X6qO1YyK1dTHnewuWq8qAq
LkHBnI1hJxAchgeStQ+t7sTMaTF5Qbkg6aB5NB2EYCU6l8O86xl+fI0zuRwmIfCQFM2jPnrl1lcD
hGWxfaubOjqjGAkv3FbfzLBIX5TQVx6KlByhPNLSFyj90bHsgnA5n21I7Nw3dYAiLI3otDTAUKui
lyd6UM2hdLNdlbv9ad64FozFHMDsCZ/UIhp5vxe56+HpmR5FHKN9xaPp7ND24SJpy+S575OvQcqF
MRQZUpOsiq9tpfnbMHazQ1+a6SmIoMa5oW8/Qb1gopoM8bZXYJbT5/TClcJzPHKNdY5+BfCRZmW5
7UVpbHBPyy+GWAsY9x+MvOMNmrt0T26TtkJ8nezVpHb3Qx6LpTp9K/Rpt59252+FxxWWGkW/WZbS
n2qz/96V5bAt7FKe5kMOIR4QgId+0RmBc+4DCN9GJIgV67WKOns62EybnFg5j2wfI9Ptc439KaGe
342aET0qEYOuee5HH6ehyE2tqyJC+SCZ/KwI2WienaZjEWB/dKpiQZthOANOG2lEYX50PTmcteas
nMATWzlSr0H0pbTqtAYlcjTecwbr15ZOg0sWyqGiW8Z3LYq+CLRfi8SIvCvsVeucVSRXzScCcEHY
s5Jv2En4okHIoMebLI26CncG6ohbnUdyl/ItXQnCJM5Ry7tZkNP56uod8RJ0bcDnrgrVkp8hQstl
YGTJI+CSDhMuuJzYGD6sPnCPvWk1fFhErngjo7p506UqZvuSwWELVo0ko3I/xBD6R2DT3xAzj62o
vhgQivO+rY6AeEt62pTmRyYxNuvgWtmiN0AFmpXhzckywfWosBeFL9MvVuToC62rzHNRRcZ1cAE8
tEmQfelIE1j6o/INJni8jvO2etRpCp8yJoweHVoi4GgYbjq3bci852zThQDTY1C7kMaNwziFWXdh
TOB9/RGlFraGVvzcwLVBGu5JepfEYFxcx9n9MlXhVIAO7LTakkkiUTyxylcFDODm16PcphmG381Y
GZo2nLOiHs6OHQxn+Hrfy7QryDjLx4em9LnJSGuadyptemTQvjMT3LOtGAySdgPzSbRtscucUVuO
024Hge5Rqd9KQ5/E/+V7O6rlUWcc/TBEabpBQf/NyRJ5DRlS9ywH32XZg7pJVGujkaDzLoJszW+9
eUkyNG4xqTQrYzreN/ZHgiF0DyStezUmV3Kk980lmDdqJe9Y6CZzQpxpp9ou/AMexnxVTbVGpiUE
95G2c9HNxLkGsvweYCWBbTdVpq6bcRWm0r+wqEZVzWRhp/WecSilSvZ2BR0N3nm7tVMzOpeQn88t
k63zvOuDSllNkYcrRg1A57U6OztWG6yFNK0N5GJxt3XlIhxZHIkYH9CdptVX0yyTfeCNzcWVPQ3r
wcT7YY93L9LMZ5IS4m0tZL5n/lQ+1gH85MDT+q99kO/DSqvxH7H2kQHuTCJxwqtwQtJxwDZ9BWS4
MPMg+eCT0BgEV3+wkVuTJf8fmj9LhxWLJ9S2caURGPVPzV9fJxEYukgeEcx36zSX8twVXYywvhrJ
HCGKN7EzCQTH7f9nUweZuXHxvmupyUzZEQLIOMb+lTapKbIoHuhsZd6R3lpxoZuJ1a2vsq+FSdCF
3yB88gLgKTpASG0w6kVWOumCnE35gtGMEihM26s01XFVNH5/soyx2geTrF4SpfnaE75jjFn4lWYL
wWldNzDGavMDfe6IL6Mu33or285/kVitizqMzB/iudLj1OFZ09UNv6QpFljVCL4mSk9XbFKA0szP
/uRE/M3EPWnlLJsbjWPi4f63ijvKrKLxqkYiSuFVttKxlr+mu0o0jhswQsBDhv7ww6MmubBnKcPq
Sdbd2aF7cOtOWQhT6M86coD/FnzyFP716RsqnzzkNAfmOrGa//z07YzvVzR2ApOYAZbL8I/zJnT+
79GvY1JnLlZ8r9wh389wp2hq1Ziy8vajy6B+oiHMx+cN+SbRwuOmv3UQqlVDpH22ziFDS/4BiDJc
16EvjxiEm6teTBqgTmqf3LwRdhX+i98hWHEN/BweqVT3MNXf4iyCsxhnCdN3yAKj6U8j81TbZBN8
IJ9pA4VurVtFFiuhjPUG+r2xCUBvrhqntM+RKs0dout2T26uf8JCUa+9KhR3Lcrp2Lle+Vlb3laY
fR0suOmstNbpsUeiHa2bp1pR3W/d0DGHA8txR1jIUtbQuz3zuQ91kM2yMJviDpomufqWsgvGtLyP
qVXc+1AA7gqsy3yojviPAqBzdvNJdEbEoRgwoOazuezkOYGIM59MhOXtYyKLmYL7KXO2Mb5kKzIA
s8t8IDSLn49k7uEY9QXFmEoyMSIOSo+OiOw+jLfwwjICoIGK9awpH8JI2w+J+vPQfDK0/A91tIzT
LPgbGe1A/Qvf585g0jNa1az4PO95SgULy+Fi+GPXM86JnGgqqRpss3CsD4NOmG0kna9Ef6l7qhMo
bqEbX+sq1Q6qaO6/DplhFl9DFWG23qD/rNI+APPpDeukI5ewM2Pz3Xa8z2LMk6+gLh4EDN+/mOUu
Y/gjfLmMJdNNsCYqvBUwHON3KlGgP1X0iQ4ctVbsGW+DYNESEtf2TJCIs4Robz3ijH3SqzhexjRB
D26AThi8E58sv7lP32hfgAqs+8oFySqs8OxPG68Q4bmQWLjTVB7VRoUVXAUrpXPxocddfE/J3Hoy
uhVhQfF97nz2Ftw6AUHh+OOY4zYbj96Gmw60O0iVObiFkGeyg9GjponzRhjAWXF6+d0w/AOua/0d
rG600nsJR9CSLLZZt2yxS1SPPXBe5r3NIqHmeLNDWa5k3yj7eddJk40HdxFFqmwvAYlJP/6MeFVt
g/3H3ViOlr6B7kVcxoXZzdW3HkzgwmgT5Y58q1hFfT/e/JZ7ko26BxWkq0EICas/GEmme8s/7z2G
6nDvMU2VfCCsD/+8+jQlC3O0QT2CEbN4sumxb3SLdAakvBBEhCwf416Ea/b+dNub/cS//a9BbyJh
Bv+FVeJ3f40Ulp3FXjygNPS9c6OZ3+PMNXA4ZAOVwl8xQQx72VXEZEVeT6BvvVYjM77Rze33/30R
1n5/FyDOWy5YJRXcjePNiND/JQhEtPqFp3Q4C9JeLL0xd5Ec2A0VfchKetqIEjixKBuxsmNfRTKS
vLsTAVAb1fpJBPa39lgvEKAlD860AaL3h+cICu23j4onaWtgx1S0zo6LW/efH5XwMhBVsAip881+
K0Pbo20wGihBGGJ5lGlrRY/qGwr+gdCiaCTf2FSpHw3l2a88MMGKe9UMod3R9u7Sws3/0nzvMIJl
+GLXLMddSMPXys/JvEMnvNV8ZPaGk6sHM/nLmHemTSgNbyWMJjgpfkIOuy5fpBzF1U/CW54F462o
tMei14dtkMiCPn4fLaySvrHM+oJ43opgMV0ar2SmfjTGPm7QCGeemVFrqVQc04Y8OwK4hMZNt848
D2OoXm39rgxwvmXi6kwDxUKP0Ecp3YdpoFXoGry3OproC0KahHauITd5BosFjYm3GrORllMhnFOv
wr0b+g4ZMe6dndIoFz9VlZvJTeCG7urqtV70ZsVjvxuTpOAa4aZ7Cblv1fgxI/fAEhdi/5RrWYbf
ISZp72FNn9EnTe0AXi19jbp0mXN9f89DV912WfctbdscgJsg2Q9lkHJ2q7PiWZXDMjLqpyWJuoBO
kpyqYmRx1SnaIyjQfoeoMz3NJ9SqH2EUa268o/IH4RYPa3ijDLXSvx8Fofx5bHrkNG1N0KRqr/K9
5G7+vdOJeMR2UjxlNRFRyFDLQwuk6wynjCFFE6OZQCiwUupS2QeThdkUXv1WdwC66DNnD7qSJ2/l
PbdF/Ra7ICsUNcf3Udf6WuQJjFen/YpXuPtulyNmJ9F8BsCQlkrohDfiFV/DAlCfPY2KDJlFr2TW
HQ16KJ+EW9EdY/R0NQt0ETLvwqPvhOKpHccl6/0ajBvkNxv2NnTGQNkJNUyXulV7l8qtiORx4IGj
jixultoZT37fbRBWiVe8VdFeQwBy0XK/vqgsQGSX+tfA7IkZ1aIHJBT+bsaDOH+DQmJ9Iuf6ZrGY
lh3iaRY+mR3xkbUote0si3JbiR5Yr3dR4yyJ227gkLEZe7P+n82vY3lpI3QqFFKtQIQA4UhuzMRk
sNRoJJSBrV9+7HoMykJFhqdmrSNi3M9KNG8amziDDS66tL9DNm1WVmE1l2ZaVRnTo1xzbqY3rYkC
8dEb0v4YquUQZ9WntCtnlVq+CoHDU88+Uc4i8/ivE3e174RfvUNtL0WgUWMAEMI5gAfHNvJT4tVF
iMBdZSwGvf9e1ggY0QAw/S6ZWQPz7vaKpqG0MZQvokZB0tBKOLOOQG3eRsFGNE330mTOc+218Skk
Y3CKLlOfvOEbuRUdo4HeXgg4D08J9tatJxBv5TIZtmFa1xvaUweFdeYuJgZrSYiUuNd9ky1Qd0WL
rm/jbYO4nHfScy8w5TeR66gM6ov2aDT9szYm7qav9AbW4GfixOHFqNvhOkyEPgR1am+U18wZwqVb
8kbho6Wcy6GZNzJ40DQtvrBujy/pwMWrbotbNPbhypJRt4skUqu/wWgzHe3XblW2ZDqFnnZoc78/
C7heZx0fuVpQW7iShdx8vMirv/za2mQkhK6weYhdXFrqS0f80qJ18IbbjX/Ou1Gu8rTolgDuxlUy
8Y6NAlpQNrjGcmiYTlUs8K4QAhUM4RZ1s4oJZPL0kxqrP9WzK/D/9kSjG89TUAFuSnEacMRVa6uy
lIUz8ZFKM7Z3riChFcsOwWs6P7FjXirBse3FI1QLw4jf3aqp7/PGr0859Ogny1Wq+4DQxa6hUREJ
x71OqsDKvC70D/MjCn2PUlOo6xEUSNCZKgJaQhiNKGsWMWSvAy36eA1VJD5VmWrS5WrEB12OBxHr
5jOQxnDfuEBfw4ixXdMqZMABKEK9ylpzDZmz2Q0Bjd0gdJVL3/XObtDVcccNrLqqAQOtWKQo+soq
2FolFOU8Nb0t2YHlEzi44ZQ6yeO810n7xpsA88/XhifbH7fcKY3XiE9j01Tji0/TajlITXtv4D0S
zS29Q5s49iobVeuo5EQ/9lW/dOzmPuGeHxS+4Gupw66JuVWdEiVkYiVTanLb+DHjmMcboRjpx014
57bngr1gJFwsTGug0akmj1k2dJ9qYXx6pd58USIfQhZiOxzh4wQVxfLOirFaGrFm3HMNW/IIa+EJ
CaO+SnDBernabwLRD2e/YzMaCVaLMWoWjc79mx+1CWR6qGm6HlSNGMkFIYX1ydLzp3Ssxl08OmSm
BSfdao1nK1BvEBK7H9Zawsvik1EH98S0ipsK7vg5jAhJe+rzrPlIW0tZZ5qU+xbyRNui7yNrHt2R
/R19o3cqgU+AzcRvckmV5lwjeDv4pf/SOyI+zLJpaTvmBlwy88hJQG2Y4oCW6BaVZbBrK/z22djJ
R9V7T0fPeyScSts5tZNujbjzXyhTj7xx0Sb0G2uTU7OtLMa9G5aC+iPqKf3RFITiltrNnY5YZorO
rbXVZaWGuyo2n9GWbWu99M+z/wTvWn0Ms+ib0pkwUqmD56fYNl170Af3EcvpVmFW915nksSBLE12
ekZPisnTIxMEJkKobCa0QvwgzCQ+lFafH8xYWQ8tqlF+fcqkNF9ETmuctIwPYMqLmXx5CqnPa1EV
wW4mR/mjfA1IKDzYmA6vk/MQOBie4aZEvxFqmzHssRhPm/lRSgoyYQ5QrAKNfnhqyf5RcHPaizjE
+OBH1sqgo7hUNTwWNWlvhITSdmGHbqqy8lrWV3aQa8sob23iEn2WsC7L/aUzrIuy1h4B4OED79DZ
Z83OrOruu6cimIcenN41lEQb+GfmMkfdtxFpwwAMETLEWYLYxECrnvrVwZKsylWK8e6mVAHqwCJx
zpFMy22J/e5BEHuxdCi1CCAbBV7fXpzGxLLXkVNiJjcqeBDBqL47wnzy7ey5TV35JvUbVxQivSwu
lSzmtY2CwXNDu956QTnlMeh01mQDNp/EvDSLroz5L8MQXuvEu3w05cVt+uBLy/APHaj2F8rr9tGP
aF1nZLt9cPPhShQVJzPSnVU78Fd8jOBFUi6vBnWqUtbooHsUnHktbi6IuyYMi0c6y5MJxP9KxIZ/
njdNNZB46KXtJhxKcl5wcR7oBNNhC/tsPRID+OL7pBeTRN5diDXnu2fK8EGZNklT/NxoXnqt47K8
JYQukVZqArER43C20FIsEOl4XyZ/4ILVmH6LQf48iNSwlk2Mtgx9hLEVmKGe0Bo3i1FvG36GTCSN
sHb2jXca9Ng52aXhrMPRduFMsqvj5zhpYdRvYZdaXKXUZyYPJd70zrrnYY04xaLzm8S1se/LG9eP
7lyKumHpRtqtZ/CdKZBIfVEQCsGbcKqz0Y7FzZPqdzCXyReCmZxlJqGNumULXUDt3856UA9vEdeL
ox7X6pKxVHCSViWXY6nBkDFheovJTV+1/edYUOFNms5HDRzTYqxa91v8yKg5+Q6WGN2VldmPDgB7
VIANzdJRyBXjXv1OkvCIq03D21PHBi5TV7sWSr2bT84bgsphmDjWozv9gZJ610qSmYc9kRs9LUGM
4J+1MiGIpjvvtEcqsICLZE1T7+nWNrF5iU17G3JwKH9YuP7G8/emNSHtTZbQLKMJuf1t+W6ZVmww
4fH21Dpkv0r3BJIL4kvMRYReWb9tEDLuGJQiyKSk7a3o1ulwCDyp1yuFDImtgmYbn3UXLqZH/SDi
x/9+jsZvlPr5Odqm7ji2buqWa/8GmBJd4CSl0aBeHJRqTzQModI4SJ+MjMD3VtdWmOIRCUN1XNYT
jqtzGYMbCZiZZnSRUHnOya15ZUqWu6exgeWS0+bayQBBqIAMfwSasiTHKD3RBH4MzPTDoix4MY0a
PVwj2pMWta95Vvt7jIV2ssht8hjyTL399+ucWyX/28/gs+AD8Cw+EYeO8+/kXUcpTa80KmfPVxPB
AokEns99I3L8ADtFunf0aHitss47SEwAy2Ks1JUXeH7+EDISWZaaqrAucU6OIZN46dVOsecLzJgk
y5dk04cHBZ/NJEt8FfAITkFlZPe6YdgUe6aymXdRlaVM4xCYzbsWqU+PaYDplMCaZVxG9ca1/Bzg
loIIx7SgY3oKk8558+tMWWXBgxPFL6GDrgSeib3777fqX62f6a2iQ0g3w2Pppv0OwiQoK7ENS3H3
nqwXSpSYZ61R3zFK4hhjLPgh1YVe4JM72cOUGyJYKQdW/ScO32+wCr6YlukhquALTwvK+B3fmyFH
0NOisPb4tK9UiAGUJrkhUOAo4HHsAgbJC7MU1zwRHxmOkT8Y+f/923VsKM26pjmgQA3rN9xPSDiK
aVkCl/kw6kdUmsHOkpo4+mHjn6SvIHg05ccf3vl/v2bY99AlDMvglTMb+WcTCb98Y4SJYh8Cr+p3
bpDmlE/61lLgTo2Fht2sDlb0tLTlLOCjENP/8LbPkMV//k4cVE1cCjyToh0k429PQdpaZtVSJVqi
XvhuWj653jisWAvoG55y8VRKAiGsttsRCGrvEZsARUwNbecy7thx/4muA4S4pUhG5V3gGvKKQPmu
BuOB8qF5KqwhIEClzBAwwn8ewuJMmcs4H9740mDAt9UKimYvC4d9WBrqC3dVJLQB4rAR4Si9ZEqx
erSavdQH9SUzgKGNcRqfyrPCZWszLz3bHg6BqiZE1NIQuyWdSxlXqj/U4kztDNpwDF7++8P7V5dS
47cCwN2wCOH0rN/fuBB4AXEGY3eoMWhvkBXEJ6Gq7s7WWIV7DdwKbMRC2skfrmz//rnyO9VpS1uW
ofJj/Z1l0ygq6ss6aQ9jEGyjWWrUB/fWaOJF03bexs89FU0tIdsH0pP1FeWJ+SqyevPfr1+bvpz/
+ObQlIOhZOoauSc8nWmU9j8xoU6KcV43Ku+gq0mzyK3E21umYPbh2d7r/6PsvJojRdpu+4uIwCTu
tryVl9rcEN09M3hIEs+v/xZozjsjaaIV54YBqnpURWEyn2fvtX27CFfotfTdNP/cvRW88BzoDqPN
/DdmqHZLKTRDXikYkxX28Elg4nLPevfhbJtOnkEJmeyA95ezNgxl2GZAI1Tsb61K+8IDO78pxjR+
RkqJaBE+/3nZTAcZbRT6hrG5BbvWPomm2vcz10AX4Y3oHdLagMxuiBKVtzmRgfAgmKMGaPTuBQW8
NdVc/afn9dQD0Md5jfe4VJzsXhe7RHMQTsyMn5yqzWmMo+ff/wrvMwh8AiF5xllzhAttA/89FtuV
QvNFTF0+C2EUBoFZ3Y8uYfH0F4xfiTdsiLcvvquLrScW9ec8j27rbJoNpcVNX1VAP7p2o5fA5/Mm
785DmmVrLxyosevu+Dj0az8tsseeTt8n6QnvwavLJydyhm6Di+tBuO/uuFJ0NTIlVZ4y2f8Sqo6+
6XNBFTzQl4TRzyp0mSBP6HYyBIjPZa57W6M0/MvSovNB6deB6X1yUb9PE1k+FNcV1zWcXJ2Vtye1
HzGkqBNHnoweEZyQjMugfG89jOz7oq6ItPHoF9GxD+6lHVpnNDIP+OumLxlz9jW++eaTQSUH48N1
RlKaM//AsyjBeg9UjqsoCaJCBOAPkB3ldb2bdL3ZIxofvyqkHp0blw+jrfd35sjsaN5dCMp4y7tK
IcavSHLu+qktHzI7jNEwc1810ww1ybiVTZs+Z5GRPNsDEE7DyR64x6bPkQgfey3SbjiDgaBTTj+E
tVZfl8VgOT+7NrH2fWpxyiex0hmWzy9ToiNAotTLjSen5vXd//w72qnNFcogTzmIwkDJtrpXrxAo
VsOrdaWMbXfPHacFOIWJZbGzoKIASUV9hW9cnRY1O7mR9T3Xxc2EBeiyPBrdkipsr0Bc8vY/EG3f
DYOVfZHdFGxbADd9MkiqL2O5WsBMEwZEciOx7fRelj8mmf6w8Jvg30HVQd+2zkWUnHGI5Kspa8DF
YjW5K0NH3ZVYDA7hUsQmS/SOQCb/RrpEeV7zPE33vTNP9YIpuxSYIB7zPpztyra/oSbrP/pe596g
lLkuLy4LhcsE+V58s2xpdV5vE8kUywCrtqrUbAAkufolDHnIOqKdjo3TyhczjgliYeB2xhkpX3Ij
+VP5A5R1f/yF0s+5mg0pPXBVfkg8K5vJIX6pLdr+Po2CbaPbe2n2L5y8IbomEV6XBbpp/xBp1rCR
va3fLIsw7qhXp+aLQ0f5uOzKAGRejeRhYdIy+IYvhOpuq2OAABHDwqdKmHrBdLNsCaS7J89D7gGt
f8C3LdKHrmu+9lntPnFMvD3pLvmhkEl+ds3MqQlsc652U8xiM01eI9xm4wyO6+cFMbDZZVCquGit
7C9AOf01DaXoB/2/Wx+kyRMDOXnSvC7fksMS/bAiOENJBsShVy7Oe46D78XJWnO6+Cuxkv6GgmVw
iFw2QwQ+3K7Gh2jiNkqxGBaolaxzjsaKctjwbAIzItG5uBhlm0MtQlGGocnZAwnjkppVZr6ZmURe
ju3GKLpsHVZzE9r0tKdYIrxQcYbwfN6cGg+QZJtra+Qgu8iJbkYJeX9lBrfcYIq/StjvdS/kVwch
zZoj3t8PdWXvpgHjaC4UqdlQFy60qc0zlD+qM1ZwMXUCjQZYGrdo17dtV3zDwJOeBloyp4GYzYg+
woVBC9cMtZVTW9vfrdF6WArfWlHEl1TCBKja3HjpXK0/VO5ggeobcXczoloWTlyI6+iN1nXAl7uz
9jHeIW1lKPgtgaqvUW67d5proQ4LKkRqkMYXrUudjfjnvMq+iXszuKgmKLArWmqPWwOe08xiMvSs
JO8M8dPCX1r2LYuqBsY74tTbKqt6cr0gelFNfBdCEPghu2pYVVrpPFu6lm/8Kk7uMyfrd4SxBxc+
cn1MSmAFrd/6FxN2rqMCkomYaXRXt7VPWhenD61tktxYk3ZIFMC6hs20xx2lvcStRXkNQsSlkdlf
fZ7UG6PM0xsT3S0jAxZB2oXEsqK9qaOBedKyc3kP553aM83NV64v5A6osn5gKuiuCp2k3yh1dmCo
W+vaupgoZT1tHatxs02YJxXhkyworVFIn7LTyKU6AiiCK5c6p9qWGXW8ICVEGVfUKoEVShWf7j0E
kuHvRTRvLvtI+QN3NXrppi9o1jpS+w4/FQ1b1naAyqbppiIYcLW8oE/NX1jm3Xsg/Rihp8xfS3tQ
L3FGA97TUDZqWRHuEhkAQ561TmanWfvW7E0eEAS7tKjR9slokSQ+htgPy4BCiOte4FOn44rb+lzp
xJqZBwa6xEiMVFapfDWu+JlahnmbtYO3Um48PCQReiec4e1pKFMgJ5n/yVP1feQCk10LeQXpb9QI
dP77btpjEV1kNsQknz27wEWBcM3GMgOuOQ3l+AXq7HEuhP4cZy2WTlDxXTMmBdrQBsVL1EzfJd7L
cQz9w2gk3s6joHIISjyWSxVq2bQyHFZ1nPUbRFXDgYHkbnk25Wj7V/xowd3vR4L/MS8QJpYDYoYM
otZR2r0dutAExuBjAjVCXuPtliaoW3pguLRoU3eceWjHJaBOc5/1chfXkJYRxKiLVeIz+P1nWdQi
b4ffzCiZF+j0rR1iIN5Vwtoc7NCUe+bJZph3ZnhAjZBEmmuUldnzGAbbDNTr17SthgOcNZrkRLWv
Uc5R0M3NBBo8ctPvongog4K2SsjUP+2akUgJFlYVVnh8gQSoinDCZl54Ln0PudBEz6Ytg7PrTeNK
Q8J4QGcp13mQ6scFeGVUNtcauGtc9seJ1hhqVc36oggw2WnQGfeFTyA2uF4j/uyc+4+jAm+X+SKc
WIIPPkJ3qf2i+GjDs2G2xJhLR22hSAIGNw3vK259v82nr5xdHndr4kYCFFtf3UG4tImM5pp4VfSc
Ji1eK/ZTa5OHJAO4MdG8+SrrmclMD6ONA7kDuQzrcSz1a8+YKehklKxLaUanfBC0nutY3Icab4Ge
Fu/HOjbWr++Bp2JsqsC0tk0iE8SCBXaNLslugRZnt1DtTnyF+rzsWhbgViGpN9SNupRHYMYpSEKw
bK+TTwhRj0LvPpuwXuIeLJ9dRwF2aHL3G9lIX52gCv5wp2ILtB3euKXf1SEwHE9McyH7GJVpdPFn
JsSyQBPiXDMjotHGhUliAQG1iAOilRdAkgjmBVwwzLgi/+4MU5VvcCQMp7KdEP21uXekD2UfvZBu
Dt3Vsz73aLSo+Htt2ffP5vIqo/p/v28c83RHIBpxCv9rYpepERyctKcBMfe0g16Md4SjuqsW4Ngu
xCjer3zAOddloQGsP7UlHLsUA9pm2deP+n3Erfgi6qI/VZHeoEsp5eOycPMEeBFdqGVrvvduRGH7
JyKwnYuYMwCWBUr2dDXKUXwrCJCbU198dBqbYoBka3rWrTNqzdGGlXpx3Cm9RJX/9xpNn24frVaW
M6XIXiiYI4qlp/i/zURpNzVwgOOS4ZfnJlHpUWJA0BgRXXFn3gYEuKzJqAzuI2RCp9oFHxvWU3C/
LGLL1LZdbAybxir+3tcDSFz1eV0dln+2vGCn4WXKg/YaoDXfBMSKbicjAf4TH8u+4cSYG5Ct5aZH
rZ/M/EkERbqGUal/S0X1LVehuDezTDCwVuOqnGUUUxJ0awVI5eIPdf8kxBY/v7c3rOJx+S7/JBNK
CbRoJY3GR+QUQ3WIHyy0KtRSSCb0ytcV+8Oe37znfy+lRtOtEq6BfZW09JSZxSVnN4wQFuY4tJYW
YRoVezso/9D6btjrTqvfu8rR78maLZj0AE0vUneM19gk7lqjrS/+/KqXWvP3dBkrg3Gv93nfEzGT
Gpgnh9mlho8rQlsRtSmi9c6+cvdILoaZ7+y0Cm4gSPifTJut9zxxnqcOmkWTCTMCl4/VMCYxhSJX
ipPTHZP2Di0oXVa/JKCko34SQ7+pNapEjW303+hVgxAuaBFDcMtwufqbxcKgSQYHiaid3fK2wC1g
1XDPQ3VYMWLt+3Uum4MRYahirmRd9EabBwglshXQ/3d2ohcbgzrHF+YTf9mtNWuD6pB/VEMOFph0
Or0pd4ku1J5ky46TMhn2KBCi27KYdfChOT14McEixpBML3RtICBzU1g1hiIYhqdZuTViE5xOqkMh
N0m9axKxjaOUR2tRWidF8fG0rP2zeLdv2bTKijw+S9TrEPDmMWq4aWqic76MZnhcEK1FBKRitGJ1
5wu/Pms2uJTIS73vfZeB7tf+1GQuThZWATQyLLSit1bSatR+Idcs+xaiTRIxvdKi5rLsEgUSZJDC
FARgNoAq/4NeW3ZYtlBKlzdD29GFsBPv3y+I+BkNj3fJ4QysO0SzqMvRZtRV3p8MW4U0eiZ7O9SW
9qgPmFSZDY4/s6Lc1Z0eQ66xpzVw8OxWEZxDhGxYkv1Ukci6PEBMULXrslTltq9FtascGWwmM6ou
kUA6KLRA/XCn5liStf5SktyLik2pq9607anqx2xDIMz4VaYBUamWMSDaEeGXvPi57NYSqz0lXZNt
4gh6R8wsfGdFDrdYvIjHONaTh6rGbmCDTtwCNhkfWkz9+6pHvR7qJdSM2uWh1qB8Pnl+l2+SkRSM
aJaWLItc+n+vUd3yMdAY61odx0hO2waF4ZMb2WhxKvyRy2bZIehq6vKP1y0AN/c4N7aB7TXd2oIU
MPRjsRVFh1i9gta68sp0PNtmCexqWfWaI09t7ZTNo6DXPfM7XtfSH7TggqtqEGB6RCpjPIy6G4qs
YjO0ofVSd+Ef1iT7v2wFjzU3/kyz5rjcgvi5G8oi/1MtTEUjdosAuY6qcOVUpntPt595bEwEFnR5
9x51gnOPxkrbhvWAQz+TSODmxWL48XNQRLUFUfqfffHsBHJciR6AB9mxtjpBdI92cMZSm6fhGyNU
3xck/YKqbz2zX+leE59S/mf4PM1NCP10Ywgvulq6HDcI7ZxdjLeZgaUWU0ju9ZuwdlFRkmx5k08O
RBY/XIuBnPDXsgJu0JdY782TUdTu15t2HnRhk9OpoxvZhm6C/xU/DO4iz1nb3HS3hpwCBEbeZK+X
VYyawYlYlD8jGoUrz4mSe4baf4ytrX8jL4Qmtu/ZW0X5ZTWYGb06Lxi/6yHRJqSpfh382Dos+5ce
tMl+Mkgho6fSuJCrUe5Iu3KPkriIBwuz+YpRgv3T150nniDJs5nE6SEFDUsTjOhOT8QbhHndgzcv
BA7ZXeoW+NgSMDCyHTGomdo3CVWC84N3UH4QV035l2XL7EJzR/EuXcdRZ59VZ39vW6llQIFMfKS0
sXfkv4b5Oq6dNdEQyZ2RGN1DaI/+UfRkRC2biuaUFsXFvgc19dTKktZRWv8QEw4iM7TCm65vPumY
fWxXGciOXJ63NM2wN7zvmFmlFDlZJ+HZRwxopKaPhWZst10T6d9RIaxMtzR+GjkxtrnQx6s07G8l
RoRIQWeyM6faLDinaSDiUbh/jmZt3krNJtoZTcuLbWGfXPZRoNoK37mDkWBuojmaJI1+pDZxW5ky
wp1LYtexREezK5QOawYtyEpNbn9cRip2WYaXdsQk6lM0ug5VQJ3BifxdhVzr0ckNa6UJx/w1iIoc
RRH8CaIf+vJowGdr4+2UKHX+/XxsOSxv52NYmUz+p0vPnzHo27nhNAnS3GRLFjLTT2qzQ7AeKTed
psKSO4Vj6Fxa8OU9RQ8PlooLUu8RgUpBT6OwN4EXouaKEGOliCITmYHACTZeBryTcrj/CliXdf2S
+FKufa8pNk1rM8oszemTNu2HrhtyRIN+Ad/FtwhvfDfJHUDUO7JU9rGtNHTgbQdOIXE2WJjl6q+A
qRIgBeeT0Y37vgDP33QF3QCTmoFL2+/twYubLOlU2dpHv5D1PlX5kSttF+XGJquyeh+pKf/EXvBf
3xIBiYGn1bUZo79rjXD3SxKH4u6xrp8jpnYAkg2SdqsmQEuZ6k+OWx9H8gF+f5Z8/KvLH3Q8vqI7
J9+8/Z5+qTx7ssP8FOltiCLCjdeVY3VnhKR/FTXPJq9y2n1gJtknTeiPf5h7LSULDvMc3eu8+8OV
Z9c6GUnhqUsLDGwqcbcjtuN12AKUc1POWH/qAhzwQfrJX36fQUi/h5rJHNtCvUSnf/buSDt9qsrR
I3IRHfgGyH/MX6Zl0Hipc+nGLD+2eeAyEu+rF8dPyVsn1fX3R/1jKYqPQNiQQb+JUbTxPsJXopGC
HBqlJ8NpjU0yAIL6Z0Gubggct0ExSyZrtK8lCOxlAY4TV4X7rDte/0CmECUmjxitAuXbricbkAkC
+AJIBOpGhvgcHKQvp4jC50Yfd9BjyTTm7ofwzdYPv/9GHytR+CrpWGEZRGlkcat+eyJVCiZBytDp
BFGee3DYDNs6VN3RFCD2h5Jw6DQTP5SITAbOFNIXus2yALpaf/ITL63eN/c+FBbUoCxU8lxMNEvf
fhrPjBpyyIb0NNrgi9puLL5oMJ7TSIt+iFhpmxZQ4anUTAWU2G/W4SAQmyM+ACqUyPtwXos1L7nq
EGIJ/zJTSDx+svFcJqCll53Rh45/Yr2m+N37Xw2aUww4K+DFY0WQT0Vs67LoVEjxtB71dSHteFc7
A2NNsgZuJrcCIBCP/W6RRlT+X7qMojvAkFj9ehBP+nSvaz0MbAq3ZOjp9828cGrQgBj19uGITQp0
q/dUidbFA5HjGJOBtTKH0cCRMdQ4EDEsXdI8dXdZmk2ftXLnC/TdIXaoaZkIiehQOu/NUEXLEKiU
FgG+CpRqKNuBCyWWX6CLrNJwWvnhUO7DuFTz5B6NEfOw1WJqlyr4pCH+X1c0xiyLxjKXFQKAdzeT
CDFIxXA1OelD0t5byfRQz/kfoeuQHALh4EGNdrGGfJ4e4TdhRixk85nN+b2L2EDTw7mPgw8fn+O/
v6SLkap8KUJ14qaXXbOiIzdL4pMIxvFOhj6dAOAqYQ0HZ+i9k07TDgq2ELdtHlbrAZHSJ9eA//EH
4vfh3Dd8QrkZzsw95n9pNYRhgIdKLVQCEZQ8lTcuYU3CYX4QNkxaYN+1Rvz3vuUFqkveySZ+dHkv
iYoVkoL5X2S6IiYjNfZVntHhwxiy89IJhsw8/MdwapzQJL9EVTY9xFO8bdxiOiOQyLcaM7qL1cJN
xlj/VLXtcDGNiMbG6O6jHvk03lD/ZKN6uZdGbN0PkfGjDByAKvNW1Gg/BJNNZEfI9RkD6988snnx
F4SUQ3yJ4B2aWJzmzBwzK9gM3tMy0pOd3T0NydNCAO1KWnJt1JKU48flCnu9/wA32oDDAnEUKQ3a
Dg15tddPBp4VFm5NRy7F+YFt/0tjOhGF0i9j3MBva+jXX/No3yJQXfR9LsTJvan8ePYSpdPBduzu
xi2s7tDU0S+GtII0lobvqYcaXIjAkwCtnfE+SC1Ck4xQ/mgUmIAUucidHYTGtTMFYdiqqD4ZDRof
FAVcpAyeEY1gzpif+W/PBtNHxuknojgZOyvs1Q9gipe8DygxtZGPkcwvbqMUjGOuavQfi+w8/ASz
8B/PCMcSrulRDkUyy3jj7WcYiLK37DHNTmLwbDSXfbDX55ofIHjSJ4iEYnht7KchEVgFdOPsMGCm
UOqf7bGmNvbJE2vuR7y9gXHbcskC5nA4XCPv3JwOVmMFE4kbmKhhepSE43RhOX4HV4B7k9vFYcBQ
cV/NSXKRsZb8TgAog10riQIDB/LJLyQ+Djm5e1A1ENhLDTwg9tuj03ew/9Iky08JQQZ3vupdprno
0qM4nZ4Ck7jXWS/D9Y5YcKrUjhvR0Yms8rhQ02i5Y68Cc/+KVBuT1FvLMTQOy6u0ueIdEqEGYk55
ReCffYNaeo6aRjz2bYO0V5diNWZZ/q1neLq2uqg/Q4FDtq9b5bYqUPSNaRqdl7UYn8TWUla6TTQv
ApWRr6NubkbOjM+g6eK1SY1337VDQl1t6h5qA7yQmrr+PHpV+ckPOZ81735HAb4B+ahrWDqKqLfH
zUMnMillFyfP6uYqIRrvSaPLHGDhQG7Imfb7E+ejnBqZyaz4ZvRIdDszkrd/0Aw8km2jSp6mlGlR
0D0v8hIdsepeDU74GgPmJjwG0zLZDthy1mVS24d08r7TCplM7EaxOJM8fRYdFvU4mh75hzbWQcJA
S4hst0kXHJahqNne9cgvd/XgDM9xbH+B0xmg8YJWZbbDC73UmtQ0bEm//44fzkXbwITt6YjbfYMU
tHdfMXdJFUuNThyDJgpRIauB6gMW0MSVxV7U+nRNx+mz+M2PJnD+qiso1xpcA1ya85zhX08sO9Xa
mBuCODaetM6dFeg3SqeRhI/lsmw1NYkToIjFKUwZ7JbTGK9e10y57akr4q4KU3XhwxXQ7QfwYvMj
amqLz5RsH6AhxvxZPe4azBGF5S99v39/Vs8x08gYxVFahfPUVj1oyrKPsFYH3xfbl1U7WzewXWCq
1FyiEDS5mmWpfjaAtk2Mceu2gI3jqkhPCu2xXDspJLW605KbqTD+XmjcZ8zYk6eyIXnz9z/yhwuH
r8A3MHgicBozenp7uN1J//twLxeOVaJfTWVk3AqtHS9MUepPTqqPFw5XjI9NwkM7i0jo/VllYyMF
eJmbR21IvtZLD9fIzmK0jq0oQ3R10SyuY5EShlGt0Ijhdq9ZGLV+i0jOPsW6N9z1TY2V2W83uezc
M7x0ea7QYViO9SidBHuLRu7YfrLyHYaP8UQoen41ei+/Lmtap2WnuKP1P+8vXKLIfn9YueFy4N7c
kRC0U7PiYYZQR7jv1XthXY/KJ4/3WDGDvmtij6eLTxyLiu37UZfVxQzyHcqtDUKC+n55BHZT7N14
LcTOJO9hyaXN66YL8Ts0dJqeKczapPT+Mv1sUw0zS3ayv2ClNY8qxmePVFr71ur27YDIDRdiuBIY
nv8kR5ZLBBLksxHr+9CN9noxgIauwfqPQQz2Fe3Gpqjl+DOF4VhEB7eL1El24iGMhPpVsMLEeA+R
lHxlnnprhoW09brUQJ2t3HWa4LfAScXYVkqI35Hr703ymq62RI9YDWV9rMxJbeq8egRgGRwFLM9b
eh3R7bLmWi5pw7afbxVco6syjR98M3f9j1vcw+l5hHn9KEfpvBimQj+eGNQ+KXwhbQD+mTs9eCmI
l7TAkYbN+6fUz1EoGcFtggztrsBvBkW6ql/oLKOMGJ1tTotp1w+TehYwZnYOErJtZucEXMR6emgx
VG6WV2nzdkRnRiPUIlxUVDXq8zBmMTlSPukpU0OCV+xHr5slWDWRivpatEb3xPkuCVNxSUyciVkZ
jtn/7yEVpxqXFKG+3DVdSgrvruHWAdyFjQ5uRlTuND15klXZIA0FN1E2kXMJ5GCAPNDPusCnmrf5
uVEDGUplcvv70/6j+4aJNjUVy/OY/Og4l95+lCpToao8VPlhX7e7d9gYBR+MPkLcrNBq2jvbwuQb
2eYBVpvxky8YrkGBWbdNk6QXNPjmBhfj8COksjj30tOppq1ptmLX2Vm1Xtq9keLXoDVaMd4O8odq
yl8UyLMNxcIZ6DbaG/TO9AHC1EXUVW1GXxFqG3dgONrEOznzQo2O+7oG0jU/qLKx7hLSJI+Dhy5L
JDxh7bYxP/nRPj5ccV5Q0sZ/Q/gbT5C3B4oYCJjXmQhPf/9mwIB94DJb1er+Fn/1dmry8ZMi+n/8
TUdYnsnDXIcv9X62zk3XmwxglKeuzds7yl8tzQyAGr7dkgZYmGd/ftD//oz4OC23GZdBdHEp3rLy
/oxwnGHgQTZQaLNh/+E3kZPDHV0V+jkciBKbzT/MAz2X1n8tbuLoM6fLf30C1zL44ng2HJ9n8ttD
3RtpDzEJ2L7dkRawsGTQrYSUwsNhTf/F40oRwZGok9Xgu0+ffP8PJQHbxFdEYcDHi4bT6N0oyouU
XifUw46C/uIlbfx7r2ISbenb0JLZPtbwWy7uzsyT6baNyFZCXrKxrTZ6dAbUQp98ng/Wo/nzCCZ/
2I6wx70/8RxajKOwMu1Ym4rsKdL1hNGOt7mqUCb05MV3ZrqJCCc9WZ5PjkOQfKaHMv7jPER7x+Of
+4Pg8fjufuWT3VUOqeUcDZkSt5cF6cWIcvgs870qjCgihbb7mIRD8oue/11YrjqtVRcTF3seQAes
Kv8+klqxVyScbfqKQJdPDtKHibINVIMSJkZJ/CEfBikhcZQ+eE/n6OhjdMy8EIdFBwsVgem9qeXW
dixcfNqUKvYAgnkOd/pwprfz2TDiY//GZj4oPIuBNennxnuvzUA13ORBFcO04CcrMQ4TKPDSV2V8
S+yOySh40+WoXrPaqx61yi1upS2PTuU8VQ5y0Qab+Z7jFa+zxGj3cYXKy83Ew5JJMW/JtiZVopbD
nhZ4WeIT16Jz3X+alG59KPVz7Rk64yDL16nIvh9n0sLQxophA26TFoJTF9D/ds27sc7Muyl2/cPU
0snpM8cOViLJ87ui3qaUv4PV8j47C6OVcIkV4wHjUjsaoUuMTfgjz0aq3qTXO5nz3E2/7LqzAYcz
m/VqG5BlTEDjlLZoNorEv/UZUp0Q2sETib1k53qMifAMJLMUgtiieTOJS/MEBstdLZvRZyhE60PJ
waVrjUTSm0eFXIbz1fGvSUPuGWkpJ2M8d3N2pgMb/84VjLFgg4vaTQ90laJD3Pv1JsmGZJeIxr1H
eu/eD21QzQ1Y42iN4cXTwOwv4VXRpNVrI9WGg6n5+pHwrmKf5pPc5nTsGEwFNphUwnNHnLhweGYi
3P/WNFqRr/v+WWN7PqHNz4qj//HFqT35AhYMdE3XfDdHT1TnjVGnd+ckF84a5Y5/bG1+7r6KiqfC
C28brNDtCoQlFJoJOpaEi/2qT0OyQp5HZ9krMbb6J0VSjjqH/M1YnVIUtiiBr9xwHOb0b3+SQeJG
8722PifN2plGaAutEWpbsBecFOr/wYNt5QTbMbMk2d51jV6LF/7ZhxGwvi8IZr5TjHI8N7l3cNR+
GUWfH2U0fE359sduhtc4lRInJ3+JigJTQN8i3YyNSyJrcWgN8+ouhc7JoyI8KoR6yaygsLpp55hT
TdgOc9llAUWrnlOSXvdb0tqUbSNuHTtyHpCIoo8i/M9qnIeE8dguZDq/Ib7deYjRC++Y2lu7Bqgo
dVU1HPoSCmAgJ+3GUiCRSjIC72NbTNfY6mHLALb97rXw6JYXjI5s7TbJUc9xljxUhrpZ4oB9bTAJ
gEzTHazG8auo4j8hKcR34BcGLNYT6TmCLPBR1uPWiFS1Bs3X3FggTm+WF5ZN7Aq8kOrDVrOM9lxW
xS6gT3/pZC8uy1owODFy1zB/AjsdH7yWkDNEseMmMLqbDtqxtsIm6d7J5ouviOYsu/JsaUn0BFSS
1FOvMTYewNOnoG7Ri/QNcCoPp0Xvf9Fnx2KbuuYu57G8knOPJpqdq8sLy5rvRdbOMqJz1MfJpg8d
m0pPJ5+VpllbDBjNrlaefPacKdqTPkxo+vyqlYmeABJSJpbNcuzSkxnJHFn8rLWY+a6p4QXcyPC3
hAbs/k5qOG1NqV3RJ38zM1g9rhgSDhSLafYiTCrcF32cnZddZugl2G5YoKz1CWn17lAhJn+4JZM1
t8t/2MiDNw7gocFy75K0pJZp5MbcmrCD20JsYr+E++aMj+lAGPyyMHsZ44JDOz6kBJ0YtiRhmMkR
cpBjXmC/MPxqgpeqm884qI1VaEVs2o31XHaj8frqYoFcXhUtobmN9BlzoAy98enZbeI2xuBkgq5k
7tn/Ke1bbuneX42snsva6b9qitQkk7nXHeMIb18rI0G5MA5ktoCOHIXmPsUT0RBQqbxfEenmyz+v
s/KGwLnikeQEQpjLLjireYHKM92PQ4PCzss0wiGngDgBP9ulnPk8CftfIWD6H55oXldwTf3yw964
TR0+4VQk433XiafeG8avvibDvW7aYtcum9MGAM010Wvtm6rqEuGX1T+orpVrXdrfCRvrj63eRU+t
ar4Yc8CENOFb50oRGJCQthxbXo88w4h+Crvise1y1XbOmgh0ShkoV2/GyHVfF7T+2ETIzfe5jjrS
OI6svbVn4DppAo+0ts3DsrUsCjKr+41WBY/9EIqt7RRnIZS263T1ixlOe4lz8DerZbWbt1MyQC5q
zE4qsJP7Nq/FttSVuXcSkiKmrNm4M51vdIbjVGP0rmHw3IXR9MWJMiImCKRqWgwSM3H+vpjC6juD
lWA16SJ41EYGt8hBh5sWz+m2IYJn2yr3sR3D8BDM7uVlEfeNeYQal2+rQCS3GDDSW7A16a0Mi02G
teOy7J915CttmICl2TdlKef2Sx2eSVL3f0yD16/M3FUMCUCtx1po3brDaO4hCXZr+J3FttM9+Mpc
LT8agxyStslfDNeKYWgF2W7Zr+q1aAPze1Vq+k6kVn9QY5t+gSL4+ro2AdY3la1uKi+FaqiFqFBo
iX5LKySeDbD0CxEEHrep4eAUYfstDw0iu5tJ7bnO60cXaNJyYg71gAcA3u82AOf7erIuLzheFpx/
v2/5t8gzAki1laNWRh9yqdIF5gNE5VbmCnao5iQoyHP3KZ/HAXVTjl/0JKlXUqjuu4iGb5WRjL9I
fT3HQsI3cylpL1I/I8/8A3/CIKwC5d+iAQS5SwKFfB5kLm8hqjyas805zCLn2hteuq0oxO8WJE0T
C9hQNurRZTO2woJ0W8WTLKdaTp0x9k9iWc3n1dhsioMJYpEKgLXmpjV9BVNvHKssNDaLvRWuOU3M
Qh6EU2RrAw7QXa415l1d2x6oOqDEy+byAo/z9M6Vu3/2LGtNzhiSaMZ86zdpvlao2S8mbNdTUHF6
uOEY3vWOqDe68quXjkLliimC/atDdATCl3CuUCf7u+zVr1YOBPG1pb7+P8LOa0lSLNu2X4QZsJGv
uJbhHuGh8gWLVGgtNvD1d0D2PdVdfezUC4WIrKoMx7dYa84x3UYptgUQUHi31lb0ccJAERgPeNc5
UWF1fF4e6jlGtbKSwX65ZB0oVrqw936ai5kjolIqnuSLjNAud8rYfnNNILkDcxXksDUDDkCihKFR
sZLiM856JITdPMqIOt0SAeOc62yKjsrgV/tYz6Mn1ERP1gyaOEuj/t4OgbNT8MaviDA37uUcozug
zN1ktMXRCnBP5igeweIHG+mY/arNneR1OUOLkt4pjDB+awUZ65Mn0ix9S2o+c2Adgxf5UfmhC8oW
1OvrvYXb8oM0musYTCDsOqncOsp2y58mkbslwzIttpUCGjpIVfmUZ611d4gpN3tNvE0B4RopLAxv
uSzBHRzGyKrXy6UchLmBAxfvHC0y3tRwaFfFKNTj8tSK0+9lytYwV1j2Dlb5XgST9TzlRnkeZrwR
+pThG2bq9ySBJgQ7tjpXgzaXMCfzVJF8hPwyaJ5IyvCa1jYvi8toufU/91O3IuE12jCBjzeCgeWm
6AbIhvNZPN8rgkZuKDkNf87++jng/PklDfIKJ2X7PSti5V1ptGGHRU/ZYDlQ3iuBY66to+Eis4SC
7gREfvQFWKbAtU4heSCPVCVlNOqIVUubcDtoAUuLzLE/xffGNIZPAw74PuhxPkSWdPYsqRvPGAoh
t1ZUvVSBNu4Ig+jXiFhQNfVsuwc9T94BIUSewvL8WsweYDJRtOtyKcfhmjM4HZdbuhM9O32ewhGT
Fzfv9HM559ksBwyjl4rIw53vhlYM5hHNqh4P2YOfbbd2mOabVrrZwxKxODda/3N5COg6e4A9UdIh
JOS+hVzKCnGb5m5/JS+KGFdQChC6uFzuGdbYXw30MddOfDcbq7zUclafLz+hJHwpAiDgRtY2p+VQ
10qVbYeZRrlcE94Ex4c8rjriS+1RNz1FVKjOKWLI23KQLfssN0sebESg3gaQq4hG5Fc5NI9h6OBB
Rrq2H0LxwxD8pIJ182dnaZtGmvG30Wj1dWuJ8GIYWXCJxlhAvrX7a50UvwYs/SvQq+E1oqN880d4
oPEEmIoTYqvpfl+htlu3GPE4TBZUxMufgKaB/mDKypUJPIiiOgcnb/515jZmupvU7MXqxSrMZw1y
1F5IlMGgZRnJUzv7uICTf1Th2Bz6+Yq3N7vGI05mJEwbqwuMi4pz45irWrYl0BDbiUnISzrlKywb
IYiA3DxPXYQf30GdNJv8bmEozy4AgCff1Xco0KzjQIf22M+H5fJ/u6do3U8bu9Sp9d36buN7I58Y
2wrzfB+u/rqmebHlVYgeULADzNSKf+6gY7LOrNd1WFgfoyYoGQCvg5/PJSgd9PrAGtZ9GnzGsymV
rKCaendwW+j8y63lkBEV6iVV7u+WS0q+xm4whgiUoUYKV+HNBTLU27gbEF5rdlm5HgtEPHdKQYJ0
kmJCjAzjkHaZPFf5VMFhqDxeweTZqmd8gO/cFxC6gDm/0qxyQPCjRY8CR/jOiFHNL0+zaNimfMwb
GA/WhW8p4j21d59iTEEbh2DgZ3h/+JqVanownhUospPsvS703mvMyf2U/T/VvKwZcfGfu2AaCDSt
kMwhdadE8Z+74M6JoO7rFSDDSENQbqTDS6vqI3TkgRBj8Vah1fhlYN4j6D55szXwGLJqy41fgIoq
3egaZYU+b8XqLd+o+BqhA7r+eTCfuRgNNirWm1XZxau+0aejQzQC6VuI662yJP+m1UkfJOujCbrq
NLlk1HT/cxZAclgJvRHbkgSm14iUHFwN/bsdAHNgPNQ9S3f792Gr9RKYs4S/pvYQjikFkSSBQjzU
WK2SoDInTNDmyQvV+SCbZ6UPRgh27cB2Pp91nvKCNaV8cqvEX1dZ+Qbuu38H+J0fDF3p11o69u8k
wJdrmWHBQhrxqnUkCeDnfCwHRcmYn8LgFJaDeBpjWHsD0IYXSv4IJshV86zEsFet8hmQDv1YDpoG
5VTvzEsdKPWDv0C+dlnr7LS6/1E0mfKEHflbEIzii+3bnxOQrt/CJhZfU0Zot34VY52hCSh/JEoQ
P2q6rHsFZccO8CEaEuoyHsQK09zz/ivHKOavmpBqtye9tmP/53iLgn2ha1pq6bKaVJ8zPbNYr8vs
4jZaeLTiKQX81E9P1dj3hGLm/VtN9xJnO+jqOsNRpNguYWWKDNYj+VovTmdNJ2OgY2MTUCx7qn4L
LDCl9vxEsvghEAZUU4pNZ7+iZFczvHhlC2wTcGm+wwlAjsl82bOq8cAO5WdHJNFV0dJr2yfKEb3s
uUwFm45E60KixM0aHO9cBQ2pMoKZvxlROt4iG6UA3d/mmX1h83xu3eZIpTP7qiJf8Ywiil7KIcq3
jhG0Z4S0CmGcPkEMZqgCacWNTnK3tc2wARwo7tiX/7vaLP77i4eQBJGeCfQeAePfJVFxmbQyH+30
JN0Uq/M4blsDVyM7i3FbjAVoSWsQh6hU/GtV5PYhSPuXSQ7jqUjyT5LXjZOwmGsouqC288vgvWms
tzyn0CHxSB6w2qizGqY6OolpvEx117JCc8YVtH280oRxHxyJVXOmPC8HV2pHRLVIiZjhH4MfbmRL
FywEcHrU2NqvKxW/QDn61E4n+x8s5Aix/2scsufm1BzDQsPovzzkkyxaDUhye9KbmgHdCNW9gbPD
+4u63Ss2bEfNkMeiuvZFLB5EmzX7YMiH9VIgj8YS1TzfrrDRVm6F7nBm6KRozN6k/Z7OoYfLIZlj
Do3IHg6aO53+dl/Va+mVtpaf2AVuoe3aT5rZ7Y0wiTRPYTr2Krstd4uLDmeWs2HzABczpfYUpCyV
C3ExKndXNRhc3THckqHc3UQ/tDcRtNvU6J0XTQm+VIDHN4U12DMNl103FepL2fbpS6qoq16IDJdc
0W2VSQQXG68acbJ8R1BnrBqD7ymRfWLjUh4/pk54y2Yg8nJwfSYrKcwvx24bFM2N+5H7VrFTjEJn
usnR4UpLebZRM3rNwHdaz4jBsKQVQKKvo+/o9NYU8w8USN4YYU0a7KZ/T1tKkIWu8grq2jOmEPW5
+m0amk8jcSRvnopoJw2LxFeyvAC9HARZ7auUROcbr37muYmMvrWDB7pcgZaislqbS3Wp1ClKRcep
aXWaOtI6J3ZmnaciWjdVCGBrVM7/WvKBG/byI8yPiqnejD+TKDnX/H1+4at8Gkw7+gdFnvVf/TvK
xa6BQ4BGFTJae37+b+X6JmiRuzFEnURsfepm7T5NLAGOUslWJmJ7ugxby1S0F+IOtReMYzmCPQKx
lnttrUX7rs6MFe1H7UUSdiClpZ9l7wbrwWa/8Ecgjnnzj1QcvfSuyVr1rGNxX4UqpQJL8l/RtM76
mQRo8nBneXgZh6eOt+k8SuKiArr6jzGX2dl18deCFFpZQ6eSBRFjf0/YklqQYPGTtJ8+TZo1YnOD
aVb91s99EyEpPE0FTlRQ21vTbqD9DxULX2ds3nD06IcmsUwi11R9QyI6SVSTVZ6j3M6IZJ1Pq4pu
AsOFxc6fS6kk5T/0yv+X5pHtguUS/EvIj0Zf8J+fAfnPll3AmzktzH0ZZyS79fFlGRAcqQbHGF+D
p0/gNUsN3bFjtsm5BJ6LzoEKt92NF792OpT7ZnrMBV1mdMcfyCn7dWTPQpseLneigUefMUZ4BQ+D
UTqfUU/eYmCn9g55bL9pK3DkGJF+hbn6MlCG+Eqlg4EyFiPakgjAlh5so8CGeWHUk/qk1IG5/7+n
Cg3jwt9GR5130MTuOP8iUHv83axjRFlsdGNoHLVULXdG0DOB+mXz6WtgSe2iYLRyVPfNNsPVcj9P
Zb4f6z7cFopdfyb5cJtqciBg/NRbl7D0U14Bf1DaqfriC7xRrX6E05qke5mSFDEBLv4clK/lOdwX
3COw6Q9KL9SHkWg3SaTZV630w0ppc/XcY3xVsvqa8pJdrR7EUU9pmjX1UF+XB9EgMDMItAjrcQSU
sjwpcCRLeh84NKfFLHoBEOI/mz05mqUgjFAvS+V5udeTTTyRIHRWStd/jjq3PSoumc+ACq0c7xKx
6lO5VofUPA002h/wvpq1E5eC0h+X0lfUneyLDqE4l3lAg6BCq45wzIUYNFT91ilVyuGmUW30Qab3
5dA2qQICgfrNcmm6dnqfRF2xL1ULEmGNfBsEmEQoScfPJFa6Xt85z45s9GuZoUVl+tS+64l6Mwtd
I9Y13zB0xneIm9V+zHTdWy7/3MvIh5Jx9aWU+HbMCou/RpHsWMEW3qdAiZ4iy3HWcYDisNHY+DIH
KRsjSpTNYuXWhqgn66Im/mpxdmf6FSyz/RowNRpK+WsYIGlqk2l5tT6oyiqSWXQEgfpR6Zn+lldd
vSnq+puvdhBXZpnWRIEHDGmlbqDz4962KmYRkjlPywH2D5LpXvmm1wbIjcIxnrRpjgStjGRXDbZ+
zY3u9Af5G8XZeFGkX++C+SzvUgpa+ui8a90ql0YZeA408STutU8qjdnK7aC9DlROd0slewkRteoy
QlsGjsNqe58KgQnSez6zlFG/BpnnqF0HBCf/Nuiq64GRcN+m+Qwu5L/OlnuBKbkHac2nXirdvH0V
DcBo1YZQ6aQB4dNx5G7ZsyT3egYPsDeda+R4PiEv7uw0dj6RtgWGgCqd9ulWJ4Y3asinckkoEsGY
/ZCW6kECyT2M6NlxUflZICdPlq9/Ltl3bpf+IE+GEumYmBtBMPDFNSs0jDDOXztGUb+u5Px5fUgr
/ZGTP+FFqg8ig4LDh9MnhueMtI9CfMcrxaT7uMy/IXoNhXX4UxgEvJV1m+0kdVJ8Ftk3VGLRKgb2
9RI2rrnxc4tCQQUhB3eS2Hep4bM9GJO1qrQFjaekuMDEJbB8TONslftJeZEI49YKdGCCcuczo2x4
j4LomNqZf0XHNecQQu2xpsaeMzTHszOfJV1CRpkYziXW3T06BVYajv+H2KPpdKQLo0y3NQrCU2h7
OoUaplEVPm7XDPaxlIV9tImUW2H0zHaFZqz6IppeGTLYdBLU4kmlqD/0iV9OmNntvjH7/jBFKRAb
csRW+DOi/RIhShvQvKYZmpfKDV+WW25DFq3Zon0IbYcYhkyrdqKt0vNEOjiFKfkAcVFdIZYH3mi3
4a5Gy4AiZabJWJp/lUOOGhrd0RGxqXuECkVpOypszDKBG26xp7CzdUeDMrOpiFUeSz6tDMqfUd1S
Ki9/DnSg5hqscxmcTrmCpgIIlvLrLjAmdpaTvEfZ8GbDl2OdM2360uq/jDQl8yKXwy1yeJfx/ojD
QqLx3bG6UJvdLXAazflhucHGDEhuCKayfw/97IevDN3T1Cb5uswrx0sBxN9NOcp1aRTOJp4vu1xo
d3swAuqPEX2dydLOrYn6PydiZs6J3CSp9gTVYXxOJL0ENUpxUSTO8ByZVIt4UbY21sqlVU6hhtJo
rhtb8i2NlT1jxmCTNXeRbGE9UppNm7VVjuO1dPLxupy1wuEsyEEBh3jzwrx6EMtWbbUBepLbTdWj
FlNwHkJSnpenDQ7ttSWZ6Kq+XlNfEK8y7Z3n+apWgdwATiJsJ4M1Yg9YOyBRV98VvToIJSjexxgE
FJrdN420Aw2E3X60kf+JubsZ6tVzNKi3kN/7MTSEeeymwDoqSl/knk4W40aOZr1SVV+uY6EXO9/R
ycYWfbMhFVK/+C1R2HGfIfmeL20dqQbB3a+iN4kCsOZynh/UKHnUDCDEclNBI3AmABJXg7IrqAye
w/kszsCfLGfLvSABVQKshkJeG1VvuUjY5bdVTxwrl71wfhe5H10ztTvR2iLtAZDB6DU1BUMVWpXn
Cz19FVCbDBf+4HJVmfZvZLf5JWp6a01cpkt+L/ogr7D1tUtMz6nsy+oSsFy4MPr43brSea31KIR8
aJdQf6I72Ob4TqPYPqo6m5jEsX3GYP21zXL9u1SMVxpk2nJipM3DSYZngxH81jAUrW3dHx9uF32R
cBneorQnE2M+G2rSwfEzJr1OovacaFIsSSZlLGOqnlmzdZo4f8KDqa9IbjBoGOmoN6wx/TAx0K5H
dTAPYdJnp+XQ8Xlv6ClGXnrSIzrmbmoHf4wti8UFI4vRGnZAguPQH3OdLcdcyW7mYjXCzZPVGuEm
FEOITZmgRjXNygN21ODDL0avDs30W03ldJvapbZTyym/4ln7CAapr6za7g7L21k6NdEzAFbRmZov
VBJXRSjGj3hSzINwfcfLk+I3iUAtRZc0eG1dLdzmuvQ35uC750CmH66uMvHNbJ9gwU1ICufLZaxr
8FSHIdm23Y2Skf7uxn138kn2o+XU9G+yVNdVpJM8HKq/02qj9QPjG4z0Z1BM1W1KfDaNjZo4Xuw3
7QV1TndZziox9B7FzgoGh95eitH2GV9Ti5nTUJ86e18n41sR1+ONkK7q0YtmU9q9eM9btYAHRzHV
F7dxrHzMgcLcGZO4BdmX5bvdO7tH86CjQ1vLuaeOdIA1ygTlhzDtC/U+7ew7xEdRc3a39by2CfTg
nW20j9sy/E0XgAQZ01QvZRmpf1YHy8IAc/euII3jMtCRwLziWi/BoFGGNeljJUBA9zi6ql2PEu7o
2DWLiEatedUb/WZHFs0T31yn6OieWMO2z05sGUfT8SNPE8TFM4UwU0V8Yn1KKJ6YLqWVmZvUshVo
M/mPcY5RhwHpAjUZXfI2VPUA1x9oas4QOB8AUGHCM7JtocFjFk720CI4Tbau1XsRFPIla1jTts00
/nDC+EjOEYCi8RrNh7DJUb8VozZTMmflVOleDXf8Irr+p+bLapPxWR/xNbfXkikwVODbtuxP7oQV
r6YqiVICzII7fozTKLTmthxMK2hvtkNgoN40FbgBHiz3HFmEe21C7rjcU+NqcoHoQe7zx3Q7odDw
JnvIn9Nm7gqYxOiR8v3czAcz1P3ZsEYYnT4pySoOxnhlGFTVlz9R1yUxLVGxsmzTgSNRzgrumpne
br70qQDvA0/jnKL8gGZlUmIoih0g0f6lTdF/V+WiJLM7ekhddtSavvBa90SkiXtkPeoenVhvKaVG
BJcQjWWlvr8XCSRKrdfHNejhrVREsfbZTLwpsthraT99+VVJyoPbiHPl0l/t9Tr1On8ULP1cfYN4
Z88nz5K7GONNaeRklfdCO1V9IypPrYzXxgnqg0qIADFOUbTP0XY/6YE+nqaKPaPdK0fUA/EXGXzk
eCeWf5KRWTzXcfzTIC6aYuVEZTqP2lPv+PHW6Lr2tYqKX2nUpL8gx6x5SbNzioZpN3jDFJffzIp9
aoD4a9vPl/yVPTrU2Ueg9eGhxCNMM5H76Ga3gew9cCDkOk7yllsMPkB7d3ZS+O+OoabHQI/3ObiJ
kxU76hkTQYVwSNnCwIOsCob17A/TfQjGck9WvXZONFxJ0Wi8RaTJMBLlJ2lV/nMbdumOf0uykYFv
PJsjbbwsLEk3YX1yi6t2TUaw/pxm+VYQU/hW+IX15Gfjiy3K4m1I4eKp7u9wjkAnyq15KktCju2G
L1Y830NNra5L5IabUs/DI5QclISZrB91rti30JYUURElwUbtz4GaTOdcmRCTKthyfcaALfW7xOvM
sX5SlE6s05ZwxtyvnIOSUnEdRRG+LIdW9B9qqYDOLcwRnnLVH5QivTGfOq8YGIydhNK11/quWsUQ
97x4ls84oujODX5IvJaCXe5YE/8RKyTnLmwGgICpV7hmfVrK5H1XrIwsoW4x+xz0Okl3tjHFqxIE
9ikK2Srnfpt/IXnbInMxz2qihtBijHQjsoz4tdQBcYvt3woM8zjGLbSm5bR0WKVMmVnusE18BZaa
YHXq2esCyH8j1r460e9z/1x2Pkk+Jn7O1fI0JFKOZS5FNtTDZ00r5RnwEqlqhjO+pab6gT6y/KVY
xDkpY/qFPfaX0Y5nGKrVw3YxO6Z2Wj0KbTRR1lWJ11T6I0jC4YG2oZV0sZeDkbakF0/uE3hr/1am
hX9DHOt1Bt6RWqTNZqrt+NSbsoM2m7T8RARhxnHMN/SheKcdGlOM7CvTMmqYcqO1WkDVfw6+vR9F
m59Us0/PaYXkt1Hak0TCeCqGojstl38Oed6wJY1++J3IV0032PtFWEtnrjqlzpR6DT4fdh/kp2n+
1F6Xp3gjh20yBua6lkRcYnL6KEFur2w6xt9hfu1RkY/vZpiiBNRDYw+EqX9ifxl6qJ/QchWYvZYz
O1DNfVcMx8yiLOMMO1cx4V9pUcjHBaPblXpxBKvA5GUma2QL8qyE4hs8N4F8RmrPlTX81FunPy0R
f5lIkwt9mLvI+8eUD09QbF9jv3TJCq+YxRwzJX6qSD6HBvW8qFnwj21B6jwDDzSkVkcSCoUiTPTg
5qTTwYySX8Wg6m+trUyQvaxx7zideAM/rHq5A2xyeQouZefqe1paFnHnVrYbazOyPbUl8TtJ7Y0x
te45NqJhpzWW8LpQHW5q0nslnvRrnynDbbkldJ3cMT7KbQfkySsCRKBGWMT7JLcGGg+s4yeJYNse
lGE9jf341EaIKWf0azoL+v4c8CYf2bp7ZFFAfK9+0Ul4i/RyejGQ3bHG0IeN2zsDUVmyPPUGnPKs
1b/UrBDe4E/FwzaVmgqZDK/Z2OYHvOzBAT9O4LWWWhwcpcvYqIn4CJpyv1yJwrUks07EDKeVLskl
UkgyIZr0grQlVdVrbiLjVZqWnZpZkCsu043fWe5nbMbhhn1Teu79uLlWpf6C8fo6WJO8smYa/pwt
l4BrB7+1L82cb4lvhQzKoHpCNwdZD87Bqh8n5c5eQ7nn0F/WBuCN7V/3ik7+xLOsHJdbnZsTuGsf
WiXdDSRCnZftPoGN8VoRUweOzlGP/MZI7p5ZzaZKPASuQbEuM9ns8FhNB8RhxkGvxD1XbebXshr3
fddFDxi+391S9b+3xKEafsP3MFcR7ueZu5ZRL9aWE13CNsjvVSKHN8M+OnVXEC8+3fVZ6miSwLB1
1blvOoseiTHLWelkxlpDnolKgqJNUVIWA9/bfNhmQyqRlrYfalWCjgMatGsql4Yge5Vr2w7RtWor
ZSME8erLvb8ehLNxPdfD/FjW+mmw2PDkTv6mGBDbkeqY9+VMCZx1Sut7pbht9jpIRdtRMFbJCeRS
I0nywCK1A6iW+6dctSyYTaQmTTPDUyoduuqRrJixks/6UAy7UUq++/Nh+csFTUT2IcWCPvlZFkO2
hqg/mF4/a7vbsg5YYHDTMjCKQZhWd2P3K00qNBHYe5K7qn3RIbKf+HBS0m+65F76DnWc8L1ximkd
hurm33gbac4acURST9a0uwKSaNlbcoHEmdo7JVlBPK7Cd3A76kIDj6GHKygr3VdSkFNtsd4dUntb
NNHPUI7JJZ4Py5mhFsmlNe0DdBblXte02wdF769syoeH6zZbcV6ktuZc8YEHs8pG/IGulnQ3k2XN
TZN+RCul3aRT277kev19UtwUUWdwyDIxbSsCak8REZ07PQitvZF0PxXhQNOt1fBgt2PwoqsEW2hD
J19VYmLJzZ5ryOVHVzYpEgNScpXM6T5xW/wG36/eusDNbnVWnEMtFYCS1fY2zofULL9nTrgG/t5s
nJYWQlEF6RlfCluuMrAfYUhZylaIOVoj7vB/Ac0ixctvzYfCqmhTuzB57L5zPWwcCCjrHCW0kcpj
qwf/ftkZMEhsZfYoi8ZhFHCNozupxlExEA2YCO7RCOYfjsi3XWVjGc3c4gkb9xn30dof7R+u5nf7
bA4hsFWSIjsHalck7em0HPKSPNRYsHxD/OlvhkIllJYuhxzi5slU+/ourJyhrxTpG8mrI4UXQ7nF
dRof7EFW1CO4DIVu7HOdPhBykfhZdlW+NpKm30LsTJ79pHIuopKHSSnC1xb95MmebM2zVC181YUs
r5mZvC8PfUwXd3+qNm2dqJCtayYUtFm01cvmp5XYq6aJxGtdJz/jKj8vUtLGL7WboRRn06lDMmnT
aJdZFiV1E4asYYeoq/WKuSRNtXtQJZBStPxhEk65YenmUHlKzCOd5WY1Ysd7gfaJbCmiBFK3ZYVn
q3X3iuu+ytqKry354td6PiyXU2pZHqXpK4IdlUCrXtlhsAiujDuMpBbvjp0RvBgLM107pp5Ssthm
TdL+gtmAcIiYkIcBz3VDa7xjlYbFUeu1ZjsiTolrgiJ6S3/tpfkxDu54rUPN2JsTjH1X5vnDKZzv
YWTvyF6n6p36Y7+alIqKadS0rA5b+amP6I2jXI2ujmv7XtzJ5l74LxGJchFKPsB8mhPdFc3+QPeh
wpjBVQItkbh3o98k0Xr57JfQFGvSiNF1uhgVjBN4OYnsHSjo8ZQbCv+E0LFc//9//tvzwmperK4h
RV2PgvfsjWxx/Wry0e26RccXaz/rRupnga3tOjjKh93hQu+srnzViibYSiSWByiN68rFd+nU/lWf
HOdDDeNgN4ra3zaKYazakB5OOIxoIYlUTk6JNW7DotxrYx49Y63K3+rpnVx050GPZHro9PaXu7q4
4+ULYTJ2jXWAw1Sf0IuoGxrU5UeUbBwrdz7MBPShg38MSAkjf5HNW0KKCEOU8XUmmBNM/3IXyK9/
jOPIJxSx07xGdNlDTNNwqpu89KD/ZrgPgJtFYpjT5m3UXhgpkiZ58ZM6ftEHAoOo0kgYaHpDpbbG
UTTp7Xk5ZIQ9/jmLSaJe05ShJuwq9ily7jowzu+V3z1rbh++EtFE2xgnxFavrPwjglLnOkn+nUoT
1STTEpeWpcY0BHLjUB58CLO1d0mXVWuHEs0jMsPwPAh+KcvTOpzSu2yn7fKwAQboxS2hYWpmBSwZ
3MzZh7Lfy1xTzlWzo28tLzEEmcl0EXdKNLLzAXoklauKbqEPWZlu6ncMWtVpiMNkHWniRPjhsItj
UtGqVtTPdK0xC+Wu+aOzyCeC8fdJrTvaxABItqqMaeTp0SVmpHplK76JhLIy+owqI5udvnD8O2hR
/05gZLYfQHVS/eceIJuftYub3s9ymx9t0PUNcMV2osGEQyYW7e/inRaBQT0/lqz1uKTKI1ZRpJO2
2g75XQvjw1C7zrmaiIAp7fJfZ0G197OsO+qG+mMRPgQYE/fA3TAQ2+oEkTDVzyGYA2Qk1iVKTeus
D7axbtC1E3zbW+fl3nLmkiK2qvkGr2gqGkckOMZxOcuxlP4569xI3SID+VS6oBbrvmBTV5m0IOK2
XFe4xA+ZFP2aXKHiSYOKRWKglR+QhUzo64S1VnIrebOyNPYG5k/qAw+zDtzf5ZA8LF5FrzUK/4ol
TRBEo9h8ni2hUorGKsuKswdaCggFzL77Ig5D4uoH9S57XIKaktwgrU33XFOTG3Zcz58DOwtRUrgL
ZIVNmHSJkvXilcSd7CboBZPX4I7f/nqQ4TJ9iqInQvre/SnMb+lYOo5nVyhQUEbEgJxl4zl50L5q
ZAFuW9Oh0Thf0uAkCDywwJbOl0M0GPshpnAX91PzOhVKcCRsiHhXV2zH2eEJZd3lv8PZ4BSUb12a
SfOt5RA5bXiC23z760eX+5leD2sNQcZ6eUBEEBbA0Ip2JgHjSMzJ0226snzX4YCu4M6VkMr08j2W
9j2Qar3JWyKbJHEf9zAZxbXN0rWcA32A44vkTvLWPJtWthrsWLWn6AN03Momi4RNU5Xjyinq6Wk5
xH0wPdFzMVdJQw6G/wKNYNpmhaF8A1dcVvq3vKycrSZbMq5Vt/hou3pFsAxKDUBBOyH6aKN2eMqc
ycl2czFqsZCYg0Z7lzJRGcXiNdQq6zTWDrSxUW129thbOyvlvYnINGJoSaJVPhXi4SCkXuspYOuq
aXRCtBztlAY9ANQo7Z7TlB/TA8NTfLTmf7Ge264ksHKQGvuZko1Ug/esMJpdM9nGS4ACm2Vw010y
txYbu+pZtBQmdegGIdI/iVn/bjGfVRJAl00TdBEGjb/bjVlOtXbWTAIMuEUWAMpgfqWpfamd2EPU
Gb04ALTHQYgnDV3cOEyHP+nLFv2m0HfdTdz23+yMgPguaOoN7ERl9w9Sjr+r/pb/RdcVKqtrbKd/
pzEUWdZ3hCeyhzdNScefX3HgC2dlMfRBOOY1ljEaPLorI1qt/GTWJAMXRja8x+L/MXZmy40jW5b9
lWv5jlsOx9xWec0aAEeRmoeQXmCKkALzPOPre4HKrsqMarvZ+RAmSimJIgH34+fsvbYTM/Zv9Tsj
TpQdd1emtsVtKLi9nFnmt5OEuH55uv/xY/pf4Wd5+6UDbv/1nzz+URI8Tz+9++Xhv3af5fV7/tn+
5/pd//V//fV7/uU//O/Hf/wsm3+cH7aPv/6ff/lGfvwfv95/797/8oDbJu7mu/6zme8/2z7rLr+E
J7r+n/+/X/zH5+WnPM7V5++//aDF360/jUNv8dsfXzp8/P6blFw7//Hnn//HF9c/9fffHt/j7L34
iEFtfP24//qez/e2+/03VRj/hHiqrYiaFeSx8qrGz/UrjvVPznimNG2N/0m/fIW7qIv4neKfuqmp
IFIwgJMBu4p8Wty5fImfBglWgAbBPYgtGZLZ/31uf3mT/vtN+wek1NuSJPj299/0X9RrMO1A/jnU
2CpASkv+ykUTFSOBZVI6ev+kOhXxGG6XARJpsAYOh/pw3Tn1/aQWCUmvWX8EroaCGxAvLpjAfF5S
5RymcKfSSrwhpN4sgjIkNugoj4oSuMJo473ohydS+9QT7mNxsudmYmqTIM62yt009OMOQ179lj6M
KWcZ2eVicO1Gh74uJ3tP6wyFR4SjUxJMlk60VCJiZxd0jqjOkwcQAMYWH3W4j9Xxbwzp8pc7kBdH
04SlsTyAL9XNX3GIBqArrCwR+96YxCeKVOL5WLc6oZyJburdcFGHoz4kCIhxFHVMInZ9qLb3aQei
zdDHfuus8grIGTrMAgfaODEoW2ME1fb1dybrIPLS1G2Qsu7aQccSU4yVh1AU93CgjA8FzXZ/vnzU
4pP806X6x+Xw57f/V9IGejaEtBZ9bnRkzI70Xyz3Vjn0HEhpOxhMUXaWOVQnarE9jXwFy0j8Ap25
el3QSpVKwPTFWIY97ahq0wQ1jrNVcmqQ1Ek6OXPDAuXiVeyEP//9c/wf7wKdCo3AKFszuPJh06zm
/D8JLFNky7KoIwuUP+6dxcprBKl9i0klGxB3K9qh7robUvvyM6dhyj3oofdz3r03WsEgkNY2GmYV
jfv6v6KzvbXN2nka0tFrCYLZtgANN0mKa8+hyvfAW8233SRqoiWc6dYk1WZSFnvDdK7fJmam3/37
P0/7hbfCW0ASrYGhAogHi/yvy3yFsduYpTAAhZRC9UXSarsux2DREAr40PaMCBIrDBO6Ac19QYft
WmDDOxu5gBesRsbGapPlIAXzuG4aPuZEza+amQ2glXl1jWWyYitw0nsla7d4h9IrPB7awYIb7qZr
mDZR8iaJR1OZbqeudK4uiW1hHOh/I9L8FdwHyROGt2bDQzQchIliZar86X0M6R/L0k6Hna1UAKAX
wpBoHCZNEj8AWl58aMV4XAID6k6/x235zW6D+KNfLKSsdf6y4Fnd4J0PPVUJtCtyfJRjFFfJ3zzN
X6nb69OEUcUdD298TYH75ZZQnYKzaVX3Oy2EkVytE4omnIZNts60L2uAGUlK5igDwhooSfdGq5Lz
F7d8gsyRMtj+HkZxfPy6xYu5QOJdbSzVmtyonrPrixSrN1DH5uPyoEpEqZyV4+1lHcBK+3d8I/nr
Gg9ETzWFJcm8d6Cr/GofoBcSr4eZYde3XXEyYjEjvIsGr1/M/McCp8zLvkyNooozdwEsusMMPJ3t
JXpo+u181Tla49HNz+86MCv7hcH7jgQ1uqI2XfCpMR6sKq4Pf3Nj/MLY4Y1gB1zBg6CAnBUJ+Nfr
ZTSiRtJu7HcFtvtrWmEQBBizgXtx/Jy25VGx++YpMsejFNlyV0rzuZnIqgwMzr6KWvuJgy0s6hfU
Y/NcvZWC+TmZtZcja6mPEXIOfRutWI7IMqutkavYj0fzWa5OmWww6JmFe1Xp1Se1Xkqk2OrfXGsX
wvifHFX8iWzgJvcCQdkX/tRf/8Q5hsICTqThALpue7VHSqX25ORnOc7qPd/Vbua0KG5r0hbQhOSz
1zmVm8yhfccuXe8IHhnPRaY+Ecf571/9X0O8L0/NWRnt4KEpU35lMBWlteijhuaJzV4/jHmWgmzr
WkDxvYbzN9WuCrNCGqWX+3Auet/Uqm9TY5XuNGWBl6EH3Yg1nrV6/fdP7JJb/ctrRiWFztviP8ex
KI3+soxQ0Kt9l3Q7xDLl7sJFxEYNwsYl0nQ6Y7wqT/My5kBSpTrviRBixirgIlnWXamM4ipL48Wf
dWd5t9QUk4DkaFcEhTcx6z2J2m5OlWyIJsrLAih8bl6JVEJW0KbbxJEk1BD/5CcKwcaFlVkfun4z
zxx85TKdIzMTf3NQ4cD4PzYITipQgDRdZ6tGyPALDyga64Ctuxx2TQeSfvSxvhyhEuduJRLnyKGR
xuf0EFUMicee83Zgzc8oopDO1jnsXyRfen5rOs2w18VIik1ElGmFcmHTiQJTsQCEUCe5K4b5mXD5
b5HesdeEbCwjx0m0YKOX5qLYiXaIULLIgUmGZbl5GZNh3IlDU4WfemYDnpxtAhEkhoNUItDQYMfi
6xKm33Y2gU0yOZONe5+mauJJ0aOpJKbVjYf6JYoRltQZPS7lJuRucY0q2XBq7LxRLz6MErGC1e9L
6dz0wzK6WF5PllpGm6ARaFSrWmHKqBonazKmTSbnyA1wgtGmrZOt0tFxiKM486XV+1aWGVsnDhHq
8auNvP1wOuUmKBYkMCivMv3DZKxPC/hFgVBxYui4j61RvzGWWxVOiopXYhu16cwBBBaVmZjazo7U
20k5hiTzKDdj03lypXv0cwx7SeZXfcevRo7laYMjNnHpVBtTBm4GcZD5y2IOTDuQdnKxAX5tphGN
Kfs1jB0i6DUXWwO1TihiN4mWzp/C2h2WglDVgaHQQK1WKMkTOrzv4wJ5qAdmOdhMbyKwLYkWDzu0
pKWH/D5A+BiTMExbCuCBVvDuJeJMMbclZImZiPO9U5NtX37WiJ39UEJFmebal2r/kpgRh8pBXyCr
Oz8yuHgqN4zbsG25w3rJkXCzT6ziCQ3f4gVljyimUaRbGOLnpLXPgskZHsIGrUJrcpeQABSaxGXY
RiIOaGPcaC6ek1649EGuBjE+CjoG7L63pm3VcBjAT0FYfI9G52im2mYxToAd2lYH5hOTxxaW1UaG
XMI2rBOrsL0uGOVWn9eLHgYkOIM32cKmWdNKrCxdOJFsM5MJjBKZjGagH3gNGpAEH0LrCFeoymOr
9+NGreJ81YK8koSrYq3VXDWqV5Xp3byGBBhQ1FdI9hv8Ah+YTexGbTjtS8SHG7VJI8+sm7PUpxdo
ufrU/tBhXpMB37zULEZB37zFendqaiP3u7h4Ykr7RmgfXskFc8SqOzLybVUWzL67Q11W38OU3hK6
1BdgCHT5sJqbIN98tPi6a2TOpnYUchqxuPkiRfCf5p3tjRaXutYsLso53F1Uzh1m1zwGM09Gz3XE
MzhOE1bexSCNSDzSbo78IYD6r/S65S5q49olnFS7G/YzqBBw70hUAm5LiOcbEVfXSWkVu1ayPuDi
/GZnafcItIpwYc1XUaa7VobOGVeZEr8YupF60IqwtlacjFrzBxXptF16xAsl8FslqDcJsp97S832
dVUaz+gADhOG3F1chiTwYRd5z88CX/n3Pi/KTU/LCJMq6ivNWnB5moqHqVQCBtHjgwpRcV9g5Lgl
IBobXCGMx7YD9DskwuvDrtk3a82SNuajui5ErBvKgx7HhauDhPkQEbnTZhJ/r6e7oIHiZKIcPDIU
ML8Z4r7Q5fxSYvCHdV0ujGY089sQT7UXAU0i0XjQn3uDCOBVQqR2cbULQ7PfV9lCJFpcEUDJQZip
b/RYQ+w5aUhovCm0xKuoCVJoG1lfo+/MrlrmtHOmagTYEsu2muFpiw5XttK+tEWXnUSzfKvqVL0P
e13cW1Gte9O4ir1IuI1DeX2RRSkGiS5LBtY3Itzt8urN6vzuZHZyo9f6dOsUk8HhPX7GGVW9ZqHW
0klikmQpycYYrOzHaCGnqloCwGemc+yn6dEYaf31XSjvWvBVYPsCNyq7eWNODUlwgfq9AhlZxJHx
OBr5+XLEMHtD29K+ROZjDb4ZNNXxAmycR705KaiUknFFQej3F0FV2w7aJl+VBGnp44dJPVAc+WON
/+KuSRvGqDWBq4tqbkbdVh4V2verCLu07UNvltNhVhrT11rhvHRjfM8+330y89qjfWVMrGP0tmRO
b4OTrYvLhfhyLapo5E7lXvZZc5QBl/64aud7PTBvl6ku90OCLIlLjk0uShH42urzhcVkxCr51TMg
D1u30lNYwpsulLnwmtwqz04gj3PLygDqAppyNVkvHJtPGdotN86t6g4hVnlcpf9bp9DFrmN32/bO
7PUyL95JM8g2NuXn0aHceSwUDE7r5+12GTzgapL46NWasioBvnhvCOx3ZRzpbuSsUpKUAYGFUrSP
tO5WSrSVnJ7MbRQ03e24fq6mHjiKWHuxF230sqqkq1mH9nW2/nP5qNqSDaL/6RMNI5YN64Pp4djH
thVVEkpckNzUYvnjn8XBtshNonqXL6gyVdyQ/FGUS8t84nqfMS82Nbp0x3DVuAuvLp+D/PHHV//7
ocGMyiGT+qw427Bt1VvEUeptg7r0tiKj06V07g5JqovAHcaGWqAnjyO1ES5TReeJytGhKqJNSXVw
nRr1A0OF7txKHKqXaVyexRWtnTH06jAsPQXV180YAbGwIWTcOYDaOaIR5AEMzTVX62qlsCddatpp
jflZxXhWnUfntlPOUHXI0E4FGOIC6lPKhSgwWG5GKxA7XniN7MAMZ3RNJl1qLW9W3xRuD/njUeo4
uIa5hx9CCmIu7OJJX0uIobhV9aeLP4IO8HKdRIlPhUjCxKT4JTSc89cjcF/FPqcS6PKexUIxNa5z
W5oHBYN3PFhAn7TSCI+oDT0tmusr7hoi2y2b8PS4ahrfXkdzl38uXyZ7hYdN3R7DamLLY3MbckKv
GeFgpEjjH2XQaL1HL+E26Y2XcVQQdCYJDpyw+cyj0b7BhE7dbRoPDKnd3JizaJ151O5lei9tZkA4
oR/SGQqWunytRKU+T+Qkh/P2ImmjSi42HMg6/zITx+mzLZQ225hOlHqWplVQVWrtxzINfsUJ6b5I
bOBuBSWuU/td2riRTLnO8PL3hkzuJaSAFfrJGcZpJCe5SSLZyds7dbKesDSj2ij65grO0nhueqIa
1uNDq2ScerU+etBKRIcWQzTwUVVIxjTLTVDGn9S/9Mp6Ff14Uj+Ua+qnvRjE2KxHyloGx8Bgi0gy
LcF2BL2DoYrS+cQOGLDe0YmKtnvSm265LTvxqav1z6HX0pt5iEEZzToTuRFR4dQ60U2fGjmuHihG
pVNmD6ou38IkKfc6He69OWgP3RhF35RKG329Ue8XOsr+tEaQGLnlf/3uWiXlB2F0SYSpWVAtj/1L
kd6U0xAe4Q8OFOWrkCNIQBoQ4EdHiYdDmD99fbtWFOomXV+z1kL+NYUOw8LeHKgvk3lzccbHaH/o
dg27yyP8ussGzod+AI82+kWXU6d3mQM2eFK2qD002Nt9d5/A5RZqb566urtqVXvBxWar+QEFujlP
8bfC/DAE8uOyzMw9ZWN8G9m4STXmbqiRbgdDg98ax+eGIN8NU7jhkYzIwZ31WHND5E7XNG/+6KCR
uPWO69780CGYWmZG0ddDWvUbdovruyk2p/u2g4ew7g+on8AcX941kY/xaTSBLEmzM29UwEjeUh54
Y+TLYsrJG9Dr7oyu0NGT2fo1bpMflw2VaK0icLlQH4fJjg+FESa7CvLIs55Nt20utK0+FMkpTA8s
6joB2elBL1SD5rrYp/Hk4mYbn4h6aM8YclHaWNwwY5gF+zgV3X1bAKQYIuc0UuVjPIvOl38MPbn9
aidY6rBNeZYU6tx8RiRu4iYPd3pPet1cG++JY/DNmMd2A102D0pJcxUJWoTnNB7EsafreEAq96F0
DdHi35pRi1/bgBhZI0pwltXNR1bPxg1RPOifQjs8FARqUtMTbKVn2LIscbq8/6kUP+V4rqxOPjeO
MV9rAq4RngD/0l6mitNc0XduinLt1VLjmSjnSmfCRoR42yDzNvTJ2EqASv4CrXYbrhFETmw1d9Qd
GeXJSALj+vByeV4+py6KjkdG6l6dBdMh0FCmRkvaUndMwwvx87wmk/OtAvw0Fh1jxyFHVFWhx+Ke
/nrYlF1214aIIRDjeW0wZo//r49oXTwZCAyuLnuwhox/70Q19H9edkxPd6Fano0QVXuYApYzVlth
daOtxVc6GuGV3iBjnKlOr5acw15Y5Oo5r+enRFO02wlp6o4uBuYZmVQe/mz9aVLQOHK405/Gsq28
Nbbz66PLV89fa3NWp85OJemG0kojK+jSP06rdNpIxrdIZYp0h0m0SreVblCCrDvZPGD0q/s03sCy
mVFH5LnYjLs4p8jIGo33ctXyFyJ/GZMB60knrfMlQXvo0uVQatnZisgrdMWclLu46H98cTBCjsJn
GXtf3mOEa0QSxQobJEHTl8/JvrGPKclNpE0wv5/JbWf4xO3UhUyGynzLNEX4l8brAhnTKzQMrGlc
La6a18WtYeNErwdOIRXHZpgXGqhcZYDkYpdvHInHY9a0zDAcCzaTEV5nAYhXc76+xK9c/omDkvbA
2ienngB0Zcyflz55scCQm8wMfF/RPUysVT5armQn4uSYrlCuogLD83WFc2a8K7qxWw06tk8pYB85
iSe5Wb6UWaxcp7XyKUjNcpXUFufZiJv9UILVmyOmJ5MgLzZMdBUbfITjpm6ZqEwG0SUjaL/RSqq9
wojr2pJt7+H47DaSZFYiEuk1bBMRxZgTnOXRISimTu+ctv1I89m8MtatKx304VgWGODDRny/gNCS
uRK4xW3U42ag0kDJtX0l8HuDi6M4Ga3ylOnkin/NI9JSY7VeFucmC4xmB6AZ5DIN12uCNz1bN6dt
PaK8SjDSftOHT3hx8WNh4wpXa+wcaYOBc3YWbK4t2yR6ymT71bRURO52l3nXaCeB20EHYGNiQA2B
qt4Y6nqWD6fyesjINE4IHsvUrjgK2u54gakVQqu0tqOW3GJWtNkHQQqh0hi3xUrnytB1t3l2TLvS
eEoaQrsWrfAFSXBg3Ib2XH0KpQy/0z7wxnzo4B/iTnaNYEhueyPivNVFUAIZcdmtc13WMQmn6/qi
IIb2RaZPwGBNFiyzGCjdVtHxsD7VdBoevkZ4MvKLwgy9wE6T20UvG5Yhhk+5LOWOI+q8GWntwrRV
Nrw98om381MJDTx+Y7ajDFWJSyTlodbi3kv7JDhEdst2d3m1xLiMp2aNejHk/HCpOgWCjsgnC9rN
09I8qg0VbWelyT0z5MFrUO5sscwnX5EBmJXfLi/guJT6qUAEg44nKY60O9vN1/aLMRq2ujPdV9Zc
uHleD5vl0oUm4PUQQ70PrtKohEhslai5JrAI0nTOzD2ei7JLmYNO38XqfYOEpaOOne8jm0gYrRka
TFmcZA1VKY/5Yv8c1kcLbUg3jVCRoNWKjk7AO98HzWFoWuV6EtlHoNKHWyJ1AiC3vk2Xkd/XpROU
uOvCqsGqtP6oRmocRns72F9894vROf7kdJhnIBm8dqhIAMkKYtKj/sZwYnJVrfRFDRgnJNCAg1K7
B+jR7ERPjE26SO1l7pKraCaYsFScxzxYjhIuCKkz43ila6PyHOjFDZED2d1ginnjWFgb2rZMr/Si
Gul3JM1L+jOdi4gNkUlbmSbf6yhIjlEIMzcsc9ub1s7r5WxBCwp5fNZvRpsYdxcUqLar5Etpclgc
VbO+d9om2Wd5+FiwomyhJGDlsZg4h7B6GQ+Yx3FelsPlo8K2lsO4fu7ykVKmmWu16ALxGRjopefm
fsoBvQa8tbtB9PXabYUhvu4/nOVyhiTjHMNQ09ZfzlxuM1cV41+06OvQGzZWZ84np0eF7IWFGJ+d
MFAPnQne05TvMbGk9waxQYcM9oNXsAS5ZZGRQ7eeocy8iwncSo1dVE9PlxmrZsS3ly3o8s+Y8pu6
vDov6GqYSmqncDGnXYxqFNhgzxGcXjmafVU5moWyveClS8u4dcok4xTDccVGSbBtLMs+xa2tHTI8
CkHRGjeWWTR0dIo3XkXtRiFG2Z0lZpcwgtyj6HYGBt+JENUp5QZZ5hd5ESF3s4VR6+JcjL7OfP0Q
Zft+yj7tWNK3yI4KTYPE3tYOrvEijOj0cJB4nrCXpIyiixz0ulJayR8fhauEqwqYLVoST0+iLJuq
ZztxOHmWzOW+J6l8NeLY3se29lPpF7Gtkqg9kf3qj/SirtHxdXc04VG6wZOCcchxYiT2Kg5IM8L1
5atz/lLpEbGXtj14yHjp7ltO5IPbPZZZQ8RtM8Fa2lpwGnz6nZbnGBzu9EYmJ318DMfmatH6Zxa5
dyvBjck2ROtGRHujhu4ZcJUHMND1goxt+vWdZ+xJgaLBOWJjzZaZI99k7nszDveEZBS+CtHFhzbx
ytAZeKmDPjPXcDY2sGLm4JCuDQ1gUPjOwuzHsqZP6qlvyywhihfNZhZjiVLsZSOzlf4GdPSqQXeC
11SQn+o6rcnBisE68Q8DrepoZzkthnceuUGQ3UxwPzxgRDa7d5hhnExYwyvogGxnyVaNVBpu8byp
q+Cz4tluajFGRK2iCVeyfYot22uyKMa5MWMcQCo75NPDqFU3TUYqpJojG0NZPVW29A2Q4wqueWWs
DB8IisAGRVHr8DMBJNCMWxenFFSCQvN2dhDWY/9BU5m9G4LCRipgjLsPVbSS3IN427WtdYWXpQmY
KFAENl5sY8QO8LoFKj2pFNjILHZJXeUbE3sP+2I70uKns5JguiY7fqDcwPVLD/8wfWSzUHH7kLMc
y2JjNS8zZAI34Ip3IaDujGRPh+WZSO1gEbWH84I2brrc96FFzSXtJ84JsY+yMvftzNxN0P22/SBQ
DQ/tk4VKQjiTcj3i6CL40Sb1lRAULOvHGAn/rEMtkfF3Dr1vQRs3u0F7zxV2JJGYJ912MIRkZsck
hOxAzRw2wbpbMVV7GWLJy9mScqEUh8YBKVwzWHBF43xraNLsujn4bnQxI92YJjc0cczf6gT3MzxV
hvFjmlsmfXG3c1Lb8Nn41X0mYTzktPoL4q+1SnS7apZbKaXKH6IeKxPtU+RY4VaE1XPbVmB7uutW
l/phOYjMfs5jQ2VylPWuSHRlp6jUTSE1HIS1PafujzkCpoTVz2c8ezKq/EWDcDjL+ZVGXKlGt4VD
1gH86WwXzulzkPff1XiYfQUjc6JHT9raOI8tI9jaityUQCAAjuTZNhbqsVbj12QKwPPOC5M6Xvq8
DdpdrgznIYm+M9N6mKPP9V7p2RDtQFHcVEu/sWQGflySNKkM8Q5GIL397meYWYyGsG9Hw/w+xtVn
F47p6mBiLmdDc+i7yfRkCNU6wBlf2qO2BZ3EBG9KNtJiQTPzeZdABeyHWH8c0DqBle03RlO9CtM+
dIuZsb7VLwnWbVdNm3s9dw72ECYPc0FmhuG81gGmHBTdd7A3Y08dfprl1qqskJ4ns/0J+9JagZKI
UGavYqYkshNtS857lQT2OVSLB7NBgozXz4uzYvEDDi4qbgdDuaBk2KjmMRVefBnvR/kTvIyMiYb6
piT2Drnk5LYZmIYkwustl4Oj01kN69XmxKSvDPVuPU9YvhkFuPuqeiez/J7zO4hiGEs0cjieT2uA
JC8PA0+IJRtd1302KJxuXf6D23tF3JOBPIDgoJFMoIlF192asoNq6K8HPD/vKyaBczASN6WOR16M
Q858yF4UsUGHS2uFAZVnBe9JXEDobys6HUb+Y5Ct5bel+NaNuK5g4mzKTGHvYpAWKUUI7CLd65N1
knRx/DZOXmVqpseoKN5bcYi0bCKbI8X8Unz0WIkZG1QgP1qLQZlEtB8HGeTz6dhISd3UDu1+IJh7
7Em1CJmA0S0i3LiO91R6T+I4ZJqK7So/9EVabzCVOS4YEgcLbxMySCqwPCrJTVSZmyLUWJjidNgi
pGE6R1/SddC3BYyV/Ay5zYKPbcnb+8lgF8WPvktFSiYqezKmy0TqNG7nR4LT4c1OWBuHH0OcBFyd
OvTWul5zE1uvpY/kVyL1GqEUF7f3qU0mrCyREe8GRJrY/Houg3E2bxB+q43+U+j0u/oe9ofWA0bq
lZJXpn7MW+1QthnLu81fzXHz2pZ3TP3afWqVH4advOGzKV7BuJbrodnN8KIcC1itGyhRimeMnDdg
CT2BXerpexZ+ztuxcXAlDpLece1Ym8BUnthIZr9RB81VMLD5Tbuvykq5GxsGMHYqBIO2mHTyDNbc
JBW/DqdNqTAZturat+rkbYy6Gt9VTANcQBLpIv0tUwtPBoKSh7tiMk12OxqxJrodklCJPhmHZBc6
zCQZXY5Ns4tkwahz4HlQ2V1XClytZaSikIAfnbAyKSlyCEG0GmrQPDWoHs+iWT318XOTZ5vIlosX
ttZrk0hYBlqwczhFLrTEGWGrCqOPlO6bhheu29hTGGLzMNOttkRerdi0YvvqFrSN8HQHUtMoCOmW
yoY2AIIGx9iR69PtuWAOy6DgTWha3Nq1vcG2uRNdva9m4VxlSn42gbzeEN2xW9gCaRu3t/TZCJs0
ey9agHOCfNhgry+3SzV99mq7GQb7pKVjceDQGPk4CFXYUckJ+dpd0js+pa66GyB7e/zl2rGd35KQ
EfIS2mdSfT0xpOGeDGFP0UYbZyEtOwJzOKsb1anrymUbGdPeKlLHz6L5WNXdW84CGRicNzUrYzJC
MhjbhjzGYVb5dg1aYAzvdBuie2OZV2Xfk6NZNScI0elmQnQFSVH3StiC7tJPga+k40eC7D4Ctyfj
xk0KROzQxT2G2G9MRLtd05hA+Htn2yZV7WpONh9ywZwpFMl2qRMU4M7sCh23QtKY+9AZaGuI72WG
i2Ss6M4tGVNWOaDE0+CYDq3z3C68EHGTfC9a+hMqAsNUKXxTKeUW1T4W+Hz0Fqe+y1ehzEIUtBOY
DI2VxE9zKGS6Y82bflQ/RimjrQPR10mgO2dt/CkC9TZVhLLTMDtQrlD46V3AEUdFrVKLl8mhHNBn
LlVF37QYIVEvUvI1jG7tCaHFUqPBiRUEhVzAbZSaftI3axT8zAYrYg9EtromGNm7HNvhpjHVV72I
Duzqwb6OYVpiruay7JzNPFWPqKVP5eJgVKAaJJKd0qbHgIJ/L7JR2g+dEgIZWliQ5UdYpe+21DKK
WkoKO6FDNHNQGpJSdwMYOVtCKrYtp343ysVzBbbZi534FPZC85zBAl43tIU74wTcmRWZrNgOl0qd
7otHOnTPuA7O6rYLO+r+wLjrIm1nmpym9ZnkS0NHLxaE77bN+iBSoqlmGntWL3Z2Q9c/n065KlTY
SvKpcSDnSR22i5QsvWhRgeaHXEUl+mTjiFn9G5l1j2E8e2mXEoMY/UA/9EJNj2BqUwHr0lftmx7r
2Z2KLQfdqRW8yKFodlU2+zSpK7fVieTo8vh1xiXtGtgxj6Uy3YUgAwBGsqUEbeTThSptthzhqGLT
cezyg2YoQUiUfpFO77OqbjHrYIWNl9ZN9Jo5Ys9DwHJehzgY219f+P3q+RwBmrFF7ilKKV8FnB2C
UADtv2bVjei6V4U+nN/PC/iIdrK9zJA0WDiMamtZU7Le7lq1hLFrxccQvo4XNn3uQYajwCD0sOgm
Gsxji2zJhIMLDN5NMGJvmOfVe9l+txc5bMq2zK7OdTmj+1SraJMDAqaTSzpWGGlHCezQqDEtmhYR
AFUVsX5ayQHn8CMNFdOzkxaSiGm8Sia2Xso0yJ/UeXId8U1oOUEaw3RTEa/tTvlk8OplHC9MnQtk
sDdRzDZCWIrfV9EjPKRx3W7omBr3BZfSvh65IGmLfjPLVN9qwWjukxUdE+k4DQdz9swSj79xP0ky
PJY+yvfsodtQFn4p5pukSLeKMZZn7O6nSQ3EjVFS13E48WZV0sFZZAHoAkc6jS8mwJU17CO8GmAN
yEAtOp3w1nQ4azl9+qF5UeeACw0VE2BDBx21W8+jxshcQbs8PY8FWNaKidHSKRHY2nDTtN1Lp5uw
OOzvsXRe8xA5iZU4Byxf0osyB/qkPe6NBpCCE0sDS2VGSoH2HZbQVbp0AZ1TANS4GY5h/o3umnbW
4P8JM2QEpTsapYC601hNz0ZXnw0HCGtQYcDWfxr1Y0rVum9UwueW0VxpL/SBMFBta2m0ACuX2Kvz
Y2wDPg4JIQulVOjfj1slmSxXK1qxBdd86ov+Qx8Q5MQ44zFyswSNvlGpz0RjbPUpn7m8cqhZdcdI
EWyiqkxsh0XLjmtjAHUIUCoOxkz0X5Awx6q59agwFsVF4I7wyllQeUXvUxigRpZj49ZVD6WOqeaC
uA8rKAIw3V68Thg/FRVdqDFMs9tP/4ei81iOFImi6BcRgTdbClNWruRaG0Kt1uAhEw9fP4fFTMT0
qCVVFSTP3Htu4wT7HyFlPnrqrzAwpoLHGgLNBkdLD3rk+bZcLSP9yz7Ft5MW/6L509twD9P9++l7
LnGjaYSnJwYOuO2AWa84kF3KIenVu5LIeMIyjCIBQQm7l+kPzLrsMg+WCIclY0Okcgkg4GC6t+P9
pf1nqfhCwA3oov+s+eqF1rUbKj1KDEM/SCs9tIny38QGBUS3zRmqFt15mstPdWGfBVWSSmXYHsvS
/JcTYBypI8NmmWXHcjBqv/Lq36WgfnHFysmazAQe1W/oGYoDAqS/iuV85bP2biWgdjxVWPt9HkKq
V7ATApMf5ljL1PUw8/N5FKXHbB89ZzrnvLl4daCOFL2w4/1Nt9TQITAjNuaVHcKsc7s2L2uxgiFs
lIAOkVNf9td+kHx1vvxoFpXmnGZp4KFupu77g5AUOhDTjMPAm69Ckz5kC+t5TsCWcl0Qj6KCtMYc
iG+rF+0p1z7HaepAGud9LA1MaSMRZOWmfLX9RDiJXDj59n+R0YWyXi2GEP0YH1m1+FaO08fe+dQa
fK1prmvkLpqF9JAdgmCsbdnTL4JxGGnaRnxq43AxOWhaRHe0hnk+Gmha9orKT3N8rB1CUnAUaPUa
g/WHHdisCaWHPd0FzM80nrkOjGjY2X7bU5JCso/03iZuZiHcMKWO1eouauaCsZA2+KaWuT6yEvYP
DNh14z6ugq3csc7ddxSEimPjXFcehn2jXyObpMAZzptHpFRTmMD9tVtnGEGzH95NYaCjSMCs5lJd
g8xLeBrUWmhV9RD0u1yyU3j8toalIaL+gn8iQ7PrYA4XW9Q73HdAHK5qLb4brXV8uMaqrxGWkBgI
vFSFcexpzrTHHSEWyyIPG1rMg+BuU2cVfuJWHpXKeVGBpKA53mJDkFg9ZzxATVVyS2f/DE124ZDJ
t7F52ZgTR0zhcn+txbmwKvKoW2J2yixAa/lmqVYw1av3gq6BhmcuTquJlrNs24QJh6b7XasOlDbU
FC5uL2zuazyHHWHaoWZkU9TU7X+FXAwGM4uDxPNLmDKqEt4g2YFn5NygfKqpwTBpOYcKkTeaUzxN
zWsxHCVb8ZetSt49lY1qQtDhYXQCCzg+vJsJW7sxtmHeOI6/d4CBqVUEwalv7EKnWO8GVFspGSrV
pAfFwKJ5Kg9QCqCRF4TMYyylqLCRdtlbuLDiOtRjGs/tsgZSGXGfeu43C+ly1Y+F1qBFUbwnqNS0
ahuIuC4tr+g72e0UsBxxY+JLPS4NVaw+kRxsKfdOkCxRm/qT0omPLrU5RxcCjAlT+qpJrkF15572
3AqRJD998TChLQcrgwGWHqPxEZflE5ddBVu80uvMx0j31njuf97sHbwFo3JdTSyyWi2Ak3Y0Df26
1vVwnXhGuWlhHRiteL7wnC+yNg5Zmd6VbB6uOvSdfsx1MvoYBpvaelPcFeZ6txPfp/HEFdqHSepU
R1pVJ5ybEKS8EwvOxRBU3l/QpH+gO6CUVrP6ALL7muFrjnV8dFOXhYUzJqgaecAI+dz12wtUAQhb
fX/UDZuehBREv8+sF7i5mKASCvzZMBkMthMbCeLrqBoXI7Tcimcn02JPJkes4s5FReK5VSJuu/Fz
ZWI2krkSQvLvpaWHiJ8BAfM0Pa74RiA6aXGmyta3nL6//zqb2t1ZrLx5OPCvae1ugUOCpe4MbBHz
B5A0wPE0663v0E32lN9B7V69figYlefy3NM4gr3LA2S4l6KzytPI3mg35hAvQ6JQqM1jEtMKwSnv
Wl+fHaZOqlbFBg/iPmVZ3G6Fw3LTBXSh61FbMjk3euO/bQQouLvlr4JCvyhJrSxF+rTmDUkzJv8F
rMyl09HJY7D7ULWcMl6c5zk1M+bCSnnOeeByOihRiSclsrI/JFajumtIvUP7A9O4Ovaj+9w2emCS
wsC1MMoI3MCHWgkaoqH5p8kcnVGy6YiisyPVIX0X1qLRUY4NvwvZ5wo1KyKfk+myv5jAq+S9gjyi
43k/DPZ1FvZxcXnAFwP042HQkCKV3WlLyAbLGNVtMFPhWHD+VgzpVwhKbCMilWxsGLeIXR2M3Feg
x1FRegbqtH4+tD3OD1r77z6luEccMTRTe2rc8Ui+D3GPaxPMrTUekKQwryzEGkuPWfiopIKZ9Bxk
8+g9tWKocRp0HOXW0VwZkdmV2zBmWA2odSR6kRhQJKXxTNlwYYE8RlNnfbSA55CFuW+VjqpWsTc6
CUa8yzhCqhy1z6mu3yqbhyOUjUNHcsGhaBeAmT2/TmsxHjLz6TeTIG+2eibxYbUuFaaCQAq5AmVB
jemyv4vUDsvZlhXjSXDJ++ZgfW8ATC+Qw4/SUVaKa+0JGRXj0nLdwPHav6qhv3gen1A5sxHCMJIr
/YUQbY8i+rFy5h8bGT5STgPM44gWlo+mc3Ij3nCK+UOlzKFtuPG6lU/g1F+Ayi+HSl3akFeFAI0c
C4pImuS+wbLdCLaxWUfLylYoSeG39Nn2VnUS5UrqMS/OtqBT6wEjqk7/DzAtFQTAkdz4NIohuSxb
8lh6eqQ5vc1UoNEvWWs/b+N8QJswx/QJeeSt3kHqFUCKCVqzgc4V7cYHFdT05DnIBgSHK5Q5TBqe
2F4HgBf7yfI+T4YXmz1SgdFQgzadrVAk2lGd0dJ7yvCUFj9lRUtmT8dCZDtTt3hDhH4TFnN8WZBe
hRk1Hru1PYHkQKdmc+y0HReqxA593wY7KgvAyQX0FUbV+hPVicuGcnoxGeZi79zmj9zWr5vnUt02
CYC2+tYuRgo9ro7hijmnnEgaTah/S6RbAZl9Fk9G451LKcPnnL6TFPUioLIETSbK09ypUwh9+Tb/
phU7PjCE3tERFKkldBzWDiNxUc+l2B64UVX4eNycFrGhl8p77lV5xwhNt9RxjvTlA6xlgDnsTC+N
4t3XDsA/0piTw9Q0H9T/KCFuq2Bl5uaaGeh0tgRWp7BjcCmdoUdjBJlhX+ns0DxHO4xuuQfJWYxy
tMx+dd0E6gXG7G0gL5oJc8RFz4Z+ALQO421t5+dk0ORB8CQeO0U5jFiJ2/Sk5nN/wW343FjMTJxS
3U5NhjC2L5w/oOY48ZXnZc3OJgUBRAktAXbIvW32G8KTjDsnEwGSTXKX2+Y/ygIv6C3vtUMxT3vk
vbt6k/K9xsBQ5B6awVBwMKLSQBexbvIEDagMFiSwTH4XkkeALSoNG6aGUnsoXSVSkMR3KTYss31Z
RWYjZRCQ2RMloEnPL9h8DmZgjwXJ7A1V4lpblGg6BlXbg6YiRmdh7IdIGKHcIWunv65NxHMGhm0w
hPzgcv7qpz+pOprf2/hkdGaNcsbSL0L/doi4IkdOZffkWFeGiV1AqfDj2Ib02db8m9A5oEWhQWhS
9e5q4GgR9h09hzQ5lSfktHiRN1qfwNoJZazB75XtP1Gad1Jes4tiudHgVM9m3/ZP/QhEO5EBO+vn
umNg+EMu4nqtFjtwfaDj3SFL+uqQG4SDL3n21C3Q14Ypbcl1Ps+TB5AV1ZptWnyr/GVhccoehyX1
UkzDXhmxRxAW727/bfet8aTM9GVbqfNXK3omKxqdmgpfaCExvH9XWcZFXvPmKdKMliw/AOMGSJ/A
W0+7CTivw2VH8byx307X/gMxwZNd95lvWchMJO3jGXoS/f7mIgWfMAPms3LCP/rRrg+jgNNZm4Q2
2ML5TvQKgXX+1Sb2M6YdDqAF7xAd93owBPQ7p9kD7Ir0nHswIZU8mFG2oBn9m9tWGVfNyGXMliHy
LBVzglu9yvJ7N0ftKnpDxPvWKR2qH5zup2rYK6KakNEOc5Cd9xYtApfcLAwAn861nwbjBIzBhzwi
GH0Qj4lp7aGwWxxvbqMfzNUFqptacTUMT+iWSFxuI35LLSJ+OT9Ss0ertvymyD0gv4MA83mDmBcV
tomEszwWyTAiSCeqtsWOjXf84pB4H9pCMFcx/wiimQ6eaEsms3VMaZAeDFPRglUnQSaf2sgUZOYZ
ZTvdF5ioCjgYwgvo2LLib5uzFvEGsR5xkfWsaLIX09ghizkG8TzlWbjygDtMRv4IViIgs4qkBeUO
CrZ47YlnQXrsl80OC3WyyF0cI9C3il6oBVyojiMRvC0/oF4BMbrV+FBu5NBJ1rmHRgWjZ+kjj6FF
njkVcSIEeTEtYCHqe5ffN5eFi16zvtgGtoyed2nSWoG06ugHTVVeGGVlkaGOb0ZJdY9b6maSlvJo
/2NoCrB84uFezkcWJux6mpNi4jLK2E3I3uNOMLz2UyleDGImDhLU463IR0ZlJ8MVd48hRWzqXIUI
Ci2DtF0jR7pCcfAL1eCQ7DIKp6ZxA4oc0vids97+3CaTLXM9hc4K9cwDQ+1jB0tL92YpbOrUwk0D
q9g90c3MRMz5VtS1PaeJehk75+6VaxuYYvhOCGFBebaFrtIN4VS86mTLoRUyeBEeabGUSa/dmt+2
ooYfh4eln0nO5Dl5aoZGOdcjKngu8P9aY+wvmqzeAAtaMUyMLx2BRqBoEIKIUYySSeUdld+OznKu
LUxktao7Mcph153NDVE3fG9NkCRQCOW6L751A/0JU7xH4bCgcOztbPWMvo2VpZ5ZvLMYowXaJni9
Q/IwKvY7E5oqYoFO3a69OfOvQFFqk0jiZh1kNrr6eFTThzQ9WuuAT09Tg4r1Dni4XbFbKQjEzBXa
WcULQigGrY1l2MBLMKJs1cHVMLU9YdqlI/G2LrSc4Z21Yh6Vgl5/7QI7hT5Q9cyAhiHmFLkbaeTa
6XEwlzd6qmCtkhnjIGkxhaX9N5QOzLr5wejWNwB7aqy1LE2wCHLFV5hvzGQME+7Cg4cu28R0YWYb
uLeB/t8yDfXYMzieZMq0wxQaraB6h1rxbU/rQ9U61xVHNJHNxAm5nDq59WoQ/OyM6beGnOjsVJyG
ihjCeasevVLEQ0Hlok7MiBEIvdpFhYxTMjdRWxnjQ4R/BLc6JCtRu4xmK2Kpj1fDND7ySrt5JUfz
ehVSPG3jBCO0M48wnUn4BglOHQbLeEzDSq8esnGswgroHEmRV6vEQLUwnByhUvNGIxrV9OyrR98s
QasgqafHZxN0gzz3NC4mIYnthE6XuJ/NMjiTlgXgvsuocNoQ9uYL82KvfQFswfK0eUap/zwU2lfx
Xqh8tZpuz07uvJX2ssaLkEf4DfWZ1DEG1eiqA0ctzkJX4kl4MYzyDossblwCnb63QRc+TV3JME/n
V3TvurM9r17x3wQbIuwZEefQRz189TaCVkirTzqh6kHhsq5N7Axzdcm4XFGroOned9+yBIXjM3Pg
DpDma2lWhp/3JkyFcv0YteU64OsZDWCCqaMjteABPuXM29qcgd5WnoAFBJyB3J5LcWqtEiCrN4TA
OlPfrPtjnxX/IRCB0JZtygGx6nSQ6rvEkZwZ3QVQc47fE/OxU6TvtkyZKPcjosTpp1+fYfLHFuts
+Koo98mQrho73El3GvPptCRJc2wzJ7LrYC9b8cC+ZTqZwd27oS+Pnq49NsOe8KSlqy8kVllvF/NM
qJoYO7392AsvQ90kL2ztcCRJi6UY2YzZv9zFOZRhDWY+x7Ug6ETV3vuTmW4abxoKuJaA+mx8nont
WZcRlM961pk6Dgi+EneLezF8FkBNw3wsP4nj+E9Nn+D674C6Mj3oItJKkg1MtEteaT/3/fRWLtqH
lSOunbuK9i2/SMQSSp58wj/+bSxpRdx6Zzyel9FBkNh5b22SV8eMqYuhkjNdywRks4FqVn9U9fmn
yfEOM8aspfLRLjwO1YTxN0JH/Pk5qncNClC64aLlrQHpCv3am6HzOZeJhzJ6XRIRHKV00Ll0H+v2
k+XkXpl7weCKgU0pig8ewwRI2vgjOuP8vdHF0oklV9k5/zrYS4GpLpfZsvOoy4ofkMa/DK6+Cq86
sS3OwmZG3SCWWxLlrflfm6I8Z/3OOjV54dkrUPVCDOXpj7iajJ/WutX4TQdLP3Mg++WOGKU/Z0GM
8UtJWZGQhLxv/gsyARq2bebePG8lLtuB0b7ZpXE/E1jYoNHc0tjdI2zTdYg69sPB/hEYUn9L9elt
LPpvwqN/0CFFU9E9pm3m7WLko+0xMxDGf8mQMgdMSWdckvt+lRbSfprW/wA0IBMbvNtGLbxOui8X
+kA5DR/EDusSBCmsep2nHodktXCvWCWDeUKIcfg+2ylzNqBApW978p20sSe8A8hosB03SH3ezA6M
qcP02bGLhbEsrveGEguZzHrwcK2wRMpfpYu4km3FyAHi+r2uM02wmR5slR42U41BmNmwP5dTEygo
aBiCI8YDGptrO7XTrF+mfLbDpc7Xk579Mkx532z7HzEXbDgZp2HSPSTIM9mjgEtYr6NT/CKs/YJU
i15nwUU2lv82nmwHNfMeW8L9QlviS81BO+PE8tMpyx755o/ubMc6RLjDXNGOGYSEpmke5FWo7AbO
iaEJqY++Zfa/ssjORF+T0pA+5w49wOylX0liv5nPpqcmL2r318FnGm85wB7T9E5FtRBmlNf1tc4w
88spw1xv6/re4vjUfoxBtOS/jSVyJBR7CGazvkqKFPExIdgM+gJpQgJTgB0uYsLetE/9ylk5KbeO
nDB/2zSW2foDHAIo07n1MQ4s1D1lfySi2xixX3HRtZeSLcSxerItjOeJmFlyNX9Yrfmz0CyWBRRf
xsIQPYeX6tc2U/GkpZodJ6CA7bEyVs1ncSOy8jSRONOIlNfULIBCyEGrIcQEM/roRS3/SUlDrMtW
4fi1yDgl8ENYFy0bH5xZvfE/JPu7vkOCkiqsgfe8cKZGQHYppKcq2EiUGkhZaRDa6Xr9CUGH0Vj/
V3M7kxSDiWEB6gA5jpfWor0iVqohyQ+5DtvBI2zfoB54PtdrZQFtLc2g8uxfkah3Tam+Ww5r9mPa
fcYmRcJfW0MwaL+lMD+95ig6MGf5ONdBYS1fkE6A/gxoQ9YEzQ2AqNta77O/MqHM3eruYm0OPAn2
SLn66TjzsffWqEoRxdB5HrVUFM+EmH8XDfZiQJi/yVbc28Iw2boap65WB+bhEzIupNi+Wsf6nLRP
ivXjaNWPOxi3yVACtaZO0kqEv5q+xehCnTPU8Ka6zaK0jlyQWVArSQkUk2iUhC5Ac3hSEMs9R1D0
UU2M51pXxRGvWB6ifX8jvk899IZ9MqZxn0WfV4YyjSGv4yjNBw99b4nbOyRrJhLszLa0AVhME68m
yRnCMjNNj8CJIzjax87gl6/73qUR7r+5APFTVBGwth/L6lZmZTSvg16eWsGsXYrjXDKG9ezpnwRm
ymKdzQpHOxuDs7NqN4bj7F/XnCVo12If8jYYpbiB0616rfQiQl70Vk/0HeU04Zcmti2sB++QYXpm
qQOM39Dzj1U95ft2vctUy989N74gfROsQ6WSwkH36vYoWhXkkcDl9nCj5WZy/KNGW77zLL0SgtmX
ABeVHpGPpCX0MyNPDrZOpA2s9ovMzrUJdlyMuFxWQ+yfdKMGtgpCsx8bPqTVYauHqdcabV8Yi3rA
G/UAtXrymRqIcznf6rX9UG1FJULKfQC6A/7NEne7L9rTDJe7YRaF2Wh9zxwWpwhQ53DMzS5I1KRG
tECMcLGU6MbQVaNRvXip5R3JiTllLQhlDLtJ0I75n1xFxWykCsD21XpeB9YySSvOlSTIiVz2QOP7
+oNlHuE5pSwNEPARF3mxSlKKB/k+EvzZWI9EYlXR2AuTj6k/m2Aa0Ifl5O4OoKQM3QhXp35kwqRQ
o6ho1Rh3BAJd+BHOOnubivXA1ofZbJKBDNmEnekPCgGiAjoR0xjvESc4mRp7isy+40bGo4n/IvM9
fSs4eZU3LHGcaGk2HzTckaHj/a0GKBKIKC+GxJNpJSkj7EaLa3DqNXGDdI9FlDj1wiHb+pW+G1Ta
JIY7dmE3Pfiat/zRC0jAkMSGUQYr1yXGO3mwDS071PnwXWnTr9o0ZDOvLe3lur7C6Q5RaHwT9Rjw
CfGYN+WzlpjnrVNv3UD96bVljMt9oE43+KWw5qgbQ61dS7sIFhqTDWlCM+abgXeCo7jf6wy7CEQq
cK2WOgh++0/JAIGhlIrUvbiY2GMQ+HmPAogRCgr5rFhLFhvl3Vkmuh9GqTsS90kXkEEHW3512/Ay
Ay9kf7egPNzWcFpVXq9xs10afGMsiMkymA9ow80AhsvRCC+oU49kAxMt2W1VmE/bduNJ+jG74xRN
9pxjpaku1oxZgzQnBHxZ3JYudBZyAFIeL0icTDMmnHskgoFvnpXlY9UisEsqjh9EgovAreJa5krW
pZEeUvG2KnWJ1Mu75g4qycWNOqXRrqub/VE6FK2mysvBEtcynKHq5tZy6/qdY/Xu9J3hr3yURCGU
xSZiIu8Wtm+Ui/y1Eqrf5kF0bvNwIUMjcBbjwejTcHByZAuOMQTFVqMbpABKahcdfsIlwpC1k2S8
Fd4fuGb0r95A2MfKT6jW8V112atBuSxJzWDX0z+VJKgcnIydJsO7qO+S3YnB3QNzEFJ4mhysDM7O
tkrSK1I8ZYDnlx2OOVnsLufMfnGbAcRjJamKk/bVmkeB8BwAekctv3iG60/afPLsH/xF2NmhMwVO
7r0zFN/9ojsSucM9Is3suEwuA4eqf9ZzjB5Exv7VdomylJ3H9dTDv8/BmbH1h8hiZlcSU57kO0d5
RdWVa5xuz0x728fF0ajumCNpPKASZgucyLYa5ys3XpG/aYCh5HxxV1Tb+tBhQaWUbEz7nIx/e8Uj
rExzBevg/yh9WNwbDewoYZ9cwRuzCoxCBPS8d5l+rVyFke/ukFO785q9Aq1LH9BPc9/g410yTAmI
29E8yUYDSsF/Dj2JmSkBSkEqJ/0G3BsQHPFULc4XOsfCV7tSP4FwitIGLylYhweOWO8kXCdnklLh
k6Fm8u2SQe6UtyP6mZK2xXVe+zpz/M5t2EyWN0DW7AGUNGw8vYBoAI245wgjnf2/XpAFkxT2m6ug
qaiQzfLDV649CxoOMCUltvvtnsAu9EyNSrJ6yBG8BVQBxK8uNMBWq/64SJwGkpInFVWlO3cywOpI
cat9w44iVoHcdZskcRI3dzMF+/GsUqiAE3Fir9CXFjV5se+Qqne72mr6am4Mohz4EsYZCOF4Hm3X
VNrkQlmtw9zkMjU9Mtt2Q0mfEmVZQ8lx5+UHHuk/ZtKIogzz4A6JSpCAwbMf/gdc5CeBDT5X209N
kxzp5GuYzr9SQbCKdKuFUjgzDUcBoLd1T3F1HuuRszKRuo8qZpvyf9WSEME+JX9dw+MPcG2b4zD5
DKCJupH1IwvgYBAm4KayeUDXQD/BOjJ1cdZtvGl9R32jICaOkmQ8iE238Yk2yWFe4GCpWnq310w/
GrsfhygRBTspI53ESZDqgAn1JcglrVTTA/Z9Fr8JHTkctx77LLPVLdwkAvo8NGbbPjr9cEsSYiFy
lZqY1NYXWyEuAtSN7s/mE+ChQyGzX9ctPoQXWcsMt8J3HDBQ5b9Obe9FNlSMCqrfYiamU0nUB9sq
8OtbZy7P2Gv1p7Htv8k8C9fmq2QTRd5iOLTDwzRNr8tqxvgJrtQOT006f5ZoQ8eRQAhpP7qTflr1
vWKVgOsJ5Jplft/NOG1Fs6xUOORaEPK1RtpNM37aBoadWqn/LIvGNMNxf3RFBijpQgK0zynqG0VW
UVbKoFY39Cy45rROuWb6sBxmV7tr018576G0Wcw29rPslecShaDOFNps36asPiGKpI50Ts3aGmdW
0cT0pG2Qd5bjE892HjREQDTSCiGwJFC2aMqhiVZ1GaQMYmmOF2AktYIpkCQvYoMs1funLSp6/e1D
2VcfK9nQJ4vQK8bhcTIyJNAkNYBDNPkByVM8KCM/zoOIpcq6OmLdoywgweA4GduvJqOFGB0GWjm9
G+svfWlOtZPKeE1FRQeNSZEYHui1GlmjNAtzv/VBo1UdwZqhY3jNPqjSgqU0/3pG/+ysPRhW9oPc
WFK8pPCvTHgnLZM7LnEqJbIAMwVRFxMt4hzkEG1LNh6pyNZg6A9uRzhS152csq1OScLcZlv6KVDN
wTnUG36cTSdG0g3tHbjsmrBciumqJNbNIHUK7undAO19bU3vLkfqLaIc7lpNfAB5B1hu+egnrQFO
2pG6TigXpOEhSpe0Z1ifSuQmS8mTdSVRiqmV48E3dGGkEB4X157mBZ5p+VaB0lm024NTibPTKG+J
KW+kgyF7wc7D2NFvxlaJeXRwnktGLJ3NR2Xo3nOZlbRLdhoS7rb3vb9jumfndfNlVBcIUB5TtR+P
UVUAiDQNpy6yTPtqp5BnhUBgqy7shLQ1+2wsHYfBpuNrWmUkku13BD3M8mtoAv5B2NFXrzWbdB51
9RjpVk5tkJHuZ+SSK45UxkQwF/GwK+7j7MWbsXiaxJCzcx4s+ctI4btjnH9znDxkcfiDlOi/UkLT
rFsvtvrfph3fe3stw7XvXmD1YAwWIk4gFTVEIzv1E2cTrY5FLz7Ox1F2BAxRNIt0OmAOe216FD7r
X6rT+VJtoHVWtjS4G9iDsCWF+pkg2Neu2YQnoLKs336zUZnUxYriz2athtjGBjtFfau+ZouTgYFL
t6gjPiAmLWyPhNyH0/0P5aQazPsC2ukASpTVHwabwBL5g2zOmMhSwaTWju4b+2uS6KU/fSUZ5yQu
bXFzq6Xwia3lam7VLKph7eg2v96gfY4ZRSqWYN9zvYkn8VmfsD6mHPI2ppgTgpEHmGtAH9PqNEhq
ASJosgcll1dlI+nRFQjH3GIOdMQH+GDcgxDmh52AGuKHG+ob7r8ptpuIQQ0bPrgArM7/5hNuRpO0
S1+zEFDPaIOasr9Wo95Gc2Weh4ZQt6wOIRip7JJ8Q+nUKK3ZeVT6dKo1zvlmG7frnPbnkeXgrRSs
cqlMD2oOv1UdgK1YK95gHDBk7dxG6gN6m49+mWZiVwpA4djEQQDmrB+34iRXPS4y5tQtff0hVcw1
6ANjSiknlfTLQpQz1+z5sHAEJb/i1CMUxy7CmnCrqtgUXCFN8ok9iRkgN0s8D3pcEQbPEp9gGl3n
oZcneD4n7Ug+0RBBF8NKiCJegeMg5/5FdOvJtRVoLGUfZyssHPw9njYjaVvsm5J5Hx79GhTkBvH3
YL62bOW3EimmreDZyrsZ/wLanF3m6PTQb4qNkU+2ig8a7Mge8rfJw6vNPCUuMcwko9RPOrtb/E/8
9SLnmBtrK2OXjogMdcDodRjEqoRTlrtg2haMbZYzxbl+z5ZGHM1Ce6tcnUmQDQ5qaexbrogWFpxt
RJ5XBaWNmnKYDG5rboB8BG+o9Sigu+LUaww4J5W1ObNKhKO8Q8iy8NGVCCC2qTuYZbFTs6bvxCI+
cBg+iAyyAZdAWZ+S5NqOHt4zE+tcocdJV1NpOExrPCIAg2VPpYDp9lqQb31CQ0qhrB+9vurjCdM7
VOZPo5qnW2/91DPlMr7sAgGuU+nPCytNVLPOvZGGPPJmhFVuRlXLvYBYc4k6LYUDxudPJ/aiamiK
6q2Jiaf5LqrVofv4o6VctNY2fyG8uK2ZAK269U+Oqb+ZKVsCrEH/Rj1hXoAprO2YGOwRgMfGhRw0
CbahRRU2qxu4iCki9hVvvbl+OcSRopsaXvpKY0OsZ5bvpiQ9AOGNEzVbD9nEVKOZzdRP8uKj4Pch
EhMyAviIl4lJJgJV3oTMeUhsCe+WDetlG5yr1K8Nqosw22aT3di+0G02BM6Uen32NM7tY+0pN0uX
u9SfKSLpnnaVOiEvdUd7ald76bpQGObvQHeOZhSYfea4nDbg0wMvY2STyPnRJrCM7KSadbl1REyC
t3jTSJ7RCpdOAGWigIocOCgse7HBOfpulz7hTOQYc/li4jgXZEnpHYoWS1yTBajqOL9FmTpHijW/
KjhzbNdD6Oa5Z9omn5DD44ziKObjBZa+sHxD3rQLhQiyLLbiiCHWYSDdvRQL+4CsptfNS8QpjktO
jbk82Fjn0TBhYqqTJSLT7c55ucVFv+CsGBlzqJm+C5DO9oxIt6vpCpKyIZpGA+wt1YkqADESGxyD
Hy9gz1oJy4NsGx9lkwrW9+MWqnpR7m5r8OcDqjdMHXVHCqEHYwFVZtXiwyRxynRDAEWfskzelsJ1
0CsTjDQYzXHWVuRznVEHBIady1Z5JJqNnqmu5BFWt68xNgoEKHtfHPMdeqvbiM40DRyoYGzTOLQ9
w5Sx5m8wvnU2SBFiZ1VInMLuGP444syWJi5T244R+bK7I8+pT41jrtj3wZM643ievdaEmjYx2Pq6
Wfni2foLI28MPQX4APKZOXjQRSI2bYvkKaMAxJMu++dEcOSKVp/8LK3kdXHXu7Kbv8Zl0qmrR4bW
yh5dCDdWQTmDIeuk2EjVulqLXLtPAi3lq2n+xE4GafyO3vu21W7Qq1tMOh5bIMN7FgWZ3WqDwcko
WPpLRnLJ46rm7SuNtFvTkstygaeGJshck/bMVJCJHQz2wF7rYFSar/+JOo8lWZEsiH4RZkBEILap
RWVlabXBSqJVoPn6ObxezGasZ+aJ7EoIcd39uGMOFNM6ExAjfVKCYuPUrLJdPcaQuefu1uzVO6LW
AwHvZF36dUS2i5+JnX0kXtkeNQGYOA1/+onwMxvmLrNYuvLIO/YTfX9Jg027BLFH//xNE85/acF0
VjH5X9XGEQ0fLbMIvswaWFSXgHAxnQdB08G66vtLFOAjjmA37mK2cxePa9nY3Ndy2s/bFFNW/RRo
rmZuFbEPmEgajoIKkDwFdntEcb1aAJsxlpZIwIS90EKSazG4sJ2jCdLFFHAtQ7pplRVwbku+cIiG
N3iTohowfdY4CHLE9SEu7TualLFlflgEemm2TuZlZH3gqEmtoaML6FzGSxhO5mpEtT0yA91US6rc
xGawGlyQ0ObwCzQ02np4XYZY0F8aX0RCAhLg6EpyNeFYmnhEGmwfn6jYVqHi1jsm/lqr6ZI3IIZZ
KX/gqb9IZ/bg75LxszQFzhWQ5EhJnAaufDOwjGzdKP3zXCxCwN3qbV2fmA40UEktmBAiPIZOpdHt
eIAEY8rQYbAqK6Zm5nQZ4uBuqbLXKfluBH/qLlR+UyoF+NkTJz8FMmguukVPYwPLr5swC2etaLK+
+mwzuTGJN5EQ31Zp/hja5EuyAfuvG//aLY1/QOmZap+aIsG5oSn2SIv0PZcIEK24ZZUcttiJn+Z2
+LZja+d42JilAFYwq+C2WsqDm5znJvLaN22CT6uoxViIBCmLNUaZGhKIR0AZYZHsYaUMmGQ4Nowp
oPOQzPU4gPm1mDN4ugF82V2tnnGopoJ2q9L2S9QwkGT12JL/WM25hb2YaxxQBkxTxp2PA3etNUzk
JCtOEkhFzorOkb3Epsx+K8I/1nvc7ror7gCebjqRPxGeWee2MZ7cvoS9Fy34qtRagcEmNMdHokR2
WPdey4gkAqfoKwi+ZDWLEAd5lbgPlUf0oeju5cBIw08ZpVhDZpOwT7lsJ2hAFnS+HhFWG4fcs14r
rOBdWkMxJIcHjsqPeDlynaP5keT0J+c2y/EN1A7422vnEFT3syR4ZUgFVhV83wSlgpK6Y9oTS8HB
tko0EwnGBs+SMhAR9mB4O0KoBpWA+N0YJWv4IPwmB9bktjaMb/y4tyqav4eaSyieVXuT4gpeZZgb
ML6dC9/9w5vFdiSLbuvJl4bgyyYq1FeZBlinlbkLNGGThoXM7s1LngaP6Vh/KbciqtasEBCftboF
kYxvvOL1ITx97VPYo60V+7uuOsmSPOpStR1N8CTivL51J9wTZh9c+8LAU5MlZysB75d5d/Fc4Xrx
ovuEf1nmoNO+WMxQ3DOhUoqYTUg4i6HjUEdeQv9c+BRO5YRF9JURehkMp66cmR54bI+lmNdxRVgP
ksBzPg3tfvBpCtA90zHJ1HijgvRjJBe0lglzq56wo+suyNSIAsYRRMRa4pm4lS1hn85cK3TqKxml
lEEahwPSo11R/4xt1XAgR9pwLmPJfkxH7Ec7tsib1K9z1ewa+e71fy1TQ8Q/P9+yWLvxVK3lEvWK
BOyfvrKuqWV8weWGmEvMD7z7x0Bycl6gF+0McVupQ9gNZzY02VNn19gT3MOoInk54SJsS9pHuPRh
qYzn88z1sp3pcWR6NBr9yRb6l1zBk8K70E3pd+Xay29mdYq8IAV14V/Szp4YCIt1XwcfjSCgy0Xk
rwupCzI8cVcrchqlhenIbRZGSg1VtQILMeePbu60RwVjbBW+BYpf4fkF7myvfApiIni5znaIm1eF
qiDAZjgVRBzXTl7AR3AXvDZg3DYykJsInwZzQFgvooQIFB5c/p8VQTkqhjlLtJ38ZTTYo7oQ2PiZ
0vqu42CNVGFd87QiyDWkpwzyZC7y82CSqG10jZmovqVKOOAyLXZV3wL1x3dTx77JcGS6acroy2C2
lhORxQl8Tu2nSuYA6jAa9RXBB5TJVRgG7/kU2Cvs3LTGR9eADxpg6DD0iNmb8pqE/T8iVrrBR7mm
B6Pf5PSS4KRO7imyZ6/AHJsCeckkiwqF9izSo3WF1/AK6hyhKWy/CnaBlibRPjIvzaB/Zy7wiTOQ
nrVqny/F+fWn5MdPSEQRl4ef5DNGVsFXKZrbyTd3WC9PPVhXP+/f5mSMoRCzz1k72/FyEgUEldvJ
FSvRTDgcCw0hZbzTZnUpK3pAI62Z9+YPeAOAw9QcVaNgn/IcbsdkuCPOc1dHrJBa02iY5ooEPb0J
REhdEzMz8yzUHJ5LBt5qr4KWZbOVXACQAJ29IZcQWh+/cRqi3Z2pJdvaU9B5z0k1mtvKnKj9RTGP
OUD3sXmU84s1dcfMp9zYRk9Vps0Edl5NFnOVKIMh5OBQBLF/xxHmXsUjE12XS8k0HBsAe2Otgeq7
Z9uyrzEBgHha0PtCP9GNfqmM4ovp8b3dnnM/ew5qfQoyHx2eUQ8kN7zEr0NHxMAQh7Yed22NdNHa
u1nT/MDHwKB50bnz57gcq9Hgt3E8fM5Vf/E77C6t3GZifirgX8gJ85hpQXhQalvYKXOg6Ns3xtcA
yLxpGfxliosanm+7eBhZ26b0nuDHkenlkJebqlw0mt57aqL4YnQtV4wAVwyqljHtkmY+dZl65if+
nDDzHY1qwY4W8JTz5MXB1AGlhfXDrd5HQxI1CXJoVbOEl9uOry1TDwih3F+TGVMlecjaa8aNQWRx
8I9O02xw7m7yEPxbwWtqjri3Z2IqCugqEvvy4UxNaLXzL3VA8efMyF+GjDg9Mm8J5bjO6H4Efsip
NR5+i6z4sjpv3CQhpZr1+wj7gPKQdd54h7TJxVrZWKJ79eb2VCbXUOQkLTkU055Bv2xQG179Xm+0
HSN8HAYaJqdgeA7y8i5OxkNP0MZpVYn/q3oj5Yj7VbyBl7qUZvhNgnNZd9UeGZITLeoAtiS9QQgV
5fhRzbyPZnMxUX54zvgVQ4Sm4oafy3UKyU7BACMaOeMEmFisLOPDr4HADjaUh64sycvVmr3N2caZ
3pq4qVgTj40H5gIDUBQZD3kC2x1f+SnJZw4oqfVqGMP7vx94j1CNHwuLawp9QyboBPayXGgcPHSx
K7KCiPrPmiKtgkCcax7i7m+GxhIm5aOsM5h7q2QgtTlGsHaly9htYAnoyFCzEm+MYb7RUctshiyx
iJJj0qP6Ld/0kMcf6Rg991ywVlVLAKm7jdpvG2oS8Zth0ybliyX7g+mRQZBYRExE0k032ADM6upk
58VDVyZbMFiHsB/WYhTs3fWj5BrPjdyzd7lpfgWYqnDhCmenx3anUDEvtRhvcCzhEa7VwAA6vy9L
WNykSTExSGMLhAQpnQxPhUurrqe7oMuJu2bhJWqH3eQDgal849lIEExdKZGq8Lkm92k/TcdZV1cJ
eJJTXLdzJM6JfxOOoc3fTRlso0jcqgArGXO9C1rPV+fzAgzlW4PalHedCwXIT+DWW8ANsukJSSvx
mpdQ9aD03fDFW4QgLeBgUryHYfDOjZ09gcRx1YtpGwUdWYN/dDmJJXQ81qFzn0RTSgngWij/N2x4
Ycpax2vPk9+GhnHAjOA55eqybtBaU2CNortEtkelhsb9LURyS+mw1mRlRjd4rMDJMEPmAhUFP1Sr
YQI/cyumZ8Ve63o8ID9d6hzKXRzdD5nOKNcdX4unxnGOCwqq6SBaVI15ZsmGqVzmsP8ok0CWST+N
rLgvHKc+uMmDWxb3g0mxwrxXibzI0fsaPHB2oyTgLz9Myue2VAPwcAr8gjywxVg8ZZTYbywNrCWl
EsCM6k3VWs+1ypFhK8gTdOWclIHyGRVgfPEN49+xnqraGs6Og6gPSXHaiJxDG683xoQyFieRi44p
a//ed9XRw+kLEZZ6GZQe/2jDJ5jtGbQJWOSV1XOwyk35Z7f8eCB2WjcYQleFP531hDsGShLt6Eoc
4BXd2GL4xH7FeTPSv9X05I8J03yGWZgr2j8nDcFklz0S9GPLVGcdmVFzxiZi1vaPMsYjHm00wbGp
sbBVvzUGycUNezsQlMLpCr2ez4FB3kIoyZd+P2by3r9Rc3TBnl8f4tl6spsx3PWkMm19ZVnGWR9x
WtRfEWr6pmE727ZMv9ck8z6amcgVaU5fhv6h9zickmEN+rFfZ11w4wgYCZ3HcsG9HHpEtM8y2MsU
XSUsh/iysuAvkjwSWA5X08hMMxzQx4KUEbWjT6nWCggT8JjJNh6nVt/2qjb2bOb3yRRvI1ddjVr3
W8swPuY+oxzbf1MctElX1i7XdfcCR3Yp3YKiV+2lN1wGoUgj5c05GJbyWhyTjW7IQBAlXWXI6fNg
7ugq4EyR2V9TFLJxYHzCupGtYk4W66LoxqNbiEtZ0/eDsnrgG0hNrorSSk4tsjquGTx3FvhFr43t
zRwfXKffs2Jmq9rVBBmBM8Vm8OdWeUsnOklby+DupCfroEwXcEtjENiWjLBk7Tq35nz2Oyzv0RRv
hIAYwVPF34GniROSSZQT3xjn3/cisX4rYWfnXAz0zETJWjDNX5UO0Wu0stNkGvOeUx/lK2ZF5Bpb
j3Q15udEMv0DiYQtG8HBmm9G9gwKlzoSt2ttxPkFGySGIhQvYAiMNNhnKGxZN17rXDimn2qPFgXf
aXnC1fAZmfZT25KLEjpbTPELm/IqyKKfXJsDv6kGJBlvmMnstXfmMI6MZdxmAwH/r5nGXRlyNxSl
PCJ0XXvXfuTBt4AJWySk8/wRLshXaZl7yBAMlnJ33HZspKsm8eID0VD0gfYWGg+HURPGHSmuq2dc
TTOADzpZN90cfokmu22qIcE2RlEnwvZ6SpE2QJd+SxwT0jh0DQVHZFwYLSd3bcfjNeuooWLcP8cm
l/5qWOq8HPknzPHZidHnuZ5gmdZHg4DuyslKc1950bmfsiOxiHVjG83tGPQ7zRSYg2jeMKTCg5Zh
1ik4nZZNzbS2CCRTAYLJcixfoYz2+4bKKfQspMXQwGCgK28jCn0lLfDUeAZnkgE5NZFRsy2jO+KU
aAMmPn9D9HzrFdBeHmn8YCs6vHAgSfXWmerWna89CTt6POpk00UPtruAo5h+c3bptxKBkE4aC24B
fGvV1dcgy2c2tPFIWKTEKWgY6/mcGowKgnRYJy3wgzZTExqv8Y2pnOI65yMCYbOVi0XQkTjUc2SD
WLXZ0YP6R/sEkugEC3JtZNVDB9kLDghNbElT8OvZw4mYcdDpHZcyZrAfxdjIXR9EV2Ynj6p2xXra
m7X3HGOSW/dgKikfrbE1E1vgbIDDZ6jdjeln8G8A3ge1wOKAB0L7DfhyAgnVOBDncrJoBwSQFo0F
0moYLI3Aiv3cSramRQY4K2+zZsB967ofTNRtsqAp5x7ZFgyfkYhU6YElgqgzqBvRdNEhwbdGvTXF
7RORODqwUqLq9YNjA6ij39JKCFpVhXtTVRbpHZ+ZgY+SMaT5ve2RaitV/1niml2ySOdpmJ+91r7v
Zgrey2DXNl6zpzPwb+rD6zD1LNjdGzL6vTW0oNtUuw4mUew9m0Jf6MYQ8Hl3/TA59fifBsK0lMc/
lIP/ipMWJmMfyXW1RrNzGQxDpYFdgSmn7H/IEjAYQ713fDryMElJngNjzaEu5Y/z/R06LV1gxI0n
B24nmQXpwfV0EfX9B1ljyY9YaTGKK0TW2fizvfpTuByo40BjvhQHy26ee/aoTS/bax8FDNEY/g/N
QKBXWyTTwl8S4ziN4s9WwGthb4T3E7ZPHPN/ULT2qk5OYzPc1bR1QSlLv1Ho+GnIXzfLr3nr1ihB
8yfewnBncEsHbJbE8caHKHqvApQ7HR4yb/xRVjjspRm9WjE/3ch4MasaPrfy13MPf0xDPFuJ2uh3
jl9wUSTxu1ocnLWKvxuzvS8MQRkz0ffWYdSD48rFK+oSLCl94vCO/dEbwVk3PF0hmicWPPHWEdUL
M/iaIsU1U6MbrmLGRThrx0d8QRB19z43beS/ZuarYcNrkNmryWfXwZiP3nL64873YiwR6tp4n9Px
gSWHSrQAqWYS5DVHZjg2f3mGLcYJA04mXv3rOMYnWydkU/tbz2rYtZbkrbCjPXbTt4IBQm5hySqM
DlYGa1yt4JOq7lm2M/wQZM4gfLeC5qmXXNlcVgaC0Vi74+y3qTOQ9fygdAoYjBv/s4YEE3jxx3MJ
3XzluzjtsCa869jp4DPE2zZfhj4jEKjQyY+VvKsrXi49evsCUCoDopbZaMJyQCYQOebJjOuz8lt3
0/kcG+o83DkiD9euF3zKikeGzqg/B+GeryU/cS4WPtxWe+BGR+CF6wx7O4/EHeQEzaxe4p8FM9UV
3CSMdFznYj6GHg7WPh/8XQbqa1puQTVzOFdVH447UHnnBqwQQbDvZ2LHGB4587K5QH9mrjHPWOyj
6LZI3HzDjAW2okWL4SjTNwqZ+GYm5OCqG6+tiQ6vPPZHKrOfrQC5aWIfWZF//bMk1S4qJiROPmAd
7bU7PTrhuI86zAXT7KFM3UdcQnf0vGGgkMmnbSIYzVX8Pi9MPSZ/PKQwCPI4vVFux2SdV6XAyZh7
/RGh6lEPFOnJvrxL3Br3Z3nrC0y0iF8kps2fgDVssEDdzE6KedejrIsm4pu0qXhu40MHtOeUfxMh
eRcdMdjEXSQCNEEQjHOwYwl04lvKQY7aZojLMJ5hatm/LVx3hP4VS8KTC46awwMDupAjRBogc/SV
s7gm/B2+uisXv32dO3dZBtAg4Ckb5gBUuiSs1+Pt+3fh9agxR+xl5GQwJbS7r3yMjnXVQums/IN2
hnELP3EBKTLIQUHhq+6LNVVZ311mQ81iQgA6zH5PeyFxfHzEqTXvvIYUVd2+l7H+9pcdKBKzABw7
n+vsI0OjoqOLvdFlMrzFCXUlaDuKboNzF8hHTbuMLX9CYeHN8LLbIDxTOUNJ1TyjyNvNPoGdb/Gn
IIuoo8WUcwdQ/VfER53hz7BTRuGmreCStMPJah8mHk5mbnzYZOXyTnNdd3MmTTM3k6i5w65+dmYY
3J1tkXjgbBkToWDCbX+VXLx4abqW+U0e3jQFZclZo0h45DmwPAP7sJuP95WALZJJCcCl5bgVkvyt
ORTB/gXaugiy2Ccj1pI1wJaEkBhfGv5bkfDdGe6AzSu+Gf3I2Q3jtykIvBvJMv4UHAx9x0BXV6xF
k8yeKzG863nEIe1Nay8asFGN1LBneE3wAHJ0JBgI+y6mJWNUWJaa9qZI43A72cUrkfGNg7Vm3b3i
eX8tIIDA/xujTRfq8+Qg1kD+An9Yd+C4EZ151tHaa5esALRMUjIZ5gXQHvvZhWvTLzcnroVmAAnb
85m5dwn039SVh1JPW/yr2Xoa7XzDasVfrTHmlsSIWlkdNEMbjqY8VDDLBh1v86F6UFBwrDS8i6Ly
M6lTzm26+oaQNUtfbZWZvBChnm8Im20ymxsIFcpwVKhrmBIsLZ1qxdo0mLbLkorPKnzT9G1eR/zl
tmM8NLr/ISc+79D62k0rbynrzjfDFH4yE3lR/s/cw1odAsxxoSl7Kk/IHoyBceeaiHMWBykh2mfT
1A+DirjvLVkyO+jfl0VD5lACp8h9zJLk6oT5txGZPzPgxZVIEbSQk1oXTT3o7I5Z3KvVMyjLwAQH
8fBsE8TfjPV0qLP6JwNlti1E+eDq7KPzYsXQNIVZSNfWJlXFWzMKB2BZ86UY6uKgC9kfOWkppgde
8Wq5UbPxHDJMPVbvaXqmQGzkCJUeo/HTYh2Oi/6e3N8b1sBTsMzktV1+BjmvhJbOS69GtifDoyCT
G0mi3FPYvNqLI3wqRxccJXOmRWZD+mzXwEmSmxRLtzkXr4UPvZEjyVdu16ekQNS1A0Qrj+/IND17
zatI9yyPKU29uZncprS2MPlk2NKTW1IlKHtu2cMcF1jFQbpIET8InzFcY2WfYzTdjk2erOic4+46
u0twK90GLSlVkWJjqh3WxDJsdjJxfigqKvYRkbgpbw+TB+V1akiKMOcn+/EUC+iLffktc7hgpUUi
o8YH5nbmhgoISBdF/6hgjaBDeg/B0L41TO7B4LgYA9eqil0uHTyJGP7jdd2a+RabejC2/oqR6V9F
iWda9BV1JLzZHKzbVY+iDadc8NOKvwtOhVjlS/50rQ+NCzwVMdFMik+7oXmip98jNn6aDKoOE5Kt
5SDFlVVPhLCEIuQSt2yG4VtB0fv3X4ZI4RPVQOHGQjE3pRcglNWdxL0CjBkfaFzdlIIrfzqxmwVz
/0oZ49bpLTKudY3Ll4+WAlrfcx5HrM/2VYG33xDeF5auTdIwYhIu1xEGTiO8ACJKKIVcO9CgxPxF
ZyWdkfD6G1+/aDDJdtP8zi3q/vJBZUUSLUyrD8URYTNL1lmjCLZ+KS66Qb3HpW94JiNtUsyWC+cx
ZbaX4duHEIc7ffnApvQOJTh+4g8Wvzut7lIk+sw+RUH7Mi1/c2jV+dZWhrtx+w0UglVvz48lkR7o
deiiPBSnHLTWRER8W8fWQ8QdgkDyUQn4ZiRmffI/Yi8ULT5h9etwc1w5A58hcUlgqeqcTWQL3WFj
jezKnMJxlfjZ2qzky4A9nhHhcPU0uom+bcfwg4wnhDgpvnv6UeYCfFOQK1wtY/cKCGYLU4wNlyGe
ETRib1MzGeiFqog0bYbcK426wjsqia8GdnBmskUydQATWRghcgbiMXvXwEgXu2uzNpeIQ+AVVwpo
mPXS55CltEv2S/FOTBJ0h7V/5c5cbTkXGWw+6qYWa9uUFQI+Tu4gLBEqE6a0CIliZ4T2ny+mA/Mm
CAJdJHdoluSy4ef4CIkK6C3jBAuSL3mERsYvzIXim7rfD4X1NIsef1M7PqrS2XRBJva+9nN2X7ht
I2C9sCAp6lSQU1R6MosxWysOtJIVfRMzzNz789UxFL3hXNlBkgMaJT6wGmn0AZHCt+zHHIalLF6Z
Rky3oILGlZ4/dDlUO6KTmpntMkFevqk8e/UHzP1BuyiUZHXI2o1yTUjqD/YuN+NEbPWItlOW78Ir
j4FJiTD7ySZs+XQhhRPMzPANhJBV4K4yjgdthBOS2ydWzr1vnWi4g8dBARFs+ESsZ1NvTIh2qzYm
4WqzDECleRcy6Nc9c2fV8bO33Pa19DITiDdHF20zCLDnr0rl1ymZ643ZCQjRyJ1GPbFIj394lb6i
ombsPUbUQTCgams+qU/5GEVHVCGtJUG5cQyPdS0f0oR+WmaZlHGR5MKloUh9R3RX6WL+BEejdtZA
OYocfitzqA4hLqLSnOHOyPrIkKngWSckWmAqwlOkvxp0rJU1+8WONb038NWJsL3gGYJIhNKG5hxP
9I9mQ3vmHy5MqXChQb5m77mtqq1OSf9HspPALNi0AZFi88lDDmzn2mMgJksSBkGdG8hri9kos/i2
md7HGHZX/iJIUE/0JIq/tisUajXtRBFVfngBIYOPW2KW887VPqoreCooSc66G2cyFbxJa2quhm0s
uKr47GLsUO6+Dp4HJqOiAxESP4vOaxBi5aON2Uv00bYrMPQwlX3N6uKRewluWH4KdEuNk7uwLnb/
cmsJVSdTBeOAWAM+2c66iSP80WpkLa8U52GHqTtnrd04hzyZvnuXW9aWVl7GbcTu14bNCNe0nufc
3CVOXh1yIaBZ9WrVVnSuo9NOq7A9U7WL1y9+7WJuFnPwW9gN54d2Lcj73TB8eXUWlL9FLmc1t+U3
E9Kvsl8cpDa4ayoCc7IAOwzcXYYHPF7ybv2IYM91nIRTs5oyFC70CW/g/Qy5DmC1p4UbTAG5H/RB
a4lazanBqCqJr1kCU9kmobx2uT1wXRsKGOyN9VAP9k8ueQO9fKIDZ47rO+Fk7sGcCYQ5FQlyq1Ht
2fNFfUdE7sFISM46JXpVkQQotBQ4dDXE83xi0ZlYcZwJUZlo9zOj9GHTp72370IfMF0Qf1J/9aJ7
r3sKZ+SK1rOvdlD2T22XprxeOHhxMB65CfavKHvnrjVaJl1O/Jhg0bWzqednOcB9mz2UBA0wsrbt
Penk8YMK22qbNYxIKOF9D5bqtMHt5FEBDeChhQZLzPGcOklzVVPDsLFfAhYzIIWT6SQf1twlPzox
b326o16Laf7xRxSlrVLcxlz8Dc+h0y9Dr/bB90ZwiVkME7XqK70VRqs2RQDIldoucSKWUD3MyAmu
i9JredFXkPYctsA2PPAv9rl02Pq2GRzRpZCkEkpskU6TmxL37000Te9lP9N8ULfecSoS3zkZ4uwt
ZYn//sOS4Vvzr5SNOC5WV6cNL7ENrWyYOJBHc4hm4ksFpM41mGSa3YzM9mYNXkMSBuhBkDPWwZHO
wMailzOo0DaTuNxGKs/3Xj/89kwTDsYswotlgBXRkhhxVoMjXv6n1DaMPYjLx5oy4rMe8/RcKAbU
WEQz3sT7wNOHwJrJcXRyLy1qo1RZnoKaiqrJgbtlSFiNtkmFoVsb8p4FUN3bru2vwzi2d9SwpgDi
c72VztTfZoXf3ybANwG5BZzthxFjaSSWE8e/r4YTRrXnUXJ3He79o7SovK0bJxTMHmEDB1kZnCu4
LYTwuOv/q1AuQgh4Bb9vR1tjdRtMoJxn8ibr1G2XX5LhzHbQ0YmGxhv6keKvwkEql3BS//uhz7ac
zv88MsJ101ufIhA1RdOhao3DvyZQXdC6ndo9OWs34ZrpR5dBOaDfl3+ScgaelrYFqboJ/LQFFYke
jZc0itpNLczwbA3OsiFlgHddmzoANyZXTTPqwcoWxMJSQiiWHk++GnET8QXsFUweZvbKZYdO39iY
kuPoGPO9CRfyEEsDpxDDzdDyuKBqDLkTNET0naR4mpQfPuUP9bKhNTZ1WUSlutdZEVpzqaV3ulcr
HGvBHXJnUVyOAYS18F9dWmhH6blpMEd2Jq3m8Mw2uU7k0QSkCkcDo3jLwesk2hyjitGE9Z1Mp5dW
FsGp/e/ZzZdsyvJQpyT6DpUvH0MnHS8ypoHOWZ5cbCvJzaQS4zYb9QvW6OkuyZv44nop6oSY4q8B
hWUVV/h2MAGWhz5u9LmAYkfSgD936kHG5sRKBo6pgKIFWA1Gfxw8kmj337sPHQWkvYUPiclwwrJm
IpuG/eW/jwjVKdj+q4207LBaJZgFdmGJEQik/0+e2dPrBDvCrEbytz5+mIa8yOXfg6iVxhwkrfzA
29zj8hyTIzoUwyRnBusiO6KRZfFjJC2rvBnJp///UxGmmFaWnxovBE1l4QI+scv2MDT1jxsJZ5tT
z7S2+Lf0iRDcsNcWtJHqej0TgDxEOvROyvpGxBgvk6jycw4eS5SquUa2/fjvOwJys6SumTzQWlHe
zKapnlIHA1tUWe+9W7abzOQaGWMBlO2ZJ6IknOkGx+Q56bXc0iDB9yUTCs8xEa5ss1BPY0vNn4Q0
i2k9YBTVgpuKcnvtkIq+UrbAUATyqifqk4Z2es07Th+eX98TUnngoO7clY7bPtdcQaO82syWRm9W
KHRwVPWN8szshnIo8EXTDmsy4M9xqh8d2kxro/qKfX96q03HRGoZaLtwu23chAz6szE9K1EzgJFN
cu/69a3d+/7WMoPynvkn2QBqaTdhs/w0/JlcpBmC8+a2u8YcNVzIkRpkHugpJqMcPejBu9c9XV1V
MzxABnSOXNkxZ6VD9ZqPf0E0byWskpHsxWMY+OrRkR4XFpV8AL8y14nBFThs61vPIn4vJcwn2d5A
ejWuBWvmUjqFpp/YQG+kVdwEVYChFqLGLaxQ8y4kOM3BfxYrsFl9sKN66JZxBzcSq3YrAO3fQyGi
46gJK1UOWcU+pLvJIc/NfRQOnumG0weJEo62kd6XHiy4Xrtbe9L595BBtQV5ZV2EVdAoM9avRP0A
QCYwBkOFPT9hJPsI4oMKACNPftAO9tMYnXRbOc817tp1C23rbki7+8Wduk37oYLyRFzfLUsaNXP4
Nf9ei8FO45tgms2bwTBH5BpqAoH189D00n+INwbZI5DsXnrLrIp6Sa3iGxVl9DZ6EAf1RCNhJiS3
j8E9l5IzNPn7/NQybDmJCTNN9GQyJgOJ7Oj1XA/10VWu3hcVxFtVyJKFEncZSOk9WqE6zKnnbVVI
MRMBsktncblJIotlnvBg4iWQonuIirk9UgTLQGAA9BcV/XXE2QhCFatMnBQM56VPLyuLOuZF41YQ
7FEiXcPNvqQUch8yakAwFpVANMybnvVi37aDCc9zvgqzHHgN8W3GiKVbPMy8TAMkgGGcQaj47rrW
FPE2NBJvR5v8lkPaLDH0nZuClPew4IIghtTQdocIXztYxQcNXgLeyrAZgGjc4OHyDyn7KB1zlJbg
Vaf9MibvwY4aQxMdbjwopQDDs3STI2HJTFOGY+fMRCCuMsKJaLKt3INNA2k5ag61ucdVqA+eOy/f
ekGw7E7Bl6HzeUFpMSzrmu1cqwct/HBvO75a+ZW9d4vGPbSZ+V7Y8oVzRM7RtfLWs4dB0Lch9Qpe
DZIpAGT79JDzMBZJaF3ikUaXCbc+YpqHodM8s7aV3MuwFxVG/JmzQ6kGX5Rncazvm3zv8FBuk661
9mVW4o+J39HB4hWLOhklApeQpx+73PiIl/VvasRdzyLOYLW+TqlziSYEfTMy543ozRfBtGqNO33x
frkppMUbnMfjCx8HVRC3TknzxQS7k3YleecWE7QF58StBgVG8oeOED+WcAyTIgyDpHrkjszBJoxk
esxYcguSN25u/JUG3EJL1UBAhqzdlmAAxhYnqIgzekv68DT28XvFQR1zNEQDwgzPY/U/xs5ruXIk
3c6v0lHXwhwkgIRRnJ4Ibe9oNj3rBkGyWPAuE/5t9Cx6MX3oMzo6M7rRxfR0NVk0ewOJ36z1rQru
/ExgYDb/HkXhEVfJt+XptINnEW4Q7d6YFlayBfFBfFh8TMwBT+G8q7yBtp2109p0RlZ4jbdMZNZO
mKpzQO7zaGFs9M3mobHtGwreirtG/VKM671cMlVDiVS7BlZqPk3K2CfZuvCOs/CRtzZvThXetWL4
FQ6YSLV2fwY0bpkvz7yj7T50soMYbeTf3vQCCIvI0Gy4M8q+OSYt4ZX9sq1sC8G8FkWwYhDcStI2
0h73AdjymG5fP4u28rdwmyviXym7XFFffN+P9700iVNlPQI3Bi2szYJC2xlTzrrY0NATLbF80bYZ
X0bboEnOhcNLoCpi5wghJ3NTOfZhLmscM1W6t/P2Vwsiax1FD4U7tpcxceoNa5yLU5UkQAwsjAz3
3GfQuvv5riiQ+CsxnWrWrvsg0y+TZZ3++kGyGc4M8QyrK4WLeROWotg4kpBH0kA5JlZJjrmfkSw5
4Lq/ehmvsuErSJRoAoqmv2LGzzfYs0/EFL0IYBAruwd3jouUEMXJfEzt6V1zEW/axbfipQgZfQZi
SAyz96ajNlpiVGTmoPaPr1NlDu9uiuCl/EolU8A+g7jlzRiVXfOYGf0LCWIv7sTzMrnxAWADAq/h
ck3ktHESL0/fNzYBzIUXzfacAPo2y3PbpF/agzI2iZ0zYNdwjOClI6PsUHOoIZ5nFdIg2Ii7+JrO
3aejGGqR5pdvcAm/l9LDJFaIe3cyn10DGSqNFBOfKv+J2NHdEg8oVXcsqQ5WTcVAqLKYXYUg3Hwp
EUD7DNXhOQJtSxnepst2+GCE6kvjJIkm+UHiPMQU/dfr50uBMjtpdoGN80zzu2Z1w0DKA//F3uWv
m6xSzZUdChyPuSBZgp8niM1jWaJrlsV0YhYbPkTMjlo3+a4deoigj55qWDlEl9ODOJWJ2I+g1x9/
/Nvf//3fvsb/Hn1X9xXemKrUf/93/vxV1ZMCsNf+yx//vv+ubj+Kb/3X3/rPz/rnv/P3zeP/ePrj
d6X+uHncPf3rZy7f7j//Il/+H99+89F+/NMftmVLbtK1+1bTw7fu8vavb8IPunzm/+8H//j+66ug
Lfj+88dX1ZXt8tWipCp//ONDx19//rAs/69X4j9eiOXr/+ODy6/654+njynJEt3+r//5//6t7w/d
/vnDk38TNl2Q47omemdpix9/DN/LR1zvb7bvCZbCNpEsjuvznUpo5vGfPxzxN9OxLMcUjuVbluW6
P/7QVbd8yHb/5nqOcMzANgXFgS9+/J/f/p/epv/7tv1RdsV9lZSt/vOH9H78Uf/Hu7n8dh4/QABR
gIxcE3C9iW+Mj399PECq5LPFf1MeFY5HncssmoiFWEPSNkSIMj97bpKxu1R9VlNK/LKJqKwItGKX
RHJvFAXrMU4dqF003i0Xu+OFCAotyYgqA1hJLE+hps0UheVJ9TuGXlSB7MnG2hhvCP4AlFDGBppG
Gto+tD+ZGRJDoyHkEc0VcTeHdrImmRHz1OR6J4g03doum3FducO51GI51gj1EhEwABKGrpAFP8ZW
SQJ1kYZHLZa7iem1QQ19BLl+iMGlP0dCfuIYrdlrNRGjS4I4MWzi0B/tmXyj7O2/XAn/eK3/62vr
yOBfX91A2CBJqWEdzzMtzw/++dUVWT72VWyJvSx8TrNCvLJl79dQat+syvnl9Mpe5z0uhzCSaMm6
jVl48Q2ENnzmKN0UMRVKaFzwPi5J7Hab2O2tE2WRhsnxE3HbTVe78baqzQgQNY7bOQYOB1medgR3
epzVD5lVOuvZLr5Z7KDatqZ9HRCp1XpqWOdP1YAhIZztWw/1CpzGSh9B3bNot1/YL4J69nAbk5Wz
8UcM8AEP8bLAohB0ZNKZ5neACjX2lHGrxfwxtFFyqAnLxdaO4i6nznRtHIt2W53KmQc8Ip7iFGUZ
tWjf7I2ZUil2EPg2TnorB0JVRQ4hf2x1tG8I+fNmYu6ppdy1GweIKKGdzP5k7zFkcK2EcbHHK89S
zpyeZtMtX2qLSQVWnnEzpiZ9YI3HFfEsYx/xWpCve1egp8CisYNXB8Q1gDpNjQMFAKVkSr6AEzen
IgOkRhYn/duGks7eCta8K9dfFscoBTjt842esFnSZRzaEc9o5URPWdnNx8SZ3YNhsFiEroAkWwZP
oCvUNlLkLSH14E2AspJGqCsHm31OnuPZNSNGIKw4Us3laelbk2ULWmTNZRGydUSvx6Q3924s/41w
IR4ijezYB+tX2zffQ1/6L5motgAJQgxgjb21Ul+dEoRAa7q3+UWC2HRjjDaaCQ4ibJxhpY5uXPhd
nUUBOpfVxQ+4dSmhq7wIWa+LxZtknQwLdncYooO13GM148AtLKyXGFEJYSNH5BhALDnoFIACoeuP
Xsi+FnJiEFXwlafh3pvVA9FtJTaYsmNI59+2U//MFrvfFTrNji7CQJ5RIEzaJKAObNJnFJwHowGL
mvmduh1l8dJZ7Z5xykiZ48x7xEuokIuXfCl541n2ZJaYbHLMOt3PwvlZekO4oTYEPhZiGuwzeRvL
4AVLzMr2SCK3HN4lC9gLODzC5dE8TiQ46WlgnxU3QBqCdN2gPIJyuND43Av/B4HeBLrSNCQ3iqne
2Km+bTMmwHTvD6pyri6EiRZw5dqYquTQGz5DxJJI0boTENi5nLAKtvvJttVNbD90jVQndpQMx+aT
q9AMGChECNsY071h6gdnyt5DNXYHUIbIkFyI2ZJVohdb7sY0otfEGeN9I2P7bEkGEXTM/IDefLHC
1F7hXy82EavoKkm7U9Og4oiEUNs4d8BVaeQgrQkBPXB9+MkeAvXW3jJ2IBV5ME+ejgVwb9BQqSGN
HX3zbYDlc2e6Qbuq2VL484AJUUchmnH8I5iN9kadbSNQfvukkgCeRLBtPeMlI62Gwhxfv65+jjK5
SxXa3dy29iX6ldZhjun7RI07TfVEfEZDseYVaz9DOxLIdyl9cknKJDlVS0hvYaw06exXD+idEfvM
so3QZaABSM0hYU4UYcJMOWftnM4Zp0l+CmQfrjjW2P6rsjo7frmK3aVgjIyfZtqlBBcoNhAWHl0J
Ycf1RyQucOC3Nnv3daA89tnB/FAYCe6Lyv52wwSCTmi9mFn9PBgJY1crjTd+i+84wmd0KVYQXVib
khSfFjjNmhmrFLKmLbIJAGqUgC6BAaXMjU2h85sgBz0dyu/RSpDpNxr2z8RyK3PQZLffQs5HDTkv
QN/N9PqQp5EH1jM7gu69ZXNrbBlofaUmezlANri942+aJJZacdFe0RKTyowafeei1F2PpK/AU4De
51XeF8SobJPZcbs3O8p9z+K1gmLwO24yY+Oq9NhaUbc1gAEivrZPzZDfGEQ9rWslfJrVxYAQkL3u
VSu4QTGgKf02tmZym5InBE2B3WBpDQQVc6rVKU1O3u3nqGa8RGsaFBzzmUdK5WKbCAuDXPX4Ibbi
37kZv8wONCMqlQfF1ORi9rLaWMmxKPE9CQcIS1B/5LGpOftqFt404khkSK3yqC9ilI+9sPMTY+Q9
2uHhpqoE02MLKurodKy3IkCtszLQCEOaslFNWvRmpIxxQqf+cUQAR4flvJEthYRVO8ewAJwOGqvE
+mo2PAo5w59J8QRLbRjOpaQaReJcdzsGESFT46oFjLIKTZkfyohQ5FqQ7QKjBpaS49xZc0fUmG/3
r3RRddO0B9CTTIccot+QALVXIo+WZyYK4vgmG5b5oAJBhV/gZ2dad1HBnjE3vHtoguNtmrKnA5J9
GhzJJbyYcdlp61Oeu0e0cM6RIGF+uB77vSriC7pStNMFFsVgnH7WTvC8/M8A1rXOa5SQ1Wg91ZP1
C54TsSDF8DUM/mvXtS/VGKCCDjaj5sGdRFZ1ciVmpwx+z5bZPibNsn2fG8wSZPes0kDUO91+TEPX
XTyQQCuNbh2zPK90N5BXxGgo1LirZwu/TmLPyMoUmHWiaDhl8BlkIFKo+oBfVHDiWfJbs/EVsAJZ
9ZM8iHjJ3Bp67IaW+6tSxhNJPEjpejrNtiOOuZMBc2XJxdXSDJEq4zFIaVGfJ/OD53ftk2RmFaTQ
NtumYd/qM2jpuxu9iM+yFkRLG4HgyFI2p/XYnKjKk6srpu8RupUktB49hf1SER+xJ935hJNvUX/j
mdOS4HoiX8SWfOV7HBqo/sViMChIJ8pURpz5wH0W+eK9YxoCkhdbqAu5Do74q4QnwNsy3+vYHU5q
QEmmW2Z0ZULy1tzm5xJzL1vmtzCqn1hd96c5Ho5OFd8KtDsbC50s1nYOs0Ijn7IysJEj8exJH1yL
0fnMAvQPLtKrpLeyrQd4RFtjfl91S2aAMd3bltk/zqRe2JZ69h11M7VmvjYgFJRh2eA23TKCxTE+
hCed4TIg7hW6suc0ZBJ+cNwqHPSGvWWyyXqXJwT6dJMyunobZ/rR2ixQCTRy3BYyFzdDKu5HrV/N
gbF2jVOMCqwx5wGSBTg1nwjUOkeX29cIhagkqaMTzk3etJj5wgUgeJgSsuHpJ9sdm33s9K+20DOJ
dtlWAOVb51PsgPZGkFX7qFscvpihOP6pT6CtMAcaQus1dkc0AJxH23wcYYmXtPA+9Lnl4Wes0bL9
rjyM5Jqbau/O7W6CJQpRUd8W+ZeKu+xlqrDsgTnaNL6z+BL6+CayXQqbSOMOLgnrKLHtuEa5raB1
40xZDh8WFViyAqQIgblvMtEeA5H90pM97mIwtXD5ACmPxU+FXk1KhreUxMD5/fhp8EZsjBOrLLLF
Ud7O+i/q3D5yHU7asHnzqZRY+fFG6wbbPiFSzQYr1FMZf8Bc4rk2DbdlaCQn0g6a6qSasjjFor9L
AufMjCg7Sd62CmzJXuZUxNo8OI5/QrOSwHLtHnha2QfTn96TYtyEiV2ugaYzD+PSrm29N/E5DuqX
5dokxDvfJerig2tH8MV4SfvaxHDltcV9G+AOAhKJ1Ngr9kPnDLAg4ydks/067ZxfsGz1jV9j88eT
ni0+XkaOLbU48961ncYJh2iK/qlxsyui7jOHF+JKOWYXn8yarG3kxqIa2rhPyvZYEPhJt8uinowh
yzvSMDzaIKVOvqwOYVFmW2sh4tVEacti+M54++980f1O0pfGH9nClKxXjDfPtkGrmXhrSdYp1kht
kw1RjJgoLXG7bLn2UYxec4h+exW7JIkyfJOM+oE4G1oGIG3riap+0RW+RE4Er4+y9JIWwGOmaVaY
GmjXHCFWgSDbm00QQnIby7IeT0MFJK5gIw51rrq1uugxpuO6zQL4mDPJLtu6oa31eTRtkrKrz6kF
WGmgFZy8oD8J5GkSpKJQEFylBeElndbpmPPzqJlcAHvaVXwnhAwI6zynrq+FU8In6aFdhpe0nx9r
iTBE5zM5zSSPD8y/VAqd6lL5HfDnyLgQxBfdQtLiFqeiOkTudN8n3XxqvHlveHZ8omqZ18gWgRCC
28ZNVGFVysr3IWhIjo1QsQ7+c9UZJrLGlmNvQj43U14zm5lRnBMXlM8M08u6fyJxnOwYHw2HmbvB
qTEGhgezYZ8QRHBYwPzKjY64x+CuA9OrcgOifUYAUUjmRZ8yJUcjGBvNmQyJLZv1LdkcxjbxzG0i
VHvKx7bbsDV8jMMBbqsT3JcyvFM5EdCkOXP1mpw/XS4gN9Z4CoMAWTppxWsmzvhQB8VV2BRg4TFF
KNu67fMnp5EOvHgGJTEEtSwcluIAIEuZkebTjkO6UYFEg/YRAqre1mbtgbGBieJazsGOesYVbubu
uQOaDb6PhyQfwLLactwQYG+ubDLL1upLtr55rh3rzQxqc+ezR90CyuOMCZuXUXh7tkykI6BKNROT
EQ7ritAXP9suQC0d6iML7GQHh8rcE4CQrngCtT2Acpd57axY2i7y0FonOUHhIE+XL9wgCdvQQ99a
rseChEAy3GP+K+9nvmuzDFK5gWsjC3c25+g+JfrzWIxPIFTZUZJo5ZVOvgRL3iRRF+w7J3vgZkd5
ObF1duby3Wqjn1n0auFTOVhzjWcDqwE6MLkZou+Gx2o8zsljphOyRwygJ0Vs3bXT/G5H4X0oSI2B
nqUJiUw0oAmKPDzV6TYS7n1TxTXzlGDh8GwRvYU8jywTG2up2feam9pHPwgZ35PEnjpF9RX2VrXV
NuxOP5zOlnkwERHyvMZhrig6TrpDB+lVV+JDF1JGd2PVyud5VmaoOdN0ZxckGSahsXZFTOylEupK
QjzU8rzpD9QjZ8k4CuZde0Mptx7bHkCCHg9TE0MdCZ/RRXOQdsVLS3AmNKLqUNcCA4ecrpPsBKRW
vj+idmOge+ImM7cLewmYV30xGJRFGH7OAAqeZ2+i1cuB3oaZ8bvoKM2qys12swTBQZ7wiUbHOOcD
X5v5G4OavgiZqxmoT/lVYYSipFsUgQ5eM0ROfGmcGNvZDsPr7HtPNiwFaOCjcXSLHn2Y9jEGVb88
KHHHPogQLDbI2A0dQEFvs8+WrHh2A/W8YwmMxoUvO3IUB8t8z/OJyEAZRV2OVaHs99Wsqk1rmACZ
goEGlfx4TvYUAPk6P3uJwxFWkg7QdTK7dGPNqDKpLuP8mXW4FsJWM6syGR9WRS32NRLksrRiMk7p
3Y06OgWieUsEP4bHeGlbVM/EnqQX4DIbfNrNtrZ8WNwN4kpzMCi8gtFbFYGECqwpttAVYDT4novw
CqjURrGhN4FqCB6U03BwcTAJN//pAqeFdApQfNEHxKX/YgiJzsrglmDXmJfeixRyNxI8s0JoAdnf
5iQvidNE1wraQ9I2OnGw6tzx3HazIoakSB6tiWOjTvVbjksfwJg4j7XPvIukIRI5Aanpi+MiCMJC
MWxbDfs/AlZfNIgR3aZ9GwzaTmUJm47Gz7Z1MT0Apsm2/ohMz/ScLQW/T/JH/em5+ZXp9B07PHmo
O+rpORRXaiPSsJBGA0bTKv+KOFwKj3XV3NjPg4JyoiI0z0W/sxOMc6aNKjUFgGJZFzslKSqz3XM4
dbDlO1PAzWg+Byp01FfUyYm+4V491dOd1ZucJ4oXJgUFk08zeXQ9qtjg26zwV2bk8vCoVMOhtGc2
ZdGMZcRPMKSwpdpimO4fEz8EaKqCeBMn3YOZ+OLeYMy3UjkWhQp81GSAqMww/zVe0u/aHMFVbld7
uysYqlVfvWowrEPDsnqU3p03foZBW2CaqK+tDp+8BRsu6FRWxoChNQhYidpt2O5zL2Be56L/hshd
xCidB+YVSL2Sdp1R8WezBZ7Zh8sehOA0Arv/XZTQJIn9JTiSVqL/bct63GpzpBpuGnhXeJA6F18H
c00mXNn8jdawXgc2qW1Rie2pFV+I8vtLasC2HyoLf0t8NO0ZvXfBhNNbdpv2kH1UPNOxO03PpPmR
J0A9qnRdYVCsi8Ngp284aklk0g2arhTXkLXRPvr3iWCnDUnRa5iPYhOkXXBi2gzdLI73gYPn2nEq
No1O8eXnEXkptvtNLYGmqSzvQhK8mYONJBhMHXeWimmuG3nHatnethXuSKLRgOcj4qwmNX528ffM
5D1o44B2n1I2xql7apvgtvebdw747sjSBL5kzwyh6J8be5Guysraq9b6dBtB0YpWbrlxk1Mfi4vl
WeRGFz0DS5ozYhoYWHkeDb6mKYTJ1/lUBmXXsHJFO0+gSbpm4ccRUSKBqPsEDd+JVJmemAz08fbA
y2W0+lbZS3qmC6FFNVSxRErkNfr3mj9Zff2zkD5modDUO3Qsh0wlQNrBpW9TvEoEytnmTc2Z0k/4
yniB0OZX8bVgKX6KZ+tXl1kd+0832s28PnoCMhB7cKSwhXxmEhe4Korfqg3aR4S6/uRyDcNLKxVE
/74Vl3wAhzOZ4K4rS8oHzeguN3zcHW37hUv7IDEqHKzYPdAjrnxdoLXqy+9yaH95Jp1E8Nf5KBA6
Rna6zxfHN8siTtKuWaNJTMgElhgj+gC/qjmBAw5zFjmTQRsQxoCIeSiTfdKAAMLi2Nag8zSpQ1Z8
cM10RyVVsTdA5A4d+qsyyKbVeROdjAbcqVsgY5mgcBe6qW7ys0PVfC5Fiv0tDpYxLFYxukdQypRk
y5hhpGlKzHw8wrA5hVazjpMIfwSqUMiOTCv6AE1DY0Xm4rVujpG0KODg74PE5cjqmcp06WjthppD
3uL62pl+n62427qteUwta9y0TI123eQ+CRGwwObw9uY22owUQ9689JiRGawNUsJhKoALHMem2Q0G
FwXpsiV7813h6992WpM40mWkgM/Wq6mybKfyDKEgrq3SlefQY/xiFe6xdQbAS4VxyBXheGgkkdwn
d4Kxsh+Yd0tSEsyDasvDyULiv47QJW2tToa8OSJZk0hjZk1wNIcIFiMq8DSwzgYprOcQMuJ6MQsc
rbh9bQXnpdnEHwxN9jGf9Cpqke3tmaq0N0t4PIn7a/BcQWS7524FuoogObWOPNtTER991f22Epmf
aPr3xI0wU20Ybzn4hGGU+duhVjfgEPAWW/6HPTGGFEz7OixyCeQ/wC/33pjkt/WMyD/jvtsuKa9x
rPczNSAQrUqA9gi5VYjYpgThVGQtuo3TsF+luIY2IzEAUDhRAiVGt4Vze+6EHH+7Pc1uzgx5Ngv2
ZujfcGAwDZll8mtu6yXimM5b51xeTKQOjtWRziIAkxLockc+xq4ZGDJjtoKrTu81zw0dwRIVMl6b
QoyUDSHnTfk8DcYdNm+ELSk/UO26W79V944P2bAtCBBYOP49UUL0IkRpME7+CLHjHwoTVoASX3l+
10qCmtidSSYwFTbJgIGlOYfTTckirvJYudYwto7euNGA/iZfg9eMssOgmOaYZFGtVZ0eLGKgj4nI
fxce2UneQLg3IuCVUyEibuax21MlgdBGsGu3/qtWld7HfcrraxFEQmCo4lrvCF6aBJgk54Kipbi1
AmQHpAdRp5AS7jbEiLSVINeQsTa8pC1xg4y946o9mYyPell/SBUGGxv53qF2zTcirVpp8lwY5T3D
boJbJixsC895kvohMoYXRCsLNffbCUiw6ZgQX3sxP03C7g9TeLAN5u5tqPttwixlTZrz4xJaCD/S
JoCENdhmSHn7bAUSJZoYGVXTuIpIx+VkdOYDKPd1Brp3R4zM61xn4JYt0rIsrT9T247OuTSdQwAf
xfZDjxK+vSddut7iSJnI8ENgW3u39izqU28PO6OqvxqzSs/cD22bmXtQOyAboLsBS8ehkPv5h8I3
zkxAZizIxpolYVmChKtURzwreABmCsIAJD4zOCRbaWEjGmiMp0Ng4Cxp2G3YVbSL2uGI9jO9mafw
F1VRCZ9/CnZEArxPQAbMoStvVTjD2vfKl2BOHmSXkaVdmHeECxmX1CySsyEC6oiODV4sb1KnPSQ9
yex5EgUrFqE1wN4VxyEPLkXfoJZUhDwqWVwhIQIH+ltV9dZGS78TuiXHzmffz9Jn8XnZX4lbfcwY
7MhrZd/ZZbes3rNrc2POtGIgJHlPihkqDqV7qOEkIeCanMI+8LiwD8sjdzNl0aUDgse2kZ3cMXQ9
uJgOZvWOaWJCUpYSvGB6HDgSEFpZZZmcOqeUyDdD5EYi2GldtPe9URtrszUhclj1ku/9Vgvp37d1
v4ANcSQWw0K9LEFJp8RM35g8ileWH96RkRre1O4jYFti2CYf8/OMeyoYCbxzxFUvMoIutDQXAqJ7
8yAMnb/ERs6sGSXcJtSIJB18TJM3WJR1JVbZIjr5TPGvTAmoanFuo7M2twgY73IHtc7coF0WjXUN
WM3eNm31PfibUQb9thmgwdRFcpX5E6JMcZHpw9jmM+qDdNu7bM7dTGcXg4JhAzQMDn86YAk1oazr
4RVT7wKaj95ZdnooDl0aDVe9dcE0A90EIKlosshUxu4f3UEHRzDKfnLF2zw/1TUCDksyoklJ/xkJ
8Ji08R1X2twPah7OWUbOhIjbW2dvB+rJS1R0xKFx7OYZfqHGgmY2dnSNBFsUx30zR+9lUvzXuEhD
illGWUlfXBDdtUe75izHkJ94rb6PZXOucyorJJHsJgS8/zCCGmvV8kLGYuA1cAhtrpv0SSn/K4oW
BeCU1VvG+4zLHTZ4TomvAWuMzeS29Xf4cPL1tSUMG2KrBR4HZFXSA46b8g/glZpCvjuKJVEco0N1
132KkdjDANXYSg5YX4kQXRXRLHZmGP/sZhRfk6pPwwkOjLoxMBJXYwiztSKTMaAY5FGP2xWC3Mrp
WJR1acdwjYdrb1T9IcSdvSKcEcUf2Xms7osGThMyODlCxhrc/Nkaw+PABPA0DvbHSJjRKmlruU3B
el40Eo9LGQHHgC+kP6PKeyBECqtT5UFrEoPaWlAM9ly/WyniQzt3Ie7y8jN13HovRLTBmMPWmwSh
tbBSzs/eoLf0ih0uXFag4P0NOpsrogeJmrTdL+tYHitUHTKj38K8kmr8+JHp/WSR7XPLiN+hqh+C
iQ1W2EOL8rOK4NumxPsYdt4CalvIsz73WTwtub9vahp+9YpAQy6R5BX7WRKgSmnTDjgaggB7pgVD
M+JtGWrBQW3kuouwtnUx6yRkK+PZyCt4v4gdAbANS3ly9RuLckf1h8LLbyrmL8wSIbNiuKZX6KPg
jPUL3cxQIj7xo7vJ7R9ZDxBjV1jM55DEHtw6fvKKyF91IaayvKE1rZA5H2oj47IPyq+Q9Vxqj5tB
dztzRuYZc4xDc/Ef/voHkur3abF0YRSW9FblEc2ScwrGHTkqz1U17AceEwCx5hrdbsRSdTWzoHQo
0E6VXT/04pX9A/j+os02FVPMyH/FBkyt4ZBqU3XzW1RJtR/GjIW/mFFsWgSNVAMqqrJ1092UORzT
ffQbi6WEgW7kt5g1GbXXBn2g6aH1hM1+NXxC9vJYu1unsU+KKznBKHeSsaKzTDomWWIMdrVhPJGS
vR6sUF88Vkurdnbh3Ro9Z5Tf/5RtcY5ZFk3+uO+kqjcCit8ucuSNmeOmh61T7niGoys0vMfGKT+H
rBKrZcB1qpeKsdmLeLD3hZfc4Sv1mKVH6aZqmI622j+qObVWNonE+9x4D/kwscT+AcRAumZi+nsO
cPdn1ogarC9xs9VvVmYPGAz7+YqkwGX9Zg0b276TczFdGgOpQuhwDzUZBnl3Vjul21+JCaGmN/RF
SnkecGzmCbtQM2MnI9WjiLK7wuUUapcozjCIP4X3dByicdxSbs871tEd85dtaMb92g8srFXdtpJQ
yt04f1XMXry8Oc42SS2Ym6w1852RSEPS1v1BnonNYEqr6r03tTGRf3dhQz53KgD2YhziKLNDAmMW
1NUMhqRJZoyTdM5OgLWPfHoOj8rQSEmZZJcZBv0yfFbJhHwOrOY6Jg56bfflkYFRvK9B/EH2h4lm
TeciNgQT/5yW3HVYMiJcIcMv3Eg8xAjdurf+IoZ+uHFCQRO/7E3zcp96GXPG0YtOnQdkCtfexmVU
uEKzp2bzSbntTRPn004iL1pnBPAiaQoVmn7iugz1AvsNsBla+4SLHMcgYn6cYmvpAqHWZfDVs4da
aY8YJpfnXSnMeRd45gse3RA9h0F35kdfZimoeyP0LoXxjRrj0284na3JYeRiekxjQ5+8BsHaafm3
2PR3iL2Msx8Fb0HL5i166xOnX5eqOwtjYDyMK4uA1STfZU19yzLnkIT2vuxNMFDSmWB4zpqrx340
3IuAQ7Q1I7x4WKOtrD7bcwVvLio4rp0jAKd2rzqa9AiI3yEtb7giHn1E5XdOksPJKbGIcFf72u7v
g1Tcts10TZMCnUxhfM7zEJybkuQMR47NtXW1Syet1mUg1GOfZzEmebbLZQoSNCLzqgX4U9DGYOII
vRuM8kfSFqZj10f7wOwxX6DAevDt2l53AWMc9PY+T8NYwKJBh4RRdk9++h0G6kuAGP9S018JTeqk
seQjB+MHU+GB57bGCGyxWaeqgveVsH91qvc6SZsVKw0oFJILfCaGwItluK9qaOKD81uYE8xcTTnP
zsI/Nqh6LPPRr0kyc4ZKbpoLaxLSfwBaRSK0dl2Heij2BAz61GL7YPyM2Pdsx6j66mw2Bj2usjga
77lzFtNKnpwHNV3MJr2f/PkQUQ+cLrhO6ueipJbXIfOQavLFxh0DvYkj91dvE8eJmw4DsTOdgCFx
LXU8+rz63sSJewC0dwB9E6+9vXaH8UqywkPUauiuQRoAQZ2ikzIZTEdeoTZohKKtlg/5lBnvWbSH
eW5sLJEeyip7GfvpPFKUXBSL04MIjacmDJ29lTfBdhZ7o4nLO9cNbiuXuS4u46ewvxoJYUKV2+HU
Z9qL1jCHya6fBtpZ5CNvGJCidw9VoO5fZVG/ok37GRgKRMTkGjs0YTxm3Wc7pJYkFO9eYqhg/wKM
xahNyHSumm7G1sEHPyFwksBMIOPW423jdns30sG2j+Q5SFO18zgdFlf8Rgbmx6zA2SuMi8QPQoow
Av+pDzPqFEe4a50ATOGyemDrSBBDZz9EZSLXvSoY84VIEZLmWZtvkcywQWi4V8pZcEFLXKqZkUmR
sd9qJ+oz43ZesvIKEn2zPGXDIF4tsHS7VIQRkhg53GZmN9w6zfgUyfRqBhll7ix3C3Xk7MSk2DXW
SPWMgN6wnDPJxP+bvTNLrtvYtm2LcAJIJIDEL3ddsa7EH4REiigTdd36O0Cf98KSfe0O3AiHwhZl
EcQGMleuNeeYr0FAJlhP3NdNidaGFi9RVWBZ6TnHDxMWrTW61Y1hquMYCGcfh6a1aXxOTeSTdDus
ze/0RT0m9pBu67XNZ7zTBdhDXxCtUFn07wf2grwGz1EX+KDbfNpD78R+ttSFnimOeSZCIJHWZ2Ob
6RmrNdrAioOaSoDYaHYBBgvXow/CDayrTEBX+rD+E9O6d5AR0MqYjJN0jJ73JmCEW6SnmYZOKYAm
0xtbW4a5Nr1hadyS1xIO8x4JEKcomDDcnmZNmxiVHcYBHbKL2WRur9ox+RjdACg30cJ8+41WGDQQ
g68Lg2YU9qNr323QkeqgO1t1/+o0MbFG9EE39hJYMSD4m7LRJlKB5nNv3ViZ85rLJUgtggZfQpxa
dR0SuE4h9VP5N79OnLUfYzesEGcgVydmkG6krlQEjwedNp3IU0269CpNA7nJS/9Dm8EdZB3rYJb6
ZSYpaR1P4BGMLLjLVFuucs8vd0rAesn8jlIqUjthMzMa7eqUVgPZi+6eluxN2RnOpmGlwWZpHX33
TqsgPKhEEEKEfrWAk1AwyQlnHFrkt1+nZF7s6ppGcw8O0NDdN8iqlBOyxLPJ4WPrpOlT3jPKNFL8
8Nh17BOWEPvUcWinPIzPvj//HEpe8tQZiDIg+5zKExxPL4Wz9QUIk6RpGBJNxAeUOSjMMXweWgvN
NMfOaynfC+i1N66SK78s5ZUtuojjT13d8NnUN1//NkTeXRZ1j3bpGZupi2DyOz+YUXhkPfUnxqtb
Gmry+usXLd91yUApQ1q0CZZMbJz79DPJZkBI5p1aAmMfwe7pPc1mA7curQbPB9BREyezGTPO0lNX
Nxc+AhZFFDCuO97IyGBogQ4hdAN1LrJ8vq78ND6inmMKupiqOutusp0tmEOyGdw8vwYlzkQnomeL
Jg+xBqqOjpCudZlyzxDG76DRVPtZYr+/InTifqhpnblLSDCu7HuQQ2t7Vv01YRj7PnHLS2kW7iqW
IBMrL+HwijIYqLxAnNvtSgfF0zyh1CjosFAY0Xv0AI6sOiFeCR+ydhGF675vE1oQA9ppu+oosCym
HpHJmhbkpDgRZZRRhEJjZbDemKhjx1wnJ0iv634kCCocjGdMyUZlvOKABDKPj4ZvBUDEdhVxETQn
B3ciT7qEHThYxAKT+WhXwSHoaAN2C098sk5Byijf9kuAiKIf16hcOHdb1ZPtUQXNyPHWtR2Y59Zl
egcqWmxrTzvbmXYkDkxSIQr6yJYqhjtvDHmAK45fuWNuvcBeydasl04eMPzXJjAfxXJcUwOfGsNZ
eOjkhewkEbkhpfraNEW5biRqhMhNrY03UGE0KbiyIfe++REoFfZM8aoz8AJGxBMSxLdhYZFVTK+b
b7kQEU0SbcCjQBtPOIo7QUXCpyALApPoJfJueZP9xzEjAK8pYwTmBvMQiH8+LuNNEWYHHaKnMCX1
yLgch4B87kIsalQCnLVsYPfL3z9WF79oz20yYz8qOUYQVHzO0uq9dsPhgHA1XgsGH6u6QOonMcVA
KKGidRtkDi3xxDj95C6ZQ5gToU9dDmxG99R+g83EY8g+a+bqa909VLzCe6GDl3rOP+KZiFynKK/b
rPxBquwj7ERvR4f+oLqexcGn/ze8GxiwSM2Ems8QD8uFfUiZv+F4nr/jrQZkDlQ5q2N6cIZsTtPo
GIR3KP4eo3yNql4eEQkA3alAXjCkNTdBSvFtVCEpmDP1uFNY+gB1dOnDTbeYSo1Wn0NDl5sm5JBv
iOySpC2MxDnytlPVvBABkpEusB6AQW4GAyxLyjhbiG6XkyV4qV4HMFZn1xTz2SYj+tTM7mqWRnJv
T3hgsrbYkzX1ThLgsdKcxNPMTo+1CjcpMgiiRBAADIl1nMugP2AtPgdOTGaVZrLfRSJewXCM97SU
7iJCkvdzkH2KQAGEGjxrA7pqNxIrvca+yWjQp1/cOmqjaB71yG1PXCxHl0S4u7LD9zOYNqmeQKZ6
6kyOIfkx4nTmx1mFUo7LSA39HkyKEcugHqdpYfJFmHZown1kRpycwvItDyznYEzpldWa1t1Mh/WU
jsnnmACcpZO0HqEBbcnmeWzC5cga812zqFhr1ct7n886fjJrO3kwAbFxdiUKnbTNTayTx7RQ0N+L
8ehYLcERgnxCq6XNCA752AvaqIWFPLuspbmKIw4Lnn1yxgQoIqeGPAu3XsGpCdUWDZqUFaPIbB/E
WOsfbFtBbiZraFM24jmMhvFoudWODgIYni6vN26DmPwqRgTGbNGUmwkjjxBLpnqFWmxGPBELKjU6
R49T154m89aHNYtdhhfWqNzXOWOSmyJjWCEdiOhQ9YiY6BEhJIILnuzb0H8YxxmFpR58IpSAIPMH
XQA2Apapf9ZeOT80fcw2TMw7Xf20f63L/F1F6HMNEYd7Itytx0a7QF6yA9upvjYgF3PjyYfGVgMT
RL2pLr8Fp/wWjoO7wsukoJU0H4gmUqgYeIiSilZgUfFA5a0Z3MTNYj8lmV0AY8ULdcknqzlbzsRB
PYGdQ8U6Qwubk4Vxwb6Q0p13G8KwjRNJQO5DLhR/IolpVE+GBv1Jb4/aDemIXY47f3QwWGId3YAm
65fIwylmAUtKgxZEwY5MbXxfzNwc+AHfFfgtoIgSGFizAAbciXn/W9TVwdMEIoeQwzur4JBnRyKn
m5wZRzLtViqjcZ7j/p3hKBf5EGzmfiIDSzxIUHPrELTrKqsFy3f+JSIySWkjzwwAQb12AACdaBi3
vpuC+/WnnVW0L5XrGKs49H7GoriTofvWkvpBX6YZomvfQrc05+hrbaSfvf2hjfBRhd5y+EtebTFP
K9srBaED3XwaLUQes0waurQFnFXiZxc85kkpZtOk0IFiozeaemCY2mnapq3X7gSuIoT15rSzv+J5
2UlZuWfOos2F16wAa5J8kwWnzZl4+40bzjeejA+2l857v5q+Vz3D4zAqS1SOs7tOMoo8Wafflct2
3RchdVM3ADam/p8bF5hFVDxHTxNd9DUGO+fVUecZTcGKNw9tsyfe2bkI7WirbYIy+60CBEfPkGSF
eT7qwTXWVviijCY+c36GyGa7DDibVD+ZFtpa4PLMG0mSEbcuukp633Z86vBDj/Yjyy9K4dLeQlig
qEdlw0CXkxx5E3KR8bDacLKI1giKCZgDGnAyZHbj56X+jgUJTVtapNdGZT8K6TXrQQ+PrcLNbPgp
zgcGOGVDkAOi0kPN0a6y+nzvecCcDb+Id3Eb1yvLNTZiyvHFTNVuZqCAWaXI95OI+CTGj8jPyDmd
8W7bWO0Nv8YQ6T15leh3ZRB8rxERbqL0fZymC7DW4r0NwzfZqk3OaPl5jGDpGQ0dq8EvnetW0/FG
qFINdCOJOFuE/OxFneuy+qXLAb1wjjZmH+wjvF+Cwnqov6VoAVw39TjYakSmw2zuXHhjHBjJjKSe
veO5oIsfuR/GFzWlCJ1tXaCkzbR1H5TzvUEyKP4+QhaxgLOENKe6QHpBD6W9CkvE70iXaQxMjrVt
0FfYerDuZc+JYxKwcfu0uGVe3K0GyIV3MQAOuPvZitc4eQDTgt5bOVcVc6wadBBJ88lOlMrcF9S8
CYtVHIIJsEwkdlb3gwbQZ5sND2nmBWtaL/DEdFZvOSqW9+a0tL98RGQ5c0MLRPOpuW0F0CsRozpB
uVvsvdZ9GyaLtAVpFLdB2J1wlw8w+BEYk6+ePcamcWP5Mdpwbw63taYWGovW5ROCf9RzpNn0b5CX
ohOhoVdlJMqDExGzpCzwDTT8z2VN/QP4kpK+bpKLZzP+yOlXoCMYZJ+d7BxX30QL6qHG/VdHvL9D
S/TobBVEoxD9FUxx8RrZlBOwYIdjnxMR43Xwa0ty6J3ZSnZgy8qNq8khykpF0yU0AZx8DikCnlxO
PmGiw6s/QlgzbOfGLWX4M2cWStMObazlPxvRZJ9HqU7kn9wJs6jeGKotMRMkZzeyIuGGFutVFoKX
T8jCePLG74PHCRh5pXusOILfz8McXpMYc+5Q7pgj7dzaPJLorP2kP+WRenGMwN9GiSkp3/pj4aTj
vtC5e6KwmFDhnFTfwd8ourdR2cVF2oKhZ+UnOyQe2X0R/HBC9EAx81SKeiiBHHSTiOmUh8/2ahhQ
qVsJzFSBH3AdZ/xNKUPmGpaJZcByUqDJpVMdqcLhe6gq2Td29h1ZutpL0k3wVk7MkalcDJ9ipsGd
fPSXf0tJquevQxcziWuMbzFaM3B0fn9DaWJcl834BLMlOyD8hlDMx4JnonsNWYkOZUv31CEjhWuK
23WQmS9NGt7Y5M/TKWF/yJPP1CKWUDQwZ8oe63T66Ga+vyNf8JrRDyDLGEJCMpNYHHL30dvUOLFY
9U0v9okpm52NUfUEAPX+Wvh4UcCwP3kChLXAVrLjqUS4ZwRedlsZ4R1EE39r2wlrLUcnlEzzTk5N
SKDB+kQ2lmXZO097L1NQylWsenVYjKlhmsErausQE0oFgBtFMolkL4SAO+evX1qHRafKxec4GvEi
p/jWR11Py1COG/cumFITokjByENtkjZ6n0sd3lSnoc34iLsPAlGcXVmWcCxH5koLHQy5otNwDJgZ
LtgX2GKwTQvaSb35VGP/Wc89yHNiIlEftma4nYbEYATDOcZDale44SPAzWxV0zLdBBy6B/os+yyA
m0RGAlD1unwAW/m9nyTtxAJNRTPN40pMCX7F2IIfD2rFHRgEtmC2TsXg0fgG0UG20rtVAfe1Vb11
aiAwokmgSzq7FI35MA7VinRthsVw3QvrZij6S8xqSAGoKeLYgmRUC0IVJdnMHItLEsK7RiRXQtKd
QYdJ03YYtxhqo03WUvK1Kda7ElGr4zK/StLIXTcKLWCDFpOpPekUTolFABcW50/8jqDulnBNhxMa
xE3ESgF1i2vIn1kRTxt70OVWR8Vd4DfTLh6xhKeGRcMNZ+xAsBuvjtoz76xRh0GHFrrDEliqS0Dx
iIWs24Eg+gnKQMFWKUsyQL7ZTD32hJGxRoPGwmMKfcguiY5t4WF6ZrU1DPWptdUiFPWRebqM0Uu3
sehAVdAL+TRIMNwUFuVYZmjYKcq8FFMJzmUanpc8N7Ajq2KxQKpiGZMwlI0HFA6NN93kdn+eEmoG
eALBttDTXYjztSAGBE4wZoFm/BJGXuk5tDdjj4xSFHZ21p13MFsCyL2hfjQdRipOSRaACR05xTp5
8bLxXoDzh5WSHvJItjvDJYuLg8fVEH/Lllk0yAD7ykAYxPE/2gkjBWeWNUdTafNr9LGyZb4jficn
M6EdV0togvC7dy1xmgftRJ2KSGEOk35H1/2qDMnVaGbzI6mxT6KWxss62Ouq4k0Y21htY/y1nKtJ
7IHxWQ/uS1hFYI5qsaMxhaY5g7bVewMs3YXp6LdlcmJIRpdvGPM12MGjLGNC/9LxNFGh78x+esw0
MMh5iKarJG/YE9v8xS/GadNX1og449WsSo6FaDAkRpS1ndJfGVCiku2AGVjbaOZQZjMeGPM7YIEh
vl34dEPoHfyB3GdmEWibyrMtSChBH4yjhuGFgZBD9PotIYKCkQOMcG5Q6BT+VS061ueEWSPsL3wp
IQTqbIqv08m6jjQn2eSqF+GCFKcQwOJxcJzF/huQjtdE3b2HqU85Pa9ws2/SW+HER8GFJSO8Kw/b
mWm1j0nxikr7QcAu26iwQGJBBOcmTp/LhTIDw7dU2t2k9snS+k6L6HU2NROiogOyUoxo/TpGfyCI
tqFAsMccudzIAWWfHW6iFvpP0+lhNUh2qIG1mioELBPMR+aADP5aC4azhkPp2Ah8U1K36RDiXN0K
Dy+x5e6DhKRMr87vdAPPoCDaXTQ9ZB+bHoAFtLqh2w1tiEWBt2xj2eP3zirRU5cICXLsOGWCF1vP
3j2rYk4q1bQwhaM9a6dbe4ymw7Fel4R1OLEbHgXDrXi0aGgLk6lZ5RGwSxT1xk04vsEjo3bqouvC
RP6F5pLXfu1WLOLzpS0BDzTFByv7cOEc+posj39rzAO0D8Y9aQz4LiMltk12HNmGHapXY1MzpZ1G
5hqmHXm70bXfQoSw13g+tkGEECZDZLX2JvstL6MtdTGR9ggH1t1RF5lazxmKwrpf2tK4dnc1PDtH
TWuXJDMmuXQZjAwXaY5eeWTntDp8Tn74jJSs3/SN+vAUc2jMEDekbXFs/6bG6RBVHV1HPtAVC/25
7eVN40X1isf7LPP8wXeyLb3WtzIRh7axnv2gpT6szHfDsINFNOqBzXI+sA6ASHCYWq9nPZJsgl/3
TDsH0y1Zj6DON8NQvKMqCjNk1yX2k9LLL2Su4KGxrhsE5oK6sy0AveELsTHP0JrqrhIa1/Taq3jd
o38F1W7f2kruNacvhxIKQwCR3C6S3D6MD+ZyB/qGRICe2iXnLXI1T4MWEhBLq+8oWqFppR+6Rhho
p8mjdljyuyF8G+oc0iIiwFjH14NSD6KLSbmIKEbbce8sbD5pEBzuo2NIsgcLOBnoj+FixdXOrBc1
Az+gWEKv0HPFcEIGJmHY8K/A2O8JSEPLZEkWdjtgWDgh9Fni1pBz8+YYWMz1Nisiaz9O+Ssni/XQ
A1OqSsJRMYtOpsdAN5PXavgx2LN5jLR8tlGD98Dk1k0CzojGF+HIGWqfYZ73aYTbjyxr7Gg0AmyP
efo8ztFtVFdPEhoVw0YcKR1N5uwZS7p7HOyRFCu72lf45mll5/Gqh1WXEEDYNOq5hdx79syC848R
sKgT62Eq8tY6uZnt5DbvjT0RHT9jxh+rys1Il/C1SfmE3j4YikNlNgdUaKfZn/n6JJY+Ej3vlLiG
pNB3QcqCAwnFnHwGvji+ExdQOco+iCmc96HQ8UuzZl1hGPgYdQWRBM5t3thLJ1ni7UgJri2h9OUi
ea0H/SxT4u7RiEpiU0DEx9necItXq0CnDuSOA+I8EVVU+U86OVi9++BxCnAyCNZeiE99wBSReotR
nRz1ssUGjizmvvOH22SxCXeR92RTq1EjoU/DGYoEXCDiIUsNZl+D88GY94JJKB0XQuf7eU0pf49+
CzzN2H6Gw4+kvfNq69FpcwpIU94FpXZ5w3Gp5DF+Xi2/TikZYw0vAx2UARlkz78ti2alhH1mcw4Y
xhF02tnmo69hinvuQTnEqYdA6bhkSzPNLkdO0cHW0GyVMa3YlLMKjkpGWlbGtjWSOgJncFsJV+2M
Fn3jCHM8RJLQGMQLEG64kVEmDolPnNLX7zOa5BlGmDuN5QtYdVLrxoohCMKLtvg2dBXql6hm0hrq
F0wGqyTuzg1b5MrCvcJAsK3XqU+inqxfPNu4DHEQMszSb07BVprZHAELFaxojCXbrPfirUtSS+1s
OqZr25pW4rpLhzeOyZcmU2Bca2yhpmr5Y9TPo/uNfY2aIxm/N0RfgPDdkg6wN7wyRdXl+AfYe41l
fa9iY10ZCfJug5Uy4jE0UhZIIqdzyyAwI18IuBwc4qBEQaYZ3bq4z2sL5GA8QjsIPMJK0/5bEtLW
ySB9MgCRK3FfjTh3W8JetrkSexVWZ4TBnESy9KkYgr2hWTH7HMMtN1jM1oj6e8HqUMHxuLxpcggI
WSRYtK66h9kiGpJp3k+0CodUqy2TcozFBez8skye+M5XJRlbzDuYnRsLiIXUGFgWlIdWc7DpwnsB
6wrUFAp+e41qd9xUBnWHl/DJDpnNlTbmrVW4B2FXM3Wq4qFArnLFZJc7N1HMmnQ+YrQi8ZA/fF10
myt6c0yG+nT40bCvEvLEAzsbz243vgUk0TCk/vpiNdkHr4Kzgm6Tova9Bnjik0e64sWibdXZdGnq
LViPo0nTvID5fIUn7h4z0XUW9zwBHZAMxKMcl3A48+WNclv00lb+o5q67yLPHj0OFcayr1MMsrSF
xlH2FkGnbnysHQbPUrXnbELbnxfqx9QZUJFyAFa8AHlRLmqmidogAoIMvXDTKxczeSTXOhhvQ7q7
TCJb1GKcr9l4UEj9XLgtAPzCb1AP2X+Qk8NieCkEqALLjrY6I3YMDapa1d78mi5yW1qDi7FlNbMR
9PVtbhCk4SfqecyyV8SjOm36JX/0qoYCZeU+U5b5Tc3ex+QS7BNzXgJoNC9l0vdEo1jM9Pdmml5b
yTtO05OMO8FLhN6/kMVNPNBL8A10KihZyFpZSVp4wFnIYcHFdxU3AAXLOSCJPI6OrS85szQEkNce
yFotFt2Mv6+HvrzqFHNrA9ANAULOldtqmKEZAjR37VfDp9FGd+ywH447ImlOZ7R/bFtGezNOwfXs
Q7vlwXp32uDdVdYLeeg/4xHeYLswUyO+DXtFEF13SXqB68PgVMbfajIN7Kp5il008X5J0hWBICu2
gZr9rHr3QnUZoqRZibF7LMAED1LwuqExlSL95sZY3oUTrfyu+E4Xi0l0hf2dR5OY0XhToPNddOc/
SG+0V5BdXnolx7WBOmhLuUR33K6vGsYSCxiAAFN2F/ofzqgMWtw4NzsqYPo77b0oU4rDyWbdU/NP
lbXnNFi+5LdbKYE+BBkAqbEKWVb77eDSzndNcjARvy3kjZx1CIEtOKofE6xwpIpTeUjJ7U4KrJ5u
ou+stiZJzWeOP2oGFj7ihEzjchFVwZxZhvczvRtHsE2gm7sC/8CXVH6fSAcVbH1Hjxe2SIY1Po3l
qXLhrYcDPAzTv0MktmNVXsISahyOLIdVkSPIYybQ4Jc7ACHfJnOGHD2HZ+aKllBwhJqIgzeZwbvi
0o/Bkg4yYFoS+3LOFKBH7trO/cyG7JT0XbED6Haa5IfjNxtE9B8WA4RVOPL/TNg0YVZZ4d5+Kno6
M1WM07+3GtAF5BxWvXPQvneTlGRdq65jhGHF26iUL7SwrJ2nypssbz/sfKqxphtvCo9aDjtii8v5
IepBJDufjFXoe/M0Lg9cINR13KG7bKYzt3iaekQPE+gunEwEhM27zqXJDcfBxtx2gJKBuVm/jsxX
oPJ9drWpIVLqD29Kn/twpjM1kQzCaBNI0BQevCT7nkr40XGW0JSDu7Nzkv7n7Dl3bWX+qNzpreOk
Kxux7TF84ymcX/TyVBfooENrlqtwXWjnpWARYTqhNy4l57YN+/xqMdYF1bCwcReBXj1fY2UF1JGg
zYKNlSaZPiFnO2Qyb0/0uWhISgxZuuRQ00fscuMd4QIQE+JOYpzMsN/O8ZZkgL2io9MVFoj/8adQ
NKPygh6ER5meLXe96oi9sa36lTyfXetg4WaKQvbuzFo75d94SNGIaoIuI4DnwXvfLoEeLTbnfHSO
o8iuQ4f5F4bzN8fzSKsrCIYnXSZ68Giu9CgeNn2UY26/mGH0/PVnR0lDxLFZKlqOQDgE5kOFMBBh
wD1gsXrb+ea7W8cLJw7wnRvDwQhkc0gAx7ayWezRTOyrqPnUBdrEvHL3aENr8gaZGM540JaIKwHH
xThj07j3DXya+eKH69uhg2Y+dtskI94pk7c1fCZsHN0dU00oOk3nbCEEk3jD+EAScsxWN+5UQ/8q
Go/tQBlqhcckyYZVl0JhMcYBGc+E5qYu9jG2mZXOJ0hMIezrwCZOnkBeWFk89JKgvtJcdPDUDtC/
K3d4rXryzBraUCyfrPQTm1s9AqCAcM32ajgx6tmWxxIN2/+BR6cv8KgNTBIE6/8KHo2H778yR5f/
4Q/mqCXEf0zOQsoDFOo4pgdZ9A/mqGWp/whEXI50PUf4RNH8f+aocMGROooUAN80FfNZQKX/ZY4K
6z9QAD3bl5YpTdPmS//vwv7LwfyDBfv3zFFroV7+iTmqpA3sFPCt8pg/SdPl6v7MHB117s0kOaQX
SgN6x7C1QKnLXaPNn22ROdthRJEdNbK80ktEwMhcbIVmjlWTQPKVo4BrVUF8l/ao5GThnCRV1VoQ
4mb5vPF/uqv/vfg/Qzyt5WJ+u1hPEOFqL3dL8M+vF2tmZVIGRZxe7GwInzz4H4w+6ldGhu1qaoTA
u+g/0B7+tIuUI18fOCtdNtXGpwySVf2CLJVg9BlTcVcORKSM4b3bj+d/ucrfQKPLLfVdEK6e6Vm+
K4X561WWwziOqDKLix8RbKTDobudBP2siF1IhsF0bAZ/k7kmih8CuOg1p9EODCv1M/wRIVpz73oX
SgzbPo6m4Z/+5fKWm/TrTaTL5LiWAltrSWmDs/3zJ+5wsnbJnUousdOjkE4gURs5u+bAEmKmyRrL
y3TWIAZXg+lW6zDLqPSm7HkwzH+7U/LvLsV1JeE1lvAd+dudGmgq+qQuJOCb2uhWRUvOiJk+Dbjx
XpawTDLxcFfCRxoLMDaVQ3NNwXzL+yG+IBr56GmR7/759njLj//L7YEqZvkWqF8Tsobp/PaM0Rm2
8MS13II6kYc6uY+cdLqpR6TdbVeevcFAeh8CmYrdADMEne2pp42K8l6n8ZKQIjcjISCbND+0RkdB
qSqigqx2X303pJgOhU+0mDnUNgcobR2cfdbU5RabDmhTbapLkcYPCTGmZqTZ0gnEIl3J2dfiRzru
QlOp696ebuLCR6LDaw0BhNiMQXSM7OYU/WtEBHM5ffv61m2fgINrgEq4NSqropWn0Oom3ulMoo3o
7gHFtLvYlmgUBDImLDHkr9PekQdC3pMbQPD0MerilAPdWexWBDimAtdzAAUwqT+bfrr+usSAIIit
r9CJR+psuF2+TrExXFQEQk61IgPIFe7/+XP6ekx//Zykb7J2ObbjuK79+7NT63IIaIaa5664dR3i
clI3xltn9ltiHv/4QGgF3wLj7unzGiMirf6JNSm+/voEDMeDGZN7xmqAHrJz6mHeZeVwQ+PFp5Lc
Voy4rlzZlBxQwNGY4qptx5hPx37rCCkkxA6yYlKbgEmjz8kogbssH1ZcGnspAT0ESKp1+8cG+8e2
8ncL4PJC/OWH9kkSsS1XWsr97eHEMFc7pMzM51bD8O08oFjWVH2D7fbZe9NLgqhik2sCvsz0DWTa
5z/f878sbJJ4VdNW8GyRkYmFkf3nlQPUSEsYWzufvcQgWquPdmqqyDSv6XWbVbCTFfDIf/6W1l+W
iOV7WqykCCsJixPL1//ExB5KU+KkyvmJJ/fFJI9wS3Y9706GnsXh5SvyelVBST/4YQqHQQUGg0SS
B1peyxXnalrezvFfrumvS4TDEFw6KL1d33d+vw+6tQePkN7pjFkEfwQ6XbTkGfCy5CPNsEao0t+N
gad2bbbmYdMMlsr0pMlqITsTdFiRL3GZk3dJ5vLtX67tL6u7dJCIcFWmRXXwVW38+X7NdSaUjIV1
7ouazmGAMa2suqNq5BHdHBOqWr4KNuyoRrpg9v52CHRDisO/vZ/ib26StyhlqWCW+kU4v35wMH00
LlxAIO0Iec2AisQ8PZrB8gq0c5V8DJmK7zRiGmBs5Ch1Vfc6csKCcwJXKTNGf+2nIU6O5Mlo0nXG
A8Jw/dHgqLxqOtZQZbjXeqQ31EAOBrmCWcoN76vY77f/fE+XCu23t85RUoF68OHGW675249isvyZ
I0L/M2E/pPiNHVFolfeSznjkmQofKdLQM/EO1tpleAUvBajeRXK43kSNsg9Mo1UJ+zbzLKTVy6YA
k5tOjyHfzJLc3srrYKkwEZ9JMjjAy9s2Vn+qS5NYh3LYZT7zItkytfWjrl0PgtBZpUmLxhV4mpGJ
jriowqEJHjJmDOvc0cdM+odiwjPPFKTc2hX5X7YbA/qTSbmP06LcAnslFgPH6VVadWrdEhexttVw
G9Sk/nztHl+Lml+yAnbLozRZyElt+AN2FH5oG5ZPRVdmxxR5+amWqAtYDCRToAJzS98miW45DI+k
SQd1cJ230AjqVjNeKrCGBAVDwm7Kj6rKyq2HeIef8kx++L8UO8sn8+t6uTx+tgkoxWKg7/22esTu
5Fp+P87n5WGRaevvJpwvf/x8//KQ/OU7eV+JAiahhpZYkgB+WadAyscAo/380huufbBHnT2bdUiv
Krg1iYBgbxe3//wdv+rIX344FiDhOh6ocsEjZv6+HNciItI2cPBfMnDqODzGTvJDymnvWCRrdGpk
91eWc/r6mXEPl9t5qVOQtvu70mu3zFNuAd9+RAgQj4xtV0bCch6FC0yESNN/vlzr95XJFxxaoP5w
CrI9y5K/3SHWulCRTDud3RiVWdjOiNWWJUAweTqM+zAsxAna4Ewbrt4TzWszReLl+XoW//lS/K/F
58+3juugaeOqpXyw2UZ/ywKIkY4UxF1P7CE8DrXPEth7rNYiECBu0hIaM3CQylLYm735wybO7ASM
jkIK7j9+UYGEBitC5dN3BYDWIY3zxBr3ZkEBti9q+p+MoPgM3BRr9pjLgxGS7KmZ4NyEM+3x0iHW
jWM/cVb+huM7ZyuxIqQ23ne1Ux++PruE+hRgpFlsyzICT1VqXIhL9UgsktWrSymfkkAgGuNFXuRR
+ilEK35sl6DFwcluv74vcAR9ntycXnVMEiMiE/BPsu1Qy471Q2X48Z2O4GPNMO1YNS7u0lLTMcOW
LPaze27ephtRUeRf/8XE96yr9q7usiPnMErabtyBfrhROXxHP3SYoAvXONDymZgWkaczZ8Ejw5QR
w53CVv5cOAXNuynzAMeRlqCznhgju/0wxtm7M5Im341wlgugQBtTj+q2mQOyKCmv2mxyTsKijWp3
ztqZH0K0HyvZE1CIwgdGwTSqtXBh/Q6keGxJPzZWIfiZVtAxsSp1GSfFRFwPn6ms/R1wSxY81FDP
tWMOh9QkCda0cLcE5QAbGykoGWcQjnLwXHsadvshA9Tnc4MXjdp0Rra/zciCYtAVOM9uNDyERYLI
UxTmQSjsP50PSK9yxL07O+HJTQDNN/VrNWt5aMPpFZkgBywQ/St+cufkLKWTUedEKxhQ+z2OBPVS
uIcDD12geXTKhkMhbOqv385czkJ2AutKdZ5z+vq9NvdigodtpIGYw258vDz0rOSZQfWVP4FhKiPm
abzhd1/3ywPkvB5wnK5+OINCm9nYF0QN4dFcEKRtwqy0JKG3C8JjrP6HuvNYrhtJt/UToQMJj+k2
2J7cFJ2kCYJSUfDeZCae/nxg9z1R0edGn8Ed3QmjpJKhSCDN+tf6lpRbYp5iX/I47aSPnW9aZcjO
5rka6qqnJ8zZEzbA+t6kSMVN7F4UDMZtXhPxsZ0+ytu227XTbB+TWSPJOl6P5ZlflhJPRy2cy9SD
HpEjs2eIjGYPGcgRc7V1SPQcvu5I80IpltGgYRYq0tqe9wMlRWvROHY5bwGWu4TYDNJ2fjXKjOIp
8D9TXl0clfdc/32qsN0gi7LRvfs0rp8IyxPAFaaBDptfvk5t0xJcxDI3pIdIslqWcUH6pFmzonme
sCXmoeyN5yNEHsZimFvqT2paWGFqYCgtmN4Tmy+dFXXSbuVQOccpTeggIG2PdEuZQdz7475WFcQm
rzrrZZoiqJ5/UdgBGdoofn299gpLHC4sptJugUsmJUFMJhB0rN2eRSbUfSpD7hIDmLEM13DT8jTH
cr5kyJSn0r4SRmme4VC4/Ys32NYx6Q3/0LjiT5BSLw0b7VePIc6YY+/RtTCSmg3rlwrL5llWAvRh
te3yMtz3/hqanOmBLEz/cR5OHY14gyUwnKyvY2d+hawzN/paF+FxvRil9f3rG8Ww8uLOJCwV2++u
SYghqk5z9POS31NnpWeORjhHTNe8iMGZrr0dnhO3voVW7R+7wDpNRlhtCxDF+3hxnvJY9BfbT64k
i2BNVpKyS7NJXmbngxI269kDHAAWVuBxchgr+syvUun7tzQboUyw5ze5zx6pAnSg+pWWTWwoc5GC
0c2cQwnXpmycPxVGjBoGhE2H2cWQccjIy7uohUDFQvb+XHsxoXJjfI4FN2ncYC+tel+Cxti3eR7v
QTLg0DPtV6N+xGrl7hPTxRJOXOfiFgbGPekRjlvf6DauwRcIPxpjXIhwSdV+Nqvw4ABC2yEGJrvY
vfe8E1hoa85etQ0D3yLTDyWdP3FKy0vmkliYkiZ7MPQAHaxknrSMNG2DyskiydiSyqsdTv4gMgaH
aGspj5nkSYRQ3kaCiyoD7yrdDw75ceWUTw0Gjiyohv1MBHBPw0sMaXOmAI7P9+uT/lpgWuo/tmXm
vKSM7b6uxh3WFSj9VGA76xFT1gSeJpCZTLjnw6DIgbtOE337ekJK8TszM+SOxqZLAmUaUqp/ZzgF
HIJ+eGR1vqtj8S3DpvnPu7StMgoMG+Rr0mdi5/jZoYUjHaxBxK/TjJM2oBknhhRaa8iAxgVfEPPa
jn2H8RvMiPXf2/cOhpC4o38hS6fd0vdsMS2IA+1FX2dc1M1j3jLstkJoReufHpujivrWO+okwOhn
ZZyqoY2SrM7taK3kNl2W6xLZf4Oo+liHMhphygNoh4VcQIY+FJBiUmOMhlniLgjz7GSExLGJ/8XK
h2ktYtDf69dsHAPuicbC2ivDE2F07rdO/7TE1kt2LUezPgVzHGBESaxrghxGFyJA/4oeeq/cDk05
31ZMzFkMFSwxbd+Z222bynii4c18xCeeE9IbMLRa6W0elb+n4NQ+B6Z7nJzuggujOTcD3KCKmgzq
FwCzxYfZlA+yR/SacvPgjA17a+BNr8NwbCRrgs4VaYCq+F66mOSBXEWpX+8cq+Qo13gmvqAw41LA
wDfQfnON8UC2sw+uGx9UF/7McLFD+sp+BZrhxteBlL86OHAJeElbilyLCjtz6ehm+9DOJgfABr+K
pvXu8PWLke/GYw5zcfYa9FSn8Cg88h8NWhTCgZMI2vOpmyjSzo39AkL7XPv2ex9T+u6YhkVJaPxS
DRMbrWvZJwxfHnsmVnvpfStkADcwjEmuT4ziiPhVvFtUSVBVoKrhCTgzqaTUeJxWF2c501cXMGa5
6hr6p92khypozXPrjt2OWBEXI9SMS1LhBZoF9U3G5OlDBw/+TLl3TaZ82Saz7D/gfXYGlzjSOcec
loZZN8trC/4xcajSM+26eTETALFNf2+pZY+6JLAwwPnpHqT8Hw02OnLp2b25jXpacySRldTloezF
U+3HWKXSMWFiybS6EuXbLI8mBRmXArkRAFv5qLhpdqTpDhkwtLNyW73rOYoSz5/OxVS2h9wsv+X4
CDY9jbGvcL0MTh2Gxnz0JZAGnA4h96UP9ojqAQqveS5ywkS1X5PMbNW8T3PeSYlPZWr1Tyqr5w38
tpqEfSajxQCP4gIhPIqgPTMH1lc1le+D7e+IqpcEQfhmU9ficxgkEwDykqxAkT/3kxdcVJGgysWW
TfVIP+zySnacAoFaLkN8bTPX2dQ8HYd2DtFmByphYjdlVQ0zXvKgJHRKmKGkTWqHIaLGMkz5uAJE
LMoSZbMumZeXl6/bepAwaQg8TkPo9Tg1lryJsHonm8J2QYUVyxPtq2TIuMx4k/BADxG/1AVGwZGq
pN4wPymuiw+5kncBQAYizhRfmnm8lKvEbFnD88iJ7Qnp0nC4i3/dfb5W9q81vp8z6hs9A3r3Anx2
io3vRVZ9UG+3sukGSDpkDb6Os4r2aG7lFQvmREB56T/CynqrIM1CJCG7qQn4BjXp4HmVPNUtNIqG
m7kiWk99pVx3oaGqbY7na1h3huzb0vqFRTq/4AmNWhG7j2K6LmPV36pBP2B84TUjDybMbqJH1sAI
sX5PvkQH7E5ns/pZO27xrQuDbxIAKAuP/4tJqnloKLk4ujJ8Kpw8MqwpfA9Y3ILCg5gwDo9VYNTP
RuKdjCaCTEbpRxnUz25CzDs3c3B2McfcyQMzbmvXvdqZg4q0/F6mx1rWwL3r5E9OtVminG9JjY28
ZZa1y+J1/1q/5HJkYET9PLl9bRqADTGg5otfwA/hAFHY3dnACgPThK2qDhYuYLjYdoUIAjw+LfbG
yu73do6XcPSXYWdCB7nYNhaROPO/06vlH2qPubBwNEMATd8KBDCgHQNXkq+/XzjJqXC4o6dI7Dgx
uIMSo4aSCajlwDgXSaThL5xNI3uIPYET8tUGS/abcNehibFt1qYVvNafroGTxan0MXF8qlodfrju
WrCBR7Lof9l9ZqNMCh0lpD0i16rfvgYVHKkjbktnksf3SnkO7IjxFq6bcAFr0ZQ2tVt1eemKhAd6
RMMfUvlRkHM9efjqq5C59jj475yx0o2Xe82tUgZk9cy81/SDoCKQJCNZSZIxhPUAXOMDhvf5a/Um
96Ah5zBWyJvPchbeSRHkmVUKqVNwC3cC0KCp3cPnUXhz+4UhtvbV3QrEJ5jOiZGIIqJmjtz6pMkd
MW1BcScay7E19ZEBsOxLMIgHUENx/gM3ChQ5sk8HjNd+3HDxWx+AL0XrSwdTEjlODhxOEEPc9Klf
CJbJhk2PKBZDr7W9WafWXTY+J/mpOH79IU4586DQu0QZ83znC3Ym8hDCBvGrfZH3wFSKJz2ivwic
wVuKdAV/3LKblTNujHyGZj9B1TSCNZbFlz0ojfRhzFwSO4lHwjiwt+442tegiN9l7j01Db6l/6yB
2P8ujSFTuUwQ7CBAxMZOu4r9fxPWTSd2MMin9pU7lUINgAzGaK0x1QJoE+vdlyzoTfkfs4SWxGIV
Ctc9LOuko/Y+8nGGgCAQ2gmx2Kd+PcUYlCYCkqKIYyGRcvSxckwx2T6lG5i7tJ+qUSybhYNwHZoV
6yyNzNouDNK93dvXZjJjnN2VIWCqJKu/4wH91wDlX92k3HrAGP9v1ai3DEvg0PwZ/73xlDHMfxee
/v/XjWoj//0Hi8LUF9Vn/X9pR11/3z+dCp73D0YHzGE9l49e4PPI/NOp4Fr/cHAvWKGwA8bvzDD/
26ngWP+gtdRlfVkncbg4KS39l1PBdv+BymeGaJPgcqhy8P5fnArYJHhc/ZD5xjr6+h9z606iQphu
HO51D9100HCouJ1VuE45ksV5jdtS3SxstkfN7gG2ijwNUB6aNZd42kltRIPdYpfrEaHN2aOD3IJn
xa70V8dF//i3r+6/nrO/WxXWZtq/K89fny3qLDoGogKDon+b1LXBwmLBkX7vuTGvRu0Eu3CwDh4V
okSfaSEFMfljdrGlTxa+ZwUa5UqFxYUuRnwBQ9VHFtFujLKyOPY6e+10aZE5rDifTFyLtKxf8rD1
XnOnQCPByaeYMunqODfhHVgvVqq5Sm7/+R/l/I9/FIKrEBauE8GM3BfrzOdva0YRmJr+GYlTcmJi
IeQaWqDeDyiBWx5oY+ivuW4167ctti2deufZVDHl30n2riBlRhnlfCUJbkueVMs5UMbDhZaYD8ze
lCvRsPaQlka8besCmEwx1cfAIpFH9VF49zLj3cv66ZxbrNc4LC7uuJAZXUuVYTNvkmZeSY1YOI+m
izykmhXwQ0plqrNqJxb6+8zKO4c5Sksm3Jceds5ujjsKSlu/vXA9EL6eHjCd/PBLp/lfxG/Xt/5N
/kYiNtdRteMyCmOKZP9buW9bmbPoQ2uIFqbvoBnTgQ4VrPcJIdoButcR4wwxXraive236XPcY6rX
fhV8t2r7RwnV7DN3PXqsStQ2w52ugXcZete/igp3ZQnUWwq4lE6iq70ZMAoVZoajxHhGFBbbeD87
BRM1u84OyzTgIN84E8WcDqK3P3Oi6sJkRPKILyNw8wiTNkHFCTFQBMPZlvNrMam9XYV6xz8vWLeJ
hies/ZEF6999bLg2s32ASwDAUe2TuPVP1fpz7tTu63GkYGw4eyWOx6mWd4DgLZFdpkXoYyYtkWur
K9V0dTGRUevkm+6WPX0r2MpjajUaewD3WS6XuUSNCTrPR9H44xs0QPBKIru7ytoAQxyOxrQ+R+PE
ZN799NKip8YBbdClFndn6hvnTSzA2SXuvpktcqDIOKhTMvvZ0vKLkOCnURbS5+JZMzo46OwpldxY
2nm15lJtwLXkTK0kG3/WRGMwZ6SbwbDBbt826DB1Ov1x0uGJuDU6PSG7OsASambADXiHg8U7JTV5
MbyJG4clGN6F2ewa0WFALhzCbe7SQW52ut1UW2ZUkwao3FheZQoqXDDDJcFOq1MK1IiUJULe3TWR
/pEemd92JE/Dxjd3TtYc4nh6BoDeMXSgImAsXrA9cWEdtwNkO2YFqIbaEscePSlfswx9526GomYw
kHU/EgiZc1rEe9sj/yhNXNwOJ10K5AVuzN5XT35muKfWDc+BSs5xB+nWItOKgV7LI1Wc80ORLizS
i7mp1GTxUJkZEpf77AawGJLSeNOKGW4iEEldf3kfqLk4sirfM+1cchmro3C8LqqzmVLX5ELCAi0T
2gH6xmkYSZNzcRs3JgLjIfXxtbomgCBSHWfbPViq769ZoDi9Lda3gZTZHoBjHUGIPy04gHdJCDKV
4tvtNEAhQZj1YAulBX1Cmn9iNYtzqwyEwmn6Gbsmz2YymGfpp/mxHCky8Ef/VpvJj2pp1bEbs/xh
aar40pf5bvb75BArNWzAa3Wc5hJCaCFiya7rwRypeMEKlJSR1ZETpXiJGZRPHmSxI2YYB5+aWLaE
oIyI8CcHiAZbGwruvsdou4ObdOJI1lzyShWM8YFpZcimXStJCxIdHvO196UvmyN08YQ5QlY4D43y
IS10/otvx+9tbwcPEv10s8xEwYqFabRTxQyzMzvbhwGPhzC67GQlzW+G9OphaL35NMngebKH6RiP
9ntIMuzCDYJhdbMrR5sIY4dpurEIpliS2ruAXWNnz0Zy1DaYCdhVd7Knqxo1RA7R3OOMhoZbIjnA
CCOWN9z7BjPN6L0amSr3fZqWxwwrx8oPJXM0E3Jr7eB7OZlY4rv4ZhTXjJqWwzTDGEh04e8GoS9+
HGe7OAWhNhoab71hRkaLzGY3TOmrMFxbAhjBcdjcmC3DDjJiKCsT2A/m0zmKQt4fYKxA1DQuNCDO
O9cXP7RVEhqhQ7il+jIyHfXakATZdCM4Mx+MYrh0v7ELkJMxQNJXOMIc39c/jDr7IFbJxCNI9TGo
CO01fD4m2aQ75abO2exB4bG6y4tf6ivnrT4SbZlsbWP4Y5krD7kdjpow1rGOqQSnJR5oWeNlD2Ag
u02zVIAyvNp8QFyBtpgRO/erFrp1iGuZX2BlhCeNWWyatfZh6IW+tUTCirUw1khBT4nKlYeW8T8Z
VFlTuTmWjHsgqRnE1Ck1LJBIKcCaY3myUegxuIMXYYS/r9Jl2Q1GBaVr1vU1XT8M3B3MbKV1LlJe
FWbVswcbbQQ26wkR32iv3XozEQyiipgAGHYc83WmkPnWa6H65akplbgTyv3lL16yG6tCn4lZ+5GR
JXaU10b2PXO7PVnMm2nb7l3ZdvOIO3TaDCEKY8Dd8GnuJaq3WyyPikX7IRk7rAhJAeS0dsG0Qc8O
jbszcN0kNnqlLDy4TaHzHf4RkUvJH9nU4OH+z4e1aDLH9h0RQa92sVgHfpPzR4eG8yIWRP0VJh2l
/eK8LD5RvaWfWYipij2Nimdg1Mn8IHP3yQPn/FKKAeqJ5caXjuZIW7JJuLIVB11fsioZd4thVvtS
hPGtwLW3d9dML0x8gF8Fr4kqu/IhCDp9ZlB2Sjge3vohuNat+J3YBIQSnbxxn69vnXCOTM1oQTe9
Ne/zwXNWX3KCqrxJBSLa1je930MDxEl2w8+pO2TIGrdAu7/N0qAgZiq7c2JbqJLrf319QJ5MI5bB
V9dFlfOr3jP3FtO/2TQhRTlrMzdTbpUH4bEd6XZZOyc423XF3g4z+z1IxidpgCWvhPUaNhReLmFK
JqCVUVpmb6ET/3BlNR8DDigucOPz14cqLb1zk1I0TGe5z0wcbmhoQlUBXtG8z93wGQB2fKzzeXgV
4dnvSgJyKTjcdgYtCRxTtRyK5pgjKYfQvZpoLCMZTndOKur90pFzSy0MEAgcdZffyDotRMg1cGiX
tFev2vRKghmQt/vaVebNV7K4yBjaXVdxYzXgUsRtXl6p71uoD7oArA0uVajqbduRRSbrXN2GAZCw
n8aXeUEwTNf3cuCnR7rX77ZhvHNq1Tj3lms+NB+mszCbkFQqFCMoFg8poRIIOIt0ZaSS7AedOmvI
MdUMI3MfzBUX61HphXQq39W0z/WOQexdjUjFQhTu3p1LMMQhBeT0d3IrD46ZgJNgzD4nI5zQDhge
iOL2zjOnfjcUyyGnnT4SAYmItdRg3+R4SfOBr54PTmBlG4SbdRzSrNF1Y6FJzDbVnmPfiyPAgU1J
dcRmTI0R6aaNX/5wB7SxdpC/CsqsoXHENGgBagToFv+1FJpsKqSxwUb+0LP+SwHk3SObE+6mcgl1
Hjw2N8sbQ6RmE3OqgQSaUgTtN7SWZcMDVHV90BmxqqYsg4svU1ZWgBW1yJjshsRrJSBry5tR5bQx
Hoj2RZWuujsE1yYqXYpW1tHrgUFYfVVEVE4IclSqZPiRBDb2emnMra7z5JiMkNYJhe17q77zJVzb
p0fOHIv5zE1nbSyYtnil3JPbeueqjIvHIf/scyPZEiMhmc+9R7kWlMEgu+W0IyXKBuiXy9cmBY5k
CSL4AeacB8Dh2znwP+C8OU9L1v9whqiEcfH6E8RrcuyM5g2LHXxSn1CxHp32wmT5d5UGxr5KyHKU
fteRdnLiXUoiLOYgddIlszvQEGxNQTP8NQZPi01kVuTurfUVN7D4De0cc8pCRUSXHIXJ1LmiGImh
Pu9qBwjTX5fuzCN3795C30yPhWdNl1p5LABKQvSxCcWJRo+RROMMhyygNtb5U+BAQ9iZHkdKcOlD
YTerscG4tfeEblo+Dc4DBaekr2dZEpSSr6yMs08ZGbdV0NbQJXxpcb3ArnAYjw41EaAoT9Ie+6OZ
QMTVM0iXmht+CtIx78eblpN5rgZZ89KaE1ZHCxgstaX0A1ExHlp/Mfv19yyrHE2KWe0xZQQwqScQ
NS2nkRjy4EY7urpOxXItW+rcq7B/kMq3NoXFRrZoCAPJvOWzh9Ou5K1piZrnEOVSKOzuEBC2Y+4M
IKQFSX+WKdebPHVe2rAvD3WCnz2BLuMN2ODUhFIN1/aSMzKMRD+xRqnefpTJeFhy931wpxJWm33P
RkAC7JRUGGcHaRpcGYDAD5yxWOZqSLc5N7KwOjHwwII8VT8T3cJnj6Tb/dJNwAyIFkVrLShth3si
JBUPfHnJY1TB1fW48vQgdSJJguGm1w8LcT4uTQb/YuqfVBv6O2XhpPArpAizat4JrCdHWRh02ZWy
u399YOzEMKgVj+shqVJi5c+QvR/bp6QxutuwTJcKNLw3QqFDg9Cu/uSi+m1Y1Ej9XCJe4UK/Mm3I
HstgtigxZUhemM7j6BjjXVVT87Zk9s7OHnXqBC+TpGcx7G2ueMySk8oQvxSXHUfPy49RppRIt+Z7
4/GKB1T7PdhcJHcyrMOfHbR3vxX+X/lY/aHJOH0VhuZerG0W03K9xIJeuZtrPwn0jfy3k5F4nI8O
AdDDyD5Bop3Fu+/zix/MMzsdSeiaEM9mmBfQqAkD9DGxuXGpzrzy5lw6v9LnOZg/YstbR0LUjaRj
ASmwWt6g7YOTqFt8NM4cP85O+RHv+swztvHYT9d8undV2lKUrkDPYuS5iDy1MLQuTAFcuNgjfuEX
2xwmovpMFjnN7OalBjlm9NRVLXO9H23LjpR2vJdicXPMDeXnGIjvCZLRe2Xmag/TZjm4emJAaMnk
aNQTGUOXAlkSx5FkpBnpTB/oPhifHVEQ/fZgMg54XM7s3BiWh1g/4umBy+J3p2nEKOfbTUiojqsA
YUzIj56Ov9syfuS7QiaSXnFEOCrgByAGxwFumqZEtmnGl1Bl4QPlZucAuGyUu+qV0CCHHCs7Bu18
8BTxIp2tzQRSPst5UdQuTNsuLYY3bwbNhYrP/J8ujVr6R6aqzX5xf3q58N6ByUJ1FwvXx1qRhrVl
eKvi8NMc+tvYi+WbdHzj3orpTecPfG+M9wbjZgSmLT36VSZ448GjegkXbTx6z7rDi0CRbwomfLka
BWukTZSAF943Iick2K8bx3xPva6H9tpc5nkwd55/7ZAzonjpLDq3EPVHz21Oyew9ZJ1t3R0DMFlt
Gh9FmtoEE9tHwpoVRMeCPh0OBtSuwl0yKdgasjffkefA4DTh4Qj46eJuX7An/q4CUJlh2y5oC1QV
ji64alW1Y5Qj+704s4+uUXb0tiSFs5OtLqjzhTg/AqndFgKU6RL31htFKq903fsM+vO3WPrFQzqY
v9hQjF3iQF4LDJG8LvU4bAd29lNaQHXSBlRBI5tsOKOQyqrCW15hzmnlg6NOPPkA6K/5ViXmaQJJ
MwThq+cExrPBHl1NMz+ShvsN4tLeoSFpqtL6dezG6eZj2t+IZcmh8drFMc6CfI8kVbxnJUtx5+vu
9PV/bdPErhoYYLT5n9q/eqmRvxHDh25jj1fHcK+mkai3uXPHm9QmWFN/kW8x7/O59cWCyscPVecB
VSnhbI7vXPH0O9gODR3RgtDCNsHBlSyzMMpnGyjFNyHk7etX2XG7orsrHoeJRhEgrBp7DAy6r980
2DSgGL7LkgK0EnPiP39VOHXBpZhdAJ0ehrB4sd9koH7V3XIkZ9y+OXJ4k+CumB2FgIJna19jlWop
poL2RVi+NuedxVj+XGaWjQm0e1VUoB9CmMQcozjVthMvs4NIklmPnDIR/Wjc2xZYcDaTaaqd6cXW
3q+J6tsxRwXfQjdDIotPOkiPaYNKm/uPJnVBKrPuy1q2PeqCjdtigkZva0yu1HOiOaBjzm7Wvnsj
CkosSnVebTNuXRtJFcXown8IwiLegkRdcCU6+ErwEA8+gI7MI4NDtQL8I7E2v/BMW0XgMf2cD2aD
8WbIfHEZSUUvdDTChepuIEfeckr1DjPtCZy8e2M/QQ4ac7Bxfmgx5PM1yk9m33GAUWDrEgtfmdaj
jYXM6zjQWH1xY8jGsYK4273Uw8+FSSTErOY1xcd1KPiWwrcDkcaZDdc97ae3IWFaGDdXMx9+pE7S
RdZg/px8Hm38rTapYiK3im7nzcibhwORZKThUreLzDz3kxElw3Qq8wXW2llIg87t3oovXvppjN5f
ZkePbD9Rf504NjUR8VMx0ZrNdPmUx0mM5NQfCWWbFzstqjMh7H0ze/mxXSrgavhS05pjejgN8RPN
unq3xq2yCNHnyVKnAS7WoR2pvtXZLQ1WguYE9CeZiuRi4DLLNVxUEzj2brB6Dg/io2p9DDFTeRk5
0OxAGDJxzOdmG6TM8HICmPQN0lDQupz3luUln1KbMHLyhg7yRNFRc9Rl/OkPsHIVilzA+8DeaazZ
G6bgFQakaDKzCjRO8UCpEooEpeY7LViXtPvQFMnPsU1/DFjWW77rBidMxFLvEeYOVjkaI1aywnBd
iuqhCWrMAlJ869CDKIbPrwCnxr32svEls4x7MP4A3WQDS9b7cW4stMvcvixfU8aqwUxUVjjtvO8W
ni+AFzkKkDfjz7J6Z9+6Cjtm0FFQ5X4gdNI+mOBXbK320MDs26ieFGk/UoqWeNknVCljtx48U+Qf
MisESSHvY2WEWF6Ls11wZFA2OjErzniz0yXKR91fysGK8VGAB+l1Re25RRtoWXAQILpfRxBKeixI
S+2JqxFQXt6a3O6Zgp3LRVc7i/qPzMW2lIzW85xhZGEoeuuLkW+Xi9V5kSbUZ5SmjSIjQwf9wowI
OmxZecWmEPDUsla8NAFWA3TuxzGVtJMalAflXrsgidsXZ1SfqFU0+FhdRKKQYMDynnn9t8Y2qczT
g3eZ24DCSnhypl/+Ivb6mgjRHpJw+clQeFW0CJPGkRCvuUVbmiJTuCUIYew4NbKRQGXmMOgEPEex
tWn8a0J6HacfGm0T49CVtd9H3DygHMFfineIp2xoOXGhImuvsmkhjNtcXwewMiUV9ikIKQqd+luZ
8ecFVpqdafS1ckzehnXOnRHAPm+9Rool/ZJ8D0FX7pUN/cjxFQcXoQgLBdFiOeroLSNPtVGeUhui
aAy/V/bqHIzUWTv2rmdVvWwKU8lrAJYBRhgtqDjvj6MD3bSlkJGV07bZySAR14M/Xqd66Dah5GuH
HmFhgTvLXs6RkMWTFMV4Zkj76IZhccicMbnE+aJhne47u6wvmHfrk8uKWQ41vsRpfgW9awIdNd5K
hMTrYgW8TjrH79wEbzaFPdQ4pEfDfnRRHE4N8RcWI5299Ei77hA/hvFUPYSy+kboBsMzfcAOn+3P
luVhL33VnOb+WZmLfm2T6W5UsHQaQTtp5VqRNRXmPl1/ys0n9DW2IjbzMKEZ6esMJIgLj3Esnye+
UDwd8xMkf6YVTBfODccMmbXlNzV6eku+42KGocfVjWuQ24oP4c/lthZjdeBbdRZwuTeEf6M0Zh6W
OEwHTc/+JZBqt30q8JJ4TXzqwNx4/cKF2SJfVRc4hO2ivytocN7M0IYARnvyOvKfsS1xso7DTK0A
Tn26wT/x65zkXMh9H3IilDjYQMWqfLFuk+YGSKc9hCKdZ/vW8X/Cm/MfjBUsZNZWtmnVG4en/tGr
QlD2PqcJPGPGzZDp+zw5V0eG884WJWWFYDC7JAHrAlDk2DvVpzLEQ2I3P0aCsBHkxh3sB/fcrQ14
EKY/ghqshOweYwB3Wo10gsrud9pTae1AKuxa1OaAZRhmA0nnobHXkuzb4i13grDVFnZOuK9wpoi6
7l79iQhJPP12AeTifp6GrTkwhpjGyT5r1765JmbzoZaHuqPFrC3LeO93iCeG+oZJjoq0cTkkxfLM
DInNsGkhrlTsqcqTz5lIgwsytdzP7XJ0J2y6vU7w37DiOs7MISCQt8BlksNdbYGBwRiImZRIO/9q
hapgA6ieldP4+7n6PmP8epQYi8pa7DoV1/gsnQo2JLSbtsZXLgaM8crsIJq0wSGv6C1YYgMTjc1m
T35G78HcFRTKzPPz4qDaZY7EvTleW5/cIDjafLsED+SJCFUQTUS5ZCdZyF+KHEKpOym0s8Z8Dmki
6AEgHacEbsrar+ir5XGoZo5pZsE5RHl4G5lcNdC70aAQ6IZ9zcgdqxhdh8FpyBBosTYeC+E9JCtj
T4kpAUlf1jtTmveyotawHS2WWS6JbobZLHBTg+kZ+Y1pcT6rrv5r9oIXY0b0tQSQ8Tl8aC3JCcKr
AB4zrgwllYUzRLzCHvWhcoyX3gZzQqYmGtRa2EYSL6taBPnSs8nsF2gZjYHZfpIHz3nAGkcts4cP
IHRRiryXrh/KKycgbHwz+owhuwbvHK1bFq0Oo03EIqv0j7AbyFgEu1Lb03Ni9Q8E9aiv8OtPx1/y
sye48nBiEGj+w8kwEGt5g/tDLoIXV/Z6H4LudzxiRXw6qwPax6MIRRnOVjH8zMDx84nNB8WsDKy8
wla0GN/4/N/MIHszivxHilyE03J+4kLYHtzJhEkZI0eWjCtDtzgaafpthrW17RQkRdMl6ugpF1dF
Zxyl/XtyYF5hIjqSZEDLy0n/zE5z6vV41LrtjgyW6kvtNfe8w7pm6PaJacXBGfKt34YUYgeMVJxQ
DhH1QB9FY/sRJRrtJsysYdtynz86OscBDwKqJBHT2U5wwI9Ep3ru7quGdnHa/gC0EQdzS7ln4+85
ug/Z0TDy59zH0u+VbXGcAovfTK5Vzyp86fyQcXDTHnog8hsJL2Q7MRuE5F8QRS9YAnKOcj3l1dfS
fhWNgDk0Nx94RZInzrDf5fJfRJ1Zc6NIt0V/ERGQkAyvmmfJ8uwXwmVXMQ8JJNOvv0sdN+J7UVe7
O6pslYA8++y9dhDdYztyYSfWG7oggrMxImZJf2PJc2yg5jgeqBfaXg6GobAe4Kbnxt6epe3GjO+Q
nWOfQt+egizfK9XKCMyNFBltaNHs4qhF1M300yQhAWpBg4qpCzQpNiOLeIbiGc/oyqnR5McwcV9b
qGQ9rtqlyLWH/AuBrrVDHJsa3ZQObWR5tncw6SqUlzebQYMb5B5vMDUheVbumlHbKwPew7KvPTpU
nC5FX3bYsntM33IYv0ZnHM8a6/+6+qsSim0eC2K39rMLWrS3mAw735qtZSzduW238xxP+xTuzs2i
MQe2kG7XHlPkPvbENVFQDDzVEasgw80xszryOSXLXaC5s8PUQ+isrBGIQWW9tCwntzoqX3wvueO0
Iq1G3p9j+wqDfbsKtUbb/3GpR+MYWFecgYo/BrafBnLghnUD/UrCeWtZfC4InlBayUal8s1TGuOs
Lyk9AkRNgKtCWOSk8q1Y9u6nwf+oMiteU4Jm4lOl7UXqazwC4yyi6tbwxN71wS2K8vE09J3YTdzJ
HIc1jbTNU07P6srvGYY62z5TvuPukZcVOGg97KR4RNYeVOUmKOm+Cc1zXu56ykDOSPRyDUVeLPIm
AhEVeHvZd/HGd+icwjmmb0Gotnhd5msa8QRENS50MjzB+mrXds9yayrDf4mFAC/wCrNveOPUxoGw
gYJlgPFK9BBsScTEEFDEnmdqsUTdnNdR7q49GlK3SR/3nPGpPCYtcPf2bDzUGfbakTi1exj4mBTO
kbI2XEAOVcfl2c+TbhtkRrVuLSBdBWf1Iw0Dm1GT/c0LE0NviPxurHIVxQfO9cHSyD1xtOpHg7WP
yz8fpi8ht343imM15x7CbMJiNl6rqYp3tqhvNXHBdVp43rolHQH8Nz4PUL+4Zo1hUwAuoZ0VM+zc
YpBqkv5QT9zC/ZqqgaCga1K3PNQLomucF7sllK4a8jIm5h902j9UrUu+9vhECY6QpPMvacLz39Zm
wfu3oa9OnpT3OJIXbsKxACqPAZJwrgU+jrJbFbF3rxLKmXPqU9kFJM+D775pyp7YoCB26sLRRFqa
nS9dbvb2KBdJqj4IffB3OLh0MqTw4DNO+1nqLouMvbWeqPqxJmuXPVTptqw5Inpttu2SubmYdtVc
Crf6J8a438Yub5ay037VcbBKMMCfcqq07q4ldk42/PAw5LOVht9+aAWLyUQpoT4ZBYudPrWIlmI7
//iTwMvhSgdBN0bjts0NY6/LgI9T6/8Z5ENnbIWGaMJQOgS31mCpEOjtSMlRWRYoYE0KL3Niipvf
gTB/RcP4l5IHTXom3lgjmbhUVAFsbWM6psb0Ms80CXVDfh6bqYdt+PiTuJstk9Q9aduG8cqTFtKu
8zri2V1m4SLWOrl2qt3Pkex3PMbclQeKtHBGElFp2O21Fk9Sr4iCw2/vdL9w+yULYogHA5tw6mhu
seu329gS91nSIFH7OJmTwAUYXJvLPow/jDk3juEDttokHKCth/yTmgtlUFVMroV3OG+fM4hGWKp4
t5Qx06Nln1o6MCZ0VbqpH91LPGs3eQmG0huTv+E0iYdgna6bMtiNLeos1m0OSRiRnMRZ5tzMceLm
bFMebFYK4+Z9nRYsO1S1UhkZvhJqH+1aSboUtZqWgahfkhDXek2nHLjlltoiYnGkkR0aVwDItCZL
Fy6Gbd+V+iV2KExlDdil4wF8cHpg3NgoBMCj5+K9A5bHocTiok4Db+0J9RXz1iyyWN7dFv3JydOL
5yXutjfDYUvlyI2T3LVs3G4bCrbwRRTdpOqPlUcaypOU/7VAJbDeuNtB4aBgqujfWr3knqtDdSE1
tnFqbIYI95+CzctCo58QUnp8KT1lAWipqky4dIX7bJV0MFasPyKHSqKqtm8ed8SIAQeA5dSuB+vX
B+VOVZsGj87hlad7Q6og3Q+d2HsDukpoW6APZhY2WW+9R7LOnjkQP7khs9NoVXvKCHBZxG18g51o
8FimFspNe5uB1N8SRAkPpG1eM78aNlL99NMjd9ISZ0b3XjpFAuCEorVJBIrf3wf+bofVxcXhxLon
o3QGc/dYptdsYDNpCbw7TpLYuCrS36juw4WXptjp2m1Vqf6ksGjhR11W3dnJZ38J4ovGoBl3E7M4
6kZO/zAKt6WDXzee2kMn3Ld6jpzTANQ/QMn2IgB37B9OKSosZXKw7HojUEsH0mldlAUw8vbV9ghe
6Nm8k/I0twWrq4gHY0bkGjGGmlU/wRmBS02eO0Yusl5muvCgIK2Z23+QX5H6siu9tfmbw1F0UYoj
eZjsJe3UM2STdTRU9m6az2YSWftk7j+MsHGOkt2MNT7I5km67+zuZWKZSNylWpQjiUmfvsXJGduN
bfe7CFLVVfrCO7Cs/+NZ4YZmFywxxDeXeijfu7I+BhVR7Md3S30pU8QMAD/KaSAqqpQbVLK1qaea
5ilfF+QjlxPQJvZ++WuWBN45H9t2oTjyeiWakVViX/WKDNZ11EIXGGyq9oZpPKpRARSwQ7WCkIPz
4PFSA2JddKaVrgHzgias+Wsxsyw+BrkXHU0gGmOWjNuqnKLjMNTdboz0FiZ+yWQEojVR4qTagt1i
yLbL0fUX36r/uPRFr/1dSPGrnw3O0fB4vgJkeO94cm1S1zaP9HL982pSoS4lMht8Zv9qnDNHAGz1
UT9e/KrYTA+HSJ1U3r6vt/+7wmeBywa5xEC6KMHdb9JaWUdBa2dr6WwP8AF341z8TopW2bFJzpP1
m5oV2/ExuPUYQI7/e5nG9MmHNrnlXXb3AUUAiiMqf4vVWwabiPMfgEOWDMmxd+HCTm44YRhwcCkk
6b/ansx1H06IGrbtrXOqCYzBmzGJPR6cjjqYEa5O+Ose4GCHYJRFc3Le16s4zZpV1XBf8R4dHxAn
1joI+zUdyguNuWhvtdFB8dmizyE2WI96w4mb2K3Uo9qBC+HA34zOChpHgd5RoldO4Wcnq9/BQviI
rSTdhCbJrIZqICOLNonuns1UP1qKkJwLOoUJVcMSxZGztFtMxLWXHX2zxP/JobFyWyJr0Y/SFLXP
nrhbDDmr0qwPihaopVnjhdHqi++/WJJdRvtJ51c5NQ9zaIQSmVr3xnEhBIgCC13S1itjipOz14n6
MrAURI+IF7qiCbVNy+o6PlpENpSB1H9UZVJgY3x7hSf/pj5G9igxV2Gbe3uqvaq9T4nEKu3lc9Po
8Z45PMHtZ8viVDa1wlyWcdvAvnCLH82iipLXyRzHvyKvLn3yGVT9Fa0VedmmEdJhl7FpgpCIdlG8
sxZozqqx7oZBFV4ZVu67k8RnRbn0gtSocZoa6/HG0W6lWZavLK+lrjYnUF3k6WFWlGiZUXOx7fI6
s5K+qaWnPAJrEyJ9TWfPoiFnjh5KO7BNPR+rhlyukP8hVkdywNdpJeeBYYifB8ggxexb2jvjXc6G
RITxqpWWe7a6x+asjOzlhGHqmASccvQAcKfFX04f6bfs3BuZVXePZeAkfCLprLC3kWVnK78YH+Xt
zKOzhRHYtdphQ5VTvo4oTF2jND0Kg5viHIXpUzM4xcaYi+pgtOwEdFiN5M2beBVVQ7CCvJfDmJso
6nMMuMWUudK4YX2PYhBHI1G3OrDDZwc+NTvFN6Rt+6I6I94TxMI8368tB6FvRm7fFTNgt0dJiE9Y
6C6nYIKNh6cBK/2VzPOHevQDpqKJuF0SdzOHMduMLA3XVnJNk3y4mDL78uPKfY0H8k59af7YkBHs
sbDfwhyYKm/8UnRdts1KHZxCl4yfa41kcl360FDtscpKIkFIlMGWb9hbDQ7/lcSKyYODpWWdktrU
gjUENYHBtomksaJuSO66ACKqbznVsm9TExu2H58aZ4BrOOTFdprT1ew2QK4rjCZe9uG7z/hYwe1V
r405XWHoDLseMbcZ2uToex448BU6RrSy6yZeyjY6qXAWbDwQ3i2qeg0TmcCOWmxJIwaygH6gcCjC
gzPkJIgDCJoR984DKj5ZKxcJqDIQh5njWXTRvFTXghq8iHZ02WXvdmipLZeIe2rizDs5/XMDq/ZY
7rIUQ3bbawawqPExYRDxJNM4LumWG0/k+patmNsDeKb6lD5epsnbxg1Ygma2rYVno67yCTkFgiYt
Lp49vavZavQfqEWAyuYiVu7Wl3zfFEic2gySWMy7ctbWW19CNyycBipyKjaEF7plXxjjTTXcjjWe
cfoDQAbH4cDjGGmXCcshPOeVGwhDdFVNDWiADso1YLdugSufTt/4EkMbyGq6EOaaBLrAhpEIz0aT
AN0/59basGLjEgTGfIgzcc9GtQx6e7z+9+I9fjV4+9ENyjXZP8E1yUEVf2CwaSv8wNHo9Vuv8wia
JcNVTk5znvru4cReCtXEX3WGGzruFfyugXPxyL1yIQwdfc1WsMdlGmLx88NN0rv2SUEw6/2Si7+e
7T+BDld22BdrfA4HdvuPWwyAhLEiq22G0dXrhuZtTPd9Qh0NK55PG8c61rwB1qLF1KIb2z3iV7qR
CUl2JczvpZP41aFlRUazwmvum/FLVkOGrHo+ILX76Q2kpvFXo6EPMWBRVtqUukO2tzDmWzkKEuhj
dWqNGuozBRZ2j69V6+m95Puk1ye3LyENTrea+ge2+PChEPQZipIVu8vsxjGHgiCygfgnKZMlKPYa
lk18GZB/MVn0z+g5tAc3lYsV0aGVsWtezRhHQDy02QNaEl6I8myxe9dnjCSbjq2fnt8JXupL4vt0
SA6UJCL4JyegUOVr5OiKEargQOXIPTUFI/Js+CqMFmmAJBHLf262cUOFSQAyOapd59hOeiCW6vZr
aTeQYlREYrQT80vHV1I3OIysilcew9bKMTFahmJGnm7iN8sf3jTovOfGK37mAc+W0mV+ja3go2Bm
81gG36FGANGZInlBL49ct/vkxqro1e46XDRpvXV0/EbeBym2DqCwN9q+W0S3l9YkjXUw+E+0o0Of
oEV80/ZGeomaQxdzmlcRW7R5ZK3k8yja8igCtj6Gw9mlrj3N2IbFFs/WBnBbRrvWJ92THNKmo2ZL
vrJN8hGtCSW9ltHw6SHwAqMvjzBaBKSIulmHGIzWVqvg+mD6PDldWK+SJBI7sJ2tc6+MVN4j/I4b
QBGcQoSxiIvZPCd47JYwxJs99zbMML0f70lu4FOIom3lWaR4+mhaVw0EB2SKmcGSdYlDrXhoYitu
Eik3fesXAGVPmuU3GfDkmw0FNbtqsK5m3CeHwi7mDUlxSfndKxYWtk6z/ikjzFL5PL7IKvGo36Te
b4ht8vNuTdW6OGretF0dwwZYRKlCLuYyrBN+UoaT7vbfi+WoYhfTYY5RHSSOkWqXqkdlHyO75q9m
NNCTU07gZuckH5XOqGzDDkLWZ+/Xw6tO8/bcpmrbW6E+RBYn8RZ8BR+5OrqSF/8qks44AEgOzoES
B07v+b14vODAWplCZF81h9CZZyVXW/8HaSw8wIbEeMT01PqTS7zeeqt0yfnZmmCcsMyfInrDKafh
5xSKq2OsxRVYf7mCzdCCPKHZZfaWVVA7e3hGREAmn5PLGL8OwIPXfTK+0StW7NvRL3YJ/swnI6uJ
EDVES/IxOAZOJN5Udo2C1tzNPb4XK6FAwR3ya0hs72kopoEJxuowKOMY7JSZbB26ksrMHd/l0D7z
m2GVSp5j03wHtlitfJx0N4NgJj0tkttXWcLT4ssJNYxxGPZPWs/9U119EOpHwrHJluGImA6dG/3j
HJpA+zetbQ4/iVMVpbik4ChAGUP/VIBpOqZs2k5xkZzLcGLyNfzoqbfG6CnybVxMczdchyAh2jf7
GG/U7PXnzn6Slc1BGvcyKW0GO9xrB8Sfdp0Z3ktdxZKrgvi3ax+0TZp+EPSZCRZwt/9eMocxRjOv
LtxpOEy0R72UFEc8GZVeTzWVR75SdIgqkDHEx/2nMOeSCsP65Eg0LViQ8SLk6H0xe9N50+GwTush
PXhA/BdWZxbYZ/ttBDX4hsEMnZEQ5LFkZUR7jblmg+vugEbTkfDYBXph+VQLG9J7yHEE0VYcFXSK
lSX5YRrsgED8R54bUF+ONTIZG1VLrkrHE+ey2mSNf3EfJ++Mu0nHFPEtk/xYT8Wj757Ce2dmxYi1
c1mQ7AIEgUWo8l/dx7mIUypdeaUY11y5Yp9HnouZM/g0s8i59vajYlWyjTUykv3sKUAQkMrYmm40
HilfebNzbZzTqXFIsu8TjA6XebCnyyR8mkQs+yAQyvfZhIlsmLlwi4qIakJX0JVtdH8tZwoN59mw
tkBA6LwPzS+b9CLZv8zl7mIP57TZeKqGbZRN/o1UwLaCyrVOIOvRXoF0RZWb2GdMssfeYlPXJsm8
c9tEb7VnXbitll/K9M5gk/S1HZS3TwllLvSk5Ea51JQWfhRcI5e0YNzVx6ZmlO7pmUG5HH/DqgvX
ozBKQjJkU5EA35NVJpBdIiyiK7+cjCNB9M04h8y4Nv14mtIXXLsQYJw8eie8yk9oWGe7lOwDi3m+
tXFGk6xjm1/JFO7Q1/rvIpcSB5Za13gMudBdroYQvEe2UhWoIKJKmBYweqdTyxe1fHerdAeuczW2
w0vfB9NFWF17m7T/CkcTTVwV47qsS3lwM2fAPhyovdMUfFKb0T3juuNPcgcMBa10Nqxm412SmyaB
LgYDOZntfaRtxkQK/sGE8GxzDIRPHVeMGpW/rlDCHFtzchu69iSyRu2ThFtpOOmNUwn2XmVxq+tL
qrN/Q2R4hzF3z47QK5Wk9uuQ98m60d9thLwsSnUh4wrGOkwrkmthu3Ue3l4KHndA6j0Win0NodCN
1ih51sIUnJP8gMhsznjx5Zegd8CUtVfb0OYV1i31o/7wHqAT/4kI1C6Ua9TPtt9mezrzHj6O8s1m
PbygXWq8+sJcy1FiGM1nLDGic68P60k5+NlzN2T/dC/iU91pGBP//bLzjfg0JhXrLM4l2AvyTel1
3SEhyHKmjSFhV6KfpMT2oR0YNBAuz5U/m5d4sqf9PD3sCv2S4XG+wyVKzxiiSVcaDsaaxn9qbBRe
R2f9cpT8n245Baeo6l4DFOrVNBBdyoKTqpAm4uozNTv34vXUjLpFHhzCGmaQrcznorHEsnWz4Om/
l6gnMdcs3YLaYgm5ejMUTrjnrmE8WfEDxFOlxp8uFwvLnRi4WUYPtdgzjvhPoI9MgrjO2S1d8WkV
vcMFp2nCi8OXvozrUxyHd+XPL5lw6HU0q2I5GuOIM8eWa6/V3VM/4qr2ec5Cx7tByNhEpBD2JG3w
YmDoAb8CJYCfcSgSjBdp9oqOba1dmdIrG/L21bPpnDsGykXXhbesJGWCVAYSKpDjFpfcBj5MezWb
xnlyutcxTptqQXnVF8QyruIoSV91woNNpFax8nyHOjnbzE4YEa1VKoHTBfo2OUZ6h92U3SMj/yoz
6WyR5K52AR7MfWcn2ZKoccstzLLqhWvTXPEuWhsFVIkBuhevIAzZJispX1zGkcdtdBPZDTsGeqBf
q/apfyBdwjg8V9Kk9cZGhJyAuX9woNtjJdbPMdZ5alXy9mJr+d14oXEuyn68uiObImi17qHsHhKY
ByhTm034ZQRXwh/PLs210iSdK0XbX+ZUGW84SnH8oUUjB1EuNpb1SrYzt2SeFmApibzHc/KWMgOB
rUKKzAu1F21dXBLajpyiVgvDtE9RiLZdlaI4mm11mknO35yA8jud3n1/0xKC+QywYinb+hvMnn/i
hziheuTn2jLY5fKysEVoXqhEkBdXSfyhDjXPKUOY5abVc41C06nB3NGPHB0IRdSn/yC52CG6DQ6B
4Pbfi9nTFpXmeyLLDpnEU2uiSWgzjsmRYIybUNnOWEPnlYUDhdG2oAM62PWTXZwl+d4NyDJ3ZybT
24Q3Z9tKWioVUykHVe7ndSJYzih1I2O+07XnnOmvkOfZYVmWCOYxq3DoAW3RdmDDFuted8lh8uYT
Zw/o8FyLB8rn2dxW/gYe4atmptobvSheat/benU/IdyyKK7hxBwax8YKaj+EzbK9BNm8kInutwHZ
gG0jpnmpwtYDRfBv7i25ty0cKEMN6weYnLBWXkD9dztQXljZjI2m8tg7cVrehlEpAU/DLZhGd/yj
gMcotlV2O4uD79nurnAG3CvULeK86ZZWUxCAoncVgvk1agbIaHG7ZwtU3R0v23IPTXDg2vV1CsS0
KBFfFtR+dVidRfxChcxR49dcsjqKN6TsxcnOnW5Z8dlikiXQKJ3ueaqo+AkKcD7sO/1Lk1nqXrnu
syx1fEvN6a0bTfdaqp7/wWeRUj6ky9BkQ97Iqri3afEDSMznGeKku0b3qNB4TvCKNBdDqQ9yb/au
tuvsgmpw9WMwyh5q3MZ0h+6l62A+xYkZr2LqVY+FrJojNX77kUXO1shy4+An2ji4jxcV1JzkHhFx
LOGn2c2tU4g42SXCPZghPp/eA+c3ZcaFHs7wwn8DvAYrKxkpBQh9+wIbSu0CvKatGLvjfy8Wc+Fx
znComDUXd1YlG3JKOQ8cbEY1m4kzQCX3PPQyIZmC8qn8zuW4PVc7WeHAyEvd3bu0JSA9wHeFc2vm
LC/BlbgZHU0sJImYdi+iTfjEG3b9yEx1LwWeaPxHE0t8K1hHvROypJZTvmI1qDbV7NuI49Lej2K6
5SPCCV14ZLsrbzo2gKR2UnnPc2Xkp9Qa3qLQarZ5zEertOSryVr25CXN/7+Ix782ht7NShu7qvB4
ePwXejRi9EW/LK8t639wCUtQYP5X4OttVd963ybKwM8Cl7R+N6W1C2s8uQ1LP1SfYEkwj82moYH1
RdFvLqH2afaqXtGDey7QhlBMEJEDstbeS4ncnjkJP+vkWHQN4yKxILskTS+5RdQUTnXJeyfEjrlm
OWbhP5r69LJry4xCeYAKj/8FlQpzpir+Zm8KlDAMO3hRQ615gNwz29dnQ7EBJGgzLONYAtV9BFrH
+iUdireJ5SbTlL8kEUHNtcadQdJ84ZfYZCdBh3Dkb5QR/jz8aE6Wncoi/PSr6Oo+YjrGWKwTh/xl
5QbviTWvCU+SX5qmBizC/Km1Ok1YwvcJihFybb7OYy63kaX/oudDc0mQCkoeVnhTlm0XfxACvNoC
tLzTcdCJOEmqddfJnUjcr56uUd24Z4S9Q0sReop+y1lwOzWoWKZn/Yv97plg1WfJlgVF44F7MF5C
r76PptiFPZhkGij1NrcwZQ+WXPdsk7CTvkIUjrm3Epi335zQOsfT8IJei4To/foqHPeRFPWiLgZm
/TohJ4n9cO2ULr/qS5z6zpfun7zB/bZ7tJBGRT01lHD9goEQWzK5q9E5WZlGzpF38IT7DmilBCiA
V/NkRPGffuaKmksShg39XwMiwEIqgUvlo23aP3mW9+tBEr+2wj1XaAQxPPkRIIIcKkSnOhi30nE4
WMXeqxVz8hr96GpHxnUYKCETYY3RQXyn3vAZo10zEnEX4ClyABT9nvQs3vFi8Ac81LYGzWhThdNP
OfrUT7LCWbkOtdPl2HLWH/sbLK15w6376uYQBcusNg99NjngBNKPLiWlbqYJ58NmqFZgNfHCsnMl
7Wfds6z+G7gpW4EyuFmuF7PQ5lSTMaqkZlI9z2YMIGZN0Ub0xMDIgoq96yfdUOPKHnUIXdh8Yyca
7djgZiCQo1WS6/yhzPGRSgpGaCU1TAT/lI/E1fumpWQH2EpSWl91d/AcTtBRVPPmoH6z97GQ4YE2
yz5mA57odyPSK5OnA1Q/xtsZZIn2nFtRRpvAyn/ReggVu9M/O26/CQ3yOOCrzNesscoHbaG/pjGH
v8cX6NvB2ulgjQq5sCiJZTjpcbvAI/hbJMWHhIlA6uTIp3CZmQFGWcFRrcEBVU2vNCo9T0gDimWM
VlSVMlaJJHoXE+JQQ6P1wl4Q69hnqnoGqPEMXGEZYU4dTAxPuCLfeaizv0CQmP6Z2j7Bj3h1nHGP
VWsrsZf+91vENbN2UgK8xD4/8U9lsIEhdP0vls1hAjvl29ELTu8X6NP/cuFt2ZYygVdsaDTxTHo3
WQ111bKOifu3prfOkpC5DlCgkDwE59+wVXd2LPlSutTJlh+Wmr6SGeOwsL1PYRnH3DE21PLsRxV+
1koAOimBIQTFTZAtXkD3+AsM4V3Q9134FsH96Y/LOZOjqdg7fQF3lgVTYUHwnDvAdYb9J83Ft6GH
Xwrp75yGmVjVi88wj5hGi3xp+Dtb6q/cH492k11aGbbLXBqfQ+vtAzvyl0JK8jVR8kIiiTGLWnCz
zDdtZH3z++ngL/PeX+A2dxu5Hb1+HajHLRq28qKLg1fIADeeymt/MC8q8rht+pvc50oFx4Bw/wz9
CfKHQ49zdswN+epaxm9Yl19aVBeQUch+FrSjjD5AXJ61/FNW5YsdfxEoOGIgfQ1r5zeM+3cnNjZ5
0ZH5bC8REjsi6J6Bdd/YOXOsMGGFeONnFrr/YmAFDLzNbh7SHfK2uYpjeNuz1R3lGLw53SPhzKBZ
NcAwcua6GUzkMuZIluTBlcv6N4lYyU7OsAXte/Uvs03AoSTZR0sa7b7+zKSPPLbwxwxbCBeX4+U3
OTY7PdcnnxPj4r/fNqbr3LQVXm2X0kR8kr9z/dQXlQcYRv2rxumnSvZBbjWA5Ak8h1571gBeYIpF
yynyGJ/Lg+M/dw3ln2anHrbVf0SNrxx17nTbG/iwzU8qkdOs2lDydgEl9AF1A0+CXqf+hOATs9dv
thoS9Zh4jJsmzlnO3+U+rbtjURlk7btt2kbHWdJyJO2bIQ+lKk8MXHA6EMTij6b5NMJ5hZN3bTKT
pa57bQivhdBVm8w/OXm/opulqAW7/ulVdNxBArv6aN+MQV9ckz1L6pLl8fIjC6546Tc9Mh1rkroS
+8rnqVTJtltIP//sqKyZC7YDav4lUYdgINN4DfXnx5/FKyrln6YC0D0+Zuu8sx6mRnSCljQAIBHM
TQHd5NzVsiIe8RfHLyWkc7sGIZF2W4PdrD/Be0W8VR7slZqApt+Sm3dpdBp0cbCc4jstuK13dHAL
80WC20UYqKwwWgQKpAQ+/PujNYp3qTSNHQCiN/JG0yIN/O+531lN2i1th9qfhqX4AgPdd7rm4ZUt
4sF+/s3M4eCNYE7S6TMy7QusmW7hs38eB7aEjkn2ayQxR+FEh0mxtriV/wdxWFaSkD29q7nsvuyy
eU2a9I87YVmwcWq1Ink2aFQbg/Zf6AXf5ozzvvFWZt69sje4BUV9bdLq3UsukNsojM34Z/5h40l+
w/h1bTziv5V36czuuSY50jUht8H0K657aA/xMU9AuVnZPeMjozXTi9O1zz6ZmZWsX2U83FzcnGQK
X0bbI0veX4VDsDXq7DvHnj8CuErRKS7s6bmG6GnHmN7GLwKUEdHhrcrLr7koGvq6R3Pplc0+BRmg
ckqQ/Tl45sz0ik7G88UOePx4zLyh+dw5E3ky66XFaBMa84+Ms1tWzFvYNF9Bar0KCyIYCpDbMlLB
gue0Z/ZP08yYJMfPRkg+G3n4MTylgfOiAvlrY+ZaJL3N/TXbjsr+ceXVjtO9HZU/ZoQ9c2jpX42j
6YB5n5BMhUY+lZyTzcCBwtRFS43SYQjx15cj8DP0tUVQjt9mvKzN/hOZBIOg7/xW6o0ewyfuUy+y
sM6d5EL0yhc9em9z2L8h1XxZk3lorWlXo3IvHBfNEkRp3yb/pF1wqIrzp94vOLA8rqDG/qRZN0lQ
GTmRLOx5/I6F3AU9YJlKRE9xBNrE5DvMDHi+3ddkgI8wDfUVGqfexo0WCvB+XlJfC9YHbmd8kJ+G
oU7on1aQbDF7bskswCeZxsKjZcKsLZIfAgKcCY0fVuFP3Vb47RdUV9JJwb3m02LwgJnNiEhEg+cY
d4728ncLQXIweOJID3Np1EfXYGxvLmDtZqz3nul/isJDswr6l9h2V4LCFhcGFGsr8da6vPUNbIGa
HvRH8Sz3fG8xAM5B6+GSjMx5jT7M0oJAP4iRlBiJYNndviKAfBuy+24U4X3b/DNjIoMZ/08bHLWH
GZc4q48thkruVg39LSgsi2Qs3svA+UlL+WsZ7tnkZjJOw6VhnOZDY9xUKpdgiIloZvWZAOSy6esj
2ZCDo9XroMY/kVQbnZKv82dsDV3FX1DHgV+ymy0c1BacAve87M8Ixvck/z/uziQ5bmTbtlN5dvu4
5o7CATRuJ+pgBMlgFSTVgbFEXdeYzRvLn9hfYDZ+isov2es+SzOZpJQUCMDhxTl7r415WfkkHU6Q
PCjtmFPj88dQmvrpZ1U6WAQNRJUcLmpWcj/NnsiumpPo8VyKuD0mXbKtGsnWl2x2gWV9SRkVeKAk
y526f1o5bEiN4tWyMpDkwlhwAOGJx9W+d6HDlYixaWUUc4TLWwyzqQestBip+4Ih4UjT2N2btLek
cLFJ09zPBHnNwst5MYQNX6j9cIuU9zLSrqNeroLM4RUGsbAQ7XsgEIlAtH6h2wfJxS13NcaurMXi
JHV/Thm1cX7hUNckT14R+Tzr0KnjaKBE4tsx42tg5B7xwYv70ek+A50/1+EOglDhbIe+GRZZFBQk
g3Jn+kQdguTVL9HQTPM0MX/y4LbYarW7PsAu6k3We+N9Oh1z04TAA784Nq+qtegBYlH0zf4CgcT9
EOO2TAc810VqvGt1QhVyWGvo0BZGlT+5OUFa+ZdwcxKLyKyJMJ+CG68tbxHUD9xwPqpHm0S1PW7E
OD/tV88oribPeXHtMz2F54ZsH/qrSPUk6hlDSwKkmgIvegTnMryyplmFLq4TPEUkAUMjbneio1ll
OqgGLa2ljs8vUH54abIMctrRjoPgB82Qo8tD2IhXmfm33lihmOOkUAbpHglBtMgCkOzwpG5ypoRA
9bdaUZ/hLTMkBxtJx6OhuYiN1iry77xyQDucukeNlQnnz4Wej2cQdZueXX0WgXkASGla7UM58dFy
7M4Nyg9hwT+OJUToSKTPAyL1pgPz0GVPhZZHBIGYxmIkIRMHN2+qXhzQb7wGFi7OtPXgobGb6prk
RxLYl8r+KKLh2LrpZzkYt9jEn9q2u4/j8uRb+M49F0TxDhJ5TNkLcWpnnqowvR97tDhZgbVvZFCM
1jmjJuc156gIrnR2+L7aYkotfXVS6GrnkAuKJqn5kU2oWOPuHlnJh1AQA53QuXJakt8t/IfYWQqX
RiOdTRytmo7KNyPSQ4sO0RTe6DbawOLJCBiauRXh3mzAJLkB8eo8ApzlIduVQS4hMCJ75XhUT+fY
S874lUf/XuPqG929BYsVoV+nO+o7qwKtKLrqVTsyHYxOQ2+9pVn3HgJvsaNuI3ReSFLJr4o8v86s
AMJDe2GOe1iAKMGB5+HRZA9tn2vHeR70+A7PEepBq93bujo5EU0fdGRAn3r3NWTa6awGzT08AbB9
2YttNj+6rmfAJMfGHi6n3r1q7XEnyU/CznvDzTzEsGeopDVPcVDeq6Q5+fG+Nu41ZVyzRXjT3TxY
4MhlHfHMY5x8qonTSFD/sBzw5wUjwy2BQtOoTSDGgH24ttr8JU8QRiJbJPu62kqT18TKSOMIJF7z
xLAua8tgSlLU4PV6D9Awpno0eIgFceJ2BkBB3w53Vf6A4eSxyqNsdjAdTJ2nUDewh9JI24wWcByr
qYoV0RRbBDW3eqYu3QIDQkkCX1UvxxgnDBKZVrSPECjPnrSuIzjlOMgONCqOw1DiuPPiD6SjIpRr
N3coZdh7BeY0RFs0BsUJS+wP5IME2YzruouOohV3pTNuzdmOFO3EYBwneGmezLc4gxbxzE3hI0NC
YUJiN4m0xKann4i3cuL8YcCuyQ5lZw/ZfsA1DtH2SHX/OS5Z8OqWucq5DQt+2qUHh92MbWQmyrgY
CGqtLWn2kCNvTBrsQHWhhhCrEIJbDyt+n1p3QzW8Im45WDomhIZcLzBT48IpwiuXGWpUlUF1y0Ai
EqySGAlqMw9hv4Fh1+PFFMjdl9M8U8EMZtaz7xM7JKPZYC4cFJkjvfMpEGExZ7M0iQgV9yhgxtSW
tSy1KgcUsVEG0KTKoNhPNZemWReAeHimc64tv34371lllXfwK3w1gBWejJEM5bahm1jgOtVmay0i
QRyvKn7SRb130eSMKnmpXBbSukw/p1GeKQ+BAXjtY+cq7rMLy65uYCNs++Q+SMadXs6NZKgh0rsw
muiBWxjwgpn3rc0kngTGPnS0q2Z86kXyaKTOLcK+oyn9M9inTeTnV1HWvKQ+jR2ta39ID/ehV3pL
R1E92AcFCaIe1L7WiD6CSrsxk/5HKLxN3s0NscooV16IQrhDahJSDgkNdgRB6Ly1+U5lDXqJ+lbi
G1PuZpYuT1qLKr15JH6gXPSafIrbaZfr3rpKw2eRm/dOqr1auvkRZeKk8vKmKWZqFf3TWm59NTpr
+nRkMdgbtrjbyRmaRcNJNwhkunPCGqt5fRF+lYaKZRCbbwZPlZToV1M6BAnLk6esKyLdTlX8ntf+
NeiniToer+hkmk9ICXsf+QIiph6qQb8gpN7fDEDclkWyHVN3RalqUzgDy0FJIRx7Cs306j7xFHMF
bClwxTh/RHTd9u1DheeIg119yrqWPK1nDJ7XfYQ9digvUj9ZQ2sjtomiKz4hQAFF86hQTuMcB5Iy
IByDLWlQhjjKIQZ4l2pbulPEP2naqRH1O4KQ5chZoM6SCzdzNsr27yJzvCfmIrmP2/wY+mJDIM8L
vNBF5zh7z3mu2vocEwRLhQZ8gWZ75whOU5GIz2LmYBhE2RHKUd658oB55TlTrPdp9moSoUn7Ibjo
gU8gUYL/rFDS+By0h1N+gr5yGUzyBuTIY1WLK7cxT2387BFM49fNYchz6oZ0m0M53ESsSEqxZDY0
u8cJHTkn4geXAn6SDW8xbZSFx7+K7MSgGpPeptGECVfEn0Nf7JRd7mKPra3wHt0muuxq75DSXtci
SiMU0HTDfHMD7TRiWdKT5JJXl2208RDiRogs7ThF0afd99RTX2lafIgG0m863w4q2EyR1ikjmYFK
f3kO9fU4J4qDzsKiXg2f+Y51/RHuzGMIIXVs5barO0rF47qzqEWoWwQzF4n+QbbP3korYgiiG4MO
6wDV0fSGUzbgC+PUZFFXXZoFIKScQLNFnQ+fc0fFcNK3El4JyCs2VUlQbayqbkCF4M+FJ3k0ordW
sx+iKH9pTeMy6Lv5GbyUmEJzYFc9CgepNI/5jZkE9So10CQ/1B2h0hFIQF9Un5atPU6YV5Ji2Axg
hwBd3FFouAWb/AyoWpTpsYnlY+hTtdQ048klKkZTj32lrvWmfQDUlC+Ig4cT6V3Yequ2rZo5bA4j
3x2q5JSF70WNbxg41HgMZRThJw42WZyQxE09hIaa8ZlZJaawcdi6lV09IIf7aD206xqGrmPRNUQM
5fmPaA4rKT5YD+jylSYCc6XQ4E9df9DoDm3YrNewCgpytLU4Zt9uRfdThwE86eGgyeCW7kGx0dLX
oPW1XdR1dLVtm3MQCKE8Tu8Hxyt3g+Evizm9RFSyupJUypc+aEyO/V0VVNsqBHOUpK2+9oxdZDJs
XIksgAF78fVDmib6Xz+TjZuscw/hVEX2yQWrQXnR++w5Gy5lKdxqWvYpbzs7xsHGqoSUfChXphZo
B33+AW0DqYashUtjjNUSSVp7qIa4O3z9jPommDqd2LZhIM5byxv7wvxhAqs51MVc4fP1aNxgTHmR
OtOQcLWNO4wlngu7PPhdUR68JMFI//9+XUInWjkBdKCakD41WqcgBASedEenja976T0KUDvIuRcd
7TaExzVk53yyFwahLjXehynqtYU+MVEpZFkiQmAlY/TBtv3eaz65fsOzYaYt4F+SasZ2RL89NdcW
FHN8MqiEXLRalKya4NqD9GMZcXygwIi5WSFaTAZjmSextxFueYwH8ej7wQteWSqxlTi3unu2G2BR
rnWHBitBOoRVVxfZYwrSkaYzRkndnbXegbyM6lcPwMTKrcKYc536KMwLtJJihxI3piQAMhWeGVk+
r5ZmD8scWeIiKj/x04h1nxo3JOrcCSipoYTz1MJByeTSbAifkVFNupi5BrHeL23N2oxTU2L34KU1
J+0dSd0rA6dm65Jv0Iy0uyYogHd0kpJRN2/bC9htNr3HzFBXE0sJO7tXNPB3UOafegPqInSrH4p8
pGRs7/FdI9DuBdSpjIWQyMNCIb41B45qkUQ+T+uR8lG4pwX4VpftyWloIRn90C7XDfFTAilCAHYV
UsgN2Yj0X7DzRlh+IZs/FzXv7cyuCUmj5w2l7KNTSsrELbLmFCfRXjf8VwjcyUpplEAn9D/4y72D
R+61wqS9+XquUrR4bp3kKIvsLo8nygoXMDMcCCEwSprgPXBJnBsbbVei05+MauNpnERhiKJ4JcsH
QdbCHMcj4c41vZlqKB+pohNEd6l5lo1DXh5LFk98RextsHuir5wbhLaztjz/nmiebiFt70JYwxnw
YrmIaoqEoXvOanVf9P2zTLwHgC3JWtfybdBw+6aWPSCxz1tBNZdCFe3pgIqI5rU/Kv/DmaAaSjd6
LOvMXqkBqW3PznARkhq4qkEf0XLa41ulMhfoz4lhsoOBVh2b2dKD/bDSquopEXy5AtNw+5zEIxjQ
6BDkBbWCuvnMtT5ayU5sGr1kE5lOBVY6/5LIPAVp0oZntyYpsmejqq2obTYru/iI4ABy0sZwUqTc
S6r2oSfXJoVzDmssi2VJKC+lkaXAXYER0cd81LCPFtqlF0wnlT1EAfi5adh4HYIzEuAxsnMXVizw
6UrAx0G/122apkdTmsAYKrzqrfDjdV/6B2BI6iIu1xxcH6O+4/gL1hcRULxHxncvETItiXQcInqr
MZZt2D+7KMHoZeLzyBXNFOGlG1OPopU9GYR/BTYlVVTB+zwIjo4ZHXA939UpjHRICvChBec3O6Ez
F9o0X9EMOQAtMzd/Rr45e/e9FRu0t8Jt3pyipcBYZhCfhgMtQQ1mE6UfxzZ3kZ7ve3xZYDrpw1MX
b+hoz10AJm68MEgZ8FAZb1jtyXa0gV6RDIvEZXCnTdeIDQUTYhwsFwdGnVXUAi61MYMBg6jyGfnF
UhkyfDDaZyzd9W6ad/DIoLYRMULrIIG2RQ1oDVw4vtDd6c3OI7GJhmxakoMVrkxUGd2iHg1/49Qn
wDl0p6OECCa2GisNtQyb5hQUDLIJl+iUJUKnejMg5F3EWUkqapP6V9T2kGTZPrEJbo6424dsaLTT
Vg+naG9rwUM95eZlEgm8n8I4IFBj/kzVNsVnsh5Kgh/MmQEyUGRbj+1X8cIByijilfTHVy2Iu+cx
31V1BpmNtqyRK9YA8hd2WjwOs2/lTB5sSnSuOR6g38tDnmU/Rlq8B9Vab1FUoojVONN1Nqprf0do
fL1sdR0nqeP5W9cgTjpNWFRZ9YxVIUhRFWFLtnUmszkfJyNqUk+piKYIQedfqj6SK9Wom3/NAUP/
o6yl7Ud+9ZJ+1P+ropakS7bL/z9q6fSSvaT/579JVUJ+0oz79//86+tv/BWypNn2v6Wtu47juFKJ
vwKT/kpZ0hzj38KifSulnANklEW+DoCUJvjPv9x/K9PGdkziu6kwnkviuoBhz/+Lf8+1eU9d01Cu
JegX/E9ilr5l/FiwWKWNiooflKsbyvoWXJRRsK9NdzDXpkJuADG/Zf8uCEc1cZO6do8KQ32aWi1A
qygsKNaIKj8ka9vA6162zrVru7BXevXRca49VB2E3shCLeAilK8N80KzimdlkAAyo8AQ7EOPrFXQ
kh9UeGDbaIopP38spwbICwYmva1NunTYvzWqPENLn/vVGUp4thrcmQxXL81vyEcTVLCEBPNF0HGo
zE3OmF7AahMaoH6kaWqUGNS9BjP2D9k+lCOJPforamx+uF+3zJE6SgnsaNZ80/j/f4tFkjSu+Xau
sQb4RQWbDuyIYnFB2eS5xZPiVCRGGM2VhjvYMUEfILfzAtYnf0L9XGs4Pd1mTkvWe5rISY+Mxafp
N59+cI8AkymtrZwgBpaeua6Ki7SlsI8sHN8w3J4yh7yLLMAXM+gvHXajIc8y1z90GGOMKSQB83SR
H1qIpJFT3OQVOsY0xakK5L1YxCNNGcL2iABSzVup7DsZoXK3p80IYdeXyaJX7Q+TAvMy9yHM6k64
Kh3tqS6Hqwl+6zai7IvDBk1z54hVUqkPV06vZB1G29DBf+rgHSx/6EWHimxoD4aj+iWxI4Ktnv7o
xUitQ58p1mBX0AA9WqPA9DgVCzRhM8znIqRqcabaLYpsZUPlpahgXkJAwG+p3QvgiZmvAbntylsU
pOHOSwJrXZb0aCPid0niWA5j86HEKVLBFcZ0PPbrILXUymQDHEs0aZa8+9v7fvrryf9X1qanPAR+
+59/6T9n680DQjckHRdh2q6rg6T5eUBYbJ7zNokZEHlYrbRQ4cjygxsn8DkbZaW5HJP4UQXTnQb+
wnVvYCY6SOOo+EsoWMuih2JcKY6zjVOshjwu0F3SqhhayLNNSMWOmpqVgcHsopMZU3z0+I0/fIef
86rm76CYnxTyDqWU7Yo5C+xvgzpLspR3nzQqRyOtZqwjysEAbCunfHFz49Zzhh05FhY4EkDpUe/f
FD2eiKT8DAcTT+J4YxUNjxIIF4rGYDUasNSGrF7n2Qdp5Y99Vm9+f8Xy1ytm4nJs5Rgmd10a3xK2
8qBo4Lw77KZHoBhK/NCi6bO2ObpYdPAQJ70qbUBUR2kEKd4abABqpQB54O+v49eHbzuW6QpEypZC
4fgtWLErYMw3JGPPmhe11JXzlJbVbe1kf/qgr3/p53mHT1LQAxQaHMN13G+PiEZ8Zk0oKKIcDbiW
kVWdNRRFy2omqFyiWxtXkzXlW0cvr8IclbcuG0qferAfDTbKObjN2IkKXHd4vbUqU8vf3wr568xo
U1kGyIscWIcS8e0KPQaQXxRtsyZgJx6B6iJpXqI7LxBGVeTWxWLp1D4gBlHxwk6fQZPd1nI6Z8b4
oYWHP1yN4H58v18ut4w8Qu7bL0+mJlAWly8RAWoM121Z7IVHN7BUTxMaR4B1HkAmIHDusqAa9PvP
/jk5b36bmAkEXTNlmIDKvr9Nodb3iOPCZh0bAG/DJs+B6ICjJtabpqTblOvJs/apMv4Q2SflL9/Z
kS4bA6mzo5as5z+PEdKZa45abkUTcM7vxunYlme6pdc4wjcIna8D4Lb9RUdH01D1/e+/tZwnup/v
OJ+uTPYtynQd5sSfP91WfR+XtVWtiXudK7ccGh0OCP56dJ2TY5rvQTjdem52ht0KT+GYKu9E8/Zc
RvLSLqrNlJd/uCR9HnLfLknXTTTvbKgcbsq3ea02J8dmuALpkeLWaUbA9uBw0NaJofphC4Q0frsL
mvSoh3gyNATCYwRI+sadpt08irFnt5G+7EhBoSuXjzoqrYa/0L6OWIczM7lOtOF1yjnYcMezyVo2
TvmHqe7XKcb56Tt8e62aOg06z+c72JZ7oaMbdREF86R3f3h881T1y72yhU7fkPmUxeDnx6e0lIK8
PlVr16/OgAFunWS6IBzcbHa9zM5W6V6w23hHeMgmDGURJ9AYwVtD/IzsXpPJvYh98acR/Y8XxXok
eZmwhtnziP/bwoTZEGt3O1RrJG9QSlsavsblmCfLmNer0Ydbmp7UlLMnJJ4nswODELT3eP3XWKS3
4D3GITtpXfH0+3v1DyNdJ/xBueIrIJOs05+uSuRRkvaiq9ZTJG6bKX9qDXlZd8iohnr9+4/6p3ea
TaYLbo/Z37K/L3SRmbgCUW+Fixhdrqzq+8JCj1IkCOqmuf7Vh/YOzyrVhJI4OFNROQkddp1/uI5f
51MHWarBrAYq0pTi2/BwKynVENVEYbveaU6ZDnb+cO+qS80Zb1VQvTamfdEFxvvvP1f/589VtrQt
PtS0v80qoNAmHR1DtfZHupqoRVNipWkZCcqJ5ZOWp9fjUFz3gJMAe2A4Ns3oB7OyXCT6nMVdOnKB
rQibwRB91iiEZF2d9QHU+e+vU/7TVGM4nPEAgZrCMb69ptAjNVE2ZEN4PtJus3v1ZfFEiAwibQ9x
YiURGunvrVQnHxgNjBABb0TzqQj666mp38ZBX2VUhw3XJoaofQ07OqJ/uMb5GX1/xc2v5VDMMb3u
t00TBry81IOM2HUvf8iqlWGI21HqEJia+0IWZ91k3LRa/qNK4YIgFHVV8Idpxvin6cw0HeZdtsxY
ML89T2YPysA1MXOmyN8IhUW8Q2QFg3fiYdU3fSfprBuYQ8h+PjRWRrRGeu3r/kXi4k0wMZ9niW8t
kNRZsJsw60kc02adYE+Un042Y1+iGzZCirYeWiez8K61vILFHm8ngbGGEjvaSgHnB4Q68qOIv6lP
OQ0owrJ+f79/nbxch/hci70h31Ma314ZQbZLgJ5WroveROxMwlFO9iIy0a3tjPDcO5RPv/9EOT/B
n58wK6+az/Q2YcSgLX6emepeV20TwU9pcoUwqNCJVp1eUI5vNJzW7EWQxOhTf5Oif1zpae1ugKof
p9kPZlfl9vdXY/36rJm3uCBBLjIMZv3bPBlhnosHNK3YXbqjDeLLi8OruObAFz4CLbsa6epGaBCG
rlfI3jocFsNVfIVEbqHrNVsnET6NvntDQ/Xa6j6CAmdVHhFmOCR4pGEmLiq7PcaCLJzI3zZ19Zrg
1Vz0mYFJNiA62FjSm3tLu2nvhM1T0A6nznUOGDZmRhTGke628ZkbxESJULnuQ+BfFzW3KK7A6Q09
tWfiJc5BT3W9aEa0CXC5ZwgYxeQO/Rwy4TOFz9Pvb9svD9EWrMFs4ti1zufK74veROoxUWnE4gYJ
Qi/gIUs5iLOPmmNpmehXNSSBJe7IhYr991SV1k5oyU3RxmrREUL9h6v5vqn862ocuNuCQpXzVRD5
2xIcpA042qKizl1ONTIz96UoEEYAugZmGUYXvWwwIIApWUjDyldT3w40ypuP31/GvFP7+8Cer8KU
0nGEy/vEMejngZ2YoUxBBeKsIt5lNRUESZrpFg0ANdD8TGStBa/rD++v/IcPJfpSVzabWYOD8fyC
/+2rD0QhOZaMx7VMsge76hgkVQPDiipH6py9Bvq2DHejst9Iz7zlmfESvcnGuUdXnSxlYkHPLLR7
HEQ3sXTCP7zs+veXnXsyH7WM+ZxB7fqruve3y7Mip4kawuXWaTpeO6T4htChk+HOrryZ7hote+FE
lBpmiS2Sy9h1lilJbp5mbivhLUWLX4c8zUVSvqoJmaxoHps8QmBMfPesazxWhbH//WP8vkpyyZxg
mfZtU1jU57/t54i0w7HnAw/Hk2Zg40tIovHNvTONT+RRPDrhdVwPq2yE5vv7D/5lH8EnO5b4Oqi7
0jTsb5NxPGothMtwWDeWTyrcRFuk19On4j0y0psRTgqGsbgiJUK+NG65dcphA0jjNc36J7NrV5py
sgWGGRpGg8n52rkKpE85bPzD+vjLOf/rOnUa4SzU7MO/xuTfHmoLPc7qqZStiZm/cWuU9BM9jz68
8QlqgBAJxk1cAI+ExFwXbECpuA7GZV0QzU2CHOd+MuWKoEQXm7Z/2D/o5i8voZyL2PzHwjafbH9+
H6hIV3k2RP16rJGSjEJetapzVo0pzsOYmBd9i2fP9+KNkt4L6yFcOK8KaXgDoWSaghZpMymj/z1U
BsoPOEMyLUibDJICi6acA6r9g6WKa6/wHtMiSP50c41f32g2kdIxmYoEC9P3UUDqKcjqVsPssG7r
Tm68Gmh952bZxrSLcKsb8Se0EbQWXhXByhzFKpyqS1mV8t5LvE2no7OYDMwANWQisgrRJJIJe8gD
MMBoCFYZmsmd5QY3YRavQUvRra9AqQt5nbGq7REovmcBsW9lkzyqGEYbvgcElzF8hwB6c9GXYMAG
uR1MIN9mkuNyiQs0cFW4Fwg7EU5RNxfliFVlvo1RkqO9KMVpFAHCeLcHqhTSHrN9V2xDg1SLiFIA
NBJS1Fp4xjDwwmNJL2qFWZWgAj9cu4O3o7hKBA2scoUQU1h0du0RnV1hxs+ikZeJgBKrBZ8WGZWT
22KpSrJ3yzrRrIYlpacbW49epVxHAjJyYU73gQdaz+6eyIBcGpEhj42EUzZFCbXwdgmQHJyXwZho
QvdUDFAOalzStAh0iIOyX00JUJwhmLPlC/fK9eDS9o05AWfIVlT9SMMYgAcaPaHFhvAuXJzz7GjF
qyGG24GG+WpIWJIsczi0rq7tlRFcpLpzVXSMVVISBG7QvLq2GrEo2EgsdJ8qqycAbKMn4fJiQGMY
b+dAqGDvl35KWhL9/DK16L4KkS9Jt0LvrI8vxF85K48shsPX6Gnacc4iwVDUhcT9tJjul5j+ty6k
gY3tZ+3T7+e0X86GtmAgc+igsmG6mADm0f63uUIbyTKxYBut/cy4t3zQ1ZX9Cv7+hyVm6aX5XlfT
rR0J0m0QfWtvf/j478cJPl6RSg0TzmCRdM1vR56pjBwzTqpurSXgYtLBYAM3WuXO9lepfUrRcsGA
svID8Syo1BpIGIU0K3rc9vXvr+SrjvPz7oArcQRR01LMzbRvk3saYhsOFAZhyx3DbTquhV/sva7T
l1877doXzsqacO90WXSjUF6KcZ0ZmHvlyJ+PU4aVtodjEt92/CkUGRq+cegjeRNuyqLOr8JZ9V26
+C1LXE4rIgIYPAi7VrZVaOvQiK2Zj/ZRq7kV9PUPI6m80luSxQZ9+/Wu9mnD1GwEA7AGBI/usG7j
pD32gbXMqkltjB6CLPajK9VufT/Eue7Dxu8FZESayzQFcFhpqiXaXhg3LsRl2TuHMi+RsrhFufVt
3l+zbsM/bOL/YUEymdh1WC1zVROR2M+DjE3MSCYMYB6cjt7arJpVBvoD3jfD30rXke58ulEQ7wxA
91GvfwqqGGuzhXEUT6WzmpOcHLy3Wo/GNOvb/g+FXoOC/y/LErsfSAdAQfgJm9SfrzCQXuOTDE8a
rFYaWw9T+1bzEn3ehWW7yeiXlYbQMumDK6PaubavXxBOgqVzHPsHC0Je2Mx0IQ+opM1myqwGIPGT
AUZRxlu9xbZJdBIiTKLlOUCzRWAPCGDeve8bjQAXo6rhreMdI9mn2uHS2yicsxvBbgLFhQmeOo1f
wmnqgBij2J/afDYPYUJNR/gsBpEZ8Rgsmy5aFw2YhyyAjOm5xZwz5L+O0wWnHBIr26u6oOLTew1U
Io0WGorOXdpm9MrmJbhrCejzI8KBIqwCxBUw6bSngFAp3AHlpQ7THo0mICuKR97GiycGDdwhyAlY
mtEekk4ZnNRkklCjFeg5HVNvlmHWb5L5GUpiMAU0tfXkatEqwMizxToEKQXYXBmbO982tqXnOkfd
mGjrJj2vfESsTgCJKRrKGWYplsVw0BtRLKFnonMrnHOg2I3FI7wlZBogw5EuHqxQf0e3SLy5hLDg
vJPsZcCiT1dTmfF99YiiyVtZuem9pSfZnYtOfIgRUY2RvKpd63LA+YyNoABFmuYPxbzmppw/7Qo9
TBvAwndZ4va1VSXLxE8g7OqYNdH+gmUlAHY/QrjbxLiCvz4uqjhvZi4hlFaloXgSBLr74fMUPOMk
GG+IHXrL6ppkbtQqq7YZ5TLnMS+zMkRShbh4R3OMM7dPIIs5H5KIwp2ufDN6lGH5SqEue0g6tREJ
6cxibH7ERXzqdgObgX1KdAcjQdRg16YMjDmSjtku7JvTeAzG92Is6neIjYwij0wlXiqcsW92F5mb
IMDE65j9KdUHUv+0/pqAWs66Csk+YSb5PjT97Ib0m6VjO0v85MlZHvAVIjszFBmOlTutmE9fxnm7
WfeG9YL1ndxHO2rWRlzYiwpZ11HCSKJRj+ay9t2jDQQ5VKCWk3Ht0yMleoFnyaGJERgEeIrdc09T
drJMbR+ICh6KhjwcxaR7xpYx9uqIffQ2yk0yVD3YTG6VwT1RxmzS6VEINsM2tVfSwGBtxVZ4n/YO
8k70dVFp3yDEaZ6zqeTz3CtHhXxO7vS3FLPZX0DbaBWWFEB3N3GeXAaEp2CGS72jpgPmxn8Ehxe2
xT1YuBVEOoRpga0uiVMbDtU8tzq+RSRRRbJDkyb9KnOqYUEzIT2A+2O/tI0ByTyDWz91YcyDUnVB
GwCrn2rHZzkZDmYFjfBP1B7XqoQl3E5QaEaakpERgPvSb2EOmc+843rvUsxCqEM+3QjeH//KPlPd
c6oVI/ktWXaAjrWd2JJ4BlGSLlpgSFIbklGtm3IcNnI+ufGUQEQ6BDXi47myevr8WnwX6qgBRrer
oS9MTzTu9dsWB3hkYnwFALXvvfS6m+pwrfX6PqiZ4jjOHvEi9btASJLPcC3VfI2Vykd3Pj9VewsW
6NevZJ0+1tFIJCJ2jgVhHmRI98vMprzi9vT/wJJqa16QZTyNyamXSByZjW+RBOwdFJY2iNZDxEkC
IAxsDwE4pEjbfRDYxdIuZkPuvMMtapxUeTCctNw+ZSnRPGpMql2DqlwV43iVjGpZNn6N3iDffW3F
Rg6+fcRWEDqVQ0ALAlfD7OROh5Ni6pxGgqDa+cAFKi2gxAIaY/C8Sx9IEYIEgWt7GirSB4Py2jbS
BzNroGvyRbBVw7EL+nKDdcNfte0LgGf92AjkxmUermzOZEdr/sGEBdG5Q7YLSgnZ0HY305gPPijh
dIc1T11yAFWXEJWty3c2GpbQp0vfboYrorSHK5+WwIUXC6TUCFT9TMp9yYRxp2JpHCE+nok0CwB3
IaDoRIIRBZ+YnxA3/vXLVsyOsRL59mATtZbFfvFcwfEJZ8gu8R9X7Cdx0wy1QE3YlhtfOjbYmUPT
XzY+G7SIbeV2KuaI+97EO+oOLCsxmWYa/0jvIRdqi5nq0GrWKvJAU/F0jITiapwNJ3wlPTbcWlFQ
K25K2z8TGRfiqopMQsQwCPgocBFOgj9sncjeBBPaEVM09QoclLjSC+2FdWxLxOXnpHJr3RNzgb7C
uxzI5lachRxoh1g9OoI9uvbZw95AkkcLp5myRjHEGB4JVl041lboVQeD2psOWQrYnyYSJc5nqyns
lVlmhBc+pISv4d2FtR/O2/zRcu9YocwVUNbbCPsSIQ30EKSRgQ4JoeL7bfnuKLn/OqDoXXeTiPlI
UwE++b80nVd3o0oaRX8Ra1FAEV4FEgrO2X5h2W2bIuf462fjmXnrvqu7ryWhqi+csw9Am+dKhn/t
SZ42G6dRBMxjrFPdM5UsxrAHIYcWRoldp9v3OUBsF8oiDlr8ozP5tD7vjkUmTUetLkySZOwGcEVl
YSjLqqsMk8bca1MAmScDIEVBM3RXDNwy0BoJ+XvNQ4+35zDJCAm/+G6K+CI2D/cstaPtLuKR+D+w
8Eh2w3wycLP3uDujdAuI3CUTin10qMA/6a7aOgLAqDW+jBwRetDMsH1kKmC5M+xhoFzpavo1us4I
4sLyrUZeauxAu651VJiy8DYx5vXVSjSE/V2bPRdzXYA+9lrtgApW4W+ic1sRjh7w/CEq7xH15/V1
XZQvfbx8OjkhjQtEbd8CCD5mpbMHdeztZktEYSo91PQl0446GgW2SEKOuy1XchbrVd4iDdJIS9RX
PbmaxwZbQmLtxlFvrlqrfc2j+KIEMrQCeY5Aq2JtAciiiDpGAKs/EC0EQ4F+IHfLA1iKg9dC5SbK
OMzIDYXU7OxT61W6RXf710u6hyTrKYqKFlWbhZ8Kd/9ADCtVtHeKnObHWIeFSXSBxQWYRLwMn2qM
1cVwKCX1WXBo4nXqZLdcHBmdOtVbENQpdroiC/IStRNCsyHMErg5A3a6U5quV9CafOk56YNyjddW
h+TajPiD4de6x0LD7zfp8VvcdeKuljCu8ZzN+1bMF3Dd9j7LWudmit6rrLGOBl15OJjPdmmWl8eS
+fJTk8F1GTLKUbiyPLlre2sRUOAVPWg946uztlMmPlJ+cH13YCBA5oz32DYII8/168HRKsA94klp
tgyqzOL1ZMVyrBbrB0JFcYImOmJkwJolp40hPmKR/uu2HA8Dt7Dh+MzgoPgVkAJ3K7aLBpqqDjlK
pRE7o/Ke2MXE018mqYF5A4ADU7Vl9FFHWuhVRFKyrs5IOsCFw6NsLDDrUOhlXXVZxiRU0zYpNrGt
oh1PeYGbNER1j5X1mkKyYcChzn+zCKfnz1TFRGLvNDzM8fpYKQuWtshvmygpOflJTjWEX3r1euXE
WK2gR2inWdnLxW2xEyA+OZdDHvb4X5m0spQltI706N57s6MIRe7QpVcDVlkY6OTl6q2trli/seEc
ptu5qumXCvL4TGXfGcvAzV3CQp0mkoiZ/XnXI8xX1Pw1rlPSOYWj/dQ4I0NFeh7VIjqBmgQwIGqk
2XmqO5psjNs4S44pgoYIXrSOIYf71w08uL7HUr7XQCohh8v2MCkdxfjkvWsThjmttYo71/5orMHZ
VXpuhkQXnAcwXkbjpTt7VguHXvUCdiO+WrXF2UlIzWHmDvrOGZfzwhdyrxzk8NSEjAJAqMHWa9/L
ZEixWFV0HTU5Q4Zl3VZafmyKcs97Z1+hD3WvvS55nxuV+sqI7DB15INiwwWKkU0HrSTXgMaguGVI
vuNEXA4rNkBG8DYXVzY8/D0BjVUeo6V/wXjxJeLxo0wwmJjbrC+37EczeRhGjoiqz5DYO5jvQUDj
9YR0dmXad/R+LSPVHKdy8RUTu3i/WK4JcGXeizoCXDpnL9BXqktRHzFneI/KSkkSnYZbG83GYe2I
ipmj5yatqsCsRmv39yN5dUx2Z2N8ZyvvYIkz5uRI8/hS44i9VmYP239hajL1fDm0tI6RWXJ3umUu
TuZaRMHQhGurxafFLonrbNr4Aj7uXatMFPcl4wy9LF5jjfWZDXbXFx3IE0clhZ+nY3uoWtjrCRM3
yjl0GxKJUPqoCd5LFZvzsdLLs7NsHrEIG3Uc9Mpsz/VQ4DZVjON0azyw7uCc1JSxn9H3R8tUv5Eb
tUTtFaRXCKozkbtI2Egydi4qdb37ZdrSxQhAlEmJUL1RIZe2c50yqrkv2/J61WgbpqbhpO4SynTb
MO+7EplHvpBVaG4cIUL5+Fbp97Eey7OrRW9LnWYBOeUviFmpIte0PTUVo+/x4DiWPGt1/C/SNtJW
axJcr6Uxq9cZRKjXXNBsfUYFoZu9nD4tvYHt0XbZAR4xr14ykNQAdzD5JYxC3oyyh/ZOoHpmi/JJ
M9bLE8759kCCqPLXctzB3by20DphSasOa1l/jG0LE7bUu9Bwt5LZSx4Z/HylZCriZXKvi874wCCv
W1V+EgU2m2IgU3iYsn826uDzXPPolcn8nFdLvyPRz7nvJnXiGZwPuDkZggJqeJifmaoa51JRrzq2
2KnS/mWX2J9ZVXb4Lspqn8XzQeOghdqyEpRWTIHW94fB/OxSPqXUXO7GwbD8KNFvIq9/aNeWijMt
Gt+tf8BFkCAdv0HQT09e0j24OPIZNMTOocHmD7E/nOp0BAoBVHtl0rGz+/YtrklY6jvT22fdS2nU
KowjdoTWes/ZcOZqwHcRQxAk7EmB2xp9TFnEZ66PZolLx3RQaC6VPgVAT2sSAjFQ9qie3KZbQtMY
jhiqcUGx/PdnRdqatsHp7OS7LvpPSy1YVVmb4N3uH+lcIXsIABm5jLlsdUDSmcPgRd54LuaPXHmo
asfxIxdUUbYtzkLPEFoXqAraCqDTYN2PACXOiUchBF73ZiYW/BTPX0XaPZLDh3nyPQGHunG4qPlt
p/GjvAcGzC0jlh7SSSNCJ8U1aYqvvAfu3hfFMWV+QOGcvtuqYVjkFKbvCcEVGuFhb3g1XKObWe2O
sSv5PxaDSM8CR1b23svS4EA3cowmbSPxS63EDsD2I7PIxeJTa8PJJZ4X3M+8a5zcPqz58FYu6Uwh
DtM/1fNnwyVfqkdGM9jvIK/fXHIK7ohXwn/MVGsYQmdoP7tGLLhtWFsi5vRO2Rg/F/N0qLUi86ky
18CdxXnF5HxRgNWK0sRq5XldsOrOR7x5yCsDz+wgWxDMffsO7RjRY69r8J+z/JK08ylLO9gnNDgx
Sblmjdt4anVEkbPh7AyGdrtZa/fGiNs1AbNstmTKaRU57IQ0tlVMaCKmQ9GaIIwB8ScMcEbryJ1b
HggoqQ52bQRciA/mKPpwM9C7qXTOkVqe8vUHrXhy3xtb6k1CXBbvHmJUzqKIi9pFGITmFiI2VXow
5Z29iyI5oC/f4K2pBwysv84S8IFRqUss38vDOrRhoqwH2uGP0l7BPCQB7o6bhlhAfdMK2PQtehVC
zbqVrXtNn3+bGxvNK3k2RsxSdEjYbxH3m8Q9VTNDPMOTnOfj9FJa6QOBzNx7FABh3BBSUCXxHYvT
d40csY3W9GHnpnEUYIwreJxOhq11lJwKETs3q//WrP6iVk7ChppwR5/z0mbUCSmJ0wZiDAaQE+Nb
5hvRQmJsSzLUpHpvX02IDTotndlU2T/RltrYXiTug/uqsN7yjGepi+Zz5K7OXURhbnsZesFGQY2f
7egw9+DVSX48pWzMcH2TYMqBDWgiaa8qRQYRDHYkGFVGskERmKhOXvvZJvFoelqaVRzbhqpBayKS
V7jiT8WMFqiylvkuY7XD1bVeabqn9gVj9mMjjButJnCqXj3fWDQK7aHOgs6OyQ+ZzwT5XfQCxHzK
slmEnd2oU2GA0KzylgHqepakg+M1bMmu8bB+O/oQWpoWWCRVBS1gQvI3fixBljvhhYTA5c53jft8
lzrZ4wIAeo6fdTd+y3M6tRzb51601a+lxEcX3eGP86C0XsVOpu/NmWCwtLI/GM2su3zInvvIOlpe
z6y4aPZz15j8Aqiva1ZLaCzZ0drSzFQ/Fk9GbP5zOu8iZGfc9zY9SLEVsnamf51S4j9ENdxmDRNZ
3K1Hm20yHoopXCeqGyerX3KTM5TXeT0Mgm4uQ6tAEpl3MOFjYUXak8M1wRwjB4WN9yszLu9W1fnP
bA+j7/VcRv0WR1ZFhFxyM7rkxg94ry2ghLFeZLdbHhdtYr2Traeex2yZ9m0z/UgK74sDMuOgrJIJ
pc38OGEJwormNc3qMbDqgTG8lvwCcA2Herl2SpwfmVP9YnTjixXCynNIBYBNpeVGTuYMFIc+knAF
Y3WTSvyaTgwjoY7uiUsChIULNvTKNawae7yR+HHKJASh9jWYGREvigrKySvrMk7fTOYrog59g0gK
gQfxBKJR88d+5kkGfJwM4GagwFbkdvpR76ATaLHHsqJcSbXQQtcCouqK6f1vo615zKA8BQMybsge
2yrymql7yNwKO1IW3ZAFhoFnxLOo29OHaSUrFgRitJjeK/yLfu5g5I75Au5UK++9ZYVCoRHbygci
4J0EczGEMh+/Zo0E6JKTb2zg42/xfDZZPhy2XBHERhS+evCcg80yuq6SnPcXR3aS6caOo6pRMVsn
dNBscxv+89RBPcNciQiOj/bDreM2WBPj7LRsIvDEVmi14mfR8rZadKnVwjXV8sAwBcr8NZ8P7fCY
tjhqkfSTbpCIO+hT3zEzazDud6ZUOM8dYPy49B0TQzAJickuzpradxfGI5H8xKOAU7ad3g3vyHew
hbGwIEaBtUvlnIdAZm8LPDS5Qqat6Va763sgwcqun6HJ5mdTR7tZDNkTtwW0UcBK/LAsHQhD5MSe
9yjx6CT7mHXeTIpsq191tLc92U9u3P+WXcM72BIdHifkf8sR8czEqgcZ1mEABr8XzPtYsNvgt2h4
BO5rJG4dV6tFUhcDYgxE7DLjZRvsMkqG0ENH1X9obQ9cVJd8INVAzB17WGF2DokaT1lUFgfp4cXF
2nGxqq455JKCRx8wqpiwEGFJMFdJ+itbDxsALgirISx0h7KTONryHGgavjwFRaHLjW2NA7Fe8gMY
RJQQNjqGo5rfQOXN5FVj/ndmjNlRCraVY0QgZzt1jnq2Ec+FmmHll6F6IuCK6Ooch9XnIg3tqkqy
izWNINmtu5x8p/QEZ6d7bkHZ9EOizk0kgyny2vuxLdFhjjQaObFho8OnQ39bnzCj8x3rmf6VFKsu
59pgaIdtPwxiSVzmXPsQiS6PSD0/0zUu2BSwWjfVo5Ok+gkmrQ8uazm1Qws1oOJvk+3X1+aVmyC9
iSf3uyCZks4yUqHrVPLTAHhwJI2UhM7qrckmiyuOwY6W5BRNFch5MYldI7oRoU/8EgG/zErAZTMF
r4jri65NLsKHtGUr7Zkne73ToGX4EN2hVRtVfJRqfYZt4V2hzBcEI/YnchCMY1x5pONipwu4wb/z
qaUy5Yib6EyZncNbLfsbVZEusQ0NFmG6V6t4GxioH7KcfPNCDM6VQRRw5/bVZfzVAYELNJCPIAQh
ZdWzRUqJaVxLQqp2jRV/W/zcxF5csJ8fDW6wMBsbA6JoQeSA4t+xqpXAxcp8qr2B1cmEBtrkLWoG
S5FpH+WHpPvIvOwSS2AtycQljb1yiPNH0U8NgdcAyRxnOJk8FS6ajHZBtab1TLNqO302bEQxBV4i
6kufvNYhmV2KUXRRV7Hu1ce1r25yPPOL5nxbRfU761jAejreol6DgWh7XzKl3jnkgnIOB0szlcCG
qocqh7UBBZkZSvTVt3ydxiyagpjUShgF+XLy7ot029Ik1XhtGIlBDaGzihJo63W4HlwKJWPhLgKA
PFN6M4HoqIFLxEjs+5gcJsD7kgFMlk0fgEeAi1bwwZZY62BweCQlYenza8eZTikixqOqyQTOvE8C
lKJ7ZWSHoda9Uw/O4sT26rbS4U0b8NyYJTOa8txKO4wFOHByP61zrwnyaKuE8rG6ERqEdR4wQlF1
MQBOMuI7fFlAl0z3AlhmX49kYCFVuZZQB0Ztec0bfoB2xlZLkF2/L1un2SsYfz4c/iQcSSfhrMPH
Xs13BPC+AE3TzjPqgJ1yCFAr0gwRtEYSxgZINIzxhQ6/iwd5P/C0RwXw2LViHB81U7b31BJhG4j6
o9cP1l4vUgsaFxQJmD6EddGd+PxT5o4tnEd6S4QBV5UY+DMrDaKYtCWZJNaWfnVgOEZAFdWyO83q
Jh8p262NmC6G6nkh4LHC7u7jeeWsSfJH9vHplbskEyV9oCxdPTYyfv87LXLDpn+KXCBKQ3LUHfyu
cfHedU77GBfyShPeKW/r+S5R6OBIKQJmDmrOH5cWIJwpD5OjDHaXMctxVkGMspJ9ESOF6JzqoIvi
M7HSju4FryIv+dOr3fwMsPIo08m6HVq116B28Pewa4arzRP5p9PIB1IzAYMSJJDn6JQcMiiW9H7U
P0frUC/SZIoYs3B15qMhSy9UlXrt0/VFeVV1onT7tMSkKPnFqV4iNNg4hn3m0dclsTonp03FToi2
32aPB4z7zt2yFM98ovZ1LAc6boM7Ws/e6zTZPvcGI64h0sDAQ72316oPukUD45Pm6SX67whtLfbl
qKxbBGkwT2Qvd1xM+UmzP2quQBD4kNBm2cgbLU7IvubcpsdZvvOl+M3IRrbJFboll869lq7gawV+
zSDtOPjrB9TGZpmJZNZL69O1Yp/IvY4QawqfrkOnMMUjefGdwzKdOspmxO8TQTY1R8te3zqSIxbH
2LL6xA3usCQse+eeIHWgl2qL/42XMFp4cfqG+0tbGIF1xfmdus8lUzkw/JRdEdhn34SeSblDJTPY
MFc0qCP4CChDCTvfEV077PMtRtkcUBlCykmGDRJarUEf6rDTyOJ2Q7YT5a1Wpzy9oCGHiDR0LbID
U8t+ygadljslr1HSPjhqfFyA4+zYnL/nHVCYctx2giBJ85bhcTTAM6mz196Sl6V0jWA2kkNCZhqQ
98W3l0wdVNyQc5Swn50WsBnZE76kJsB5+zvXMLumoYRvlD7HVvPRyI6iKnnVmQJygeJbL2IWrjYv
t4vnR1HBbVrizdsSW59jbb1ZjXM9NyahTvllrdGnp8OkaMpYd6TgQxi6nPTZBqbj5SDyc/OxdsjN
U0X3j3saWQhQDzSQegjSkt0pQVu07uSROg9FIX9bJ3F3SgIll+oK8fPNMLKYzRGL9PQke61ubyty
SnbMskWeHLl3vUDJ7kSCrwV3CbeFZpymQjwAPHksgYZQ1TnfPWvvckRmacAS9fMMGUGPyGKNyJWx
6Z5qxOWgUFlUWoQqN+2wNx04GpRNT7Gw9v3s/BIB8Kq3/NnRnAGlGvVwhmHPN5TnW+ezmuwuNKN4
DtauuFWFPe0smX+5dQcCGLOB6uDH9wNpGVxKDKDYeuXXuMIekoFU3RWYQGi3b+ZAjhlZiUe6eBHM
GcJo28uHgw4ZMUAWBW5WnUx2cVDXABRgi5+gu4+3GpKcnde1lm8nMeKyJSQb3jdrAjRVn952hveg
kopkSpYTxRbwXhD1jSp7bCH+Hs2kbwIB4WVX1+mthf8p+HPP69oKzaQxe2ivNTsL1v2Mvm5n+awg
RsM4QJEgSWpPYHgCZRx2pGDqpaS+sdCBwwQ7eiXEQRG4TXoa8hIViACWS+kNtBNAVouaRwEjEGNz
rkes/kCx+BgYcQvW+T4Bv9ZOn4o5cGB3Yy/eKAQFqYUkrOAb6tj/1BsUMQbYwteh2UdD/jq01Kke
ebnb/48GOPCiIdoPA99UPUINFS/d20Tl1dkOFDeFxSIeleI4iXTC1HiVq2sfBih1q+CrThUjgiHi
p2bTAA0HyusMCst8YpbkMMpi/5NaMKXV5AFK0741VdNDM9uxZtDOc8wYWq1kD0OTZco0aoxtpv4k
jPKhFRbiLvJI+QZoeuAkMbI+JqU3IH2WfV4K5Cgv0hScdDGSBvs3abWHBqsGks6F+XHTH8o2//FM
096ZD3NfOqw08jcNU+6O/gKpQdzfxDa1Vgz57rBcZbRdB0iX76WYfSXNR832yVUNs3jYE/kDacvD
lFtfBFt1MII/iYHBAg02CNemwuddjA/Jav8488DcoTyOf7Rkt/tnG8qf2lNNJ86UiiN1lpwcK6Ii
K2+YHtkpNAgbUN6GpCxQu0zPGLMepWpuSsxnAO2QmfVLct0SI00lX57XsjL2MmvvkgFsaVxMTIm3
Sc263jkbwt5lKi6sj6VPfSS0ddrftANRgBiwApvsOT+iDQNogztUHVVRg62kYRn5qNylcoK1Uteu
XAl6YxiZNoLWWrLKcUoOM5I/BpRZlcxgQdJ2GYw8hhpdEWuMilwRu4O2rhpO+umcLvl1uprzbqnN
z6wb49OQ4ngwEeTXGORtlmAC8CWHG6CcWi4sA0Fa5hZfmZJHHfL2d1c/u2QAbyQTsggTHdovnEMf
BE/pG6taTirDHY5EztMmDevEepMJLQoSKr1lpGfm+kEGX3d7uAo36COzowYkgy8xcZvJkDwaVHn7
rgAKkDc4saykPGQGRTr+QYJCKojDilq15TW0KacnG1SfWuwj7+CKceBwUU/tW9GMn3/1Q826FgjS
baOj2vZyTD4V7Bi+vLkTmr1tHGVN55MJZz0ZPTu4xFmmb5e7exmze/RolBJm82NrwnxzOigZslfj
E+a+NcidZb2rsQSaHeVJO3tkCTgNpqqqeS8bp96U4PUBzuONVPJOJut12dG2RKikfLQpqBYkZb8x
aYiArX+u3X+gvv+irW9JFhl9awGsPi10ww4xUJzjV32UfuVVvB5sOAWp3uydmL1NPaCrZi985Cx5
IEz+6NrdU58RKOEJ3taRMJa138cdH6/DFnqa6ts+sz5Kouf6eb2QEnE03PkcR47caZ68c2C01ejC
tw6+O3iDTvVZMxpLPhPD/adMLhgPKZVOwOquc2rpI+0lc03vL8vGBTc6RI11EZYWCS5OZNMtLDAe
hv7VgH4DkjyIsu4c881FjMOiOP0YM+9+asqXZq59W3/rhP3Ubtv/2OoeTA9pFDiZDBFlwa2AXhwP
f+RviEeb1fLQwu/siKbMC/uelIHrdiCGpYhZJdfRlwU9zIFOORacnAMFWb1winCvBdbUPqc6veLa
6DeaQSLezAIUqT56HFa/Z8jlqHeM4bmwyrtGW94IkD/YRIHwPu5crf6uLJ02z/7UGBZOBAfK0YVp
T2+402rjOiKjdMdiSsd3TT1fzydk0aqPPueiPyZjESz1o2gAE5r9h+rEM+FWL/WiXZcrW9sFujEA
uaPrxceiwxpA40JH3900vTVc8W75qWumQZ6DrNTFFhaHTnA2fpucHDNzMt2N8SUiTHgergqmgD1I
m+PYGyybnCQqznaZ//+XlPrl/37P2K+CxQGc3ViK9DCjLCELGBJ+JBCfFcT61BRconjSYygQmV39
mCt2h9b1+sD0jFdDjWZglZETKHOrTKdvJNnN+zgr9BKJRnOmjh7SjQc64x3VO3062Zm3JQNB9mOa
e3bZtcgE7QrR6Njg2uKsjSBVRgp7UPd2cTEJn3LqHlJjTE5xLAbPb/Xqy4TV4fWca94yaKQJzQfS
D++9iNu3bRvqJgulokMn4wpZcJ2ROiw3F1CiUiLPJgnaVuX3hRWzgAfNGAiFaERYtEx//42/aEqD
Y6vuR4LY9yUUqx3OjYXp58zH1dd9iMq3J9GgvI1yu4GfRxbbEmsVHxRTczCUCDDJmDHHgt/OSDEN
jOBV5d30WrWyoZeX1EA0IfoiZGXcDubdHP8uc8ewszfEvlyy+joPK8vcrYDfwANl/5wC5ajkBazu
eBVVXUWM9kra/KBe0TNn/qCSOYhTGhjp6Hva4iyIbAKzEgTlfkrjo4OoMsuKGgL9CIyh+akB8wvB
OAmBQoR61U3+1HnL3szFnVn/GKhMMZGsXt1hVrIvybCmh9xbDui/mrNFkGP3pNC2XfXFgLBGARc0
EEKvvcekpF2RIrdfqrVDuaVclF18xiX3nsVUKzViNOyQelBrmGFKjD+Y5U9mZVHySFzVhjH/mFJE
ty1BS6TR4NCNsuaJnfXzMFXaHk0KRrw5emBgQZs1VP9U1v7CwftySNMq4fyGOt9OvwCFGnRARnc1
muqxw1ze9aq/xwjIIg/g85jajGLlJav49lmyPsTl4t6U65vdRSvhusmbyvANzLMMMsl+LlklWGGj
wSuT/NKLk5S7dNFeZKbBN9A7S2tieYvZdEIKi2krf2uSiYfSrcejVurudVVzqyFgOE+TcdeMHhhz
NS0BtpHU99jZBG1WTYfREt88gW7wX3MFo3OCyKtrJltnY12QeHoKoSPxTr4WV1woI/AGR5JloYMU
CWAm7dgTYtfGboQAIj4vbHtChdOsZ0wzzqlNX5UP+3UU/mLk4qyLk3Tnca/YS4Smzp7a6+ciRLnL
fCImtIN8L60leU8K4whn+2cxiAngFEqCggG4xQ+fCvGPUmDijQ90w5G30iMzuotuxtpgRl1ejJxy
WqqKJ4/S6kKIEHtncFBUQfk98xlJ8yZy4wTm9KlmQVdPY/mYYni8nwlGjCZqVapy2OFd+mvUZXaS
A/hoS0XLuVG8r/0LisAlqFO0/YXMf3Omo8Q3rwcd9JXc5RUPrlXV+7pd/pHv92V0ru1vYUeqFC76
LFS/pUQ1Tj4y9aG35SY2M58A5sJ6lJ8dgpEkkUuAptlF14kBb9WXa0I0yQtDpbsr3OST9JuPvI4e
DIFrzdMgQ2ZRmz62Hqfj3BufwqGgXxoLsZy15H7qqB802wZ4cXUPQptUW8reoeuO4+r1bBv7nkU+
i6wkbtXB0iA0Y+pBnzJe0X8EDiSlco6PLL+vCX8jvERweK+W5zt987VIXpaWyYNAR7bfpPam/VBP
7XcVTTnjZIrZhIlby/pjHi8xdaifZrj6K5bLk3RfsrHo922ru+i0h6vBRHVdJgwcewrPZOaGTesm
MPW+DPX5k1U4U+mKwnIRDINS+9/EuyxMPuxJipAVCEDoBBt6Ngyo3Fa4MrHa9OtPKGezPbxR4L3a
/KDkATcknc4a1CDBgnQBjOwYfCIyr1JG79hmps7mnrEMP+lBT6Kkx1GEPra2+KOLUtMZYvISqpH9
P+MQHH8TmVCzozOUQgu7bv1QIo31MDevKCFQ75mHDgOFvpY3Mq7/OXqDDMO69MAf94NYPfzM7XW2
lnxpMJAQZatxzE3XOaPtoFpzjK4ur8CLn9nz7dJUkSTEBzLHzakqt4FZ4fy4Hc/ZprXsudCZqJJB
m4vmZqyMbJc0IEqzuP2MBnXGRJfvrZz/D8Nf6k0QDXu988KZoqmO9+1B39JD8l67BZ+Zk7lLki/Z
xX4iuzteJ45FeSEgkXkwdDrK8YFZ0WwxhWABus/m+Fv3PNoudwxsPfm1RX2SvK0OpTPGmrXfTd3E
UsbyPnvma8zIMScwr2omXAjxwCYOTvPP4Np1UBZe6efTioSwuVsyybZ6w8tP03zbkQVZV1I7NV4F
0XlAiJJK3Tq06dj5o3J3DuIlhx2pH0fLswYr+tqdmuTAuDe/tBOQfRlDHZbzXVphMLHi9mpYv1Vc
kcRUyZg7v6O+kdnVtIVOtAU5DVkkdKz1tICi9K1tAx/FDtiCcuLJZ1p68grOvYW2nFHvGsqGf7dQ
SUfxA6R8dC79PIozSuT90sb6o2YO2FSItXF1l4Rh6c0PrU12Rl/o3v3Q4dSNVxMS/VJ1hw4k4J9Q
LYmi6bGpyvGMAKLg1EjqMr6eOEFXyeZ5afGPR4DprASIO/Li9xQP/sGM0E0v+feIrNzPmNAi8VB4
KIf+3pDoSFrUPX3LwMPQkfaL0bgZY/d+1YDwzxYS4Kj8TsZHVjWAC0Hr9AzudmpF5TXMnti5FJPd
kn+Z3XzKWYNoV501vxvOIzq0V6Z6Y6AK8apt6OzS7lCCWUQdbbaFTSP5p9u2lhG95XwRLrA4Jost
uDqWeIhdYDTiXVgMKztp1eYearpdy5XbYZCyU/N+Kje5cN5djQNDF/oXv4s1wm87iVSG732a/XZa
c5Qta2cVoaRQc/xvYLnpNMV7IeLzSsUaTd+eo99OZ2EX15lN/MXQjPezV101CYVOoiVfSTo/YPm6
4JZ8sV3tNcOOA1op1m1cAOMlK+RBi8VTq7U/Qd1gLJoIyqu4Lf3uAmKxhdreMP2bu6+ZVsnKfmMX
gC8bpPhLEwzH5ITEBaVcpz0N3nuimi9H9P+WuP2nz/rZArhumTPPhqjAt8EMGCvO69EIpYFN64+V
USCNW1dmP2PCB2lXGmB7DlNX7NCUhWOuX8YtaDGKsn+WESF2HX7gXOyzFD+FwdIrzs/xtD4ZVv8G
BJWVDvujyqoPrmEVoJex/1JH0NItagmkvHPld8IwyCnqZ92oiaqYrHsRO7wx+hc4Ec6Gun2bE/lg
MXroVxdWN3dhoAQeoI5x4A2JExPtTmIXoTLTaTcUTRo6PPbMiebVl/P4sOYw6rZ3Xxu5WGI+aVwp
qV9WqQzLCPsvaB9IGH1gtIyLcbwlh9LmOqJmOVJLxC31eYwqMUzK5QVmxE0Dx/lo2oj7bFT/9L4o
y6c8vV31wbrIdnrIgMbezF15Hg30D4mjncbW+C5IDTzIqWaXZlYU6tNs7BrJEkuiVSJmIzBnnlbX
tR+4ePAnle5js5TFUeUMq1Tf3RowgVm11KiV1y78M29o6QbNrORjV7r2CQMXs7+2nHfZuDqBVoDk
6+f+0YpNH0q/mzBg6msm2A8C2j77IAQ4s+b9iEYbQxbTEbYspBd45fbzVMbcVwxZtlVH+h/2zmNH
ciTd0q8yuHtrUBmNXMzGna7dQ+sNkZGCWpNG8Tb3WebF5mP1YNDdF7iN2Q/QXUhUZWVFeJAmzn/O
dzTfoscAsjI7mhUzn+R5Sbw9MYz48GomsXfsVyd/OSX8ZpogAwub3973Imcn/OTbQq/bdmmYspjQ
GjHRLE2hO/7vKWTw4VnJ01zH+lhWCzKk4e+ETsXOR7sK6IBRQUNI/q+lZqR27ejys9wMkot+wrXp
wnnR4mSXWPuztBhKpG2n9moQJFfE2PEsePtGqC2Qew35n5bnfO+lxQ/aN1C/I04SxrSIXYesvvVM
tuzBScYThSzE0Ntp69BAyVueoctkERtk7Kc7etWsXT/aLzlDu403JHRz8kLsajExsyLmZqnBPihR
7nwyhqzO3Wtoo+ElTEN35uRcKHf3/g3RxPmvBIcVIYa9xVWusUKg/jkqOwqbII9hNbvRTaHGl9bZ
HqvnnO15M6roK9SAXWj1Ck3vuSjKOCjc5PdUOMRSW1KMKISvaZ7dIZvs1/+HgtUkX95r0dJHPWLY
jDS3tiR8QnI6tTG6OYb3ne4oXBnb5Htoa2I+VSZIn3CN693I3aF/uOtsyHESzfv/gIdCbkAnvZpj
Wp07JtybLCnjw8DizZ8ktzAYsn8DB/kLzvXP+XGpHHJvKLY2USvzXz4WB5d2ONqrl0174phX1Dp6
fs39h652bA9FbfxZ5BgFEjeAvxR3iN6cf4u+2GuaDWu34smokPop+ovdFSo/xSuM/hTnyWOrrK9R
AAqPMd2hYcL4wnoB0A+8Fr5uu1QVcrz7J6udn440cPSkOfezX97KPSiJWQoKIy5hDSBXt/8m3L0C
bP71+4agihPBd/i2/4Ka/QNAwDbKJlqIL+wGx70zF1omuUb+GHKPcBUOpk3T8TX891l9Evn/9T8K
TQiE9ZrXdz33X6gFSi7C8tYRSjQ8FW39WxuEJufmlVV9pPOQLBZOXNHppza0SoRh65LnHFqmsrBo
tyVkgCgggBBvHMtjaSySQEi6smVx1kaPUcmgccH6LRq3C1SZ3iA4kWxw2pAbpL5yWlzQ2O37JI92
eaj0vlf29FTFy6FfWIKNBg9hlH1HGVXRPjNiTsfdXlH6ZNkUVDJNnDnZbQxllTwJ3KiNvi8QdNsG
9C9Z97A1CRBN5hTIPnwL8/o6eX5xjZpXoGZq03j2M/xMwlT+HpoVxXQ6pnBU1E/MmvwNvfJZaT82
nroMcMq27Tv+mG4X+nia5gnRgyNIzAPxK2WGSxqF2DVpK06kfRTEk/hCDUitmgElBdiGG943hX3x
U5AhyCl6R/jrXo3ibrVagWrNTpVFzUCfuOp6Fy7Kf3PbGyOFgVxNF+27Kj0WickNpio/hSSVXQ6G
dxHO+5R33K8RL31vcrdxzgfvzDBd5v4HBtLutW2v//0z818Yy0rCcEW98E3GpKQT/+WR8ecKCOTY
VGwT2Oin0rlFVfbujV3FhC+mP9ciDJYoHVjO/IiWk504LVswcJrXOQ1S18bUEU7HtMWtU3Tki/Ku
/1SZ/VMnNIWPk3NymSBvY7HklCbTx1LH1b/haK1f4j+9akBzLMu3AElZzJe8f/kWNP+kTlC5d3K9
phg4GRunuYw1xyMC2s9SNNA74urvvKX/z+WHBPkPz1Dwo//xfxD8awXB//yP1+X7d5Z0/f/6z/If
2fx//Vt/Z/Mr+2+mbeH+h+YOoB+u5X/8j7+j+aX8m++7LnKvNPnH+Pv+L5nfkX9bKc/AfTGw8ptW
xnH3dzK/DZrfA1Hq+9j4lIVs/v9C5idn/8/cNcyRYMcUCDhrxf2jlq1wvX9Ym10sqwWFwJxY25EH
VoznDAJ85UxqZ2sGvlrPcptE7B6NB/YCRZfdxYnyfSyMmX748lhxPd5GGuwPrWjsaE2nNkbkp8cU
xzzWRS+6y7FnlFQ8Yy/3Him+BIY0Je95G5c7kU3n3FgN42pGRTTRFqQzET9jIrsg5AT45bE+OR5J
Go5kW8v60ei1hz7lZEH0bReyZO4kvtmdl8b4oOjqGAW+xTKxH+0o5Pcs9MO4WDhsZRo0eXOO9MNi
PhRRFhKo3fleJq/tBNSTvoy+/7QMFnEvTVDD8VYeSlEidcAvgpu5AIGswt8+BTBUYfjzpa+ihljX
T0IH5KMb4j6jjfnClHF9G+T45fXguxJIvhe7w2E4uheHBpyjNeozS66zurX8fRV7FAGnGqsN9x7D
OIeQ0M/h2ZLFtbT96K6pauNJyM49R17PBDX6Lm3Dfq3JFPKdUextQBIgkIeLv8syD0XNar7ILzz2
oBNS8q1XyE7hm9LMt2kOdWUZ/4YecC8nJwUkN38oHl4KbMz8robltO4Ak8aOlhRGeHRR7Rm2eukB
JHh80CU+c8+vPjxNj21vuDjsyrH6sCA6bLHDY9mqcCQaBWqR3T66shXPCOHk1ST+P5tqY6AYNkyX
a1hY6Y32eoabvr1garHqK6GCJ1/k4SYvwvqUMvnO+ja+jF90KWG/aYs+6PXiMvIUHn0zZM6gBHYk
2eKHsGmKF05A2MHWALNl6MviNvXDOOH+KoX3VZlZfSwWELZy5mjaPdWNx8fD9bz1OY5lLfk+ylzr
p9pp2z3OuDzoJBm6upmfPTv/Q47k2zLyE3MtqP9pQkAVPBQGtWPUZikuuuUBUzWquSexVabBmEXp
8zDw7aaD5g5jjI8Si+12zKqHheIX5mA2I9tiNJ/61TON7rg3VrEGD21HzADlr6Msgaas4ZL45ICG
KGn3EQlWURMcz3HAdJU+E1iR+whKX8D0+tcol3nXUejxGHLYVlA/QB50Bop6ig11Cd0dn+wxHNtP
JvPmeS7DzaLo964nebYsPJnFiGlZ4dK2SQdu3HGOtpYX35PNO00+PU8RM12KRxnZVm0t32Tv7YYo
+lrKsvo5z/MtyX5ymbQx1MTfevIJpEchVXgkd7Wlj0MansyBM2mWGb9mN9m3JisIJYo0RC3NwSbO
/m65Ykc5R8vteL3oqRz5vbKpsqEJu7Htk88w9MLpiNYj2CoHWRhvVT+/WCLqkT3lS5JROz+4WNcR
R4ofkczvl0ozSGl0h6YdhINf70c7ofy7qwM7Dp0DxSV7hvzW2cd8Z6pQX/PstZA+za9RSqQXg+Kg
nAfnYFVwHkyz5LaWAWxwGx+CCE2u+6y3iMdH7+Xooh5my3I2QnlqyaBkyhu+dAXoyxsz+metn4ZV
TgFdVvnW9a5TE8kPSjuWIHml7bl6Mzr3JQyx+w6jPIwVTRodc/QtTX8/7KFb9mY/uAHYVUortNkc
w2b+4ahsOXpOclLRcs8K0u1k5aE+YYCkXLS6hbB52hFpt6Wwiwmf3gJTxRWX87YbpdEfLLtl5OdN
wdQMe4QoC/9pjy+9Xi65QcBJL1V9NrA5noD9kyVM8+Wy2Km1a3M9b5eW0r7M9rgHh89p9cuhBIoj
f7IJzQQGuiVuHLoAH25HbX+hJT5Snvu7dRGSrKp/p+hkPgw+qzJZfBeZ8RJLCDFc3h1KQRhFlA6e
91jBEihDggxL0gVAGJ7tzrh3RrpI9SJAJZhvnGyrreMzmxhzECgxR2cLVRGmxCN3XE0hWBu+Fl/9
2rlsY5UFvQ6qADPhdBAJh1qKqymikU91Rb80ODxAzwnGDl5jdcT50jY08IaT5HTNSsCFjdLxuc6h
iMxQSoyU0pjKApnqRrP77IuLwyTsG5HboK2bZQcAsCFhy6WrUSF/AdxzIbuHyMfHU69q9Wgz+Y5T
lmoR3kf92nIGeHvXAfvYDBBbMGR0vwygAYTKacXMk+Wr6+uHPva+EsAH+USeGktgfRnzorhjIn3q
C/ch7G3zJbJZrPyYcXVXlz+52OoP9rNh3+ukPpSqXp7Hxb/qyDrMPrXVw6R8+mJMf2vOcqLZRDzH
7XHyyFnJDGF4qDSVZyAWUkyv9I4UwCloPGgkRtba9cmTigcAEBd3il7gdgkgUoVmWoW9gqDsBmAy
EwjX2TUhDmR3qBSbddsTu181tjjtuKQ7ExXpzpuwGNO3QtATUlv+qRp8n0hJx85kO0jpnIH5GjCh
w3PioJGfqbRkTy12ZgjKjFIOjVCIM8+Jx/w8mdzawsUqD1CSHgZ3PmdMNHDqUsCa5Ip/h0HWahdc
Wjt9jl+9RB1yNrmnLK6ASfC5t6hvwYIEi81L7SevweTmUGAH8psee/NiYG5+JOmGTs+7D98aQkB6
6UPr1xRHYOWRorbJ6L34s2ecUlH8ZO8gCJvkDdHD4SpTpzyvaEvX9ZedNoi4cEXmZbMImOB+gCwl
4otiMQ976e0aw72WLvHTsVvKAA8uFDdlrt96s0Um++PHih1KzY+xtJJjkfFAjTD+qWNMoit8zTX7
rk+wrc+q5ctIC1y1jRcRmbWzM6I0Yiz4koT1vJLG2i1GabMGXdeRzrLmGoImMJmrJmZ1db9atzdv
AC8PY5ZUV77ax0oVE7GzXARA+xpreK/5Qe8183j6HcubIcSAOvQXW7S64mjDHDQ/mPgu884vTq3H
wCwNi2FvMUDbZKo0dqWBKbvyqITyQT6cC1F/gBaAbQl75GwKp7sULTDx2h6PfRKVq4LJ8BHT/RQ6
p7Iqs62V4EhXUxVUf3Iu+6RhLL2P54V8Vq0OyMcvILi+87S9g0ai9nyuv2A4vbdjHR7L4dluJhMm
cEWiwoYhqYdLKUWMmStCfIqS0ww8l9v8WmAQ4mjsBXZVm3WrqaYKhxDG2Tp2aDoibn2iXf6n15TX
rg6LnTQ5/8QCO1TT3TITB6fam/ZAkMV3mPikmEFch1olq4EnKqXaRgP8JiXcXS/WwC5nIb8DRjbj
xjXrwn/B700VXHGj5IuEGayWI3MwBoUxfoq//vxxDpmdJ2vDi0nNoR8mD7bgs88BRRi99eHF8MB0
qT452ZC/HGF1RFCBdq1DdBe/Wx2Iie3CHostwb35MPE+cj1moFZUIXtibr8UP/SSsHz3LBteCIWj
lMZ+yZqSeG90sLxqfKxZYmY8OAGeg+y+U0wcShvkxeCGLFV2aFwNSnQDRzE0ic3mNUUMxiyC6qG8
Dq5DRtO8M5sXrUe8DNCFED9CSBfL3WR+41tut2wQrAxc4DeKxAB0Z0rHu47cY1rCgmoELgWOVaN4
GyamuRl+9LKgYMywXMa0GII2tY0drmlRk+v62DT2miR2ftKL2JNpZ8rddvRU9DKejk01wjnJ5Idm
Zol13gXbQTvqBvTjsK8khSgGpyEjaqwgVFOyS4ocGVzNW0LZLhQpt76l8cBM2tN3Bv587YgnJTTY
coIbW1v3TyBg2bBgmJGK6dKDb80cOZTCjwnaLzBZ3mErp+RHmEdy9CruWjhgF0DC+ypNzUcTj4FL
IMfFmnfG+jTfEST1rnj6SBAv9aMLX2hW88bXrT4mY9zdfFD5VGEBy0DAwI7jxAo3FusEKLviyFbd
Y4RRF6/XA0C/vsKYTVeyxNmxKwwSDEP5ywIdevfXX/ox3ZvldPFwzx2q6mei2+mGYSvay3J8qVL/
sbRNBjdZ297/9avWNONDnICznG1GnkVb3UfVrwpy2J3uGVTPU/RWoWRzy3Q3gg9oU3MS2SyzL5Fh
MKbyquRHr7fAYADJPkyW9XtQeXotIi6EoWNfeP3ty1Iwd0qtyd0BGXttYtnsmRE1Z0OwOLACffo6
L+6btrw3mrI5cBW+EzNmlJ5iUJ6oId4NW5Va0Qb1MDp57iOGB/PcOWPgG7A03dq/nxL3mDbjTk42
/DhbnLwp9g4lVxrKmf1NoXygVl4PtDAPH+fKxXpB+2TAq/xuQm8+lUb4WNX+L7p2nV0XoR4h6huX
lE6HssFnKdwI27YAHtjUFs9l9Rh7lQxE03yGzuppq9ugGpaYsT43jgUSLZhS9eH1rnlvzEygLDtI
BwW5ilqwApVv58LFY7PWHxnuvGvodsa20dldLVAAsyx1VkLdQTlEqJvmBy1HIpBl8SsdmG2UaM6c
sV2F3pjcmX7W8WLlZHZ7hqZU0sVlYe4zclbbOjQDcuP0Uk8KeLHAY1llDLLDk5RCnwjUC84QU7rN
DPMJhh7Obspju4krsF+/RI3T3UHcysQUMUQcIpqVF5OxXphd7cz5Q+lzdHANi+k0ZoFCNv5mKOcV
m8dYfe3GgBF+4cznBjIZqRoteeEdMHuHNuL4GaqFCnfibPPP3IWQSiq/ZDrrYqhSoTy2ZYgaWe5I
ko+Bp5NnwyHYhDVh3+OWZYSYJPdFbUNX7YoP4CqYC8Cs4F8i8TEaXGGm+JK6EBT8LN0JJ31kb3lJ
jWG8o4NnvEtMLgDmbJd733wnhNOsj3+2nxt6f++6maDygHHqruNsuY+wSIKfweTYOYRWnEyyfn04
SfMa9iEOt7Zg9pbIrTfYT6XDPMFbhifgPYA3HdNdOT3NBqjmCyM+scFlwUSSmruANrIfUQ5ZhCnq
pjYpTkpN9yIj5jNJOh56d5nuTElOMEYs3fgJQ1lDmfNtwQ7O2997aCZ1v0Vcf0jt1ffMzB0aycab
XbH3RMvDYNRf/dy+e967RlnnIYs/C/ej6hyTRrfhBWY3KxPjgRGb5yZMNFKNflTQDl9K19+g5N61
UUfcxjsMA17lVdA/1EXyKjjdH/shb69myil7Kt4IIx7TdHVYlywDs/js8udK2dHOiboWwRljkt+r
6NwXsAocAb0+A1YCtGV6LE+0pyIANZiFoesfhfHQY1DcdG7egN03OFeuwyjbwKcTub/kBKgCK5wZ
tOH6VCky256z1K8fo66zM5Svo1flD1FiUEw1JBffMIDGiflhdV8NvslBwWx+Oqzt6FLxjxblZBcp
k28Hy9zY40XwcJQyKZqD5C6KB+x1i9CUMFrPs33IcXudnGHON/HInDZq1R86uRkeRuKASLNXlobX
I7NiByuuYbLxOaZiQkIDFTKTRN7Krkv2i6tHEgDfbZJTaMOkITB7zlVx7V8do75aDU0puKAOZcZx
hD0kCGkmJdy/DBtl1/YWxG/45LGng5vFKz/VM9Sc+OS7obrl8QyVO+LK1azBwnk+IYXYpIU4YRS+
2T57kuGsC7XCllPzyKlQUdk9+pzqxXeCIHXumvnRg8NK2lE/MEfeSo9Lns2sV6EO3C8kq5LyJlRP
dGjASjuQnDk4aO+DihDJ7OJ+mKBcYkdslbmxuNbwAV/dhbhEtnT3mXRmeCbQQlgWD5QzHT1d3mVQ
+/fWvLDXIhpsF7sjdIjRP88jltE7QOgfQ+SKS2R4YG9Dj/J60wOtyK9Cg4v0TMewakhMLG35nYvf
7fpjWehs3/Zl+A3erdla6cD0aZrfVNgv+wYKu9FX+X5BbWDNc3+6LqegrLfTbUTCMq7sGpPZCgsw
iRdE3ZuFT2LUIWxVc6AzM+PlcdsQOg8bue7mF70g2wCCiZRmRB0u92a8YMVJI3e7QNnNcJeOeCuD
aczHmzrHgx4+cjqiRR36KCXmBNjCpGZyfdoXaQZzMl3IKjHlkGS5DREfVFyc8px7BnU0rEQl3tZ2
el2coici0c2bGrMN5ECy+E4cQxdw8K401viOq83BJsLVuZe0WjZdubM557N2Gv3OnO9h8Kxlj4zK
jLklKVBiO9UauzlZdFZTitPkxBDe8usTCuds0foiU8bjBPaUb935BopVz3F1VzGQckZi5dE07QiC
vvh+/N1p7J+5K5uLEUGbaJ+XjIRJlrCL6a56cSRrNzWQ12awONWNvwp3AcyUGQGTR5IYgiiKswAy
tez7arLGwGxNd+cBI3/E3DpeoRh9VLo8c8LQ5OUEacZp+WPZgiQQJd9HH500E59W50QH2xfmhpa5
UxQCAwCImwRVnKhNIaJ7aIj2oT5USwZGmfPcWWeYxGqn/I6Feq4srhEDfHKYPMCahC1vRpcue9BG
tH16E1ANsXf6Arjj/BUJEz0yjos96GoomlXVX0OSSTQfvZaz4+9juYALCId17jkO51KMR9qoznE1
uzuV4upXrp4eByPJDvWcsfokSIVR1BR3forPt9HRH9fxKFpwo2w/+hTOswBx8MS/iUTRL+exi7pD
I22caOwuYzr81r0k2zOTLS1hr2xkh/ycxd5niHnkkhnlkTSbvCVu8tM3CFSGg/VWZ15yXUJ14vfW
t+RHKbtNpbT9HlP5SgoJekoa/awXLgkc4OP9WBTYnmN9irHv7Ye0djZRnVD/IyIjyDoSs2Usqr3o
EI6o36Iz1YuOycKJOvGHX7G1/G5kz/IJJmOsuOSVTcwX69GMAftbdGSH2zj8U1v4ihNSuth0FFcr
cwQw1BxbAazHnmO1NeYo6Bx0yHUPpuX0JPVNcvmCYQL/2iX9SDhn3MsWGTl25B8gBLgCEVpse7hx
ZhgpDYe/mFREXnBXvNm4wpko3pR5GjiuBE47cb8x0+UxtF2IjfOyy2UicfUMByIyfM0dL1jpOlsv
Fsg6OrtVlm3cFZSJq1B90080kpbqqS4HSNtQJ7mAKlXxR+TmHVZzhsU98TIbz6aOLoaLegytER80
3WlJ+s26/2Px1zdtZSKCudubsLoOehTlFhhwmNo8hz4RW49OpVg+Gl7yAVZ5NWZwiLTbT0IrE/Xi
E05LHshrZnWnuQ1PyuCAn+dJsWqweUACNiUVA6ywzeioN3IKc0xilnRNdy/2jBU8Vc5r2BQA6XJ5
9SD7AYM0BXYfAqGtSILFG1+WMQb3QSsx+n0rXRi1k3v0FgMD+ALo3KVIU6VfNL/9WGqucumaVLTo
gT4lHU+lmh5jaLunvsFAaofJoXNa5ICoT4LIeJ3qTB/NFA5nQ5BeuU8SHwxcbgej0twcXVxuaLbj
11AichBe3up8hijhdnnAQsRu4/P4+D7ZmGT5ndYmIsn4q8trMufLUevk3TVYI00RpztNRevRS1FU
WjpHmtQoD03IUYFoDRirwtzaQiiYX54ILL//Zhg9tMt8M6e9hA3LCs8mOk1ZYMUOZCUmfFuLCXbT
d1lQIt2zLnOytKz6T1Iay0H5JebjRJ0KEx6aGbacJDssum4LYj1r/pQJu0iHMrPxy2wOYmJrK8Dy
ELZlfxlGGjF1e260xTAKjXebWZj3hdvybGRnupVfpaRFHlzhdR77c5Ib75CSnzt+bsc02pOcey7W
9HMWotiLa8hgCok5VQDSzGfbij0O9y3b6sQ27rAtdAkhwljY48EDeu35TcnlQXVHMBJbn3Phyaxl
swP/VxIMa9rAqZIhgPSq9dEjmL3FQ9oHUfRZ+Q4IGwhI+DvCT4qMD2MiPnjFCPQ8VpXpHEiRNXFL
oobLC4lSY+uA3PukFiOE6LS31juUzgCa9eQ0Zg+iau9/+Xk57hRV6MXEbLOr03cmMrDjehgKTIa4
0GPsS3tpbh1+2FzCfxV4A6MyJ1aQhLx5QFQyB8jPVIlnFY/v3mwfB7qxl0GdEmu4cBnOrlPbnFM/
B8WFW6HyiKy6iDyYEjGtp/N0jzlfOd1zzBDCEoAckOMiDd6bYdi86UCrcHovOE4mPlZughP0Ijop
vyJ6j5UB1oed+VdzFTNhzGDDjHMgYlje5tHeG4qUI4Tit7mzJhxIsOcMeVAUtB5rd3xyGsERI+nq
uzwCPeRrLiiO0bLNt+VuSgvuN+3wanp9s5lCaV2WfoIZ3jCy637nBD7nPH4yDPYVTEb21rbs6jBh
E67nxLomURFoo7o3qQkg3mRy6OxIcLBtnYUZVYEYBtYYz7w168TXSfHCx/505L+O/zbjJ7sYGadh
XZJ0yT+GRuOSjmG5Rk5+owMiOzLEdi8gQV+1t2JTW4KXBPe/neysCu9L+d6fMpftxujXpni25aq0
7jXgE/SWk7MwTdel++La871rjPE+Ghw410rvoKbOW6oRJIB7dKa5ANFaxvZvGk1YQdlUD8J1f04J
3zB5y7seXSNuY3yjFGYIC2Mgs0LKvJZtKhOxx3Hj7c2CH1iStl8LmOCXHLmoLkBLkkvQwIPW56cV
eIgMjHGiHi76Q1sttJKqxmrb4aRWsBqPPiNBxlKv/aDwlxBkDQCVv0jctdLgNjFZxky2UC78hQlu
qYoXFo5HVt1TRnpyK7XCoxtZP5B900NhzF9GDl67D8UbcysCuDVj07JlaK2Obk1jztzgxC7iLsOw
JC6hF873tDZ9qrp59yZ5cCAy4HQKxVl3nb1xE3IrZYxRvHBhVg73lk+YzsGe2fhLy9ClRqvApoMQ
mu4iExm6qX6RQsTl2kKlGd34JNra34pQbnnmCQYGXmcNe1P677p07K3gQJOjKzMUGJ48hfgOFKqc
u/scV892SupdmSuKH8t9KSdWk7G+8yFPFm5rHCLi7nexhUUKIi3oTCLu3eBVl9XzhG36BtljX8vK
vJ0wPuud6UjoTGb2jnukooaLQ05ReN8l2eGN8oqWVGt8lMZCYnOQ19wJvyfTyXYthfdb/kfasRk8
qAnYiiEjxs99SdiGAiePcfdxcShdmuzigkRnPTBX8EVrHiOiF54CVEX/D5PKsiIL+FGSRaob67V1
wn3f2suBhqc9BkUjFCm23u7sLPFTrttXdx3zd+SSQgjeeYb45UT1Hv8TjmZvaYN6Eh9IJRUSKtym
JD8OfvsgJsYRKowf0w77PD0HvrEbCug/c4XYHSvu/HxCFZllmspWW3Rj7HwL8anP/HtbNe8Dx0uv
lrc59sAINA1WR1YjM+2hlTOBo/C3I5tslk/MNY5AhLydVSHXgtA9grfqHzOFwhjNSx3kBfa2iMNC
BkQ8aKB/onn30LVtseEPP+Y6eUmX8aeNwr3QbcWA/daU7fM80bHCekcNn2WVQWbPR+PNcBuscHxm
G1jMZYDhfqMtyMMhCWeArnuoI1yB8LEx9uJNALkE7LeGpuytIPXSwux2H46EaMKZ16PPi01vINcP
hkv0QQKvSTHQCc9jpGYluzEiApT16RN1LSQVpghHek9HUmwT/Ezoc6IcYUmOblv68F+1f1RDc1Zg
jS/UWhCxz5yDjUNQFOtsGOgtw9Bi3qIf/OGBRBHQvyacFZzNGQBhDDcexCyexhRLj72ymLlOBmOS
XFZzC6aFl94MOZW0UNwif5+Mhbwj5luVPrNSlqUUqMCe+zd4zXGSeyI4x14gE9XYp1AKgHFWQhW7
ysZZYk1vToafPLlPJ3efzfLVHRYmj7ZBHDZspsPgcZQ2pLpUugBSWjbMLsI7rANctJruswCa3kO0
DApyRmwY40NUmzc/ZBZRLPyUnZDNWFpYt1mCb4oNI2VrPmtZJpscRyoTblKpcy/3WZs9dE0RsuhV
sKprRi0jktgl7ID+OSGWmthInU3aNfd8gw8xB1xQ60Q8f1skOfuYXqpuAOo21NeiM9tgiNKZqEMN
0hEsfZnjpA/nAprdIpAHu2UzwuCI8/I4Atrh0NAhgbr6jbTQITPRl8h7iiM49o/EY0gxYwiBwMit
h0e7MqyryASxlKHjzlgYIBr1oRvr1ymtIcdME/ZPGX7RdswAxWhA4jVPrj2Fl8aeqNr+zUEQYzF6
DH7Bna4qby+GELeJdzYz7xPjTnWuhb7hKswOFX+bGBWZM61YC6yC+47ogFHOtFVmGycEiaFKGkp0
fgM2nG/I85Tb2tIPdj46p8Z3gxRuGEIgRXP1Eq5ufQh+jEFd4cI2Mh581UUbanfBoLO6RxjYzrUJ
rCHLSL2UVNwAh0waecAIxbVH01YYOrfJVxxw5Sleubl54pd70kWPk6wektwyyWMZ2xQ3Fx+6BBac
L+7MB0QiE3zSxaYOOI7gJcTaQt6YL3ru7IDH5XeGT0pUKc6w9s1PxQ8PcNgmsRqDVBj2ldkd/jRd
422nYXkpNcDIZkTaA1VbIRD7eONIbgilv9xI7mK//i4INCO1oe7IkSmUYTQ3EdrvGongmneSOUHM
Dl5ssJAlm9E2sZZF6lw5UCTjIqM7aGhPs7l85r53lImL+YoqNAIHQ0LZM8L7dIPGSXNCtJq1alUl
8MjJMMRRyRbXNZde8FSVgurbTD2YSfRDhPocSU3keXAMti+U0Y6ZAZMZTi9zSNfjCDKpQS5yfZxf
miheT6mEA2gg6IEdBuB3/SAs9FFi2OceQTp54T12KAQgDhAotCILg9gxcvkkMUD3OJtO3cy5bOnt
TeQRQak8UQZ+aX0RhT62I3y+8t4R4XgtjGHtjZje4mkuLulgvHeJ+jTqjqrWz7ggkWaX5m8eL9I+
A/xWoIctDYQbj3MLFN5PXSac5e3pAVvV1peQ0nlJCatF0x9zzH4Yvf8qJ34Mi8lQL+ViTESQsrUJ
XH9h2MDyViKHsB6ydDZ33Ug4nq4KfmhOcTd7xa9Wk36izVpMUNyzvLqzGhtcnLmdYj8/yuEtAb0L
TW+xuOrww4sZ5dJrYT1HOkze2oHWzzEpkhsEFDa6jgwreEf+sJSCCLHs3FU8qhq4srmV3Cqa3Q4y
Q8I0Sm1xuMoe+oQarhBeJgTJL8+lfJD82FIuiBjkwkmIAirMLFL2XesV+w7LHFGE7uzFFjfi3D+4
Bb1E9AfQ0VH1B8YcBzuqd30ri9OgFzPQYfdclhnw2p3Zte7/JuvMlhNXti36RYpQn6lXehDYuKOq
/KIou8rqpVTffP0dwufevePcFwJsLLBA0sq15hzzxbJNnlEyNNAfHDkzIYCTpNFsIisSNl0Vyl0x
TAxLR2OgFvvpsVxa9IJR7LrIR9OIY1kxdIL/fG3le0JWwZbMyXSTsyDB32HrD00L9ylza86r+VD5
NQmVsLHarYni4yoswj8k/OpcXII2GR8csImq+NIzzdxl4fTG6gnaZQ/YWmnxjsr4JCtyPRjeQEdC
LaLQCjwiD/K7XBFgU2eMkgI0StzRgRUdK9ObkD1hPKFpyRyZ5YAvmSTkzJdWVdkZKw5a68TY+zqQ
9YmgZbL9KSVkxBlWKkXvWKHjKk3PYH1owG7N7CfSfSwaBBFJUofgF9O35BCj2ZG4nZ1lyhLp3aes
Catth+yW1zpGZZs1CUOpcTvplEF28OVpAUalKvFV2KbbOGiMvZm43Qr7GRCBCfe7ORbIslhnDfGC
oSpPASoeunOGH8zT11j7WjXPvoa8SdfJmxsweiMop0M1GnCH4+Ri4Z9ZIawiuLMIPmfV0OzZkO1k
IQG6mL1+rACYY3IXPSaBQQ5wy2SELj4cTEgrESJQ5gJRb/QrS+9ZGhMRMEPJCyF9UciibIjJOYJq
6e5Z8fyxvYkUm5nTOvIomSe/AAUTrCffctkvZ864/gCWs8LIs+PKHj+GRE4xodqxLMFXORreKQoh
hJA5p7WRx+QtAhXS0Oho4UNmBj0YMnXfBRZ3+q0Wo8GSoJnRhYRpthXqGteGcR6On7FqDy3n0RWM
1Z44mvBSt+KPCw9sVYJIOjgvs2i71wkKV2h5B0h60fOy+ur7Ef4MAUjEP8UeB1H6CCKtoQGRfZod
kxaMRsdOI582HYS3H4RFXky3VJoF2jUiQ3S4tawA8qbdp02GyKYlRHnu+E713QT6FQSo7MI3ip1d
6i5i1YDLihWF6oRSU1cohEZVkQLBcg0JwEErg32sEHt2ytgDKp38wPI+6wqrdWOfYrcezmFCz6Qt
Qbt0/dRBxggfZwlgecyDl6myx51gkm8nFwWplN6YWXKeW0TNxDMEyuPT5wcxMWJp3xJyKiDZtgis
Vj3AkrVbjN0hFk8KXivJS+rmFX16VBunY5iZtBQ5usiLTZ3U4PDDX3O8GLQqgTG5T5oTJPw1FIFl
4DT86VimroOkzt772dpEjZ7tpxhuO4AywDOg3A694yzwkCD8GHXLZwtbSXDbw9QDak5sFzQwZKUG
Wk6XQ5hMxA8YHQIlJKyn9M3KS8WQKVr3PdcIPd9SmiMGkBqvyZg51rLXMIKljE00WhkK3R619TYd
yl8SxgFJIBKQsnfD+R5S7UwcpgDNkDcNyKOleYJL0W1VTzIgc4iS84a+96aoO+dQPEnKReKeMj1k
7UBbKGspRpzujzZi6pIcrkebvLutEVMPeslL4ZbdsY2tXwgNL3PtpidbkCBXPqoA5a3TBz97A3X0
GGnnvOoBzTozKx77HHo4yG2bK3qdDhWf2XxN5s55bkLO+rTF0RaiOKf7bh6ER94B0Y+rJIT3UXjT
yc4Cf5Ba88Mo/ipcadtBpyGtXIVNXkLAqELWzMGXGJyr+ZpZdOtF/TcJIHuqjgq7rOo3FTjTXsOe
2baG7k8cA9sO9VYSGKnfhuNTAG5lP804eAsJiAcb12elEWOgCHxkSlm82nqm9nkXx5s2vpCCDNWw
LZj2Ns6t52LMJst3eq7FS9SxXAVo+mb6OkE1xEJFLH69JzUkp6xiUDvPaD5EO/9yCUh+CrKZyh8T
YhZMzaFX2gfKmt/FPD/Fc1j4/fgXLKa1ylloJ+EyWZ/z6OCVOfym9KfmZm+TTXsvRgSahha+8vQl
KiEr0v/RT16o5JsMGG9IfHSM4RKWoM4uqdRz3/C9EejctjXouEpNL0BTtsCnq70xpZJrBAgvPWUZ
2wW/ZWZciA3BQlmOcle3FRhNG+ei3r6m8xgtoDrauMPVDBgwmGO8qG0JD+iNl8FBEjJ2AI26NNjr
cgDuOlo/U/xU29FWr+6I4EWTJRj/GRZz3R1Un1SHCgXEqk9mllVFtCPLa+GUgKQYYHe9ZS4Mofyv
Q9jWadbaD1tDfzxM42+mjs22nBt37+nGe6vQ3xA6fYoM75H6Lztn9GgYsS7Ya53N2/JKDIjzBAjJ
eQpIQI7LmWnFjNJaxmRMWtRUE90l04n03TA7r2EyN7uWQCmqz3rDPB/wSk4DFZPIj87SDuEEqMHR
IEYJka0MrQ32gaNZq/TcU87sg0Hk63YWD2MYz2ssj/XNpDW8d00rBjIbIk0DZ7a2R61bGVVJ5I1W
/k1lfkFhgIg2Z9aWMyKqtOJqudDnjNjZ0Hf7YLjZYBNFze8xZF1plZmzbgmow+z8UDZEXmqJG62l
0988ztEbvD7TGXCixbsHrA6g6zcOOFTg1BmkSsGc6Ln+FODRYQYw4tW1gGyKjKbdqKPGomgrDk1Q
fSQMKv2MBeroNk9auNA1nXg8DGMdXgyn2IwdwgupMMzkRvTSuVA+exwMJUoUiSHk4iBeSzmyjCKH
ddznsV8TVgV5S11JpiJZsS30Y18g0mIIgNI82uJ8uSErIzBBn9AaUlzMkihJy5he3Z5vVNtk+THV
kOiG1DN1nPvkNNHkhh2LYCx/zrvSXKFyzPD24K6eeTRH8PwQvmyM5QpWG5doYl7M4h9wFA0RX6UG
aCrkSCZxCENLiktQvuUImEBOr4Hzv3dW4+y1lnPz7H1YfHOQx+hIS2QdnELD+SKW7KZ7f6XJtMbA
NZuj5oC0ytRp0vPfHfCwKND0Y2i6V7Mt44OtnNeyYgafLn3MCVv1HpMmx0+UPXaxvnbtSN+acgj2
1Axce+0JoQRaz8QVwS6PhbvPe1TLrnohy2sjLFOdNCQ8m1BLLrrin4RIRFd0hj1ZF/FrLIntHnuu
uDUDM6J0cP3DOCNB6cSzy+0QJekDp8Daiu2V18XpxhnEV56n74YOeI2oQneNBI15QbSQHLsYlsgi
dca6Dq5GWCfpYiDujRjx7E90kyiRDEp8URJHE7/1bvsnTlir2Fb5lbRec3Jc6BL5hDlC/cLUTgoY
oMFtHtTWsY9ZMRGKvi4gSwJOfUvtfFy7EWLsPGhfstwm9moE581YFeYjS8LQZKjZzQV/j46FDNhI
VumWdl/15JazQ4G2aU3P/YFS8i2bgUqQV7ivKooynGAGjDvUv9JEMc8cDalJ+77YHbJMjVc+VSY6
9TPav0+rmoC4tk30iASVZmeMI0oOp64Sh1xMvzphwNUq7BdVeMW1bp1fkhN20DJPlqG7uYZiNvwM
vQvqtPFYdADEPT2lV+o5sJjT6VXrrRQWuAgIZV7AEu2PuY45UQm5H+YZy0Pa/go0+N7OSIs809Cc
p13znCHKRQ/hiRUirdM8AiptwuGWR6bp166EktJaP82SySjUoPhoY8p1ZxL9WMNfCxZ5TAgycKFF
fhY0Si2S9R51J/1RBx1HRELCx+CqD4t50X50HVroKboJC8pZ4spuY8U5z06ejRSjTOYiErE7rMIm
U9oWptzBATO0gXXptiQ05TOa2CSh82SAIKX9iEspzn5YSVjuc4bNXYRywmTMjYz7GR1LfbGa5pOx
NbjLJN1a6tw03t9ictV2hsdWQLPRfjmp7Dcx7cXGsPWXsaovDSFJ6zSD4wranPOMM5O2a5Et1Cj3
D9G2qDeJiSR6FKPI8KdFh38tnXOKdoCO+d90ofzrwTGlJapFWAsFhpUaNqXRoS2BOudc0iJ7QZGx
URoFKY3FbGfl6bRrgYdtnRwik51bCIpaaubKng+JjsrSqPCVadu2LcgVs64xUWxpjqohbYnIC7xT
J7AjNjJEKjkrUCfiB44wJta67S3qE77kXvSK1R5Jz4i7IIuNFyezyL4NeI8Oft911EUpsMwxWiP+
rU7ePFzrQcqL9KINSQBan/VPQx/ar+Ni2SoZY6ANOjmkAb4gwMiPhsU6dUCr9GIXBPvZAdQlvNi/
IzEF70CXMYVn9EaYB9YsojaZk01wW9JiE4xS/QbWQqAebJy5X4JVULmz8Aw+utarH4i1uArNto+1
NjxMmOwOzOZ69g3u/KFI4g3rZkYc3dKJnB1qFz0FASaKr9FY8HJCe0PkKR8Tm0G8FfVntx4B6o4Z
0dme2PR96R1pZLirTjjNm9vnLDqgfnrkGmxIokbH3CmBnDBbSAwJDSijGg6GhcsDZjFK+XnY5ICn
l9aH8XwUiNdj529c0MVKg4rm6XXwute4xoDe2enPtjT1hyH+E8PzW70zSaCKptB1vKgEnIZJsH0g
EO405VHhF5FLgA8sfDm2qFZKc1/nPaVkvq+MDnsbJVEdHRsIpN4wQQkM39re8zM/1ayYORyffFmS
p6hnj6qp4WthDyWJa2G8qA0K+5+FiZc1I1VGY3hB4DYdvYF+Q/RljPFzjTNo6+k5o0i6tSqacVux
8D6LYHxGWCahzNBudT9Sc/oqZX9jrANjLvhd1i3GQNK1GGPT1qW4FovkPstLtWmnSiPywvhgdp7u
e5uOlV5LzHqCUn+EbtQFNUGI0ZdQcIzKLt/rSX5SloPZhyxhkpnkgKyP0JVw3Vjpswm9qNOGY4+0
QZZ0q1UHD7gklcgb0i8pSKSukkZ/UuohiAaMSdLtL9pb4fQVDM/4R9O44glFYkkLBAPNTKIisurK
OHjt7OMkJo1XE5S+QyyJJkaL7ITmiaaqeYqCGNUgl0fzNEfzYaKC3s9NbpziHLjUrFn/e2/52f2h
ZC/sikLeytnDLkscDGoFZEGcKPJdaaXosjJlnksGvKPTTnssTks0r6WYjdsontoltWse7R/6XBu7
fHRdv8ta4SuRCKA5hXtIi+Zg0YgfEnmqW/zGTYW+zgkizmJGoCe+hE/n0zKC5lgEb1J5gW8YuYb2
tumOcCy3ZuAl/v3GCvL0+979oZyN11hjTRCWVYEGHWQC9jTez/I1jeOWU8r9bh9AB4wyPBK6bU9H
V0NrW2pq1w7sxpHYrS2VHI3qzqz9tD47xuAP1mwdPBCKFyNnyGknMaaDDkNOa5dnJaq4XdWaIFba
opHtRbp98iZWB0HBsbXcFCETNewBimVjeXQiQaSiF6kz7iyFki2+ohEmKEZzq3MViFMRTjQLgVQp
/IvYv9tk4iQCydWIgtTd1SjroMH97uU8by3QkkbuOsdhIZAFIXRws7AORYz82BTogFdwG6kUA1Lz
0LppvrXszft+vd8jZJIxizFglFs+qftNNFqXGQYMYinYiQ56mYBqeBsusRg7h6iAUZjhAf/Tehw6
z7fC5l1l2CGm7pgUUeCrXLYUG8OmIRT5WBWfEh8E9kFKPkT2dLYT/aRjUzhB0XDTeZeaxpMZSHF0
u087QVJGV+DTRv+7l9VwMQm6xfwAmHGYxyevoSHHkiHEh2RhH5mHRzvgeud1yZMXd9oJYDl2NFSP
eMPs9VAOa5vM8S2AMOwI9BD1EiDmwCRzqEAdLeFFXVvkhDU0qETBuE6mcRoCSn0vm6pdpOphK/k6
PnkCfndqBtp2TGk14GhqDgjMqyCIFzQHoPCRaKsUQqJeALk2m9DeuMPAR142NGWCWmcBsbgn5MDE
2wxZkmQdLoLGCObl6PsSmmi2CLhvWcRCsTTM6jQQQXcMGdU4Yecx9q0uAHzp9sp+PH3fWx6a+TXS
jfnoKK06WctNvvxxbUbD2jEVK6g5aE8KntSJaiDSUx/J7C22oZJYOXg/YRjpFpNQHwO6hkrQa91m
mJnrT02LuCJNPRRwrsGup5IyY07nQu+Mp5bIeVAj3kPp1a8CSYQvQoc1g0fN0zM7leqs6t5+rUdC
ClEfilMmLmHQ+ZIk50e9MUC2zhBzQEtiVITmeSSfR74EaMaqfKQVqKYdneKd54Zjhc0puqnJfqVo
bg9EyFovYgQrY5TVH92m5a1QinPaowkVda51nYtkhyjxxxzO48UrbS7mY9rtPMD+iFIngfbQxmMm
UjNZY6closOmOrMtWR8STWg/J+92NxhLu8KS6I5yD9EBPAsH+IP2ELFe/wVrpz/MqGtogZHWSUsw
ORQ4RvS4GG5pZpg7OAAPdPTHDcLd6tlJ5+ciAP0a5Hb+0i/q85AyZB+bZvg2jfPPFlr+tk6q+KSR
07fKoXRueOcF4yJ4U/TkImSxBZkEgd0yhubsb4sLg9h6n+clFyfUUng3DS4IfYqrgNF7wIK5L5CA
z0bCedR5dNJW+4Vm2NlnujR36VNLP+Sop8QXMsI7AvSFW5mAn+H0hOiT7owctcellJxFzXgFHdxz
ShqRYcqTC51QterTIFxrwYczNqkL+9QAmy9E1xBtWH5ELcFurhFXu2DsdXrZDi3niDxXK9PEEykr
GX36zCCwGniBFzzE1h+Bx42dnp2bQvT7mqRO4NX1RhuqiXgY9Lu6SMBEkPEUUcDSiVNAxp4I3w38
MGkQGndw3vlKrKPQ209mmaTrvIomQMP07j0nEYdZHyF6EZZhjTgFUV3ugnIipENsMJlOW9P9oG9m
PgnTys9TqD+Xc4ckVPYJqYO6dZGhuXNF/8lWtzhHQft05m8HNb8wlCI6D6tr1kUdTZWL5qXlKWZ4
+n1TTTI4qWj8kjjO13jlzhaTok1lddPKainOa1UyHyb+CSfbqg+Ghyy2+l2fD/bp+0ZGzik2GVzG
KHx3Ivk5MVsnVxhjcTgUJkXwe8CQYq3n+NuVeWgTG4wknXrK6aHNDnzVT4WB3ZsRhMbwGyUbGK+B
AjOCcR6WMfJ7M/JpeUZ+I8UnF3++JYHSGf1xXjYdrqdo3LlYsxywt2bvfH1fu82IBq3qRzDZVA2+
G9WWf78HBPU/9yKwc5E7D3svT38xILR3kH1wWy03rf5bGzL3VEf0MUp9IuHV1QRD4o0RRtYZsjry
uRQEQKbwCzlDrdae1e6keLTczPDrrhvPlhFN5/u9EVYy3wGUVvrAJB/1GnNXg6qaoMYS46COnBuL
Nd1zGOXb3OixTpA1johq/A0qlSonSrEuKNf9vunN0TxqmXEADuigAiFnyyYw/dz3oA6NaBEJjHBP
WqO5wL3mGxmLYtdOw3/+3F42lPdVyJU/u5SseXwHMUBAT4aVSyUPzGCZmUXy/M9NHfTleaqOBakJ
lxa5U5yLZB9Y3RMpdu5OWRJ0aNMH539u2swJzvYIFMZgXumaPye99ZN48s6jy+ozc6YP4s7RwxZw
Szo4WgXWQvaqV3Sn1M5gZMyosubpE3/RyrMajT1qQkJ1gwNka3mOlk2FWHUrCFSnvu8DP8YM04Rx
eratZxK1w0vK6RH1XnSMRiZecvkPmZzGl/vD4JDaNEyiiLy7zO7WuEHLfUxzHhkPAz6PCDjw0vkZ
125D02mMbqzrFGEUlXHFxKrtshbhsm6TBeOVVXkokE49GHlbbnsC2l6CvGQKQjNRE9n0a27nm2c7
UGqHxLeZaVURhjPsqvaxrPvkg24lxNLSjN/0EcZHVWvW1oWyvzajWIcDHBs+oFcUUn0ELyXw9klO
qRHZtrmh416fFTIywPOMiRYZIDL033lCLiNlfTkb3Z+karfII8VnoXFIV5rSH8eq+enVBjquKk6e
jIa2M9/9tzgod1zL820yT3ykA9c0Z5Gb9Y59qM0xfZStpGXmqAOKKwD08pnss/e4I0sQgUrSaL/A
iT9UmuZ8zYpTSNLrn9pysm6ccXrNR/TI4Zivucry0VSlpJeY6se0CZF11s20QRoAy4H68FWrSKFA
FtX9sahU22mxPkRlc6kIXgfUIpi4KLQkOkvyppT5ozI6VJ34NHonRwY8W4RGwvxkNGHdSlRJN14u
5SLFykrEwr6lFp37nv24Fb3h3HR0hkztC0mAB79FjkFLO4Cne/9bPShP/VRGz+nUGm95cr0/CchK
fLWs+RVGmnMzggy/kE6O4n2DBpkLqL4sQiaWDTKyJm+7FvrhvkHXIrzB6QzrfP/b2Tb9EgXCU5zw
RTPH/f2nEwP5K9Op5/sWXNAUOJoSjcwCNigqYe/LkHTu+8vFs25zMmDofP8tQlh6OHTHz/eXE7Mi
WTyosQfX7Y2J1P1JRJdZV5K6rv95DyyFKW7E9y+J0wkPkKnj7/efQFkiVw9H8P3l5l6i5kFMd75v
aRDRo0uyOgZW9sT3+/Oq+Ckp5cP9UdnOgOtsgP3317JHnRDrwWCUu/wvjqhgXA6Ttr8/pA4hYjv2
pH9/LUc410qY5vdOB82RAWu7RURwPokkR9PFFkAd9OepR6dzfzi6mKzvu+T+kOF4ufXmxv7er6bN
MD6WPbbB5W+DmmmZKpvv7WsFbp0qvKk8sZ4MPpf7c8xxss8TeM/v95/niXHICqTUXdkhgBCNdTbM
zNkoBDcs0tI/cY1IkXl09awn7KV57BYAe/Vs6eKspMYqXBLVQkf10WlGsStb2jAyK8w3twqvseV4
j7oXWm8QXo5h9CdtY/F4/zUxvE95Xdvfj9xQf4rpej5akW6+MYl+trJ5+v5dw781zLL7fiT65gUq
S/P9zHwWLybXnO/fVcP4ilEi/36UTNmb0efJ9xvQQFA5+hh+/85VzS0m3ePBzdFF5VapSCiL9l5v
jY+YEcJNFagKAycPSSXGvVkTm1aOf7W0ba4JsSZo8U8ZiQUbzgCkPpoaOYcAbTHs6IfaCdtHpq4t
647FWqZLVEpG7mzHsK4eOxz/vhtCVbQXjgqnoXVd1Q0I3FLCgSEz1rjRCjAeY+KjNgy8gg1JaQNK
6gfIjZxK3CA+RBWmaFBp5zL33rSQsTyhvx4y0ArJuHISdQq8+dkue4I/WBxzmpZHzEbjI/P4O17z
5kyd/ZAVqXOY8+Tj/uh+kwBB3TkVauFMt0aiWUcqC4+1ks2oPlSlftJC54TrQn8IG6E/WEkfX/Li
MR8QeViYXFn6bj2gViwIPJw7A/98bCJDUUrQxXSdZUgTkzR8t9oDyH4wkH8OxmSevTLDox66xb5n
+Drj4GUUwVU38lpagTRwVjWE2X2YpPYDaUTu3sIXuro/rGfHerDlI1Oj4RKlgIfSMgT3jEGJAgc7
BQA298FMbfehTo29hzbTH4LKO2iR+24tbwXCv/Nwv3e/cQpxIzCzOrZUsfTPCDUIiJo4Ezi0ue8n
kqGDU0ThqC//w/1HYcvMt9GJ1xIx7y6tkWM1OUPCbJxDxN2xvdalRyKrjYV9VdqYCsoJR4tnwq2M
J7BJfRcT850QzNPXzfCYijzYNXqCjj18buj2XOTyLu/fhfu9VNJac2jKb+4PzXD4ZG5lHkZSWB6Y
h5/LQe8OM0WtZ4fIdDGZP5qBjq+1m0+Jk5bHoS2Zgya40jzIH56NmR0RLoWbGTyMYzSucwEElIz2
NRGBDtUMgINR1fI8UekbT1patkdLiF9aX0FsmtFVRXONHPR+s5gvKCzSnY5vimqm2zN/hYTWqxxJ
qvzrepAouo7FbhJhzMo89N7Ais95mxqEuGgHhV9iarVoaxqlhrh3dC6sbVlKnwsq2H3rof0QIH3X
VH2sZ6QHCS6DVATHJqy1FYuxl6ytfve5/RBNpP96+Q36xCrvXGgvnbeEG52SPDzRFclWcKd8MT9h
2YiZLNsPIf0WJnLjw5wzTEHyJDnJE7KjL8k6eiQnLiH/9xhmV3H652Fod+PMpLnwyCRJxvHfTzWX
v//+4X1TDaxB9JDLptCGYYDr74E+38/4r+3e/+C+Aa65lFX/9et/v+z3ffueCPTP0/79CibfkNr/
96v9s/n7PQN5Tu3/+7+4v/T9d/eb7/f43+/n36+s3/fTP39x/ze/X/L+w3/989+v8//2w/fW/vvJ
31vUwYlMvYEYSAN5BQXiCL4s3ENheOroZvv/uhm9a6yXy5j6L9Rl8iJ1DPok+NKK7k610aVYqzC7
qcrwqYYCFq/yBh1RnCbz0XWF8pU9KZ98FdY1mJVyRFaizHftHCq/X25Ksmj9XIVftDb7nauWJWam
fcXLQqzJA7HTCvNHIHLbF+lg+x62QKPvKNMmKzshuGLW8D5EXCVUk8ewMcwz61pv3VTYIoeww5O4
zNzRT/tQixChZt5ZZiL05zSNfE8t4exegghWNxJiKjRnJR0jO99viiVhUY1VRpTDNPrJYDHqoQba
uMtyU1+y1d0CV4iS8S0dG4gTKPEveo10BM3JzmxqIHqNnW2Ticn8TPrH1CXYAHnXNAJOlWJUXEw1
OkUt4FpZ+YFQP3AZIy8e0/GoSY1mj/GROZo4DZzXH+dkPOCvbXYESu5mm2S3hotUnPTI5K32tYmT
ozkScuLmE1bkGK1i1v5sbEs/TuqCBMA6YGDcpm31gsUyRbjokxTMZDMqsluUPta0Stf2LD8JTqJH
WesJEx5cuRGLuYsXo55Klncrp1TbRqZ9Kxy0CoB896ZpPttCFksH7q3Ki3zvaAx9Na9aA0NX21TX
cLVX4ixDkIIBdccIgb6iXXXuTPeGeaw5mZ33h9xz6EZqmekQ4ztVyUbVEBNszZLr0rr0y3peakjT
qv7MLF4mdEmGYqYTxjeSSGFra5odHC/YaRhEskeyOaftJFHm0wXDz8ZUg4lft0ZMgD6/717tuUx3
Ho3yhShCVBqaM8/51Id+2AmcpZIF0KnlAl4t18nMxO02qvbiJ5EVXZseKYUwvPIYI38ZKjLbXCN9
aQTy7gH7TMDKiKC10cLVZx0zTIiBR+p06OiHhuDdVdMMBabav1NtN1uoe+j9+vlIVWpd4WjTXp5p
qwXaHtTkSxgWYp3CbXvDxY2RVVuD3jF8dDk0sMP2l738aMjVDkv5g51vKI7KeO5vADU9tLGVu9fp
j1oD1B2sHP3FCAaf4N3wamKXFEPU7U0qJynTKwKbcV+U/IWtsZCrifVMIuc5W8BDOFDfizphyIXc
/hDr4e6fIzzIXfqjc0InOBlPxOGuQ/uRXnb3KkoW1syUsHox97HUQmJMnaNdQNnMOvTp7sQHq2jb
Bi4hd7OZJ+s5iSWXds3gUEMgmo3FcYaYc8Sxgc985MgnqqHDv8jQkImBleQlRxrxEU3hHdKQsYg2
TeZejvHfvMCCEwTz0t3HvzelpbdJjdjXXPvsRsaWvJH0knhhfGqy5kV1OF1c9hiieh0VJqiCRfK9
xnm/FlrH5KdOfxa1wlzgMduWLXkTFsDU1rafY1c2+8BNr1ElSAJswwZ8Gx1FdIbOlJIL2236jk5e
ErTHwh4JBUCtPojaxQrsoKe326MROfFjunStcSYH0n3TKyrhFlM4DTr3zDwIN2CLo5y4+J7joLjg
h0fHmRmvdV3OfqE6DGE6MLbMinZWn/HFLPW/fZ28J63xA/RWlpWk1sAMWRvQ6IhShd2pPQWDd60b
tLyLF67HqL6i4PhoC16pBjl0HGB5yKV34LCzyA9Ctm+wUIxc+upgxqMMlqxeviIeRAZshh8emReH
0p0+q9iGSlYZz6ACqvPY2Jc4VOxTN8FWhzNsn7nlFxac+oHs0vqhEE26r5dcIDqJBAovr0QG5Y6v
9yIuS1xQMa5Ph9wB0TRAYCAELUqqn6mFTl44LicVVR/a3AZ7KBxwJbQTt710b14Tv6QuZnrbNOkc
evZzIaIWzpVJF5IIqyFpMG8glJxy0CRh4TlnQGZmh4Of0wo5DVFtYO2rVm1TWKvaFrCq1Pxhqj8z
6Y80ng/OVLbrIh13fYPzDlO2uHiKxlo1tWLdxP1Jx1CwTTgYkJ1hHBmFNuzGjrxK5u3nFKAk+gQB
odAwCZYy6mtNv+HAWGALdXLNaFPsvXY0fcthTjRM74XMDqYi0TXMhek3fK3pLIcRHV2NQIDgzcvA
qEzdfI4ib1dkSvNb0LirINVYCmdxu4+d4uLa194VIxda2x/hIksLgQKjYTIKq4s80p8unmd3xtEV
9VtZgv6jb8X0z56ZOznoJwLzOLpJhJtk8Fi8j3/0DqWwFwiSS+Mf3VzXmziMKdNjWtPCzNpNn3AW
RB44PNVJs9Y8WIVzoj8C+N2bUd5fYS0QMCbmaCcb75jW4XScXa46tdU72y4VCWqQQ+9SjQc14gwN
AjQf6vBSut1wSGnZrWQg3GNjWRfR47BPh4Y0aEs/A3VNDi6nObsyzMMw06QVJUimsj5kYXkNR6WO
uQPVPgC1PED+H1w32rpB8NOtuxEspf7bI/JpFYxDvCrBz6URUWRK6meIK9syRPXRjAQNhZG4Obai
zzZC+w9snCZe/oFosVzHRWKtu/wTTzLXr67hN8jhwpRVTdww04uf+7B4lelY7mVvvY4FtNUwdTaV
ACSsqiwn3u29aIfSp8sfUQq066hK6q9QUGxZun7MRxSLuo0cJy6Fuk4s947Q9hsm7QaDUs3KkIrm
SNWUTB84dPliwQko/rbRQvu0x5Eu0fjeCYFsq6ILm9htQvEmQpioJRC7sUOjnfEBFJ1yt0msH80U
ooaeGjcsC+8g8sJ9FnEUdcOptgJycQpS2A1EWOQ4o6OsSRD2YvcNhXfmhzPd83CO6nXtdRzsHS2x
1nTRODt5h4jwCVXMYhOZMdEn2AeT1NzR9KlAnbDOAT8E99QmXiqJ4l0m20tiLfpYjfgsMIwnSwCx
CrU53urOBbdrME7a9n/YO5MduZUty/5KIed8YGdGspBZA+979+ilmBChjn1PGpuvr0XdQpUUelAg
5zURoCtdOYNOmh07Z++1nT73cHWDILcCOc/6gnv0oZ90PQ/uWlW86QX2iMR6qjAJ0FTVIFoh9HF9
eP5dhGDQRl5A3hc+W0sW5bZk0jEA4Xssu/ipZca8FGmZoIzHzYl59sEQBALXJrieTJA4knEHKpXm
m3SuOmKx1nIAcCVe3G1CxUI0E0qNkTRkEMzkTpp0xxVm0biwnI09qbegt5rNAKkPF7WXrS0cgyKO
yL0vySmA+eHY1a2VVk6Y/IDUl15go5jwD7QMVQYVfdKmXWuXLILZt7EetZ2Zye0EiQHMphuA7MYD
Eycxs8FsR7uPDpdfru1O7w6yDMotPJg7RmZyMU3p52mueaX1jIbofjIHZOLKgRxbs0K0nrzIpHlV
DqFP3syBl0wFR8wDE7zwh+HUjsO4jgz3UTeKeusTagoRvdlj2zd2Ys6tthwKCayP372iqbBk15dk
tLoHAqJWgOc3Cd7Vzw0cdAM6qzkq3A89Bs9iFluOXmJsyrpJT+LRFRXWRJmYC4zLFYErlzzo+u1g
F9rKpmEepdJaRVqSo4pDxjsLVW2FUUhrtSez9xC8oyrp6eP7PWu4aMg8LaJs6dmltgGtdzGD7Kuv
JnR00n1Mq/xbO9nf41m35IhQY3zNjhBl4bpomesmmdkvph5nLaquVW90wUpzUQnTrrn05YD8F7Zw
aubufuh1bcWr3hJ1i8gWbgsjdBhsA56stdvVyVEf26OlD9eiKRkTEiOU06fdiUoc/Hh8mM/QGz3u
q9XY4NfLKhjZpjCosMtimedXFGAzhrmbQ1ihsyCVGe0enyS4JeqfKVmToDWudQtK5OjzrsCwJJBE
R68DfpjJrtHMs8F89tWNW1QD2boc/Hyb5HT1SN/uTENHavWpt+dY+DR7MDyGKjpF0akwiacBfEoC
Lm13TBXLKnf7s2WrWzVL+sMar6/d2fuunHYGSJF1aITusZf9wwCXakG/UR5LnUk0+MuHqGWaa6Kq
1l11r2XBpkpTn8RuHIig8qECyuxA3X5WbYdaNuzwrqmqWUpBRLvycWEReWXmefXEqgzIFbiJbaPr
0OV08/P6DE/UWiFkOnsxBUBdzn56GwNwVCMgd/KvVUsTCQM+fs++urIVNbX1JgMSaNt2FJzuMN20
zrRBUfa5TfTZQfDdRy65K4MA8HdcLrh21Kg9W2DX2Se/D19UIrQzcRFMFTNynFQ51vCmnqfcZGVT
khm65TuXwnZeyzGO1sKHf85ob6YrTebZ8YF+qKfKG9A0EV+37uQcGyS/DxVHjdHP1ZLuKvbdmfbm
JVm5rxIj3HgE4cQZ2nAxmftyYv+W80mpwmBQN4GPcrbXl7qOsXiS1pfecNIFaTUAPcx2wxvcLiK7
5Qklq1d3FMPI0njDhOoBHPPQTDfesW9xzkChTu9zwB9pqceHKIkHzEuuumuRKzVzOCBCFZ5Bdh4O
if59G2+HPmay2WGdyvjJaTXoMI5MkmqCGugN/6kIuhsCO6xl9YNyhmLP1FKSfutYr5L9oiFZ7kZb
+971u+xiN0TY4MAMtDF6zJEJLGwn9Pc+MDlUxiZkTWwK7jP9Ln2tJH0RdBbTiUrpJdZhO0TW8JQ0
udzYOPas2M33EjHEkWS0zHVGuh0mAlw/Sbdmnl1R9LWHcMjuVE1Pw3BUecgtOJ7CvTeVgmviJ92p
p59CzoxlrSFuOQcsLgSv0djTfFsBpSDkEs1Bf1pV0B6PFto0Af4owLRT+Ji1Aku7tLWW4g7u1koF
486c3E1rDDvLGap9b8H2AcUmiFOIPw3+MHB8UUw97JbjsXkwYgvuARVZGB2SyKcFEdXn1HGrDZQP
BmoJ1mikFaooQe1E6IBjDr9DgmDQ9H2ERxSDFbNbp94wup87+QNyTifHPkzg18S/N1H48L7N4Wyg
BCh0co2jes+CaBrhTjee7Cz2NwPwu0Vz1NzpVdONkhwA5ylRxZdhVprVPtJMFx5lD6ZtKd32vnCm
F5Hj8BRcKG6iS5Hp3xNIcRoktpUWBRjGidxZ6FN1pZGJv6u3HtE5gVCbO4oTuTxgaOAV0zJf2SF7
BoWev4aVCIQHbiuHOvvMy+GtitEG+wBqwY+TVWlY4DXR7nqs+AsEe0CpclwXVcVe2K5yUDKbJCn7
pW827b4akU+jsqLj0ZioP1C9HUmj2/BKtGcDtvLSTGga5Tk1ygQx0Jwg/zKxD7ypWkd1eyZBXZtj
qL5XbVKuQV8VGD0wwOSlCV8pgE4N325TaOItc6tdIYZ2HZu1TfNFedvMR+lpDLCbG19+ikk/3aDH
WY2TjHE6xNaxUYga6Jeu9YoV12k/4w6+kZ7RPrbVjFURfkzlE7Gl9MZ97ubbMckuWe42J2zwE4lH
FvRYV16nzgS6jFgqaRS+HLSxSfA6CKDMSFNzDGwr1B7Ggmrx0upY58k3ZmaekXdhKI0ZZo81re+x
tjQDfcjU/442o9jxUtxlkf8Ecdda+9P0WJRCIWKEqW5ZCAf1WVXvVIRJFoWFWl4mK6tLj2jPm2Wg
GW+1We+nyRsI2iBbwjfBH7RJcGRHt0FjGf2KUz/UH17B3iDBedhHdXyHpSTaLBEZEV/cNf4dQnXe
zK5leJ5Vq1xhefFD9CVhkh2gzelHNuFd5Af+2pmKfdxJ4utr/06zrLeqA3AwIfTGhwAnNPzO0cU/
6lCUlvEhiScDAXK37+qOlFyE0oEm1AbwaYNUfrr2g49mvq5nnoJmrVrHgSbb6K8Buu3NFDefCfas
A+RG+WRNSPUJKkaKbawoYQEeIKDYqqB4ogJCjT82r2yA5a01eeshdZwFuTWbxsqdnRbAJ7cEXcaa
PdVm4701iHYXNRzFVdPGxbKVJw8C9LpTJBJEdkFR78jnNCnPVizjS8m3rsvBOOpYTeBiE/eeuJLJ
TM9EAPJiCwB1GUrgbrWD8TFntrNyOvvQTuCvHC/xkQXPyAvf3IQS5YAKSYZj4nPDba1twmEixxQl
QyDtjT9DsmwTIl8zctIYdbI0vSEyb5hMGImiEbJnnNiumTNHpBkjWPJtf6VI4cQKT2giWXe4KEPU
76qQSAJcB1B9ffVtzj5FF0DGyyDh2BCtegdbWVFWT0nEmMkQ5XjIdJwO6ILXXkytnY0g2WJloqtw
0IXTOEXS/hxQMT5TY+2UO3wBwkJJLO1drOZ5ble5R2ZT04uTkTqQZP0j6mhxqy2Ik66aXhhWkTST
oqj4+bfKMgtXpl9GBxJhxhfdQG4KFfO+NLT0ITX03c//aTCRu3mMtJc//1bzMqVkgfSVrNh/p/65
cHCie6x1B3P+rUJgtOiAGp4nLRieLU2cWttqTxmjearU+HlgIO0FyUswudrF1PVvOm28l9JB7xOm
rCM//5DRY0zKvJXsfv6pzNDzNVXbnVv0zE/WWC46j/2t12gVdsp78oknFIBmHsCyeE9s5mmg7+Hb
FPdjQIYqLOgMafYhTeT0lLXK3ft4MTmgko4TYLdc1w08WVwYoH2geAH7xQ1hI5JEgqB/8XqHRSWO
oY21zjVKpqfRr83n2EA02cQVycsWdQbFU7J0gwTeVsq+ZSnWpUhXxAdlZbtpBBBzN+/4KyWvXurC
gxzNpPxq+xj12cFeafcZ4Ev7g8aE5FnXsQVo9QIw+VuUIt4U3RwNTis7DkPrPtO1N3Z4ghkJ0btp
nbw0UrA20O2lWKrMbcn+tRHOqVONvqJdeQwkIbBDYesvlseRp8jn4OwaOOTPGkgl1B7g2clqSYiy
bJvyASrzgcgrfS9J0uOc6IW73AVd1iSV9jLEl8LontFgarcGruH91LCf+953nfqSOTMVIY9FhZsb
E6/gzPEyilfKsmKd572zC9wk3aio8LY0ItGbNch+O06f08DRiuI7Yp8SA1I+p1TbIGKSnlvhHtEB
eqW5DVxqLIytd/Fm56r0b0SJM3eIfEYHMAnDCtAu0dbodXv/mmNa+mT5ISwKj0ajtKBNta2Jv7Fz
KFzAodZkZF+Lsg8XdWwOh1rO6F+DIOSgwI42RONW9SFyXEXwoU0t8OLn3dYw+2Bnj3C3wj7BoaHH
w1pDxPHSuManiD57jNNl14+2fGzQ4G1qkG/rRKuHFT42xGACZayXZwsTaf8W29P42AnY4r6cyEiP
Q4zFuRMR3kV0Pa9puYTFwXy9I2lZovdeIZ5+S23lX+HdMmpgYdyTYPQMv4GoD87zMK3kdNe56q10
mM7kVX1E8KmfUD7ptMg4JdZqsrcZQEicC0iukHiqXYX9ILaD7NzwPvMIw0My1M6KxFqwmX+dEkMs
coUizUrpdmoDoiddG/uNpCnyFLXZD1kazreypkT0cu+VqMxg5bi8+bmES5OUAFb60AXlo6bPPWox
LdWML0gWNm7Nbtv2s+IotN1HM7qOkbXq8Xk+N7bW3mLdZvFtYfSS7QUUIIuueRU/EXptPNXT0F5r
1CeDGL9TgARnEqnax3RZT91Ry7XqPHotLQurPIpsME7wNKq8NK4eFDeMYtXt5y8qIfUCg2yA0KJ4
kZmeH3uTbk5fYkGKzYKYntm/BKl4NdiWfcaED62LxO+NLR1C7pLMhQzuwZaSOtTo4WZalNSGqyjJ
Iv9ctO2XHG7yUH7CzPOKpAjmvUjz/dAcDCDry4btfhWk8CXDwtmLaDt29OrCuS09+NatFh1jvli8
qIBW6lBbV73uOAq1fbfpUA31HYN00XAMSugwUMtGN2aCKTFx9qMK0/mFd/uD8mx8wuU6EI0Lp3Zd
UtAs87LYV0N/phOKQmgkyGlESmGyFCusDtRctENKmlkta8Rgj9nJCzkBVjyVOwTt/KxqcoH8Q3nz
p17QrQGR5XnmtzKmFBAudJXEN6+YfjrQVD0Axr7TD3PhaYSeoPeSD2dtUITzFXcKCDoxFGLYW8am
2elIObayB7pbzlHMHq1JErOstY2cW/ZPverTbQoOgQY5whM3vbNzSTlHcSK8lpeK/kzmIUjKjGaV
JM4PwZThbBvcUcdG/YGli+V+QljE2JODPHpg19GRfdfibDKlXuLERWJe1UvFMbHNKGh0nXjVKtgV
9dTcKvyCoc8GOMT4kGOQcRanC/eucIvmm0OY9EzB8VdeM+b7ICLz1aNUKIdsHvZgCfYRzay90fsS
1YqRtc6mpmXKviCbeu5jJnEXkGbuE9Nrayo+Ywi07qZSvA103t0xL6EBtYwOkMdsLNlyvpnA6hL8
yz4UnZ1OmWepDmGJBURFToA08jvtCljUJULjvhB7ZBNLW/Q8FMWDXkmIrMLxwKpZ6c0YurXWQIKG
hhUQM1VwHpfedooIMvBhnx76tMz29I7zUzZkxjYRKrsIn1c8HTPeJyfYMHGkTJN8N7YvF1anqWWd
cULSvZIzERGtvDXOUdoTFp0WTYqf2/UFDSsScqcCx4PU3UE2s8havz3bibbPEuKEHXp9Cy/ryvWg
xm+06KFSK5KwUK7/mOa8Jth1/rrKZ0V5jJ8RmupGki61qBDecfqLX6jj4S/jzFxkCSQYDrlsVAnT
/HJc1QYdYc4OZ150c6v54B8as9l5c4RJBdZ0jobZxC6YJm8yQW6z6UxCEYpdPRuFlwFuoNEVlyJc
Ub1Eu4hKJyP5Gbaw9g16bFliaGx0RqgIb68VEfXUHkNHE7Mf1z5YG5pkVXGt7VmRjUQbOAJUGpcQ
h2Uae+46jNWioC9+yOhxpzziHMMUsJxGN682/UxG2wIdVEM4HnCkpJUbfQRODdD6ig2OSRK7B9Dv
NZEiLYOQDqaIU/7gyIyPVmS4AHUODWiGbm1W75N8kihqCDyyoIWQ6RNBpV3DTVnXbXLvemVPRsHG
0kEoJtDnmDsQrVRlgBKtBNJKMlzDeW6B29zcYSn5DK5U8Z0DYbYz7B1o57UP8qCNOej6/6XUOpbr
eJZhGAhIDaHbhmXy57+EjjbhfNP8nNN+RfLW4NA6be0TzJZ0xcHK3cBrGZedcnd2j7eXM/aGdXRu
zeH5r131Qe4v9Mw/rwfRnm0aprCFYb7Pii6lmXiZkbOhgCYFUjJ/wWi4V9A/zjxT975nilupJwnb
zpWBIsfSuGRFmOHIHYx72WnPYPLjgz9oz3p0sKuCbSI3ri1s3gXaMRocmtj59fAl9ekRMENbNXFz
5/jxGaplyjKJ6VX5RLh5WvNa0wau2h88HG9tAeU1FdmT0/XXbOB0YXT5NXd547MYTpyv3/t1P2xi
jbxUv/uMmL8DGaflh1y3H1OR68c0qF+s1hpBbTZH26KDbFRXWtoVTwuNZwfKwVJkAQBXhL3nRDxo
BmfSiM7bqg7EZz17VkFjYH2g6rLy8eblMa3FWlhrw6QjZJb2vWRe16eoC7w+g/yW5Z8qrTsgdCNg
AVfHGpvK/Vjka4dqp4pHneqFpkWa3rJpsjHtTbQhZmJ6A2zFIQQHKI24JHlOy3eAIZhgGWU8o++A
vS6LPnq2/KlYR7jfUJwUkvqrWbtxx6tZUsUIme3E7OYItPDVR0JIxmPzFSLWNXWcAb5QrW+U1a99
kUKeqdhe5Wjdoanf20HDISRDxVMKb2Vl3s0c5YtCgLlJrWAfWolgjGMkG84UD3li7229BRXsJ68O
wyO4qrDrZrMuZhwaaAKitpTVDzpKCsdOvmpzcRHFwEjI7k/1QDp7Tz5FkolkP8w7I0T5BWOd4IMo
dPv3JHTeNhcpp2FLTxi6qXO2+v1tQ6PoG7kbsva62D4Z/3EV9XgPDmw7+E257xLh7CsW4RTz4bYm
dRPoS7epnXBZZvVn/Lv3SveOmobbWi/VxdGDU4cyipmi0S6d3gdAA/uGCipb2Mx0lwYdV5yQEALt
AFE2w2nsebTUximNLsnjEBjGqlRCrrrZ+S01G+Op61A1QEqlJIvRB/lfKgwzm5/hzP8/ppoZzd9i
qp+j723+lv0WUT3/H/9EVBu69y9bkhuOck13WARJm/4noprH5V+GDVOIx4duqq3L/xtRbVr/4rly
LZ00as+SwmSJb4quDf/rP9x/8RfJVv9f//l1+J/B9+L2z8rfvPv9/8i77FbAemv+6z/4d3/dH1zJ
Isy/6hgIMzzoc/P+8cv+0ClSWTtZMeQvxUyoyh4qwBa8sE+cgorFL/fi/3z4rx/2Lvbd+efTpAMU
xSKPT85p279+GoZMLdSr3ts7RvBgdpAIgxjAQCr3Vg0KwBzJCchPtZU+FbbxDIEEH9xxGgxMlRPH
oR1Cm9nDTleTvKYxv3LgWycUrEO7yYHbL8ua02iY2G9/v+75sn7ZRP+5bMfxCAMSwnSM+bX/5SZl
VUU7L+OyrVJ97ZvyZjbN82DC/wKZE+TmDZHBauzpTPz9c3/+w+8+2JvXFJNK0kJZ/W73tjStK5oi
dvYw9DdV4EBLaYYVKU1vLAWHGrYyY6KkpRqjx//BZ//5Q0tpeCjsXN2weGrf/dAVXk/I6XZ3cFON
UAhW4yVMsn6b5dO3CmbJyR2K4aDYCJgYha/1MAQPZYmwXFbpN+TpxVE30ZSDkHCxdkvzqcSIzIL9
NmbAAf9+sea/u1geKNvgu+J07pEl/+s3hNAsb+U0qkMOoO2gCKm4T9P2h2d/NQBubsIqE7BBcOHz
/HFc1ZxrYpI/hlyFtKXYebBV12kLU850CE/PHuus+ArcDfEFzjfmNcExydu9RMd6z2Rii917pU2c
uIpmUlvHzLJz0IrH2sj1+w9+svkF/P0RkBKTscmXwWNgm+++Bi0W1QSstz0UPRPvzAyCu8osHz1C
hLyxsokqVMGmmMfrLhHNVTypRyrYZGvFJG+0tYFwYuhP0GBvOkXNnqiLfQ7h45GRUbtE2z+ea5Jn
bsmccN4BaTn8/fqNdwUf3wcLnit5hsAC6MC3f/9m/IJwnUqa7cHKwBRWVviQ9DCFAV0Lak5g8hNe
tWDIFfg5Lz2XHSKMLK5HJCqckXyt9k4/f2GU+tHbNb89724tkz2Dp9xyPGnorNO/PjS1Sjm4F6Y6
YEAg7wdJFuELy8IcjlWKeo8pC7yFALLQoNOCmS2uppd2Fz9vxw8uRcyFwe+X4pqubrm6x+1y+J5/
v5QQxrMrKIp42Ypm7xaQmTQ/QOaj2mNmg1+1TYGf1EObhVG4ZHq8oCqyf9DFfiW4E2OoRYJKH1ba
hoawueUgVb16V6hVyavWI1bRFN8vXnPnQuigsa4K8VYO7rQLkHNDubDu9VoFSMjzW5Hl+SG0Q3XS
gmjr1UwBZh0TlnbfWUUqbU8twugleAfKDH0odjS16sfBoeiMhPAvrfANco04N+kQXRZIMrJzhcV5
bU6AsNvQ1iFIq/jeDhK4pHo0HuGN7XEV2i8Ex9E208lsMDwixoWlwuyDO23+ueGxleoS4L6OyZct
7/c7zejB8hKzaw5VVmaPXANpc0bgA9HNvofE7p69rgKo7ZnTN4gPHDunhTkGCb2+dJwPHRU0FDOB
EwxKXRT5rgur9GmoEEeTxnK2HCN/aH8IOyyfyXp9SbM8PdU5w7/Crarnv79b5vyAvntqLEOX7N0m
a4Rw35WbWoysN5F6cwi6kVFA0aXbnkSbR8LYappJRDU0jeC3vSbvo/BTbg35ne41eJTCujtiHMmR
GJFlk4/TS08I7GUk7H1nBAGRxqo5D4VaDXXsfHAm/TeLtWvZnqHrtsWm5urzkvHLdmp3Qgq2jRqy
taxn+Wi861ydfS3y21M3Te7C7JCKx4oEubive/wGLYRPoQWfSWWCoFS0zx1Hl0YO1moErvBMdk6/
CUoUv74Cwul3fbdl3SQhtvJZPhwEc2TG7QyjlECcsYVh8sOgBabmRjxJvvr79+K9Owaw5rmWYMUj
iUDgOXpf5nRDrITy3Oogaa5tASvNPc4Csr4zfHFa64UdLDx4Q9u+6VPLhLoOr6KKmecVaboXkqhd
8uGWg3QELEwVXuTZwiSXRRrjukpsR6uFViGqiBDcXmNM5/hbV6pwG7vNJtetBsFHE6wjvZWXoozc
c9Hct63zVsV0IMpJOxEcALxHedMSkQRBY12Zb1hf1QrqXb725+/ea9NhBR1aXUHcrvLWcr9UAmma
MSmQh5zPj2NP3JFtxZCifLZHS8c9m8SPEpHQdhC6C3i4e9TwgzCeJ9Uak6+1L9IyJ6s3KDnPITmJ
Qt39RLgXGQUJM+RoiB5HURCii4ZkpQUPReCK1YC9fT4mnpHONkcMqsUK9k5xqfQkQKgbPKaR42xp
u8ebTCOLNfAs95Sb9pEWuXgY/VnBj8Fk5OlC15p8JySjOiQ+Ur0Kds7937/6n1XR+1dSynkt103h
EdP3+7NdjnrfWJpXHLohpX1roaMf2trbUN+Jo4mXmIwERfSck7GN6xFy/cHcDI5OJCCz96M9+iCl
1fgKKmMi4KS2D1ZNGZI1AepHwsBg5KKhDqrHinCMjFhPItQRsfnBi6Z52s7D9HL2wnwt4uETIjH5
WFkxkeNeNJ56HY3mZKXpCQ8Emuigzl48lz6g4XTfiYxB3tsw8fYMKU41lLat8iLyTALxaBZ03wIn
7lYcYjMyX5HMFWN8HMXUP/oBHYa49rTnCaYVZB6dJCdGYqYAADf5Vr/PzME+0M63PyhR3x+35/eM
98tk4ZOWNOT7hSTohsrtMUQcnJiMBKsCKU4MGdhzTrsHgivMlWzIKVSj6MGgQHiFES92BSRtWET+
plIYNdo2ANbA1BlVCPos9uGViW7/VLS8h3EUxdc+VneJTK5O7xRPzYjUn4DEJ+UApwgc4m5cC065
0uVei9pqY/RNjyh4rFcJoZXf+4QkVbNjkMPl7WGLc+LnUpChFv7x78/e+14ft8Mz5+OCRbXlelQS
vz97SRr1LDhZeYAXD3Y3cOBZzjtorjvizfKQnExRSjSPJ5ZW2ZtM+6GugsAvLohe91oBtPDvV/Sz
OP3tbeDBNdhvTRqPQrBP/X5F3hS1CP08+upMdiqRrck6QnU/5Sdz1LERuCtEFAd7sI+QRjjRJRus
PYtw1A6gP7fTtMXQedAwPC+KjkgZn9ENOJ2/X+T7owNFKTWXtB0HPLzr/Dyz/rIbQb2NkB31Yo9H
C42VWy7NqSZ1HUrPomzpQxV2+jXookszgQr8+2cb87nk1xs0fzgnO8xHljAwss8X98uHu1jeM+gx
Ys9EHgSpXpchBBj0IaJOHrIsD1cMWR/sngZX4hFHhQXfvk7Bd8bd2Fec/jNRAXiWvIrU6S67hz6W
fHCJ/+b2OK7ON+gYts279q5BkAUt/EqSmvajpi6Nhcpb9/Aga99kGmwVb1GUk+JU5B+c6Iz3tQ1P
Do+wmA91c7v455375c7obIEDhDayRci6h2/VnUyzdRZjnm4dEtaOmh6SApchX3XkpkfzfCtpq/x3
f3jDkh4/uGHRl+EOvCuwbCaSkibdtLejaYsc7XuQzLDd3iHMPTIg1QaXBiL9Q+iru78/GX88GDwM
BvZf2zQdWjzvzyaMLiw9rdQwqxeSjd02p0DQSYUx5iwqAQbCkKb5wXpqzpvTb08jnSeBMljQh7Il
HKrfn0bf7J1Jx1CxnxJ9iwOcxgLcUp5FpvSDtLy1K8J7EUTaliPJjwqSyCl10kcympJ1rOJTn4rX
cOq0s2UMQI8nx7gb9HZ88F3xJWlBhJbJGD6z14MNYLE6NCbpJX+/b/88GL/+EC7DDpZAi2aW9AzK
zN9/iKInBqv3fAwlmXY3ls6zZSNfGiXju9El4awKGYChf3P3bhPnV3ofGTVOBHMRf9+aVO63MpsT
HqL2QoQmgFBPu6RtuO/CwD/6ultdAiTvlzL80tFBPWtuXB1NTZ2ZrchblYIYFUXzGI9mzkzYU1uh
C4xo2MahnHm3phPeY+DoIGm+Nma5IJQ6PDflIA9ApV+Yq6MYGmugaIFxbkxqgF66w7PrQtZBf6Tb
PrcubvIdMR4IdJiyPlXBQ+cE0UMT4HOr0E82iaHfEwxXb1qc+BCnwWMjm7G3RluJDTA8dN5mvyGa
hXQACotTgRKOL3mA+lkS1oTDeZ2Ax0/t9N4tGTVoXhDuzEji/ggEw+XOFkflBvjgu3FPucArGBWY
IkJKiKkc5zMRkMFUBxQN000npQE1PlpAHVYQc5cBqt22pDoErOOeMB/qcyLIy9gJrmKWwGJqhK9N
dtKSaNWYxKSzSCr/UkaRcTaZTVJP4kjj/1vUODKzqlPAOgC7mfUb3ldG1WkVH4wGL1YY2Zxi4quB
pPGSCiNeZGYkqA61DxaK96dK13Ac13Q4VZo8dH+cxGQHL2Is0E7CNQTPHTGdzOVVZSFTPe/DM+z7
93T+NM9GYs8vgn3rXZEpjLIzJOr/XUydwU/6aaiK6TPmiyAy9z5peaukw6CMvssgudVe6YZ99gF/
JpgFXvK8zLa2Y9ZLUh+aNcGzpCQwXbCUpq8yaJ6LuEISBGeMMJbGIWOLNLG/v6Tvux0uHRdIDAbd
F5O+x/szOL22sWhSWHmJEgmFURcdQOpgYahS0svQOyz0GLeZQeLFB2fPP+8cn+zpFqRlz/k3TU3i
wMwgTtWu0JCRkl2LAPmDesL481nwJK0cfkZJ9UNB9vsCZGTCxBpndjsZIwbHHbyrsfktMhvUYzGp
aWNpGGktd9/MUaguWu9dltveTYwQUgbco3c1mhFWkWBhxP2n//atp0sqGQY7pjRt593qqFoUKkhG
SCKYws8OfrijrxE+natNrqzuIrJR4aCb6o+W5blM+H1Vnm87jy1xqxZF1vznv2znpTGFsjbQTclJ
osGwjB0/o7PK/XbtiR5tzjAehZkVF4Ugd4ThN6GZ22WxO0eBBx81Jf94DEyDCYxNYLtt2pLi5ver
EUNnkI+DczCIBXJFTD4DDYUbezmE7DDPt9e0hi6Q1enPiMUl+g8EGozYaWcN4QN3UH7wSvxRKrtc
Evsuh6v5PCPsd5VgbUvmsm7a7QKsmtvSR1URhN19ahOWI4lXpQeUb2t3Q+OBkWC6EU2g7pgCjKvG
IgdQXqLWyMlHJ9ecoUSlZtMjJnsdoc7fn6D3BSGvK8db3eMYTZYCTqHf7x1uqAzfS1bttNS5GvJH
WbLJpQamnhb7b1Otle0FCL7e/v6xCI3+/NaYvTg2b5TgPOG+b5KaDpYebZTlLkgFDTXPKRdidmI5
8y92TbC05hqHsMuCC1Lp4MJZPLiUTbrmPQX818beegwJfAY3fwfHh8ZEjxkPD155I7fROLmZOGaj
pS3jutZ2JGaJixsOVJk6O2iYg1vLK2udEm2FHzoF088xJdJNEt3jdi2bztkIzRM419zvEe7Ho8+R
dSHgVzDPtiMIPt4yBiGTpYX9Y7S1bR/b2iam5XKCi65PXfwN4VoBmts65QXY7H+65bpZ7NL4vh/I
kTAYvLxEShtW8PM/56gwlx6MQ7FIWjJWCD4mQRpfw20c+hzdUxR868SGIgBx3Bi/tiRAEa2j6ocm
JkeTOJdkMWaS9Ukvm08NLe+msgRIQoiveSXCO5HZxK3CxN/+/G2A/POuCgnm8GzIdm2FQk+nDbaj
j24d+j7EkuZo5ynqpitMQ/MY1S7NolGEO79NixWvvbqisbmTY6aeyjaUt1jph44Ux2NLR3JhTpl+
b2TE1Pi2dA8BWSF3Y45ZLxPnnLLhgFJk25PCEpk5OU6zMEhhG762cFYjesdLKhxQvpNe3knSo1y3
/VKE1vgpSJC/oU9IkRupZln5uXOXjAZu7LQg7cH8YRRQBTxdGx5Kwg9rFrYzQA80cJPvrcp9SZjZ
68iKwleuKyiDdr1pTIGEBCz1zfKmrWZhbEx6SUC6W9RI2ezxkwgIDo055x/KDPCD00T9Evm7sxgE
ARtBSNurTxSXCpFx3eVTfi49Snx0vIDJDHH73ySdV3PbSBpFfxGqupHxShLMQVSy5BeUZNnIoREa
4dfv4eyLa2d2xiOTQPcX7j0Xl0N1qLDZn4yhICzWrHddSmYewSnJW+OyzOn5wFbo0ff/fdUWI+lk
UdlXZMGiQg8R+qKPn6PHL22TkXk9R0dTdifTD5zTMiCGGQviZhq6P4ZrxCEs0t86Sljnfq8XL37K
mD+RWQ780A2wesXWxTKhwCo0gpe+1vdMxWKfoImxYs96Y8K2kj1a6tTLBVF048bhJDV87yPyiwaK
Lxl5UWqRutwRzMNwKqBm9vPDMkeItEmJ5dAgbmxGjUCzg6hsrsU9mcfgZibwZrxafo+D2vzXdjTY
SIhIijABGRPRIW0mj/gvSSZJajo1bbPiyKtsN4il2jU6lp+EIOf9t4kM5rfbihFIWgebs+geSjO1
4+N3b52TkSZj19ZTUU/fiCrYPRO3vkOgBTsaXP8Ps3joxzXKvFn5WyzpznrArwhIvcg22UQ3bNVR
FxbJuGwq443B0wDWuEiOTtlYYSIaOIkPNgDW/PlEjvFyQunSEbJqcdP4MD1bZh+XiQwCRzoExZn+
b0bb8s7hxpjOV3AhxOy+VOpLxDNxGoGb74je0ab7MphdAGkXy64pr1PZ9i9kEoobVw727dRtjktV
tR9sBnAskLdNw3NE2rpigjyGc+ZPp7YbogvJR/zSoyDpsgFuNfL7J6u5D0FT7cqW6UtSv5IseBiL
sT5jFLkbwWzvqml8e0QRk2CZ0yuffHdA7Ih3lY0O2sRSB2rbtSCABhMOsSyCA1rB7pm5/Dp2soFQ
wEkexYw3MO6PQWkA5IROshYKQou2gU1YfWEwjZbdUcscNkhMwMQcy/uyaHUNLDhkmZH76NB94MlD
4q4KBjcHv3p3k7Q7N3C5Vv2ku+fRjDftkJs/Ksj+YpwDUFva402Idqv9TLybSCBrDDUHXMcJXuXg
1ZgIwBnn3sXDS1Z6vCzOcXwwd806lDhSLlLbMUpDwRA00Q7hXGamIM5UJAIsJSHUzWRdK6I6+X1J
BDEJeroyNeUPnnO0WBD3yZBL4uOI3BULsJE9E0O30N41wXqM3H2QeBX2EX7STMCh/8/iKAB/NfGP
UQTpmevDP4j2QZhButaIJnmTHionTHco57ruxFXpYsVJ73wk3mWOLAX3W/4ROq2AuM8jj4C7eDtQ
fc0rK2G0moRjIKHOkapVHt4xig8AuU29FTnluN+q5hIXeLqn6LG8SdGw9nWmryBpolNCllRdj/VL
5tS3pG7i639/JebE26rkomY1bROrLHAOEcvNA31KF/mvp7Z59m08mQDcJS6NXl6SLhpIRnU2aM71
tlTkpApiD8PU1MjNygAGaklARBV368oeSxhwjY3eWh1NTTiN0M5Dbsn1Bprh6HWEDmmY6VLP0z6z
8AHJDquJIoqdc9ztrkHVEEamFSNhjXCv7l8932nPZAccE2t4shJW63w2ZMyouLjLqntrFRJ62Aic
Ql0UrxlxW78cPYjQHlNvN7N/2BumKsmNbJB/1SCjU6k3elSffRGXt0h7w2U2VdglyVpigPjNEgXZ
WjaecUmeO5dnJbKnQ2zzt4Unyu2ITWZTANW7RtHwrXpcspKWnQb7y8E+8DyB8F4vPcnuaaOfpMh5
rPVzkZMUqTVzTZIU7rJBe1hkaEDTIZX4usji6MQ87tLUfJ4fcCtSjd9JNUiOqWiBUxRdw6J5kNat
lsYzRhvv0qHgWITUV7t+QmOPcxVxwg7l8Uesmiftt83NUD6xDkjI6bbsZ/ZgE5aClJVVDup5Wow/
PjfUPnBQr5RIXC7BKI1LJpItxTFJbVOeHxxpb3NKlUvFzcyR/zDLGSQ7XKukts5+k7z6Ze5Rks8z
GA4s+fy8RIMmjkJOWWH7EEjaQDjYO8eZ/tausp/6uo62gzQvRQUNoWf9DDHc0v1Kq/GTdpVdDP8t
xITB8Knw8eLLJVoy53nobGIXsnprEPq+ix0oBnX8j/vbO+eW1e/qtV3o4i3qqUfHhSWdgfwQHll/
cNiennyHcFygKmcGenk4pySSsJSdQ7tP1M5N3WmFlwe3ShzzjLW9fQeM855wjWHy/+ctm1im03te
zlsMXt66gEJyZn6Th6Y/v2JTK26i7Pt9vbAwR6j8zvxN/bXhnGmH33+Yx+rbKAUAh9KK1/wGOYnc
Jw1jg7BXMYXKjJwL9jTnwlztXeKg52ePImM4VYGFq9ZPT8E/UHvRRSFkJaSm/uoCmJ4BIN+QVX96
7PvsMjROHDZSqtOoIJvM9T83n5n0RGO5m5phpsGNJ0xe7CLqbNgrQFeHDF/srsp/26nlYK6gxOnj
4HU0jeEcde4/gtjvi6SAUJd4SQUoxVmfF3yEkKt5yE1fv6Rdrl+G5rmMpoAYCYBTjmOMlyhyX80O
TgQeG9ZcLu9dUpZbnTHPZJ1ehLIcZ0ZpKaRFF/x6GjjzGrj0tIkEDmrm9KhrwcWcbUDhpXiduJiP
E0Giq14ocZTLr2Jwzt08s8mgaV7D0AqJ5diSCu5sIWIRpJhPv2NK3rD2OQGHnoiaWngIkCaIRkg3
uXeTRfTXoVL9dRHjyR6whblFPd+GSv9zO8By2JJXrMy+F69iNUrzIQbNeNJFx0r3+eSg3V25Eb9Z
RrrCznazZZ2zhP2N92FfeEbE8cM3ZEpkxBkB697UhpKv6vrg/rj1a9USqJ5U6XdgAqIeBcge2cF1
bf7VqI5fW94s4l6xZDtiGS+DESS7Vg+PMKDhtZaRGcI3YEhk+9mxMkbUwXQlbB+JPsBf+BXgOLyp
FtwQicXlwfbn6aXXPQNMpeU6rzuY9X3snRPlk9fdGcDSxBhsOxFpEqe7V8RBPvE3ubPlxGoODFz/
GnQJX4MeN4PRcV35zbhNUuT8BkMOZMXNLcIKQTrg/MvwzCcfZsI29Uy1bTqTlEcjmk8ubXJUZT8M
uaPvohguuD7mlYOQ+V6xGF4ZdWzsWDJTzubzHPqkX2W2Unebc6pJtdg0DcDAQZNKXYIYklj5N64Y
/zZBTNfpy7daMrLxmUgfmPfMD+qBOJpRDQ65CfrzJA3W1IT1XFrA07vanmt4rqTpuqWsN21vdnf0
ZesYftYMRed5BnBjeIN5wGiQbuuUoDZau9dJl9tZV91330c2ouql2Vh0XfdRAgO2e7TnMEeiVpO9
svTMdkc3P+HIOkA5XiUZzLUB5yBufn6pbFwfAXzEMZr9lfY6fVQM1dfE3Ji/ljFh+bC0t2UkVANp
OUP/gJ+x8L3fJKXpT68fIRJ1c7areV69qJTP09w2bFbjp4k1Kzz5eVtEMHcN74OxhH8m0HszmIZ7
mpouWfmFuAZa2qFB+sLBXXB+lP1sXSn/MjoRTpaBAtLG9BfMkbPrPHXTNg2vGKcEOEKXnF3v1+Bh
ZLZx5z/BoZ23dp4Pl3K2NZ/VANYRHMZk+va7n2Y7v3CSL1XHlBSps8CZUL8bMyvexpyz0GkqWDHZ
EoWNjXFJmsScezPTyMafjRulpndE1vo8l+mM3AFJWNpO2aFyItLCtDKphz1sHZZ9q0jhCseATCyw
T1deTQ3LsgMOkI/NL0Eq71rhKtGscPZ2lzosKciT68jWTmO+/MrxMZjl7rc/wgICt02wBmFe38mw
GkA+b+l9ov1/p6Jl0S+L1LwtNaGthA3MaySatIkPU4Ocz1Z8kqWqnkBEQ5UJgm4Xj921bZW8ywn/
f55V1mWYkJKRs5YB2KEJ4jImoblL/1LzVEQqNtnuMdUOGxg6e/aXmyDVENqWghZuat7/mx6WzADm
fvzm+9tgM/pnG92zqLiue9lRjDW0x+jRNqTa41uVFK4g+TCy9+UeCyZ+BHPeDUbKVdzqaTsHFvd8
VhVrid30VpYpiRxKPcVDjTLECNqTG6cnScO5lN0jb22EezUK1lQdACC9zPg9evXdlAhSzPFmqgcP
JJkkzA/CSUs1RWtPzdfWMYrrjAMUZQAx8QM00TCKGJ+TGnRBTIfP7nFLWDiKgchCKzSsbTcaXmjg
qoBnYDkrp4zNkJnLaa61ZBPb9YBUkxVv/IYgq+FZsefo3LTaTV1g/oJq43fLlUkPTKdmOj3O9ZmN
MCwy6aOkUxiR6baiGA1iZ8ZIGWyCORlEedYUnBC6vBb0jx+5J0IqCh5ZuvBzamNMk20FXAzID015
UmwTD/tICf71OQvGC/hqqjLi2HbQbl7g4/HteggQMm5qnF70a9Db8K7OZnJXLqgb/0EpGok4qNN6
XSfRnvv0K9VBfHMzZwC7aE6hRyP1kS02AkXh/pnNUx4U3hX2xXtkLM2ZV/thHUw/0wxlN7X7wSkL
lIQAKxXKEAO0Ycc1pNei+haeal/QQtkIZ5d3YjtwtnQAjh5or6U1gbmTx+PWoA8tVaI2Acbs6Xbl
ac841nOttm2+PHlifJ2pXah3Uh0aY+wDZpUlsC393HQ2FAujmK5CR79NVRhv9QBZryJpcqhSohQn
x3tvhYPqyp6aTeaUgHMrTgd0UcSMPv7fKCDayeXxJIIMYI+f2FdzNJInEi0CxCIEcLjeSjuWzxfu
W2vXbajQjcw8ZoF+tVG4nbPCcc/k5hqOoY8Fr/4RWxMpr2kG+prN3zbqIW4XbXWqR32yim5+Vov7
z43leMxGGoGsJ4UhUegt46QePpdvUVl/iDzU32MV/R00s50H/H7jk2K6qdt2lwGNbbuSt0on0YaS
HDmDjkucxfOwT7RXowiT5kF53CATkVhtbwyH3HHSE1na/b4NYCMJN+bpzg3jVFYmZhFrSF46h2C+
2oUDqxrzOU6CYfP//+V4L+UYXQqXJsxpA+BvtvvLh9xHUjs4c6sAsOEGy94t3c3sxAufHgX+4uLT
LQfCbQiqry8+DlJMNVtCWf2XnrUsO8Ne/vDDrY1qLrZD2+h9JwSzI1+oIy++8ewbyY/ntMaX7iB2
IO3zEe7UPKlRBhqQg92q6vyzIRpnA5YvOwUYA38F0aebuBNNBtQuvOTLXRs0Dr42qh0O7hYF4plH
wQ6t2lT7mEGWxAH4OtnBdIO38Be3JAVclEXPscJrJCLxN5idl55O8HFfTBe3VG4Yx3LaQgO23jJU
ptAkvcexRezUf10O6r1/ec8IwIhRLQI6mw8zUPWQYhEGwhjA/pbs3/qWunJGsTlJB5g8IXpr1q/B
XhUdrL0UiZ6JQ2jgYCRZ4Y0/3Gkky+fo0MLeAqIQ4rb4kJVB+DAk2yGOGWXM3nuhW3OT5ro6u7yS
0NjM2v0siUNCkZfUz8p8tCeSzNU4x3rkNdm+jx+pZfVXLGtybSWZXtPQs1vOCakjO2BcA5s1cJXF
r9HgA9qz7F1q3zNTkLhKpckZmr9HRf6tMs0COU3mPd/mL/6OfegZVQuvWphbEGBDpt068Pxk53o4
V6cxggsam3cCw8jFrq0kxMAt7y1T62thp/1+cnhOurYnOrionDNFVf3cjdlXUBU8YK2yCA20pj3a
n/XQP0CdDBa2WQcEous/BGSTzZwnXsjPl5xMgWl45qfhg30XXIgu6Trr2QLCwosznFwTIZJvDDMW
k5Z4AbdQZ1DYyTafyRpuBvpcECXeH2A0K3Z5y8GdYndnDv53gLPrjcwu4C95VHEzW/FVm53emGaT
PZmJ9+k3XPjkgXmvAEi5cfU3Mq3s2QM58BxTFoVEGncbM3gvvWr8gtv/25uW9AXYl3vsoeaE//19
6YEJHYX1qiUSIj+AkDHb1mFOx+q5DFy+w7FI/rQQiJtuApvi0jqYhuHvvdEcXhrP//ffPzA71Tty
+W0cNN4LDJ56E9uDf6tQf++HqiF4NM4XyBbwSHMOztfY6AGJeVX8R0A5KEdl/fSciqMjQmMSFqC1
JGfg61h/bIcvuTNHhViQPw8/efw0L77cQZWTP1sSMuudk47x2a6SMczQKByIPP9mmp98jhQjYeG1
jFtrVhxL0TJBJFQuE+ZXEiRik5PZDGWoM+8U9cWqiiPvV1rl23jgACt6O3rB6BzsDMPQgLqs+KWi
9mMAIp0/YxqwrnXND9xxQxjY4AzLZAmupTfJdVZ+WE0zv88N1mq3GIYvu7deRJAYPw6Ce4OY8mQV
cbh4WPPBZDorkjm6ixaRjVkyuUSB6l7dJEZpXy7xhmeh+C387hsb9GqEWnlv2BYfodLq0Mx754sO
ARb7t189AOBjaTHtW0ySP7t7MsiXFO/urzptuqPnzLyij78Ehs8TogX41uacjlnwVC9C3IX3ZEkl
/v8XXlbJrSSJdFMVk3y1816GixM/gNLVLstl+zYs8LYyphW18IeTYf00XW8zKhqCIx8UoWsik2Eh
ZHUCzdHdmrZ9LBg98w/8JJrrbqUbl5SJgOPb6dVTqtv2argFUBNgU9sgLs1NNHQXG6c1bI58X5FV
DkyNMQW+9/pRXX1XHpwjkgNBHi9uCbEavJ3ZZw/EKkSTpqkUqOCRrMXiAXOC93oskyk5TizfAM9x
wDflnKADVpTRJBZZDsmw9M1vyHY2w9hQrbPJ2jVOb31OikuV3dahGwLm+1SV7gbIKDiDxJlhnlnF
ZfDHLJRmc+mKxmca1s/r0nP1G1NsIhTTVrwz9CHgGOfwOx26k1T8Fn1Jws3j2I+nxCXG3rB2AUSO
J92WaQgwpN5Oizl8ouh2s2b88nwaSuHVxTEpIvUyJeWXGOoJWEFuPCbKIJd7hJOWacyvGbyrk+zY
Fla2veCVg6WManE4jBF1qjRh1YPGsG80Zc6t8Rpv7+vmUdpCI8AzG9aoCG1at6D1H0kvhhGSq2as
rTwWoVfpNytV9r4G+72yoih49QyUT5PxNbfByLdtCQgMu5QE4M006+FgF013Y283kS9BaZTmPnmC
2KwNfqyjJydwhM6yL0SZ4KmZx+c2+5qK2D1QZvP+jUbO2Oga531zKVso/gJXM/liWm46qgCirRSK
z950NkAWy1CmI5kHsxkC/LcpFbpu5bREbHYT1KeyaL4ZWBQnZyDlj62L2LSVcQO+GoDzD6zjfzaM
kqVEXJXBdhZ+tPWRwuGv8fUOOfcz+eiouHx1+0+EXkTOCxvYgF1vVNyYb9YYVZJu4xTNPrGnZSck
QvpRmxs0Os9xVI5n+O0w0pLAolEzR9xCVktMERFFF5R2Oz9+nCJzdiz6VKRhp/1t9mOztbu3mP/e
ZtYejeJdawu2eggACAVZMDaDQfJ22aQksD0v+zU1xr53FEspqzriR/upg/kySH9Dxqa37qahu1UN
c8Y6GJ5cIuBX+WTN585SLtbh8ZHZW352eU57sVVUYSdV9nBSivF331vNR7f0fwhwuok6c2nnqbHd
dh5pa7KBvappXbtsuaVG49wnGRQHb3FekWzdhc7bPQyCi9tYLhmWxrBuhPokElmGPXbXo03DuGr7
iK2XoRROtPyNjV/2z/FHAi3c4R1h4G3hunmM59WrXVdD6GrPJeilmA4JD8Redll0NdDSrl2dhoFi
gYBJx915S4DjL2cFjwmyChvnT2kl+ZsLP3dj4lTaQtPdsCxIGHbGXX5q7ZprULpvARtBBjgQXksS
HYnVDDZt5ui1+5ukOfVdswhclUVVPlnmRCxFtmBrwCviWkt28sr2qn02PXXhwjmKu4DiHpfaf79o
lqUEyURnC1o6YXIjKiZGWIeiVs6lwXNATkI/vxOc7KH/Z4ZJaMAqSYjIaFXMLvfxSnUR5DqpAgsk
UOFfM0EUu7+zQfK/5k3vE2LBMqRfHJJBEwcnXcNeteus+bVIxHrENPOrUfNwUQA50zl56pXbPTEC
bhCkE3rHPsd886MwLwLuuLHngc1Zo0LrasKapdES9C9WYPav0JeB46ZuODMYejVcEEM+hDITXNqb
wrJFYMY4HpRFM2FMb0QrklFldvbJ0P555FEXsbDuTZVTs6u+O5T8uVArgv0DNZAQhiOyJjlFbu2H
LcfX6r8Xr3TUdJ06TGhukN5KsP3P7fwOBs8JReFyxAVqXnfzFL0yPH7xc5gcS7SwWbDNzw4PRTE7
8kU4MYJL4kEgLGbpiWxlZ537gb0ugA8edVHyePn5W6l5L2xmBSkGEeCPeIoR9bb1uUY/uvOb4c2x
u90j4A6hlhmcc9nlIeKHeQs7PV9qeGEQVp4Jns1+G1HPcB3H1WnmWOuZNtarSQf5KR7L4kTYcHyI
3T5flc915zmvpXH1EVkdndQYeY6aaVy3uZJbj/iRoPTSi8nRzVrL61Y2oDFEogtWOYOFslvLt3hk
yNfKlj3U9ALIwoK0e/FVDJJiaak9/NnZZ1St52QcEDtUoJo4TCZMIsNw4SaeVn5zxgOQQ9LdVWzx
ttJAaeDifcDWVh7Z/9Sn2n8BJLRNhlNmTvMxjnKaAykDrKYY/eoEoEPDfOU263pa5bGp3hkoUCF4
6cGZeW+z+HsGofsdGQAdW2v5wE3eEBvmy1MwJdmKxU30MBe2N/9ijUSrG/ZIQOdC8CR6hCs6g60p
4Ds8oDPIdFjsD+gUrREuf245d80ZuU1c+3eny9N/p3s6EKVkE0EBQAETZNW0h1hguclVfR3iidiG
1H/2WoAiLLpTFmRRtbFbbtayLYM7pqnyZEdC76L6r2Ku90S5RYhgBA42faASEbuTFLOsJTy3bR9F
fHz1BDQ99z8yyynvE1g/v2zT+xIlGwU/PeXjkNrlXatSnGaVy5FcfFnZH+hQ8tk2JkBIvre8WKb3
juR2R68yPw2lASPL9oG+gsg9DqSdbPMqzjZuCvS+sRW0fyycECTMby9L/vY4aNduVonQBbZz++8X
BRzNDILQxQg4kuujVnYT7+QU6Rtpkd5jL9Te6/hCIqpxD2ASHMup/TshSQvrLAKeN4ths3gNo8em
OAxx/wWshCEznyubk+hJw5hbdwXLiCJneNQH6kipZJd6L2mSjQKQfkCgG7SenCT1h7EsDgfguuxi
8aSQ3Jhn5WtlsM2cJhYhXtRADGuCVZZTs8fRfEVoDQ0Ir3bkTD9ZdG97n3/RaH4HHWTpVF3Vo/js
g1+6nOlD3XaC/Q3euX9axhQtBS1E2zAPzHWKUq6qViyg0E0Ayoir9gekOmth3QHd7Jjwk0Rs4ovV
DfvM+uYuTYjqoOXSao8zCzuyYZIh5OMkRBpaDga+l4yJyansCvvGOFMO/U820OEIMkvWsTA+GQln
Oxlz0hbO+BJZ3S/bnX4iBmhhhI2DayUjI8gIiVQZmSIvOnTKCnfV8Dp2bhUW3eOUsXlnWpZXmTcc
GPy0ax4CrPTpwvnSv1FgAXwayAnKcHNtA4RPTsWs2i6nbC0JubceGcSpm4FrSVcGD+DWQXOA5OVi
9wMqCNc6xkRr+rCW+Ufy5DB33k+VL6E51jelXssZ2ApcQufoTicBHc7kCQqgGvXLA6WmmrCqC4H8
hCy7nmygScNrZB0WlwsOM7+XK33Q0/JMzUiyxPyHQJhhk/bV9+BXBQazlBoBoPHOY+TNqjsIFx+v
d2Kor1JTe2LxwXJfApoeX8aA74cKDJlCvGmW1N2kZNAgakd7RxSNPSTnqR4c0sl/icSEPkru4CIJ
w/A31lQynPQ6vJXyhSzlsK/QlfYFcXCe7x2TGt6fn6HkrBLpw2OEczlKe9ibfYXExPgr2H+tApl1
zAlIG6ebBrMKN9kTxbsc4IMRTbxqzXoIC9Omx62rbgtgd9PbgwS1stIu/6l6QbpWGPSf1uiDfYGV
S8tUk4xUXaAO3UcbxtYwNX+nUsNlZcKxkhWTCezEAbE8DYOvtdWl93gUd0BnycEwTQSMU7lN8GtT
2vgvgR+fs+BzjE2xZufGRMpN7h1YeDSwC7dl/EfnCGnaWdthsDNHjkCliqNtEqJSRvKCEef3wyQY
xzFIcE2AANimVRbJ5yFnbVA0/6B+p8fOOhWVVYaD6jHJawsO+pTcyN+cqBaH7xJbBXGFYGARncce
LUfv2vdGRc+EsmPk911KMccVu3KZ1YqZU0R2F9WIDUp5BHWdTjmiJyuHm1x9iMm8VgxN2JfZByNK
fk9+8c+uLJCXeMCqAtk/I2WSAOgdRZBhzHanY9NuDVKLcXk8JMzEd2P6R+ArEbRX03T1iiwkky8N
E61hmqfFv4SQknXaDz9eDu3bKSj4Sy1GNmH/QdfZShcwRaBAvNh5i4OhTePNMrCXSP+Nukd5pSnv
8JAyTI/7P8uCSLcbxKppB/59CZrbJUVLWJ+UwYwwR5GszVj8ExIKdqEGen/nqZkHTVQn7FN3gdis
/Q87DvANSvXjmIzVsnpkaanKXWzi8B6x/G/KEbSQq91/yazFNqjUtSv/8KY5oa5c1KPCWKde/5ct
Ntt2P572btV9uukDzR80H4Sy3pHLXhLNUjqZbDe0DVKlelahIW/i43sAxJD8JHIat1WSHHTzuI2i
5qe3vpgCXOo8WphP+BciVt5IGq0IBJjvSs0d2/ltO4gEicSE5swg1gkGJZT196qkDiEebFPAlSFj
6K/TsB8SNnICDJR+e4UL+Gk4/pkMkx4yJF9v5FpgOdOcGMzAfcTSWuzYXGazgViTBrfqgxYiXki2
WIxslAKfRvufsht19HjaOEJmGAlVdp5t7ogkc4l8CaZ3OSY/ZZM+F048hYMdjWRPWp8lRUYYF8Mv
InXIgZpTCgPzn+mlzWaKiV3xohNsJT/5gCb7ib9AbYt0+g5Uttd1gWhWuyyxjSXbdAFdUtdw8Xv5
Kqc+4iueqpAtLz9HvcuBBNZLECrktxip8Z1KwozJH1lbLBjOdveNw91mIrSPneCjSxxUx0AWV65E
jWI1n7XKxl2pPY6hzNjO4GTBhbBSEOxEgp4/UGbv+nQUGzEhxZ0EbpkA6nqtrlLgmg4mjltKysBq
Jhqy0SOty9yJzL/3mf82dz0KATt9jkceetPxkE0ZP01T75nZsorN5nVKrMNOaIal7XJaSvmlMzYr
dg6L8WHbzCtSvYKy2btHssZ8Nqh+yU5MKf8vJqoLA86d/TBC2FYchFYqd96QHdvIfKPDhbxmqN8L
49oy8sWaT40wTWdt2su0ncxHxNAMVprjDnjlwPqSDHdeNbroCod4TwQwORFIVZ8HOp/NQ769WqYR
unGfz9uUph9BW3FoQKGsC/alF+Um+7rmqLNEJBkA6E2l6Bn9iRy+wAJcm9CnjbMLuE3SR/OaB7IV
D3VrHpa5T42UZSs6SuLUiu5m8RhjuF6ToshXKpsH5SJGBIyJhQDdu3T9+iHtAiGq0SoEHmvrJfon
wGmMeB+3aUm+zCCg/LYjniVfFNvGX1MzX1qgD2Cj4dJpYXJAB/M1kTANUyH2geDQjDiCV0PPhZso
+yfIsmIzQ21bBSo4dZ6LhjY1HlSkl4h12hzXpyloUYxo/cdc2HU7efSOOM1eK4WEY+4FaW42PBto
+auUgJl1X6TQGdXXHJTqPJvlH88zOYfLF6jlZD89ELX5FFZlftZyEZt+cMa90brogWv/Mk3WhQXV
W0AGNCEq2U81JR8kBXpn13QhkixIGlSNfxyDuW0DSu3mf4FQ3TGn1A/rToCKZmbJjjOT21KwQMZQ
KNZD2lboiPHCdrLY8ZmRz+Q/J3V069N6E5nGfgm6fUHwL6O76Hv+7+9CGd0sJlwEdB718Eqt4xMT
nT4/aKOilCgPY+tY581tHFFzA3Ql37J3wBsQ8ge3/spQj40lS0ZbPnkxtVbid7ydQiUomvxXGx58
wHmWtj4Q9bRsQ09J3oiIwpkYpWSkdl4a0hv0pF8nouF2iuzgllwXo+MCmJr8YAN12ETsUg99aS6s
/Zt91pK11lfTWTPPAwEPn48Qeuie9NMYYXtUMA/IpGeGhN6hEJjIbSvaUzsu08ZJ1d8U/J/0HZ95
033x54iDMxJPD5h7bzdP+eRhauRiLyp1DFL81VHqMbeXSPTLIRzAH63QKmMAyIwLZFegpRjEBm2z
/Uc7RdLPBm0LX3NPmnREa1TwuKL6TbJ1pnpNRYZnRnQBsvL+NCaD8TFmrKHsq1/504Z0COSKZpwA
cwAuSDaGBeFiPg0tnXwH6hY5RmSTu+ZgW3OqlMUbRMHeSz+Msb31md3s1WO/V7wUpVOHZaMaaEaM
85s52Vl9sKxqD1uR9OuffG5clGxbnebvecwONy7H0EvMpwop3HEwzIOcFwpDx/1YbHMIR8HGd+iy
L9EUApE3WyOzsL8gGj7wtACuh8p/6vr3ZSF2Dpgtn8Qj0SvaY8lb9WX5Ef2Po/NYrlTJougXEYFJ
3BRzraQrV3ITQiXVw0NiEvf1vehJRbxqRbWkC5nH7L221B5RZb2i1Xoyxo4UE+pehGilB6GVrT/+
zLdiNJ9RMoFimXDOdBWkrDEdLA6kBqlywvE0qj0K8Ae+bHmU5kpj69Wh9E0yX9L1Vq9oKTIT9hYs
jnj0GMem5jkvfHbKLWFKtieeIPz+qX1xy8w+D7fVVcf6X7lk3w0PR1DXiyDmeTsv9VCGn0A7wclu
gMKRXbmn1fEjxlDHdLP8YwauJUSZpVnDo9GzMmxyVEJTW9ZB7azbQ0P+KftZ21mzSOsUeYjKimuz
eU2dH4uR0KVf2Js0XccckcbUkgSJS85kryGgPPvXAbn1JT3BTHoo19UL1p+LGCTBWZ2ihGn7ONvm
rxR3xuouCJTX4cVXAAzNxYV807mIxMrj6ngnyHKvBprcSNT2a+8ix6xZSSmwmK63qbhzGNk4JvKs
ZQyVxendd/MXEr4D6t0MLkmWxvPjxu6futO6r4/TaqWRIn2mdqEKM1qcWJd7NL4JSJLVSqxjIs2n
zC1fde4BAo29l7rM6muxrSgIqQNWggQCYSyUMg33XdnUEeaHeJUm1/Eemtf4zUOZijeTSJjZbtuI
FeMWWGaRIa5E3LiBuG2GTEQua5UXBqu8e+gkvfxJ1+YrW3TCyraMRJDHJq30R49HVLr+Epp6d1/C
YDsPzY2Z8tsmu7tCa39G4Yo4MbfnUdQvTPisyKn89FiIDWs7MTCIb6c4cZMXYqMsCBqBC0eE0uA1
aRFvYg/GYNRfvFq2l7x74lJcuc/QRfXQWw3qnaFiSNuZE+Er9vaE9+kE0aCNXNyQmduqB/pKZbVL
eJa8ydBLm2it9aMcHXm1et4UEK9cvsn3TLVGO/A5sHqgR+9cJJyQmCTxgaBUKi7Y4s5n0XRiJ8e8
WUK37vbEGKqju+7OqfRAdFXyQphr91xCvNZAB+iNPn8iyZcltg1W0/7b5hvXYkzjcel8tEg05JIi
sYTwURuKmsHyQVVxSNtJKQ5q4WgttuaQTzcvxe8MmeFi8taQeLXHdbto+lMRDWDhDq5BmMZm5WFq
UeCiXkDKDu7WWPUfENpIxYjgqZDeJxYLzGxZTs3smw/rQixJYae/SSPfgPDsOSQFtpuRXqNMyytp
tJHtOzydJLWFhD4Em+ito57LF8+v37um1WKsAhUBoT1TAQOq+wIsRi/vIeFXNCm7oEOPZ7neV4zN
ONv9wJmTx5odslXpa2RrNEvzopPZIz0t8pO6Bn5MtqJNEupkmvzV+pXrzgvMxRrIia5Q8/Opt73h
3wgqLYll81jBmYwt0QKLVbdw5fQfWQ/CXbO4NIbFLuM2KjuxRENOqHMm1HLfpIf93bhb4MD65XQ2
0LDHhvJPKDJakE4B0hsIqX5eRK0pSKwBLY9nLWwJSuGawBCWmuiafCova1xEKLmdw8ZjANJvDZEv
DeCxWUuzB8Ep2+oaNVVgKrcL7NmUhABpRAgVlOxIkMDjLtVZS3lL2yNpbOTXAMR83WwPNq/DyCuJ
qTQP7HF/IJtdumx8xt9mPo5IZcuCJNpKNXeFKIERteO7rH3YNFl+JEtXh0xbleydtNjQtkureKH0
0mO6nCVD4KZe6CTuY56rCmkXSiJ0LPj2QfYQ/UIokmjyWNdOy0hjP7P8CApFOk/rtpCgqB/LBZmk
rN7HirrE7MnW0J3haFXbMwhcVKmAA+NmdgJdLDSNSflZ4rWk6DaOiuCGyEkYzLjuSL4r7jsLfHKo
5k6HKeZ9LKj/ep3wAWZmE+VltC30I75gxZgbJX0Vz0L+CJzjiZWd/EGomwZDN6T360zMibKY1jjW
S6rvBJfMQuVLYHRS6ceWHSNDOBftE2GExIoSBW4VF0t7YZpVM2ty35BHEJKeV3dC5wgYsp1VnSSY
7OaiPSkCHEuCK7W8f3WsbjtP1TSFqJGPRMY89HX9PQs2eujiYrvDB+mufhJWjo20hn1ti+7wbbLH
y9Y1xW118s/a5gMTULA7GmDAj5J6Xb8zUzkFuFKHSFfIMBTqDK/9ozt4sZi5i7MkdIqWhpRYZ27v
dcIoS3fr79V0XyikKcXACib1VmiZ1qMm9Ows2/GJ62sLJ0GpZCrebQu17GR/lk2nxSNYZy9D6CD8
v4uOO9mC3Mo8loZjTyYSPA0xzoiRmMIlZxggs9geN9QD793q5yHwiEuXIoVWyIRAQXyVKT7SkpjM
kTXRCvnxOMocrVrfPEgKEFSr2P9bQlusojXDWhhBz03TVN5lkDKnjuadcVhrIqh5XMqZ7Thqmi2X
N0NVLlAaee9K+YRXkQLEo7IHsDGM02O6Dh/rfuPn9M+ldgFQ8Ng8e50nbgAUILhrHAY6yr5NLKhS
AEToOtGPC0t8fs7doooeTlPyXRnGX6Iop0uSMmrwcnloJNFTheBsMhyoWK09fBvdN1CYhHCb+add
mwfYCeDC10e3GkDiVfVbsbVAzX0LgazKAvr0LESVLw4TNWnnN09eTxIWijd5mZY3hsfMMPYIuqnQ
Amuh0dL9fThE+l5pNA4p6usQWlb70jebGS7VhvFRdZdkXatoXvO7VOb2udq0g4UzJHAt7WdL/y+D
MPiABhwokqpxGshA6zEnDDkBk8nGdBRtmdHO15ZIgojz7bdqCEzyL75apwDiC9lf90ZbokbHOccb
TyBkT/Sh0TEuLzURMUsiwXWwnu1SOpzsF5XUXjzb/hBN4mRr4tRYkBvdvOENcntESiPOOYxXVIiW
iurCuUO5xqSjR4MlJ3R2tcex8n++V6FkiLjqgFrkIWUteDeRST9L4z232Lv5pASrwnx1yUpzNQK/
3KzO7wxD+6bwYEzRifFuU/UrexPGEFStlc6AvJM+RDvuOhAZb6UavjvGXhthKIGfpXBOyv59P60c
hewGyq6Me9X9MQ0T0/PItwPHi9B7vqd2IH+LVuIezlN3zLuWlLVcPaCnsIPFJ35gBjjbNmsadyJn
FLnajJQdhv/blrLzrKOk6X7zZb5uGYhyYYV2zq5RkYAT5mbxwIyrvqwYm73C+hj0pr2rDPtgGGzu
yqSMue9hW6E27+uZxsp9r9ZX9lDdyVqGLO5ekBbS+TN30TctWseu4Napf5qmOXUJZeuANbBJ+pIJ
QR4g9zJuxbIItnhYa0uTfR4T7Mep+e3BQELm4P1Ecfyz7NlwbP0I+riVh0puNtb/IotcQVWxCBJo
Vv9PDdvrYGakXSpfI1tL2+miHo1RQkCC1ufIov2KMYV+ZT8YLo3u3OoMafCwkkzelfMPUsKeTap3
V/rdM62bQkdw7qd5vqbdym6XsduSJn91sxgZKqw8l7TVCxctWQ//MU7F/jZCWsdB0LLB2PHVDblm
5fIfK0bj4KzpvwI5kmazQjS6yWMZOaHjI5xvwysK8Z3Ddf1b5wXr1g3TX7I+03ng62YNybjui30Y
K79FvzdFgl2DCXjXnkfUWLHemMesSc/L3DHiw9AI4QQXywkmQs5/8xlUABoPBn0Vj5n+hSqR2J+O
92KVl9KQn8hiAs9JsnhSXLUOog3OYeJQhYFdb130IGMJqyBa3BvjdBKme++gCQtm4tFZk7Iq7xqW
p5MJ/3Rp/utr6uaWYZmPRCkAQ0zEiselPS/GcFpqL+qM6jtn3y5ZGVDdcWGb4IyPiU+QG/DWBQ0s
Y+0A90Id2i4mPvTWuFPa8rQPGf261E9VaazxzCRM29JHTPYfDhOes26SDmXLeDQ7htj4tlzc5tG+
HCfKw/h0q7+bcMp7wxlcGPm/LgVXVP2hA4TVi6QFyLxJw2wvWQhT52zk9LGUPv+8lT1NzVNOCHLC
tSLm0zy6zSlt1R0ZeTLqKkT8plZxb8B6iRdrNMNSjOQb282/VIzeRVbG1awRYw02Q7XcOolneGfr
XV5pPyapdaQnMHFcjBfEsz/AosbTBgd8cGuG31lMfTWohlm7YhNbycyMV/17ZomxeMzOSPQu0RKL
IybSgQzGNMF1UTFYLr/qge1DWXl8vK32F00OU8X9r+RGg2hN6XulMajrpIYK3m83fuT1tEhMfVgr
U4wafGlPsthtni7lgNDZNduZtE9dBj75qrpBy1RT2ZGmAqw73zsqaQ9x6jwlKGcvzcrif1+RVb+M
AAecMzoLDwalGD9jnmYAGluDrtxhdNnTqnTJdFnRwXD1hHwjhcUIQUOXPKGrnZb8XRCVHU6K78PR
wBUUzZOWsFfLhmzGdS05JCZlIUPyXzTmIhRbO+i9u+vFUh8BO7KlNuw4dcWjM/ppUGDbphC1jikB
jMHquXeIxsmoGzL0n9pPwSDlZI/LzdaYfyXOcNarAUESVUwGIIH5z/zBu7YRf0mrqM83EG0oU6rV
PKL4/9O9uxxRyMc3ElSlOGGis+N+ad2jP3OFGGzxuWZxEICXjCj30b/LA1g+UC1Ps91ROWOyjd+A
T9Gqr0BYgIfSVnHhiafdcuzN1d9JgTMlW5iAD7h9lq2CQtAdY/5lWNea0ZTi1ShPPgYNfCAtWO9V
ODv8xQBlh+5o6oSghXK5adKN1RAk4KqbWVeRAdej6DTH9jlZ055l5x3iyNOWaX4EOdkJ9YndvKgg
hFXVC4lDG7rw9VltWX1ItgdjlP8GvUCuPqTnHvWZJvYS2oTSSjjRWJTflSIPs9Oriw4dIjbmiRdd
bjF4anHQO+O+2OYP1m/h1md+tNj8sQG/JR+I/oic76CbMovmcATf75wxIf6r3DaLB9xfvCOvfut8
6MW+CedqKdyM6I5ZcRymBPn0YoiVHGyakf5pngfMs9Zi0jELhjGZx6mjAfnEkEt0K/+aB/wmXrf0
2mcUxs3Q/PKwUJeWxt/CRF7Tdt+WLy5ZRhiI1apwxE2803UIH0U5SBAT4hy+sAqrVUS+NWyHtNBg
d5HyyC04R5VO+k/VhQBPI3s59n6G694aPjCQfTe5dhGpYtGu0J7j+VAt3S6rHrfPgPG5bFL8MX0h
/FVGa1e9Kb1fo4whkqDQD41ES0FrQ/BnSejO+KIsDVckaJC1bCxAP5oXMjGm41XVcYNhgSYStOos
P5LOOLtOK2l/BTXvoI66vc7QP5ybGHWGWbyvKfIh3UqAqDJ2xeg9fsNiTdkbCJgr7l6ZQ1TrvDpu
NLxHl0RJTkSv/Ot1fRO4ZFxFghBByCZQ2XIL8VNtxKiuqXUqCsp819uQ645R4m9mOFzd46Jf5Q5t
XVERExKnH21Cxgj1wYM4rtjiDdbngQm0hBIfQau3YczxOM5PhaEadmY/BU1LWvHlEvdR4NQ2WfRS
JqchJZgHWyB3UP4IJqM+zZ68FgmUzoYCmb6Ws5/Vrem8+sQL3qXsSnyX0O5uABeSy3UN5nEHWNkU
PeYye2dfcwx8Boi3d0SAll9cJ/sZXKpaQza/s46Ycxb6t6p9sGmtFwq6+bOBvqFcvUfD835KahQo
ia9gLVAs9LkIYSXdiY6gQU73nRhaFDgGAjQ5/Jat6Q8wwtWuroU1PQ1jHYl5bB+Y7U7EpCRbbFnZ
LUuP6+RE7MK+qw6Jal3KjIuBpRHHlBGwBjDYWU4Kdd78iT7COhIJtx/S7vO2sK/Zenntdaax3bBn
Keksrb2J4lIhnjTSkIEMHnCc/Xe94htLteKGZwBVRbn6UYXDuELfDGxkSQ99h1CxXzxmzng/0IBl
R7+CnZfTn+eCxUJbjee+zBhX6NZ36ZOA18zFH5L3MIPMWhNS5v0ZFePONV+fvElg2e8TklLrR2JA
1yeSYXDtcGOHusVoNCeFoXdIg1ms+sny/OHgpOjPLL7pdpwfWJqDGhEkuhsE+sZodP44u4N91ZiK
66SZ1aL4Bsn1t/HNkyvydy3VQc3N1sUwvK8OMhT4E3miMT8OrfQuhqtJxoqrEY7Y7/m1nlvlvOWl
wVjA0CEQzmw4O1k9EfFhR6KDA17Y7OW3Me6ApMjKYwNYGXkwoTvGoPjZsj8h5h16tFoZ1tfmH/5n
GwwveA69db4nxvPhAN7WdACjO856pEv8I3LQE7NmXFFTsZ9lMBCOBoa4VDkihED00vrje2KIF9dK
C3DGLAVaMAHDMnHh45IDy4VYfZzbr0Sm/9UjJtF8ewZx1576jAp8JvXeH6YqGksT8QmoIXS0P8yi
kWRWGZ7aUpsCuNBraK31ELk3K0HY4q1kZ5g4L/lstmSJWktPT3MqTu7APnhTby2KKwYcSGQSZZeR
TWSZo0jNRQneR3gJ3MwTp650H9yCixTJV8b6SSLGVhVVTJnOTMCSia2w8zpVXYzr1DMQurHjjWo4
CaHoKA1zFl3UHjFKIayWxAN5iWEGJvtNdmbsfba8yQ5AQlg1yjqacvqZCdPmfV4z7LDBJCBJsS+T
P/wyNi8BbzBZastXe926I8W0uCvtW2/5NXl5FmednXSRhI+i5eZrMS4+nvJlRA6CmSHT2td0Zv3g
zaDWGhxQmPa+B1K9KFBIH0g04OD9++qkgK89Op02+yXG4Db5TGtK03nyaqHfZ1vzY5vEQ2ckw5ek
SKEme846xln5MLkhJoxjPyLXUptpEKiHmWvYs0UJSA2ZI6Hpkc1yErS3CRgR0QBfy6vuX+3JByvV
vzaPu7Kxy2uSQkm1TQb0SfZ/K+fDaIiO73RlzojOfdXEfdqn915S1JGhyG9QTDNbe6J3Xx36eS6t
S9EBhPb7kzYZBBOaCboBkT+SUvwst34+m4qzuGhQJi0uj1ZrPQ9IZNiJYMHwngkk95mbOEDrTGMv
/9h5SszJy4xNVvbLA27gu3JYyQmT6kz2BNAvcVdYDnJAltmMsfzpt99lOOuEitNW7QFi8+PkTfAO
rOVQasiVOnJWvVlbeQOyXwXNqq3tc1IWSazyzDvMdPssLOksvHyJfep2gmLBFN9qTf76Tr4GQ0qq
rtPjvq80D3oOG2x2TMw+8PiECXw1jBEMysBSxuP6AcGBhqKrMUjWxrsozvXoFnxv/klRDOESWL4E
EgcnB78FYICF+3LwZPEXT9dD66x8/f4H1Om7Agosoysy12vHv3L9tsRvHZpxF1/kC71l+pGD2CRH
UO+IRuavXfkHXtcSGrTIscmUvOfQBe998yEDwi3il1mh6YKnHUhoCRFSwSwWZRZhI24O5Hc8Cp5B
CIEIeLz3Bii7vUh2yzPKLpxkU8cy3iZvZHY1Qutm1lE5RVaDnZ8pM0QdD9JWk4FGIUgxZ7kcGLVu
8q6MTw5azUzpL97m80SuDPabdxTgTriCyamNSzsW/xZj61k2pW+Vlr9pBnWTm3Tb1WBdHPi6dA9+
q/yDRgznNolbny+vbrdogO2yz2Zdjn7Xb4EjppZCZOMx1BETEci8BXnj/5WSiqsD5ht0BdU9Z5Fx
nnoJHISkEGyCOoYxLSBGjrlxt3zUy9DGtgFshzPoMFeInbb8DdA/9ZSOGSsv4CvoG+mZ4PCwHoUV
rDSmSDjj8/k/t7AO7PdIO17RbDXIcJiUck02+cui/A/P0z66PVFTz1VkF0MdzmL6J8X42uNS8Erz
JUOZHC2OeJxMheaNfHJEdUNBwAT/ZRGiPTOrYb00nHoYemFt4Q6v0gr8Vp++csa2wVjuNQlphVHK
y6f3AHUXniAtKxsQXxSz08rPlE8oALOq/RUvfY5IBchlEvzYUHJZNg2R8CFaORk1rW/GbZPdEMc8
ESpdQIjxGRkydA4tr7KeKxT+G8dwtIezH+VEVm3dY5BtPORV+uywdl+uqU6DlIzFx7bmLLF0AooI
cA5HsR7YEnoRF8mLVhe3uthVXiW5hkn60WbZM80SL6zZVGd0lE9lh+IUP17IY1oxExrNaM1rPpt4
aqeGGBT9O+2Quw7IAhiqaTe+kR9Nbj8OPIPC9R4Xb/lEcsgqit2UMZs27SwzNtkjoEHazaY5M2+S
RGeJimM0yOfEtjc76s6w96lVMiiMCKMdSDtJg6TXP5N9WNsk7YOW0/YphJYnNboVg8cmDTrFgg0F
mLDn4azRM+IOSvlekIwO6IMmYgxrHaczNlhz5+1VGKzDdnUWOiJ2255JLmm6YNFSvw1j2RDR51tH
VqIxUC0kXPVbX+D+U/d23f7NTJNjSZu+PULcg6Il0DBD2qwreYVtf+gsSlfdrz77nFWl3Tj3IwKs
Y256d1lOl1JvihUSYdYInC4YTjb2XJt23EgVpSwm1KbfcXMFrkA5Th+Do7+SdgHmjIECMzsPJVmz
hGtW4gzDAxLWbboe1sfEzlC4ZDiIVoa0cGk0PGbehlm0vmd6ndQpi3P1aBOzTVwwTZ7oXd4yG0Q1
II+oRWiq9Tb6CTbu3bkxBHSyguqSi/5kN7zpoCbvV5pjqYkdrIFfjJm19jrRSkskrSxBcJVzSIYM
f5CTrxcBc3jj/RjxyIJ+90hdkV/WmnpxuSDsybLsHbcGn52NMyhnxzv3bXaw6ymNh+KuoGQ5OLn1
4makW/IxC/M17/o/FYBTBpzckkvjAvbEngfsoAiEracBxOYxHABeIe8eP6AAtra24Yxm+u12EOkm
62h6AyFFm/w05/XbzGr4SbPkXJ3pTuT8L1esbDHY/la063BbeEL0cTn1XvlkLd2rNXbZE8k+wKdN
UnZzi+cqj/ukL0LiNnSEfOWv5XJZ9z6vFsr4OAMwGDdFHvo5v7Pav1KUj6/4RKNKlq/NitI14RFN
iumVgoJPBRWZu+++RN7QlCbiMLK3Yb1M/5WSKK0yn2l1vz8c/RliB1MVB5hrhk/aAVChRurFdJ/7
uMazl/Y0mh7T0kKySbI24HH70qgz9c8WSx6X4MID+joqh/gNCGKIygJ7NYhwQ8PkbK8lwCdSx87p
5P7yNRT2aOwdntMZ2n+wrSuDOwTgYW2ro7WkZ9lp/6Rj2UeuktGZd6H4V8uhTbPlxmk9MJQbbOJB
WQUJs78VVR6Tb5+GZCCv++F+IbGFp/Wu2p0ivrFezdXhsakU2ppFe+I39l06pyGZBU+4muMhRWjI
8Dtxp0+9y88ugsYuqZ99v2ZNnaoYmpmghGaFMRWYrVE0qkX9lKhVlAVyYGt8JFxudlKeBYXcIpjZ
L9AKGwgk5quG+fBQM7pmB8cvXENLEQBcKhDEEtgN/B47EoTHY78wR2N3fkvJ9cRUcFOlfBu5Lc4E
MzC23IJNkrzmDfRzmVds985c/jiN9pOBsCFwCxKMZWansuv+9OkkGG3Lp0QyS7aH27baJfBzEUwk
m4aZzWHFuBDZyNFDHod1ZJcdNdqGGoPo1x3mwEwInCygSG3cW1280gd/8z5TC/1nrhiktwN4BeTQ
CV6K8lEYO5xS2YFmrv9moAsBDdGjKs4L+weW9+bXzluON6d4Au+EJrwwHrrOzO8neMt+UiGuTHuM
YXbRxNyQIztdOGvmVz6pT2mhVrBn9A+b/mBt9U8+JJgnqrfGQvlTtYTeIG0IPYp6lj9jrL22Dqd9
7/akyjLSCUucmdxEIurb9pqn8z+oG8Vxrau3lsax8HjlK2sxIsi6Y+Cq8oqnf2Y8ZzHW0M6l4Gdk
R2s0bIaISmAWOA9EEMGNtL+px/JAaatiR0gyCz/5d9uyiEx9jI+b8Tx27noWjvbtOLYVpXoOPEE2
LTwJdVUF7ij0OoAWLcqcmscGLUXctaiTmB7fHM1ysLwMbxU9bkDtr8cIRx9wuaV3/lQ+mpb9YtXa
ETYxadEdEoW5I3prAMdMlkRMevbzMCEDJOSKsI+CRIReo7UtwR0zpHxMWCm2zLJrkZRcNMN1cSdY
vvQsic/nZ03zu9lr1aGEPBDZmXG1zJcecl1gFm5yEJOJQGy0boPeku2CNLHIyC/3QYuZY38gVE+L
aKWQZfhMGEvxrBkOXYDk097MA8T0nK3IiiEZGV65j3E7ot86DfaI7iCO8N21DBNW2gjGfrKSOxsL
aHNsZvFntP+aK4uZYs/79So0ExLTJvVInTJvJFVABUYbzmOZhiz2DoRE1hgOvZsoqrcxoYNO95Hq
nNwGzbnpVnf1Giae/viZ5G2O43y7bVoxHPpCY7TkecutqZgeLDwkibX5B5K0kAVLgwNzSSJExCKQ
7GKDVnQPi6v9kbqm3yW5Y2E3aJlMmpHBWnGcUNFunj+G6eS9ukuONBcAiKcg3Zq9+5yg3gwaxn5R
Pz17q9cficR8JO38UqfNu1uoz9yN3dyuIQLJD5dBF6aWjlRdJKYlIVRELRpQuLNItlu82QP0ywmJ
Sb6Pr13akekA2ZnNj73yENpNnIJZJjAblSbpq4dte3JsxNKbILQA8uQaTj5i6q2AiDfmeys+u2kE
YuUOWU2OGU1jBNnN33O+YCEo70zUKkFh+P5BHzeIIs58Wi0P6+IIq6MV6mAAFmUshW+HkR8dLH4h
/eyWW4NwvTFj2TPrGkCnpEC77AxWDuawP2tfjNROReyN3EQlw81gYwNybUcQj+jplLmIg2mrn9z9
ThdT3KyGxPYhfxY+gqjK5IZuJ3HuBJHWyaK/K2/Kj3iKGzRcOorvo9OMiEAsrERt6Ua+elIy/9gY
nGGAcBmn46Fch12Ban5VXbsSJLgcFBJ/rBGqZHio8LvkW0Qetowl7WI6MOjZXFSRxPW5sIdH1YMG
Tf+xoG2YerAZXAe8HUptn9rq3239V67IakJO64n8qzOyC7wxfAAMNoKeeGe8kx04NPqaUC/hAs6I
dDgHziatAPEYK8tCkyrWYpzXLxNDtDoBAjvVJ7dEqDzbfXkpGUMjW5QB0a7YCYyfOnlBgIpvCZNZ
/9w2aXdYK3lcd1Wq17lzuJT1vyFf37T5RabIu6eU/1eOEAyCBbpfo4OSiM9vluM1m9hVcW85oT+5
nKEUN8DLVQEtsCPsPMBFfMA1/KzlvHLK5TdnNqiMfYOKHDueG5m7mL7fZ90OrKXR4yeqbfs6NE0b
edpMTgT4XhLcaBMbtlpzd1nNRcbWYP7Xl/uKeucisuomuSTjmZQ0FwHDWZcTJXBn5Or9CA5tStMv
HG7omgoU0vXWREQpVgDPQ69Em7EkNDWVfIDuXd2nxmYj+Fuh51mZdi6G7d3zGAmsmN6tvk1CS24B
3WQOHol4qxaQtsGWKaSOPMyM84GYRkOZDQcr2SW1nj6GWsLQA1H1dHAa9VQPgjfdQ9FZPOA1dK9L
59ypHWHTFGZUztN03lztP+lhfLNWRgKuiUG73UVkVnGzOQ7/P3hzFo02DmLTLhKpEJjV8kBcXk9p
5MTMcLuHqnCO0ONRy6ZpFzocMp5kBQOtsY1wtMFIGe13uV0W3XxfMFM4O5lMUQmHVYZLt8PNkWsZ
fEy44FiMD/3Av25qJZwfr3tVU/4o0q34QJDysrhN9l8pI7I5iUPLn4uEsxME3nxNPOx1DnWQ8qDH
Sbu7c9ldg6Mqu1DZR7PFp2Q3A14br51vqJX0EB7n8nfiWrWVz86unh5MX5OhYzJf7ArzwzXMCocX
Aoa2oKa3tl3O01nsXvpaMWZnkdzKLL9mXq3CZPY/yxxzErMhol677GxUHP198bgZmxkAL/uzqdKP
vDyfODvZhFaofNBxvDcDsi4j7zEEG/zctnoumDtQVDzYDs5K2E5jXHexJPMsbmkV5mEwrhvnunQr
hcynLMIp1c+mxXSsZtGFiw1BMFD/0C3idXaf896m0XNgAkHlpVRNgkVrWHGuyyXhVhPWgB0AcVXM
Y3k2kuoHVOYjxygCVHIKS41yfEByK75bpuZrbVhHqZVvJr7rc6/7dzlvPzAaBtzsEFH6dg8o/8IN
wkLIFvLQAhdj42ZStmn2X1VPP1AX+DWN7H5cs/jDZOMkd5A7mzdx2QzjrV64nJ2siAkQZ+V2sevk
n4eyl4mT1kdjtZ5aN71zEhue/5SJk2zgjyfkBRIjd5gyv48ntE/kV6bRwmQWZFoCOnwM5OCWYZYw
gLJbMZ8X+ayTAhN4I7oVkbB1dWlukEgGm13inhfzZ2fp7Pscjd+C+z5rrsHNWF27ZWFS5b/rHSt+
reBDM6bumGkOX895l46cvFhNNAYlYOY1edascmNN7562qrm6pkvyZ6qC3kholPY/RF/telDBtAMv
Z1wDmpWYyAG3QhuuOGIu3vL/CMwWBXuvs6J3Dy7MuEMKVgQyJ0mBWzIilhvHi5N0DsEKfWQprAyZ
pVtRnbw69QgHDwEG6VuQ42uIAe6MUrPW6tdyALCSI9LGxf7PzMGKdj1mbx/aWqvLcy8yek/6Np2N
elCP/n8LMAs2DPPJi11dp/3Gx1kmv3PPVKLttucEVSew3P5mHgFUMUerxavfER7Uz8Mjeo6ek3PP
fayzm5vWiFTXhGTHOWJIeENBecJ7Kk8jrEahMb+GMP07QmhABeVg9fgsa3HwLERMpeuD8GgZCXf2
V9mrNzfTH12l2qga/FOTXRIxnYvSbBmAek/NzCBMZ3ib6ECyjNisNTAA1Fq2NXGT+NTxm4+IpGgB
NtJH9TvfuYIFPhG1iM/syQTkNyHlYoBfMEv1KRtqAJhpG3v4DgVmN8GFU/dvrZdZ+BU/xc4D9Fpg
1MaU2de1mC+OX9rhYrQfyXaac0+dXJvISrqzQ1f6j13GBICbFdL+RHyv8oewlULj38pPTjVf+ptT
pxcjtb4wZ7rBkGn/o+68eiRHsiz9Vwr5vKyhmVEuphpY1zLCQ4sXIiS11vz1+7GqZlBZ2+jZ2bdt
oBud6RnhEXTSzO6953znWSH9E/TO+SAbir1Z5lg0XxqNy3uDaZMNL37tVq4FeBfZcJyjsXE0y0Lr
BuRcmY+99GkJ98xfbOX0O6NrD9lsde9SkJcbvZsYe8DhbESz9/GbL4RFJ6lu7pXBsJYCeOb6NWDC
wTKGjlCnwhbmymz1TUi+xqr16EPDnaBjOzw1VX5F9iv9ngYmAl3drxIJP60XH3em5d7JQO5czXyy
E2ZpAd5DK48RLpnFkxA4bWjP+cnYr3uBhd8L5G060HjRouitJ4GVU/VZC/j4Mu8wRf7HWBbGQukB
4oUIcXrCuFifEwOUvoX9Ua/dxD33sY1LCELCkg//zPwiv3J9wowy5meIPdl3rXkEmx/ZTBlAQ7nO
gCtUAC0wPjFZnqA/RS492wgRusf2UqcY2Bs05X2DI1tDE9W13VcIe2xLeHTEzB32dVV+xj0TBT25
lqqPoNcEWIWL1L+O0TJ1kbXj6LmfDDxzheGplTDgTDYNmstu05d2ucKiT9pqKrAsmOmRFdpqVfaC
yu1KoY1eQkude3hkwtAgXhl9dm1OzketUAoMFgDzsnZw/GWnjnQDfEw1U1fPv24GFJF99eRH5QO0
/pPnsxG6nnVwdRN0aZ5gDqm+DCSU7ArazpiaetOEnoQOMn2j3ONEgD2ZZVBhHR8fUVZdaIAgbBry
GgdleFP5xS3BnbCMLJQDLUe6hJsGdm66DlKJPyqlz15H1W5khDA4+ISC4dDUxUOfthzrOG/RLJtR
I2A9FyReWihu0EzFeH231sx/dq2POJro2prt/LfdKix8m458vQWeRC3oVvsAaHVGQYnPZdOPwxfk
xq7CpuTAYhcTdCIzG8gEdsl9LcnM7Kb6ym5aYoI7DH5zk66gNZzUzEGkmpWFsnjCjI+txSfzrSPx
OOGxjsGKIUpARgYfFgVbBYARpmrSVKvCgW/uoGTWI5uxJBaGhcl8qyk4lcSRePPGyOeQ5dPJZtYO
cQ3xq2dWAhflR1TIFcS+dKP0Hg8+hukKvP5sdfU2aGrptrWIWAzMM/ku5fyLh9zf4PR6SZNWX0li
8yjMoxd8AaWhnjIsImtf0y9hPZ2V1oIMI2B7T5G4SHXivqf2O4xEvI20Kllabn/I0jDeI+C7jozu
NLgtH5I3z+nr6ODYyH/FvDDO2VYLN/70CxhIwcDQ2HBv6bwlK4PpPyoEA64VWN/QrmZz6XWD3MiZ
xax5uwPggvVUvw0cfhiXcTqetRvb5YxQAiyYzXq7onBvIbjfewOT7Fbtmmh4Qy3HIdre+8BaEyWf
nEm+ou9oSPSlvM+1oxAAbQwDMckQMNFCcf0SCe1RpBnWjwmeBF07fePE9nVQkJHq5fgakVA/Ms5B
Wj+gINEq/2Ib6k2mw7BdFaa1aXVuP9Xa/IJTcmoyBLAdv0pWMW/pJQyiHHl04dQPY1N/BTVj76T5
tHHv4dH373mV2TsCdwANTOFzvOMSSwps6OAjAyfVzj35WqMzFXsY4jJ0+NOcn8xCy6h43loRvmOb
5AENTXltpKhT6oxb2G3VnQrV3sqgcdIoh7854OSV1shkAoVyD1bW7ehcIOzWFuARhwWGr2sfmATu
0/YVFcxVT6kig9oCuZsug0p0S2X27poRWosmizu4ZZotihF/n36n/OmYVtGVZjAxVlZYL6uZXzGr
b2USHK2uuJu6Wfxn5yRTplz1LJcbC9MpDfNN2TxFyS7B4btwJ863da+uGcygeHV5/ONX11RPjG0f
09yZJ8x7HSxAIntkqc1AwrdvfQtFG5CPDtMaD57rj/6V6SNr8ypn14qGJ9OXaqO7t3EzNks3o+kd
YgdfVsZLVHXfHFWgeFZk48wMJiKT/Ao2OJoywBDNvpm6V6fJ6TYM47mMSXdIOBl2Gv2/cQiTFQxl
6Fu0VFvL+8oc59OIXZ5n+l+jswas8KUGXtREpx+rZiV6AhQHZrDQAlFNKOurstsDBKDvuI08MlXs
Jx30M2KPncAW3NfZU9AjFwMSCjvZS14YNmdUzYkFFwe4uAWOdYr2BhshzI2yQYuA4KVBOzD5z4jV
cHvI1mWO5T9l4fgheT42btD77H7qoPPEeNqeZ+VZJxDTCPthmUYBkT6ZsQL8cC4Q47M/7PGOXYr5
jNQohK4+gzrN6zNSNG9NV/tK6Lpwm1c4oxp72TTQdUU1vcVUj2CNuMkJsTFLwsGgCbHI6d46OzBj
xjJqElKR2M8KGzdKRv9QTOR22blKt/3onCb6jgtda+CscWgH+9juBH7i0ww0RZJBd8wPOY5MkwZ4
RCR7q0DGODCTqPlNEAkEr0lYVYfGVi82ZIqVoZJ2palZmWjX9Wp0ocxF/d7ogmRJqlSQveW6ovOM
M5tu6KVhnnCjAtYqlBVzp3mn25+WHV1J3RTwDbD42F4yl8R4pvT8emwlhCgJ8xYf/pn0Nsy6oRMf
vFrukSdNiOaGC0/6SBsyPo9Qj3waHj54svmxzdc+MrIF8iYmH/h3IsgB6ypruF97k35JyIY7lB1b
wMSQaOIe6dkS1qQmuMvRVyhWW7bG0tYPcuCobZL1Fpv9fUeOHj0BZOLMnx5wie5SJ8avFfTZppKC
AXM1+w7r8EXQbuhIszzgV11FvvdqQXmGlZHflSVAK3fSaVKF2UOSK/wYbUXbmCrRK0gdGXr9zh0o
E8zpEAecfbocXIbwkQ75984EcraV+bByyzZZtCN1diHpSmTaq19NOlloRbUeRtYbjdZkq+DHl2HN
Q1tZp3L6tmXFfWcEZEONegPwlfe5G5zIWUXcDPhureUwDB8gRbYMME/srzT2pbeqwuIzYJE0ApTB
veask5DIDruCZI+AYC9D5HdGQ0BCqrYCb/4SvPsl1RjWi2hYhOiEF0k6PbUVd0fQjfBW0xZvJi6v
OmIQK+0KO5Hd75qQEkYoa1iSK3euGrSVDvJ+YohPSnb2bTc4DKhUgFQIt60EbsD+7V2N6XDXhJQC
SSoyfLKBdxPnz7ne3acEFF5brYPzS1bTga2h7PnpgVQRNxDf0qdAn4R1ERlzek5LUe8kLqWITvcG
q2bAOAF6djcUOyxsPG+sMcxx4eDaYXCS06yXJlcMwdawJfIHSmKNTFgjMYVerv3m2im8yWg4lJh4
WYqp6tK0Z+JL/0hPE8xxZhtcRhqOwFKtVU9ZS9njHfwyOMatwsxTNqsmCgpSOWaJ0YC8wJyPJWM0
FEiiSO3FGktRyqw8Fxyl6YfEm1AONSB1Qoq1lpiYCdAYzQtaFDYg0qrjI8P42qwwUfowQxtxl0wK
nqpNjpgd3Mr+otd5w6ibEBLs2VGAiQ85cMS+1+xRHtWMUyFYxrPQ584FL+OZ5YMW9SdT+VuioPah
NxqcniIcSQlzm7Any68gCBsW2GLS65D9MdcOaTtciRxI6ojvIbdIDus6Z2U35kafuJEIT7RRcyPy
sTDYYknTLL84OBXaWHPK98lhiovpYkS3ZtPRsXOAMjnJ8KSM4DL0hB+kVrePHfJ/adFNC/qh5cKv
wsfUY8xra9YZuWmz9mKLibozlcAR/TUpcQCBOeKM1XhXVGLL1veJ2e09dlAOlROUfUNQ02XJFSns
0VIZNFby6IBFDlwizGgcKckJNNrW9N3qgBrubJtmCc2i2QZkT7MjeghkEhRhgH4/w2YNbulTiiCj
4KIz6jTlRoz3tZ09K+FchzlRGmAPr0KRPUVOdYfB/BT3AXlfEQfAecmLDPR3sV0ePdf4bgyt2rTp
QBaPvjQwcC0Rz5F2jtBhDVoiXbJo481dV/Qcu0pxEEl1d1OG9mE+TO5xFxxLQhGQ/SJkLytnH4HQ
0fD7oy5KVlYcDuckqo+0iPcl7f9VblBkY3GQizo1t2R/92vHwaTTVhSZVXCc3gYkaDv6++zulPQZ
PYlBIvlIW4XaBc9E6dA0QokPqR9uUR/vIoAQuzncZKnoAvZNgBfKqomkqDvcpEZ/1gNR33Lqzyk1
k3urJp+xwVqlF9V4grZFwnjX3aFVRG1loCng9sdAnOoPjo7dqWBjRdHLDKCgzsgqScEqgFe1tfnS
8/aMF9trtBOIhq1jZ/J97UnDyWnJSyLzc0pfczGU8pucDsIOXI7YRQyp12NFaN1Tnc6SUf+loFvH
JM5GXD57KBOcY+xK/aoYaQAECgE5gC1YaSEqTXfg2gModgr9gNH8PazHuxRs7VCO7+1gn5AfH8eE
hEH+szCtiKaQb1+8oLryakqZtNKPLW14SsFZASNHHK7dBVgE6StziFzNhM3Gb4V2BYzXCAl0UYMg
dKz2gd3s0I3ctpr8DDnBSbu4q+n6ID2pblu/3OYVNXHm5yuBvNyNgvrYDApBg4qzvYkThrGU2qZ0
R9pK6XufM1nuHBtaixT5As42x5tu4MDT4mxcTY5504dbdwo/Ys7aTBiQ96nioXKPefRopH2wsnra
6tYAwUXmkb7wO/aYTCvpdkzVuy/767S4ZhT4abfalQqr79wE7ln1UMp8kogJYeeAyr0fwABaF1q/
DhPS1oagOZiweRc1lBMOP+WLPeQfmm5/1xMegDTROKPLHie6+xRNPnQdFOX0leRSSXoShf6p6yHh
AaNCw03c5t7MnRcnrr+y8LNw8ntq4ZekMV8tlV9nLGGOmgE0VHBDa580owyWnRqfOj39npqj5kaL
NhXPLgY2clhvfHxtcx/lcQI+u8g4aq18gphCLz1ItplloaZ4mU5kjmlJ08Lhnlat7t17zPQDXx5o
hz4naMqQvMSYisLxNoHYUxOVnA58zhp5Umb8Gom5R1PcDkhcEVrad5qrf9ay44Q4afel3XDUGZHw
hHX4lifBnQlUycvwGrky2Tp5qV98w9dOv4czufZr6oz1YywQ8BYCEITCs8AxhJmjT/GSlt5Rk/VV
UjBvo28z0H5FJniJ++Ybfx0rBkIIPGv5eUiSm5qc0zUiA0YLgky8SKLDVOI1HJrxJPJvrYTrZUwc
egl2wg+XR7upNVtU6cgCjclDGmyXvzszABI57cMAsvFcGjZizmIuO1pGaqgDY2dPKgWPCtybYSg+
vIag8tx3LGI9XOQxrLFbfP2vTiU+PE8Avx9iOrumR3wNyeemX0GYSD3SgwpcrGP22veTcVJpS86q
UYXYTa1oN3RE4ZCI55960Z6LCNUnBDZU5hUuRd/6jEsX6dOQy2MDpjyvLCoemWNYdEptBUSCORox
f2fTtKq9Q9Q2k5PgyaTaGIdgeggSQQGt5MlcD35eHWRvb3uHKGevx589Fu4rQQNlQbWhOIhD92Gv
J6ai2QgF6zHJOB+IHD17qjhgpNWVY2o3tJHZKzL/jDKRyJAW6VDsah8QnJg5M9OT2Dt0E/VMi3v4
ORk/PEKTTDX2GwTXd1qY7odu4ozWAxsZInVvG/qeRU9sRvadbSfgs2frBnHa0WnFueTwXofOs+vS
lGzC+lybFdon+toRs+ylGUfkcYmQ8tR4nPX64F6ZHmXdwXFuYN+pm8dkcMpdo5KTjlcKxk68h70Y
b3W0cFPUECPSWl96I9pNg8Kczi+EUHr73nLw/bfBi17sgkesKcZP4BL+wkeaAXujwnRB972EgYP+
MnQqFGxjcqnZ+mRovBoO91wYXKWl84Zx8W7i6THa5DGUDf16735Ih4WsyaYJCPqia7lFbafPLLRs
i/Oqq4YDGRx++dy7qHVLx39KiT/ABoqp1McPQCECRRDlfwT/REsifx1FzZUrDQwX8Xwi1JHrVYr5
lTkW1M8pM0zuWK+yz73fOGSFFoyiOkkV5zQs1RrOteoWZxQXtAEWY+f5FfxTZ4HgJk3IY6qnhH5i
0KyzGcd6B5k62fShmW8Eh/s9ZOkuXw4ASS/gClhMp+JGdLTANeBkLal76yjRqi3tNWqBL0CoVyhF
H+kj34rqJvbLdOd27qJEM8HAAfZHOpjPJG3Guf2a6DpmXSp1rtbnkMXjssaAsByFhxkhwLAxNeBt
JeqcBIjMctKrZB1NN4h8GDdntPZEdxTJVdqSPBTq+Y7B7mvUo3TIUDYu8S0zYzUkJrSQuUbUoPoP
8C+ugsfOa2G2RtUpckx8fLSQbfz03oSyZBKVgINdP6ls4ILNe0RCgHBdInMVcuo/e0BCUzy8oKcu
rgJHaDRw9HTtUUjYeXeumZNtG7PgowTsDuLmWfO86slNsuXM6ONamu2mhCV6ICJpR95BtEt6hbrN
BU3pR4+j0CmLDPGifMZ8+ViajFeIF7DrfOcfSsvsXlMtBtUakkpmDflTrU/PUDO1hYytUxP5sFqC
/Mvsig+sn8Gmd/RHZBWY1eqdzvq2kEa/LANtB7AuoODU4Qhzbcpyk2XN+9QOe5iIGoJHWIfNYPJA
YMUYEv9so00kBq67is2L1/Etg5jBq9khjyhL+0lNCJKKnN68x0h9IVR5btKJiAZf0NybnTVwXtAJ
MWm0kubkBuIqJ+GTEhkoT9UTnaUF5rVPHFmSoKhLDFHtOgHuQJWs0hUw+iUyOgaCvnGmMwR/pqKh
1qWfjEmONset3ma2SLKRi0ZcdZvA6V6NapDwUzMwdwYhdxEVBrbP/DodmteBDvAB2TaSH1N4iwot
yRY8THDRC5pX0MnxMY3Oq4Y8LifI+NjjaSNyj+41gKeNJ1QNBxivQaAYYSTMR4zCbVYJRR++ueI+
rV/nRKt9aYa0WkbtiFoUllO77fvsQTAlX+iASZehVr3IdjzLSV002Z/Csl5FwbiXkfHqcFm3mRa/
oX0Nz0YWH1WjCJxLkc8VsEerFCYKFqIdhoArTd97UXtlcFaXisZrq3BppLF6S7U3soB2ihJBAPJS
Sjz0Og/kFM0qf+5w373zqRxp9bADuGWP6ohBpYES6ypCu2gZT4jE6W8L/6pFNw6/lAG1KgpUlSYd
nD7BEtLPHB6jetNU/oW2yCN4uH4qgDws7AEVUMC1Yox93SKcEEY8nrOOlNFOSXTRdIqBDTVb35N3
xKTf6AZZMfVF96HquXiZbDqkrFrlOgOqbap3M9E5ohAhiQod5QSW4C19l9fKdS5mgvk1HabvfrLu
fIXQVQM1SXlA45+kXCSM4AEQSg7QKvBHF9Z0hgGvQWnCHoBJj0bFUG7cNj/6kaUQe7DzBIEJjy/X
cK4JLVjh+KYCJfplOc1UUaa4GKcDsAvGe6zTwaa2fk4qC6uPXrwImgvoN6Z0PVikoOvGzRi29d5w
tOtp0u9ss/wehHUOBSNTx9LtTe50pHtH/mM3jtFNOJXHFhRkk9jRbH7oNm3U+UcL1PKyr2k9OkhD
r8MRoVjo2UzLIiKDjaieKSDDplJSPtlqTpHuRwFCm0qj7pF8YClALkEmqRiKK+EgsYVowWMZanG9
hvLv0O8D1kx6lKyAXkYPnH+DlY2ccxW69VM6CBvHNoelDAfnuimsDbY7YEuTx8w1e2BpDU5FxMkx
9Vt5oNzhLAlByTPIObXtk5jEdaZ1z2k97f2UQK+57ZCE6LpsKGqcbAHs7EeZP9Me4LTauasRiMGu
U608+yQHMcav7pSprrQI1BQZpF8WvRl4m9BFcYrxQGQXnupoXZmE3Nv4cOC0nJOe0AyfwcngvRQx
+SrGWL/HcX9fRBzuR8f9Lu3uWvVsG0pzPsZMZOcr127dp4K0EykJolc1o//Q2ZKClG/7aQQ17gHx
GGVxFsS4s8n76T6s/PbSF/pZidFbMRdiJQ1oCA11cUVL1joFtDiWTWt0R6YKjxBxNBoiHlpVq32W
Xb4DwB1fq6QKr9qI/naqac9JIrIdR5RdBDbzSKMWmVpAXl88FdENorZL5Mjuwqyvu7Gs1liFkw2Y
p8w2xOjIE8HvGN3676Jwuq1ROnj72S6xhL5F0tLPWuL3HK0E0nw5XjB10vNyMXDT+VpEjvHK8cNl
xiYqSk7JOTOP7Ju+wqcxQuzsatPeVHNITa5/lA0jWbfimIAms98GpD5iLboQOUKbJ6KL0jhqvPZ0
JzkUOATjKchPuJhuXIQtJw5F9Gtt3XxpJ/2dzT6FEdqdStmsLMexb00/dbAMpyWBPqqap8gB/K7w
YsWF8RA1CJnHvkaRwJOeatBoSrt9bnMZP3SKI1AqwxeiY2h9xnF2JhkxAl8JkFUGJQR0GAsXHZtM
WWqIEoYY7FgQlJdgQjPipjI6kxLQHSbuzC4KLoWyzasunJJLIb2Jtsuw84I8uTTzX3WhDDeQjv2l
NQk2OQNTPOc5nBjzH+1Ea05aUDcnk/Eia+P8Z8XRL7Nksp8GIz6iGY6pfCOCHyJLYiBqqAFGbx8Q
vHLM08w6OjIHI/D7//39f2ThwAwnc68veuMkvNE7zEFHQ58wSFX04pShBOyfRKN2nf+vhdIEdzL9
UBLcLZhgboDyC3eKxjTFSJhPtQlcivCxdx25H4M22wbNBPiYpZwOhdde64S8Y2lNGCqQO3JdZdd+
M1jXsW6b13Y3voLYU/s8vguwKDpa8llbxfBFu3wh3SB7VB4aZGajsLNleN1TQh8ImZmwx+JDKDAL
31haekNl++4VsEPNScpNHSbcLN5wDRT9DeCo+1xxJbQWHy6GIfqL9ksw3QOJaa6CVr7g+1E7va52
8DDzw+9p5+yT3pVrljyZICoYdC9//PJv//j3j+F/+l8zUQaqbfZL1qaXPESY/dsP58cvxR9/u//8
7YftOJIOBiWE65owMXXd4PWPt9uQ5Pjffoj/YbAyjIHWdjs4pPYyt4NqN1mSPm4TAonw1a1nhgVP
eRSd/vUbm/r/8c6G4P0hsEpDCFeff7K/vLPjj8xnBMcAVSAlspE3sfNNB9vsVvR1PLSg9GzdWHnH
emQxnGS0cyJUoB5CwVh1MCxmdGzc32hT3r9ZGWp5C0VTytyEgcfZSoJnYZDtRQ74QwLbbUGxkT8k
aehfcVQC3QUtKoL9CbSt2PaquAYcCjWD9It1P5eNNXfd1iP0l8xwK39it9zmQZjf4au0bhvX2pnV
hueNShvwJZ1jMnoaT7cOGcOMjVfHFBkRSnoHdtn5X186If9+6ZQukQkZunIdotkN9+dLJ6Im6CM9
L3Yhfqtl4rRYnMHBzeLfdT5Vza6mymUOQaKhafb6ya+IOua+EsQv1Pl/cQeJ+d1+uoWUTTVisZ5R
k8B6tn7+aUKdciZvyQOGNsM0VzLFY6WSOz/WHiO2KM5bpE1qUzwtqzoBOxVxiTmkIEiAfIim5iqr
e6rznNDGsrXPcHgp3Qq9fhBN6/3x0/7bTzd8/fsD8JEXI0z6oPnbH/+x/cqv3pAM//v8Vf/5r37+
mn+s7v7X/S/fefXL+W5z//d/+dMX8u3/fPvVW/P20x/WGRqC8ab9qsbbr7pNmv94Mud/+X/74i9f
v3+X+7H4+u3HB9KTZv5ufphnP/58aX6UhW1Y6i/30fwOf748/7K//djXydsvxzZ7q3Hj/ZOv/Hqr
G76NYf1q8jC6Fh4wg+JB/Pil//rjFfNX5bq6kqYrbZtZwI9fMmCwwW8/DONXU9iK+4DXbcm98OOX
Om9/f0n9avFNBKIudgSeFvnjP67Bn6vTH5/OP1+tTPdv65UrXeVauqsMiKI2QzJ+vL+uGmWOPUgT
UfVgdtGtqva4up8bmTnbwLdpVUbJh2VG75o71ITVEk9ghNiTYxINmE9WC7aafKsHpHgzizUi9w74
pLUwtHEbkvl8yBBHCiJ9dtIccNU60zrJDPoN/XjXlNmMaunezMR95W1gnLgwvGkMZxqMr3gq9ZXL
DN8PypOs073BNHlhldOjAU1mDVCScZ0o9y2TjLZq2h1sKOYBYvxIU4iWY908iComLaSuaVA39iap
M8ZRkhO6wlXJinbKrPZGA4A1aZAzkix2+Zlf47l56oMAGp0It42I3+b/FlZ27DNYXJGqUZiUPPfE
DizxgSMt8a/Sjn+b/j4Ob81iGenBykmeMkrDbWrrJADW6YnYGswmFYybHjE738jk4pa3YZTfZy7x
CMATppyRSF2WKx3pHdJBPXbfsukD3+prWeeMohn5a7PlpOO7FLDddraTvItR3TjTi19H26ELEBt4
B2JT3tH6sOkCQXU9/dEIqHe0Ot04+fRSTtN7SIoBeJi71kXkpjtz+B30wDZIV9bAiLjT8ld7kqAU
quTc5Q0/tGd8VqznlDEOzIgCVjOVx42arXp1aeD0RpPpOfG3dLxDS1NyqSO8SlEtMWzPP7W0zFeh
Gb8byqDU9HB/Bfmdb3dnAp5pzoBGWjicAlJDO2ZVXsMuid6xogIp7N94s/eQ2gz1mtglhb+zUbrb
nQVxAbR0Vt8AMVRraRTGVgeUUfVmRCMbqb7ow25fkaZj+GgHQ5Lf0mkSpKIrDPRJ9E3A2SMFQuBU
F2ukpa8b+QUe+SPQGwYKEa24aXySpBytUlCPOPcAK5oWMtjACbedOxB1hr8Uc/ClKF/1hr+ok+x1
kM4r4sJzCp7M1NMPrYIsWT3T4QF+x+t1Z64duE39WN0BETx6U0PRnfHVQSM//e52fGw5mi9Vp32I
UORgi6rbLhHcUM0Z981sbHd2UwE9QWhHpJqR2T+mvjEPMq37lsGDZmHPrKvkVZPkKGQ1JhyznyMe
aL33mqava90HHWhWy6jpP00rmTaZZjyGhjeBJJoHCyVUlQFbRQU0jVH0lV2rHSo7+jYhmjmrij91
bjujZGCXduGy9N1p6ReXdtJQd8FKsLTxUQ63IIZcgHjRt2doh3jkjjQ18w5TluvSmmDFXEzV+Jzq
+QXvD0Nc+ZKAzdpw1CBiMAl2vTTehxEJlUVuya7z6YzzyYhDOSlx8hJOMMWjGEAMTIiJF/pgX/ea
vAlbJDuDqs+c0TQMRX69KgvmgLJwcfhIPklfMcdyDb/emtim6SHiOrVHfa+ZRsLvuWzo+R4q0yZa
vS9eoxgrtJX14w4TwnEQ2N2MusKDENETntrnosfmgP95NbmKqI2QIy+mtHluGPgEnNn1CkkCzDNK
lFUxcAN4fPA5fRNbfyCd/q7mAkVl/Zzp6SU0xitSVNcZ1AvHQgngecmpzWcIvkzfsUYS8IEeMvWe
XNl9ckyHjWgoeNFoVwFi6YtSMtvBjZJnqKyQ1iz0wGHhTMJ3O/MJodUOOIDvUqt/0SB8ucO0EGPz
QGFz02Txp8zNe2GLGy/3Pyf9JseTi7RlBuM65SWuSLwpbLJDKI0ATbabEaSIkcq7XIdBk0s6Ta1q
d3XeYyrNpnGDra4lc+GUJaO2sCuPTlTFHDKSYX7QN16swXGc0p0mWixy5q6B9ThLH+4qHLhLLSVO
SdLvDBGhiJvRiPGmAlvq2muSHTUc0PraCbNvs7D4lNmS+C2pbCVjzRzOztLUoncV6idDZXtl85x4
qcaqFzG+cdP+rA3ptVOj3bYKfUVgXb7DqXFdTt1tOKu9EhKHcJ8NS7f1nltEZ0xYYv7hFG2DAggB
xBs/5G9dGD4rB+YvUheXUnk07qzJbFCuJOM6ttLLUEanCTXPYjDn+9+pHLpRDOV8bH8L2OTn0GjE
CaRLO/dz/AQd+8SFLLs+3b6wImCtzzBVxFw80H/+OsX0jbw2OVX41fKY/l9PSTB7appViggofgdh
9UkTgjmpjm+oVvW1xkOVBeWzN1Bvs+j11PqTae2VcQNnDLMc7ECvjl4HN2QQkTj7siHk0K6KmRFF
3h1Vi/41ml44E6RgDGnht+cYWwbcOKmLk7AZPhYTotxovy4AHuGv7Bc25wYVV90e944BW4uGYXab
sBhtY8nWEty2KPtAQvDDzzuQxOSFT2B6TAL0/8CVUQDoZz2FqSAHm9hSOAZoV3Rk08Mjg7VtYErq
xzr4hPFx7rr+EswINJEa6EjZIDs+AVgsMLwNfyQMhNXXKD3a3ki48XkRD7auQU0vcdlnW+Bm5sor
XjKreWRnCBZKVs+IOt71OH+N7x0dEpPt6TdcKTRFcQN7PQ13VcEFjy0Ltwc7leLLjJjzQWzkSJWI
CyIkmuTY1H7JdcSHTsjAz4vdxzwEFwkYRmfib5YHo/CeGg0FdDcgMnJ0qorBaI4qbMx12T6YyVhC
dnOTlZnx48+OSgvcBHISJF4GWUCAEjv4XzY+RKGpvR7eFznyWbhKKKp22JNPFDXI72RSzGtxgIGb
582f4HQt6SPycZIcWYqeMs/+0MlGhY6Df9TV+pPmjLQsYPGxlVrfptH+UXj9t4qHc/jBhp5/N3+v
CX6qJf5/qx6UsARH6f/sHPzT6qH+BZHQG76pv1YPf37ln9WDsH51obPbrinYDoVJIfBn9SDErxb9
BbpMyuID16ki/6weeMWwDQOymm1KDvgWL/1ZPdi/wqORhms6ji6k5Zrqv1M9COqhnytVSiR+LEpm
07BsemM/Fw+J3blNndfZfijrANdATyK3DzE4rctXr81f21HPVyoNCBUclH7TDOExM519MxTy2mdu
9l9Vzn8rZiiYLWwM0qUwMnVT/d4i+UsLpHZs3mscwZI0gKX8rhcbRLs0IouONNA42WV2KzddgZ0k
a5m6Db3ADTJ5coP4n0cm0oi/rAzrCD8xRbMcQWlCjXKRcait/vJp/1mJ/as+kWuRTc+n5jgOVjA0
Fj9fus7vIyQpoBESA4qUKoM7EOb5OkBVUtu5tSqgva9T5D7/D+/Lx0VzyhEmd8nfmgtDUOlSAmjf
OxGuDiLwbuKm2hKgDNWZI/ImFoxUbHSwi3/9+8r5XvhLV4MS+H9zd15JkmNnlt7KbAA0aOA+jmu4
ivDQmS+wSAWtNfbUq5iNzYdIjk0GIjvcqp/amkYrsliscoiLK/7/nO/QXlFMQYS1zD2L2Q2HbCFd
uXNVRyr8atrBjNtWaqs13gv5gDmOPp6waRPILWe98dSYBDlABTDXfoYnPsZwtQx8CU4Z5weicU9t
ShYvJeODrEbqIcLTFU2h210d/fsPdaQ7V+5hNr7e7kGw/9F01eDALM8eXmKXEoXtTDhFMGoLLWSh
pOVFE0ewHanU7Fh3+qGJm2MlZd8qXdAMGBAN57QlWZR0LK5Uwo7Y7cREyD1GJWZ4GCD1eozLr6nH
mbCL2IwH7k0eKvGjJqKLgj/kroz14TDa2Gcpoq0/vynlrzfFiECdSh0Ardr7kWgbnRWSlmETwZ3H
J1GFpJOJR0Q0AifMDf5SbF/NVEmuSwixAWd4Hws4kEt1rRRERwu7/iaN3bGGuBL7lnTLFNReGT2K
9XH0cImqRa6yQoHVnj35yESMCcPcdQTPvCgwVIZNeFvKIvpKKPUdgrl6Q+vnq5fQQ4tt36NP43un
Zir2k1vD9sYwDXiIXXCDfm3x48oznKoks8GN7kJTKf3CQQEx9P4ZUipuqaWqwuF89jyUJBNbKeiO
GFeC4utIJ9RfcYJ3yBuz5KnX7GzKWx22n1/FX14khSTZskyNnt6HZ5SA17N6QKYcY/qG8x+NXSbt
lu2aMu50Xx6POi5aqBpEQH/+y9PTf3/7hkzOJLVnU8V2NJ/MsEZVWVj03r4BieYgexo3pKscZUEC
K2XVp89/7e0fN/s5qnOsOFRqdYt55f3TjiBZoesxJHJVvHbbWUZ9Xxo+G/w2LSmeAAtM/cTb1qMq
HQq/E3u3Lq5U2/9yx6wzMlU7RbZsQ5tmuz9WmhC5c2YjHHYofatrq0U4Snycso4siBWkFdx/fsus
2PMHbKiGqeoqX4H4ML5klB5iaAfDUaXxaOM10A0RHLSmPvRSH2OxbGCG+m55sLAY/OOfNmkHadP0
YCvWWwHxjzvFcNJ3GB11p4EAjR1C1CybdArMsaPNJ1Pi15C348x5ruJKvTI5/eUxT/sLZVrP30bY
+8fcNhAfiyACfuk26jqgHoM5s9L3qacMKBBt68rNfvyEcDOTVCNMtmEURGevlbAvvc6lzHA68kKO
rmwAwMzgoxbA2Em5uTMIijTlpth8/oz/+rO6LHQEMLgN5gO6q2KsiGlvOPWAkTEfgF0Y5hlaWHqs
mk2ldmhGtGD/+Y++7c5mnxEVX2UqJpORos3HcFMS5Y7dzHZQQuvYMUIiaD3EpDnRdOjAQIWavl48
YUtd9rLpNH3JZslDNEtFmWZMroB0LjPzylBXjI9jnWq5xdPQhcD9PJtL6b3qjZQ0pqN4cXWbYsy5
tZvQWI1RGe8jKzGPb3+IxXOkfxWjSxhWD3BBtvA552NPbg2h7qqalYcrz2u222X1N4RpUCWnwcZK
Od9dehSMSo3LcZpci+5M2qF+l21y9mjgdWBZmToWgtxKsgMx8+26sl3NsYhJxNme32rR7eeXo39c
c0zGqGKwHmp8mfLsOZUjYAMjGzpQ4jbOJb28aKTKHK3C2BXEQRyJ4XLsVH2MoOCfvExLd4bUqvsA
ZSf2djysRgJ6RfMM2WmgUGzDJj0kpNidBZli2Gjz/SiM8gDVlszWrDa26N3FjUvS/aZqagyzR/gV
1QmKPMfvBDS73A/qxsU/vC4KDQwrutUXTy+cpBDWfWlaD6Y+aVdUOd4ObCZudXrwnz+TeeuMV2Ra
gm9IV/E/6B82mZBRK6kQPtqaIByBpETw0WFkspWj8ueSp4jyXFlYFjwsP8ca20waBzkASTCOHQEJ
jRDBFketZHjVJY1cKndNs4bC4R9JxLmyak4Hwtmszhyj2OxnVJ2e8dTl+XMR8em10NGoa8e1tLNq
oGSMJj0dWHPtnLAlP6hxqD70cXFvUipZ+EIOKNNcu4qPw5pZQOM6VJVDq1BnV4HOojXzpOgdXGQZ
ULcgPxqljp3fhsMdW9rBQ1F/jNpKnCPKnjegqZst2PyVamYoY0G7XNnHfFzsaL3pnOGYmVB6zB9L
7ed93Ge65kCTOfpMPavArIFL4NdJiJFZoEYPl2DI2OjFFDmvDKHps3k/K3Ki1oTB0UxTZTH/rIj6
9DjHDpqjyhVTYyjaXWWoMpbrVFp6ARLR0SWmsE2sRxZhz8m68uJpdrJL1SuXon7c9GIHgOTBei+b
02nt/fhQgTG2dZqgAuypzNden53VYAyOmQuOCAdq/9IVGurfVj3mLuCirNL7c9ecIms4k3Q3ib47
iuZgh8RN23tQRXUM+JWJObHx6S/pg39sFPvXRAK6ry3A+mpSEcFOdcqvk6eY49yV9Zzu5PzpQreQ
mbY4/zLctGkl/GM3gUWqU7ukHxyKsSMdAJozVS/EnW6CgzcwCmzsNodICrBl59vdRni5hW84kvfT
0QB4YSNtil6Vb2RL2UAn2DYc6C00G5QZCuTjzaH1jOzslgCB/vHAYHNPl5b3YXKUnR9BAqO0oITm
ilOpQ3waNMM4q5KKiz7I0FLT2NgklYABpve38gCnn6q7Z8knCvjqw+eX8naceD9GsR0ZppgKORqF
jtnAiIeAa1QU0HHwHAkSuq+bQtmmpe078HclNktbC3+sBTKnMqIHV9jpxjbRK8tkcUsVAbdjwCbG
pnPkQGejdi3Z7o0P4aFszPRcaeIF2Wz9MH5rM1GQ4gGwPi2NV5CN2ms6QdOCqDwQHowWqVoZclte
wPVZcXEMRHJo6aE5SOfdy2A02Zn8rPUbbSchYWdfaGF+Zb74S2lBIN+YxpRiQvGZHz9KU+5bo4sI
362aHwlBjw4xA8Ai7Cx7iRv7jFvQuxveJniYpITKKsT3srmXNrHFlw3xMb8TfpAvva5J1xUuRgKp
2N0UkVruLHVDS8U/kiQ9/SP1yEG4keyqACno569Vm2ba2WudilcW+04bmp8x+zhIzAqHAm/dvoBE
tKTuGiOXHekUJubXvFYBNTaWcvr/fyDg1jr4Bu7pqHiG8OziglWGcwq87KRQLwElTa9MrbJLPXQ7
OSXWJ+6TI6h9r5fEUZHD7wV1pgNTsXnf96/MubQpINtuBxleY9Pljmrk7iGzq1ewEO2G2AnqLZ36
7fMbn4br7L5NtveyKhuKym5ltgKFcQEo23VdR4pK877oLY3wP1Dxn//K34YJJxkesMbMw2/NvhrP
BD5h5bK/L5ObFj/oPpyEqW4FiUSxfggVBdoil+xjG4ba3vaxL3UdURexqdaHss+0tV+TCcEJSTn1
dn0sB72+6Y3I31cAu1AEK+6JIWriZQfj3pRm+xSYxd2Vm/i4ZxCIQqjgWSpbBs7b7yfQkQUwtqA+
ObWuIf3uA3JRPXc4dKRWUdQkvGzKDO9iA0cvknM+xgIoUIpMt0CcvZVU+jeq3T0Tt2I8kLhRSPoF
sxTByFl+M9aecZPWHAk+v+qPe3pBpdqU+TZZ003Tmo1siHttLxlVtE9i+o+deDGz4UvilUSzVSMm
nFK2VxkW1YvXazs9soCzSfUdIlppa0sZDivdR880ul8/vy5tppmjGMkeSyCAeSuJQ495/zQT1chc
LErpvvJgWGNLIYI+jaozehTi0FvygtSEYAy/KHZlQ3TSULinJC38UxwAR0FhYu2NKMJeyQZ47VWJ
fQxYeHyg3IupqgxIJtqhfIS74QegEZs43ttVewnq/F5Nu+IZbOJjESY0zyf4sCxb1ZUnP8mL3n9b
QoEuPhX82WbK7Kre36GbN1mc9Z3r2FQK1iQBcHyymV0kDzsYzVlrm0hm7RicVvaVXH9RibbECB6C
9LUjzxlCPdxYGQRkJOvUMDFHBCK6l1QVj72wXgsv2Vi1LK+VQDR0RKe790x7lWK4XUs0+/Zm/BiZ
YXXT4ouNrc7cZqlZLD9/j/NGBG+RHidbRR1EqEadYjaDEILbhbpcwKOZIChI6p4aNSQkuCtNdwOv
bAB7ODDGdX14SdEpL9UE/IWPFxw4HlbTPJakK7P5366JsQXBYdKEig9FsZaTgzyENTVBW1JWLflz
aMQNjJNJp+MaizZd/qAO57iOjXvUGzqwD8gJNTk7R/wP2pXZ70OJQbCHpIEEABRZoWFOe80/Nl52
iIVSLlTJGQoMhnr9BZk05kirfRGt1u0NCUKf7eW7z1/Mm3Ly3dTOaYzaEXV/ReVUP6+Y48kh5sJU
/T1oNNiDyUqLU+PF6zJ9CVLiDFqkI6GX7DSrAXeL/T5QEF6o+N3UUN71YUdjuOiMfWhP/F3ympMu
cPrUd1DNdauUpXRPweyHNIzuClmKu0y71ji6cJTitrovK1E++Anpc/xOvI3J3lghFyFWqZbFfYtB
dyEymfoCSGDfT5TDHsCC5tQwkkRj9GcXiwhoiMlLJ/2Ky1g6BZT/F5ULEtwbOaGE/theGcv6h/oH
2zrqDLwkXpZBhfP9myqVpDC7fiwdPQdXX8Z1cNuTi1yVFaDxkiEydYrRfpOJlxwjxQi+VQP97EZA
XhOYUHdgI9S7TDa3rtUZTy1T3w4EMAx8ZNG0pEFgmZPgnFBsQOFEC62tX1lih89qo71Ifko3zx+7
bZqBVw8xTYfEbTwZKiFvRR94mzpVrJ0CRWkk8OGJ+FjpNrQOg1KcMiyyd6WF611vO8eL6uoVATsE
oti0rjykDycjviyDk74tM6uJDzslOesavD1q62CjV28G/InbuiMdNaYB3jLnkWGV9VfOLh+LC9P4
ZYupqIpuGZR937+YgAgTkhKxORUS4E4pC0ci1IPy0QPbPaD4uvPVhv1TNoKlRuW9bwKo+uFo77Mk
eukqi12XF3xNLH3HrCStotJLT2nuPQx0la5siSft6GzaJ9eUS0TdKRvU5WfbhLjPcQvV9eC0gALX
FWeEtZTH1ikgAQpdcZw6rlJupAB3E+/xJlegxBDKbT3reZVtAajGG3hH5rMYIG1Q7q1PbhKBoKrQ
s1tp4N9pABmUNrVu3v6sMwvvJCHg+/1novbvvJquS1P4A4yeLtrqMVmukVEiGvWBVB9yMXkY/P6r
l5oSFiLCDxojCL6Fj5UpnqW68Rzo5wPg6eTff1CKTPn9Sv+R/uA5iIL854/g9X+U/mBqr/7n4oNt
8K18jevX8k/hwfS3/FYdSAiTNSi9LF4qD5lxxPD6LTuY/hIVeZnjCeUijl025aR/6w40818KjWWd
NqJhUbRXmdn+rTuY/hJdX4sCHXMaYgHxT3QHxqxnyeo1OVT4Z1EomiZKMVvNPFWPIjXPfrFpm2TE
0pou63Cnn/IbbecdrA08gP6Q3wyv4i58gYtya++l78h9v0s3On2DZffUXLJXdmke4EF9yX8JQPrf
VBAzd/m9/0WrneonWXnNK0oi9Wd/DxTf/YWqUsUXpi7g65BZiuJs+AV6Ha++tkwfLAQECZHoSO1X
49a/J/XcgaJd78Qm/xIEyzpfaflKAmWcAFf9mV08Ql++59XK/SLzstYFAc2kf8DJ8LYChtSuDRZI
gAx3kX0lYR1ZReuYwL2Sm25rJbdQUpunEWhO5BT2CsICkDM8wr68sL+wbiSY/flwTCwogASXqIYS
MhDyFck+UnWxf4pkg7XCXAO6DcBKISXaT1yGhfmLi/DZh9z3F6pI3+nx7LqDsvEu8u340G6kTXoU
G2xdm2ar7vuX8dCvkku5Vg5kuq2ybXOuLgU2vB+404an5DKJYJ+7u/CHVy2yuwJe2Q3O4mOx73de
v8ylR1c6NwG6t71NXouKGGkZCER3i4CJAnIQHMJioVPP30b2was3BMJzGcf22Uf0+MSL4ORGnPbE
NSYabDtFFRhLc4o8BVwZgG9AjSITiQq1YAtbICLWHBk3emwCUcuTnd+V+nH0ol3DDnWhWv4Xs0TL
DZvENI6p/AgzfeVmXxKrXEY5NsTniQvDxpngqnvtyXvofS7WXXo/5ReqJ31yCJU1rnRQlRqA8qRb
ml/qfIFWvH/AMQNiYJShNAjfoRAzPnnfqxs53pCOXCc/cEhqvxIZoNQP636MwfsRArxTFCJMfymC
UENt7bU7I7xoEuE68kNIHxthe4W8M83XVbqp/IbgrjX5DPzPkjfuCvnJpoE1iZwDOIGOMV4ykDTZ
hWj7gqIAbF2iZgW6eXQv9qkzLr67o3zlUegILnWxcn8q7VdeRDQxz9i9LeKf+nP1IPNok1U6wBRY
qg6edQuIOSRhYi8VqnIPZfAdyBsnIGTJxzBcYSQYCOogIjL8QawXDufOaV5k8vaW5FZo24HlAQUn
sNZ1BxnSOtHdXbYQQaDiYdFdd+66PoXH6lXhfx/2xRYtH0kvvf6ddjtE25WrQ9iYIozWDf+hKj1Q
KKhKEiDnrUsUETLl4tGI+JKpWh3IsYyhS+LwW1j22sQiHuzt+hA8CfKlQf6nw4NxXyVsmOzXuv5a
jcdhW4hjazl2/FCDyAmVS0FeYgY7SuNTUcWFbjOkdJLEVyOmYtrtfndit7Sgy0KYstzuCvauenic
mNv9Y3cUyG4TOFj9gU4RFDpIMe4xOJK1Z74QAv9NHUa6uvoNyMVVbt7qGca/XR5hPN2Ar+wXgHa/
BQRy7LpvKbQ3EM5QEeBO4QXeDXf4vAwoSdpeYA5tv+R3aCuX4IJJDEh/kkha07392hBr8Ba8ajOW
GaLHdl8bq6i7xYgdJjhmw9vqGz7IznD6Ccu0zeod++WxWA7Gemi3VrZ1i3VAWmO30YArY/7yd4Dn
FXK4++9uyV1p/wW54Pm1rX8Wn67V/5kd6b+hyYgq1Gfr9P8uX78Fr//r/rX58X/+48+1+u3v+71Y
G8a/AHCbwtbRdClUtVgLf6/Vmv4v9vZTC0VoqolsiUbL/1uqVZZqtD6cm+kd8tfZy/57qUZxyOo+
FbkniZimW9Y/Wao17ufPjaiKiwmBosJ+YfLXUfl/v2ke4yaKdKgyS+pyXyd0/KHNQpPzQk0YOmHx
OwsV7rozRusMac8/GXpGvmul1me7VEcHBtEPD8/CLqxV1OeGOvVWt5YfVLeDpwe3SEtp3Qn9VVZH
c+HLSPr7oKZaiyFBdFayKtIBcGsYySfOMfLJNttvkYFGI+qZJRp+DcCyf2MXRnf7x5u6/X3G/VPg
p84qL293TkWCKr0yyTTt6a//ceLOyjHG/MgZS+9yYlEaLOXtKOW3g+Xlm5KQro1IY8VJg+iYkKC2
ckPXXFuUppc+EO+N6r2mlRw7+ZAhOR9hrFRdW9JzJQoEvwUebZP5xxiutbmnF/LHiX26bGxnCiMM
6xqKk9nxM4bUMkaBl8ErHk5anQPHmGA+SC9WWgT/yNRDlq7YvqYhmh3p+F3dwr9KVRPno0V99v3j
ArqcubEeZMtx0HSCNqbgVxpA2OSaUwj2MTR+b/7fGRf/fEGzavvbD9KLQpdIZZLa5OwHI8XPWssn
ZqXIw8xppZVaXHylaRbgv9Nr2oGPd4cwbCoC2ahuETfMPgMQBKEBxzJdBm5PBgz1/VNaDRdXAUak
R5l5iwEIzXqUyY+6Lq1l9hBa3ZpHt1NfmlCRb6Kk3FWSBgIlj+pFl+TBlfH68b3TdqDewMbeQmmk
zq5Qs0EB1lBm2afmIZiIwjyYSbbX2xZIrTYhaLzinLl2ePP5dzI/VvMeqEuqOnV/pAx0BGc/3OYy
XfeC78TWYNL0z6JLSZrTmuTB0tmKao1+qxBLlkv6vVDEs4sgDDN4UxJVmcV3qD26VWIU0ebtTxsO
6JxNlQcSy69c58dXaFuc8GVMffQlsQu/H6DoQoXfVEmyJM5UXogiyY58GT9FabUrJBYw+gchX2Ac
4ifcBrGWkoMmA1OsFOz8aSc2SeYSF/YzN7KHKqztzefXp87a5iqeYQptHNho5WM9f+su/THfRLrS
q4ZCf9rTmoPaSe0Wxb9wsKADFoUaQ/0syMCrUPDhBn5mQes9uHLymEpDuDE7pTrr0x+osgFRKDCt
WYJOn5JCAko6rV7IeRSz8zI0ioWke3bJpgDD9d0qCgxVSWRt6NJO6bxNQbpPv/r87ubV1OnuKIsh
ADUUSi+sJu+ffmbKuTAHHXtZZTwY/T0gxepH5OJayKs1gbHUm5TqJ1lLKvnZX4nRekoLV3oIAeN+
fiUaB9z3E+RUPpUpM9u60CgzzuYNFZZnEih2sox61g0h9iPFxH3YyQ9Mm+z7EcttjUzCA2fUx1Ck
X/UqviHF0DyOePBcX8+3boQcKBTWdsCe+9LV3Wqw4/asj+FGR1fnID+AToVxb593YXvbu2mxqTwM
UWw+5UQrMH6aFPOjkF6OiZ2lVCjVx7p65aG/3cq7tWA6W+sKFVxsBDScZkN+qMiU0yTk1wYay9XA
AHN0UexcEwC5XrnSvVR1P2tR6Dus45ssQCLTWUrrwFgsj3Zfu8D40EjSRLnRbWAuinvGg+MMfajf
GVQXrlzvW/Nrdr2oBS36e9OGg/3L+0ESuFoysmgkHNE46og83CtRe4elZVxQBHLPbQsasEiscIcA
6UHkkXuA1IHRKx3HLfgsvIbmlwzE84Y2JQfoQHkttcC/VwDYblrX3pAoa+0ot+bbeKRslSicuJNY
z09VFpmLWDddklXKm9yiJIp73TpgN8uJnI78Z7LYsU+1vMGeBEYy2OzxEHakztgpvKCyJJHJL9Lu
wdPBa3i6nR/NgZMlPsZ6WQPocmA1jOTukHWnJLATaOA9tRk42aZqv3M+VRYgXI1LLewfuSwF96gn
SBOMhJNy6/d2R/1cBn+d2qYja8GVJz9v8LFkyNNGkn4HkzjLx+yjqFKSZ+UAOxWWY91JqMbrMlUL
lGZJ235rY5AwitElB68FNcWuiE3RoN3IuT0ZqX7GiWTcZZKmXel+zWcNrPVT9QrxDBZ6LkzMZo2h
Mhu51xUCIkeA6H3GjzeaPO6wE3DiDUmIw95rL7LB2I3jgLt2UQIt+dkGFG6Cpv32+dQxW2Knq2E/
xZaDyhkPan41uYAzoTYIXQgXtDcDsbQ8Mo6TELRH2Rlg3TdIsa7JPKdH/8dHwdYfugCrAl4gYAPs
QN5/FIYdEC4pJH9puop3cUciSQkC89eq8LRHjXTijMz1HdFarVNgERXT/+Hz+54L3X5fwnQBU6lu
0oi/vwQz8RipLnHJwauCKj8aKF90VqGBgRPEWuTpWjF9Y9Va3gNZaDvw36B7Pr+G2TmES9BAHet4
lCY1A/KZ95cAoKjswiH3wDp1P1yNmVOQ4RyrfOaf/9BsGZ5+CJ8CrG/+zYZKn30J/hAouVoSKOJZ
wH2j6AkkKyUFk4SgulkWsmBbU33XiMb6/Hf/coNTcwI1EL9OC2lW8e/kbpCZy6RF7+bh6u0OY2nK
0J7u9cpP/eUebWGzTTcAlEybjvcPM3ZhQlQaLhDMngOIl6S/NXDdO4H3LCftC/Q09VRUob7zYpIe
2Vna50wFD4PKaPjakL1M3ST+5qt54nSK1l9gxNriaE62Hp2Yl5Xuehaa064h0qMVcHKTrSARfZkr
gXaJ4jraVnq4z3R549kZ2ge2gIOXoHgod7B/7LVXdto+KDz7HCYRjlRpZ9UG9SY5EIuu0vqV62vR
17KHM5R5mhPVOam7Ud8coqTBio7Yuy+i5lJoTMUq/rBllk3JuV4Rv1SmTlyET9SfakffbXZSZyM2
R4p18Xjljc42nIwkHQzMhAyRdRpP5mwkTZ4Sgm9IfwxGoeJ07S8WVRWttZ8SBNFrIZfRP/5IEF3y
dSC95hTwYQxBrvLprbKJUYr20Wq6xzZpHmX+++fj5+PwwZ3IIEUOQjcNot374RNiqctTv/Qgc4ec
cxT9wTOJaUhJgV/U7lr3WkRq2VkH9nTlBj/MwDxSuhBTe4KPk0/l/S8HDS2zFl8vhWc00wI4rB+M
LsBbjN4BHfR9RxLPAM7u8xv+uA5RB1ANVKXCpiHOBuX9746DGUelqnDHwxRaYeVUU+Mc1oCUJwcT
aBbJsKKF08hMjFEbz3cp2g0+yXjLdlNZ9351e+WS/vIoWBNZhFCGTJ3C2ZzcppHkgjPxlmWVJvuC
4mJR2kQkEVuKJ96+G8JAdmK5iE++D9p/eONIecWUoZgZ28BF7+iN7iHorAvYRn8fJQOxmWrQ7j6/
0Llsa/oMMPvQ6jUnNhMn9ffPLlH7Dgqy5i1bw4wO5BiWC8/u+p9SsigHTT6DCIGr8BYGHMk0GYwE
Ehu8Q7hI7ve177sgKISr4htvDlabgZW1cOoBx+OUJpnqbiQ/hQ19w//VBBAo03n8/A4+fsc8ZsQp
CooYOlbzikqSxHkjEFqBuh4eSfB0gop8y9qsH/nbEmKlr8wbH1cCZDgW5yTEhGx5jNlgU8LO9lqf
xns09m9fsc2X/F/5ik00vMhQJ68ZBvbZe6nzrKcERR0+syU6YV7zPAxvqbFleoJT0BCcQxKxHR1k
i7Txzx/pX26RogEAgMmR8XGj39W17WkKZTVWmf00USVysL9+ix/fHGNOnySlkyuIE9D7oQcUIKjq
At6yNXravi53EuESfkZuiaanB0TSP/7pbVmc3DluMcrZTduzR2r4EqT9WohFNSIflnK5I6aho7xw
dQqetjvvN4VMwFgEFY7VmBbnv1RbyRBkIfER1CnS+7Rsf28HJWtACNPpm8/v6y+/Zk/VRNy/TLrG
fAuadFkxuFXvErI6dLcNcaoVJTa/L+xNjB7uyuBQtY83Nz1FVFccSigHTaPnj0oIR8Qg0P2abAwQ
ynHfMbHCrFyab3qayShTmpkCxJ6gwE7u4zPmtW+xKZ9NyCxHbLxUDaz0xgoVFlsr/9522lGuk10m
PP+k5emqj4dko2J8oNNChM7nz+rj4sgVU8vHvMY2Fdff+4t3hyp1LVgbIG3jYi1LLVycYGxXMZog
R/aDZCV72DsjTbtDV3N1q/63Z2fawAtVqpV4YmdDXiPgQ4FNStQdbN2tNcjf3zZtACK7ZSi6bS55
7kYu1Xs5kkdH90tyovXoW97U2q1etfaVd/lh5FATxgWiU88C0feh6AZ5Rwydib1ay5ozDyNYSdS5
1sI6WH4bXjnFflgSOZzgKhXMaIxRhAzvHz1EvbLV+bVFTSYBxYSaJecpT7yNFt13JluVfLCvPfB5
mwA9MjUtVSCamLZE7A3e/2gDTEaalGsQdQz9S9YhCOCuw6PA2rUmFNBfka7IuZrU1u8qeSrVFOHq
2+Rf1mV+hElVHYL0YTDphaijd7ETrMUu8NHeN08J8JnFOObXegQfD3RcNH0lpuC3oTo/5PSNVgE3
Jbm8wUa1sPXu0ouk3mlahh+8LmA79bm1ycPGYMeTAGO6j5TyKvGSJ/NuDuMikIDhEGRR5Tgymy3l
MLQ5IxDF1bmJfwrd/mLLoON6YYdX9iDzLtb0kvgxbTJoQmv4sDEGcC1jcM5Q9TZ+4zS/evImkKhv
R5hH4PMNgoqZdO7qqPvZopEi1Vm396HV+gdR1aeqbhvKPKgT1RF/l54U9c6X/fQ2V9SDx4u6ZWqx
FkQgUgyYMP6tGL4qUo71E1TnKk3zGzNS5bOfu/K+pESl+ykRaXWU3qM/FBvOaQrpqzhkP5+K5g5R
bttmHUITDCkLX/vEGPlzIh3qsczJdpvGZq1v2MtXdB7aVc/Z98b0FKfPE5QhEUoAV6EgyQHXv01t
Df5kHF3UIbjNa3HF4qe+7ZXfv3bYJRwb8IYaTPHzD6byIKeDiGfslSRkpLm9dG3zq93o47a0kWpS
zDtT/vaILgDBRUlWOeaARdPmVm2Mi66JG8Nr5F3Q9AQUB352x3z7EqRVdI5xhLSh+9yaZUKyXdbd
a7JSr4xQS2+opKlYAcS3aBjUC9UUX2XfGBhhu4NgDVRHpkE/xO5L0HnqN0Ztt0tK4qry+l4vRHPX
S/DXxw66h+uifSWUvssnfhmZdKvSKKBks186F30HWL6lw8HinK+CViBiUq0faaEAyZDcZd4OYi+N
LoEWrk5KVJIhyAZuMlR5+mhJJ0R/iVMKcqQ7+lvU7KsvrtbGZzkK1F1ouafcr0/JRGnoQzmi8Cla
0E1UllU+IdUtFpRQ7KMGVn5f2zLQ/7z8seqK7jAKc9yLMhaHJPe3ehVOJkn5qe2klwYn0qUtSKMe
e++XFWOgyMZ9HIlmg1UfCIFtRjdZBbNhDO1+U8ejujQmeIZMxnCXNPo+6Qm27vTW29ttCMGPeLiV
qZUlpPqGdBNK6xKr/E7KYmNVDdHw6FcWcUWNeqlT1AJ9adzncJ33ag4cTdcQZiHWR9+NKWsfCvT5
rqZI65Bqxa06od9GkIQJAkX0WVW5lClAnas8O2pFdSBnTifdySBcwMiiI5NwvtZi9ZTGsfSQpC9m
CcbdDC0N7VBya6eWsYHBZW1czXWPIjfPo6JJJ0oOm8hT7WWlFPIW+5F9Cu3oIYTZtWsi+2dTh6ZD
6PDSjyhi9HT4Fk1KQFrowfQfNeOma/RhgfGy+OpNKaL1cGjl8lby42oZBh1B8LFh7iqfs5Dctj5S
SYJ3Mypf1IZdUpd87btUBP6D7GeMVBxqh3wKzhjGHLh5QMCkFzRLon3GQztq9jJtbIVk2PCLJoZ+
Y7lleCjjYdVKskc8S1Q8peWjX7DuhOR6nWxEyABzmnJXxJAf8b2Q5kpM800UV1+NJM1uRGT+MglY
uIAECpZpfVNN7bw8lX9ZSSBOdjQ+A9mxmtY9prVSnXwFhV0Wim3VZJajjfKula3hfrQlIrlB1nJM
c08ugHsgB+VXyRfxPskLdeEVJy040Gxob5XWa28JLCFdKiaAYrSFv0PaGN3KgrDnqpOu1fk+7Ezw
+UyOM0gwlFf5LN7PjRUb1z5sLGi8iuZ4Cvv1AmHrOpBVZD/x1SXoYwmB35vOBdiE0VGAg3r/e243
go1X2dRW4P5IApapcpF93AL32gmQ28RDkiGUsvif+5rgnSJiPBrBU0tMDvL19PXzteHD0YjLYY+K
QARxP63P2eXYeJQRELD4Rth6FkNMtJRMRlyvlkSQRXbmWJH88vlPzrdnTLYUHDF3g6qleDRvcGaE
g0zqcgn5JTYTHZQ0JMFW27P10Lekdza52mNs7B8//9n5i+Zn2RXStqfriCxirmAJbSkA6DeRJJOM
5c9mwp/24zZV87u0vfv8x+ZsE41fw3MMfwIPMrSPeVmGgFMV6jO47paM0oNQmFUCBWmZDC9mhbOP
tOe+VraZzS5YhTEOBTcMrqz783c7XYNmUq2fxBgUzPT3Qw2oXOMOGnb4t2U/igx/rTXRUvcV8rp1
dgJtRKLmlRufyWXebhzRMf9it0KJbjagAOHWmdqzpWwliqsuEs0mCwkMzNpuzZK79A1Aup4G1Nb3
km9pkO/TKovvr1zFdLr6c3Mx3TqtXYYuBaeP5+J+yLzcsEFgDeYYrgcL5BFXrqK4IXJoLKNtQizh
ucva5BinuGrDoQtOPlEXqN26+//L2XktScpz6fqKiMCb0/S+Kst21QlRbT68cMJe/TyQ/X/Zu2di
9o59QiQgCUFmImmt13SiazZjo6E05KKD/P/RN76OmeKqERD+640TRZEPc8v8vWav8IR+tLtkXVbN
C1o0Z7SQ4AJq2c860/LXCLBgXe1Rt0TpQFHelVgb8Z5Wuuv/3qu/l6vTA5sQEabL74Xcyt9rJqXS
YqWskHhEDufsN+AMRksdXhOIvjuMJ/Ek6fsVU8yHDp/s/8vqcPoh/v1tMScnOmNO0bW/4wpJXDQ4
rzTKoulIPUNi6ddBDuDyf79FEyrxf7uQDnfK4FZZbgCO+usfgeGXicvpyIWEwasnLg654z3ZTvKl
J3tfVX8ZSRkibj3EZ88Qv8I0xsUi0D+Ij/2QGB17dXNhbWnjaYJ1Wuh/M6x23NWquq86PzjrYLOx
BjUulXKowvGfIM3FFIPHhKZ0CLay9lyl2KBsCqxWF3ogJqKbCk7OypH/sNRXT9F/sYRm+uqHHlL8
GgYiuJotkPVoRrNYRxlmT5YPZRnIP+a2Y3nRWL6d+Voxogp+woOud3X2K9ZxsDIiv1qSwvyhIXS5
xadlJU2UJ2EGnX3Z/aOIoj2UjvnNj/xmZzbFUbWHD6mOASaAePMAGglckHeGPQmc6uUmJx55srPx
mKf1oQUHdZSh/1HlAIuQ+x94r9qXxqq2bvatUE2k34tvloXIWhVDzzOUCN+0rrrwtsSKvSzW2Gog
S5o+QZICS2/EyVKN/N2oAZgvMTBrG0IyssVT2AA5tyt6vGn4DV1ML96qsbOXbeduwGJh826Xz71q
vkSRrS53XqcD1VO0a1QML6LxNigtn7TeydeYzoFRdt3vkFye6sr4aY8AYUuvvuh18drH3tqMBm+n
ZxesHYBokGMcAXPjb9tvc82Kl3VPCHFU+2zpt44GGB3nCXvENLrxEEN3ta0PBBJZUmWBA9jeOofd
W2ilMClZyYL6s0NQjMyNbYRqIUQooOMB1yPVsh3HKEeSPUR/oKx2vUo8LwxhygVaAHeg9p/Tgtku
bqDIVWNo3RvmsLIKfKOE9LejMmTLTE9xMSssvC9lGm9lk33JLP42ReLxAQu2aRRk61p3XjOtM1o8
2eGNl2HwDwsLsUAD66NtkRLHPiJfG0H54eX+u2kKZEw1Fch4UuGUa4eXZkSHtPvQfbM+1SH+fNpQ
LUY8tYESXB33Swxju2Mi0S2YS+DCVSxQmfmnNiZQF7asI2jrZdkX/qr1UIq1LRYVdUDIUpQmainB
wlXzZmG1LZLsadXvEMzNVtbYLYsut5aFeEjiqIYz4VQrGWnvakyCJ3faM3bR6SYU6QHEGaZQRozq
irZDhl2sLKNPlqNVYJpq9AfdagqoA+XzYKvbKVCw8JxF3Rv5qmZhtuRv+JKyUOyIZ0a5+qwk7RWx
9Ae7YxKf87eNJO71fqj4a8M8m5a+5mYiHjL4dOHt4VgdIhZzEvsV3GXwDWuKLYY2r0UAWqTS0o1l
ha+gc8jLRb2y/G52eonAsg/6PhKQ+6RySWK8ul1L+aU7yatSxeOjyT/ZrZLwaRD9o1PUv3xhd89p
YH4iQI/RkhV/C0S3aVEAV/D42lqxTufHah3FCIN7rSRRUnbw2vsSm1wnTbZdzqy7ASWAcLRWyF9x
ia+ZPoT9KvF1jCDDj7as9YWdI95MClWL1WZbV7aytcceXzsrzB5rzMHXoeL90kNVXyuGX12dofmG
+fWPEF9d7MKSdlG1WnY2o02WqPm2tRJ1l+KU+uK0ya7XCI+Q4lXR8FHlEnCNC+q/UQ9a82CTP1wO
TYV4F/rGi5gnao40Z3YJXo+ZEezbNlaXdq58qwoUnvvC8PdJONaLTDJ7jcO32ArjlV6byaq1SZ+0
+bMmc975+APgsWEstTZtFoRm9YUF9x+oUxZtVOQReK1sKocVZt7UC63qX+q62QZ63C2JiuAw2aiM
w+2mbNX3NgV7U/eNdRrtxDrJVHa8KPCsGjJz5yFy+L0Likuepjvdcu3vDOenEGr2m8VrCzl9993K
FPxbefH5rj8x6/xVPtgO4urlC2bfGPP0ol1FldEsVELaH8kYBQu/M0EtpWV3MoJsUdSad2zD0Vpq
IWKbAQH75SB9KBWOVFapnKbVbtduUc4D+FUP5cGYNqVZlAcn9aJNrw7FojSd4qmCfzMYUfAyb4IK
isUQONaxT7xLVfsY32cerG+/8bHv9Ag5hMFx3svABDyMBLYATVYoaoRKceUt252zNiCozJ5pqUu3
DpURXyzdOboGhKgoqrGXK4vgHeWqkDdtk+5cJw7fPTHbI6jROR714D2HEzaKoHgeyWdgajcS3Wh/
ohxa7AyJuZ42beZPnV1Dxmi9CEFku8+Q2jbzzf1MEAb9aS4zH7sVTMd43JJjePvj2L3M3LYytyhl
dRlyDHn+amYu/NexfJTQRlBHEJa3ykcIH0wy5HHeeGKQRyxhtGIxztv7qfmTcATK+3Gxi3UlZK3X
ZeiTZ7LSIAVNEtktfvWrIdfN07y5nXeN9p+skf5mPtb9e1ZLOzLjUMW3CcyyRC3EjxChIPBzlrwi
N46RaWGJjaYJ712L7D36uuIH5og9doGA7jKwPoeOEXrjBp7+bpTDIZva8MO6Jazum1fHE+6+w6Nw
g/9j914rBZwp2nBbTS7soUY1Bibz3qg/XXc0/ZdOg/6dTpLs/mg4B6dPxTen5r9t449XDowu6Kc3
i/l4GBn6eshVLCKmYkapXA0RmFe76u1rGQCgmA6DDol2Y5SxWM9G8U2R+Fu06DqUZf8EXbc812H5
1JVG+KyS7XhO+ogEYOxF+7CswmcgLfgWCuexUrMEVXgfat8Qp95uLhxbhXVOWryxpqpzI2BEk2WV
tgbzk/YqjEZ91f9x4j7/FTg2YnphJZ7tTEVOTnGCgzahRYvGDlaVXRWfY5vtXC0ofg1Z8EqAJ3vH
AVsAeJXuqY+YcrWZZq5TpQ/erCj8PjcbDs7KC6zhyypRlmgsJ3mMej3f97HubnPHTJ4ip3YWnZGL
n7Z+mJuPSxVpk2y0nq22xvNdb+Uh113twvhPBLpP1Q/Tqw9z+7xirzUomXfVV33G8rY6V546HJn1
hXCpcvkKWOd2h54LA67Mi++jhwFDNaTao880ZadhgbpLkoofTIkHNjjlGueK+qxg7LJAGHnE2FaI
17iJOnAZCH+FsSpefQchBVy5IHVNZ5VejTdxBCfdnXYzeANb0/AJRk+7jsBxGBSPXM51e602j33F
V+2pdvbaGYz2fjR8zCcl9JnHQMsOc00CLe0zQ8Ji3ps3lfs6YBH5PJcem2bXOl58nVtCceYts5X2
Mp8rW1RXRx9Ox1wv7lKEfEYF47bpBiIH4fY6HsLdrRNlY67D3qjw7KXHaVRX24Cl3O8bQMhl36Se
hsomPbZjoniqb4DznAobSdRjJF39zG0IrBYsiTXC9Ux9QxmgXImS121DBiVDCrAt4YeiUfhHGZRr
nGQ1F78dVfJrXBX1ca5yb2EuwZQzO7mxzgVup5Vc2XRJ8vVHg7ePc8U/Wi0zQHcKeZrVfMbsPa76
35qbetn20FHj2tzPZ+/3Me/+UTnCEXcnBN/fVOt+9t7R+cS8ud+LSBtMRYiaT9NnRtXpMd06cy99
P9Np46XJsRKuZXiJYr3cB+gzn52iNM5daTsIwLkAUHAdjbZK4WC6g6hIocnqXHt1X6E92w9bREmQ
N3PKbljda6s+QlN1nSE0dT8zn250Y+uVlXa4NVE6UDZ1rTg5Q93icDldei6n1vwNajgVy7hrptn+
vz2byyhj8OFVFcPBkABwbVP0qHUQPLddxW8MKKJWu2zV8gK4rz9lVl1diykvzoT6AQA3k/ShlFg8
EWHwx1KcUtDJ17lYHBhX0SThqSURFi7L0n5y89Q93nZxnngpFU8/zhXmJuO4ehVmg5PK3KSv6m+w
Revj3Nq8CUT4TfYqumFzk0bXfozdEN5K3LqV2J+BZqMOPpfw4up70BTG4dZklQU//bwafu+WffOL
+Zf8XZg0JQzkpGTu+u9tegVeURIn099V/LQlTUqMeX/vFULdMDCJ/u5vV+lDVrMQ6VQE03hSc0Gi
ArC17ajb3zqmKQiABthm/65DPAtnpcbN/mh31mYuWZDcjs0PChFIVj7Ev3f3ttO0JYQwuubu1nZr
tEx6RavuSPOSYWzQfGBtwLrp1j8rI2kUaIja3/Zjg4yiGJTs1ubtG5QlyVK3jX63yQpawXa98Lf3
+zZYiy7tLraRPpquY1uYfLpjp23vfWscPVuahuy3t7512GyAXavltpy/ZAh/1TKyquKPdnvsJJed
XqfbW/8SnYjEoAThlnXf7+dJYpTxakg8FvHTr8tWXG3pysL6vV+Hvbm0e0zkb32rPZbZXt71m1ub
jZoB1ZRIgd/7GkyOHRlIys3vvrlGvBoskW3me9Y1yCRSfWykixsug/MWr3ihlUcjlOEeqfDmOlaW
vGis8ue9dpjk8luQ7U0S+ahtdVvbriYpZN/wzub/ucuaf+vhxHVN+qxGDY9sqOoNW9K4bQiNlt2p
xK1+95+zt92ktdyzlanbuWo21Z8PBXwT9ybnQxGHVHfs14WXasgTt9UVV23lzLJ0q0xXn8uLzIku
hnA2c1v+AZssQhEGolasNtyztPRbu8hE1de4bN3z1O589bn+fMiPcH3594b+rTjXmY+3gTMZDprb
+6Fsav7firfjnYl1KWnYVVJkW01j5HGjqrjWVuteNBmv7ofQ21cvffzlocAwpF13JafTXfNAGS+9
Ite5laM8kIrX+ba1nCBMgUqAAtlz2XVuui0rVdIuj3q6Q4uX2yIbM7Gfe+sOrn2Wqv/HPWnNYJ/z
0vvPt1LmtxK/v6RpV/WVPx5Vm/kWmVPl97faTSWm3fnJ+UGF91WDiVrJ/LXDYoektb4Z0spFZja0
r42af4H0NNI8+fCRh5kUhcY1/GvnA532czbqxiWPowfJe/Tkmjhuj71t7HxXeuvMh/pvFuq1H5T0
2HtjB80IcqCVSOWj18dqyTxeOcFiSZ8HN38KNUQRrXrUz8h/+qthSOJDgd7re2h4yBUUwaeedPam
B4W6nXcVNH+xzSIo9i0z+2yv1nj9Vm7nfwAROwFZyF8610lOMRZUy1z3gofYIQFrtdgO5SgYPYZO
3j44PRP7uU9NQA4ykn1wFm6SPBOYeDLCxtpEcU+AqA+Rzog6683F7X2l6vh2tEEmtr1MYhSKs3E1
qEV/SuFONeC2+Djvs6b8/cnQ03dpy2F7PzR/iqpyWrdPNeZqRm3Bugk9bXFri2x1f/qjznyBJE3K
EwCx+/FbM/P+vca8W5ZmtzAxT17/UeZ+vdtVTOGJbZzqn/fKf5e+t60rBcHONj3cb3GuVnoxN39v
OnMEb8hAi1d/PJZ7l+9PSWmQlksc1AH+fQy/b356fPcuzafLynkuRsXd/tHBe5FbPWesk7Vp9s7t
Cc3XvBW/d/l2rXFwj113+J969Xeni96sYFaa/vr+KO71/riGKDRgL0P/87/dzr/f5VxaRJWNHdtb
1UaPeErlH1qFJIqjlvIxi7Nsh7/6gKhK2l9Gs2GGChT5rRDKd9kM7T/cYG7X5q8QZfSFyhL5Nco7
sWaNqp5FVJeHwifC27umBHWlwdLS8+5zrINjjWX5PzbG13Hmm19GN/3tPFM+mS5gHSgG8dEzC2RH
8IdYN2U1voieeXXQGPKnJNXXThcPw/DNDdvwm0cYexUrQ/OQaYG7E+BVd4QB2of5xFyERc/r7x5P
LE+z/mmJEI6F5Q8vYzSY6yEKzNN84S6JvI3Vd83T3K25g9IOCfxyzXiIj6W020+FhOfSlFJe51uE
O10e5tu2R3Sa2qQ1XjOSEshnONYvzV+pQ9T+Mz03d3qAg1CNVdR33QX+ybhHfDDd5aYmH+eHX3tJ
/pH3wePtKaGLYZdJ9EMJSU5kutM+V4YsN1EpvGMd2N7RIVGxaR3RPTcVZOmqHKMfmhut5h5P3ys5
A7IOjItQO1Js+6DO3TZD0ecpUm8GmnddvEeUd63aQlyEFgX70QNLMhoN0itYd7+5al2smrbeofup
PWRVAr2z4h0rkpFB1PdhtzqVXCqImwUZaySJ5+QhsSKmhM+95qG2hBzYuq6sl3BkcpSYXnDWOtzU
jJZRVLTmsEODtd44raMcbF7YBwasT4DzwHcUN7y0mhKdYqHsyrKKmQO14mN0yo8oZumP78rS6VBN
B7SY7pPUyEj66vXZcpPuKUKnXbXBD41xgOSJY/ZnS8/rRV95Lq7JqgF53jfO5Zib56gv14yJ0Srw
ENfLmkR7yzBT6DXjNWxph/9B8gy+KV1lY7mFkj0+CVTi1jF0ufMhT/wXvUdIqDaijiAsy9EGtzrV
qjwejqgX3mDv3AiOO9LBEQNK8toGcfBayYkfPBTPRS9/KG2G0Zri1WcRqjUDrVGsmyBvV9WQP0t3
KB8gCg2bwFDQGPe2FfzpgJwQ0dcPu03Fu+hLLHN0pbuUMQbNlo6yBB1Ttjhw2I99gtZP3bQBHtKA
hxq/fMmFUW+0zmkPxrQhmKStKhcDDTioZ6NKg/Ngn4jHGuf5CDiwn8LJbGa2HFI78QvHS8x98iw8
CtRCdx7P9Vwx89kYSptc0/ZRepmybGpmkloFzdHxRf+NpBTSmh920Fc/xrJ8HUqnfUVGGEw3Wist
WJ9zU/TxuRykvtci6EepO0JDcKLkXdWZBnQ+YVy9OGVNpZwsS+nOuV30zAdeXEE0zkRD4j2BD74u
krrcKkyHngqxiOBmYMwLS77MVGUF5c7a5XHuvVdJdC06Rb2GAg66CXzW8vNhiZ1BjHfXeCZNDKIB
C4hFKTtlWNgEQs8pgHcplPigq0P3g9CxiziwFiMdC2woT5zvtYbJoF/q6ZqwK1h8Rzd3Np7Z5CUz
7YG3hLJqSl9bOa0aPgKfsr0WbTwV4tQVoeWFo/s76dj+9zJ2lmVSwgizEuBvtjQe3b43d4U1SIKn
uri2UbzTzfBnOYjkIrzYXo0a2v6RaibbQCCZMT+iosBjlwBwvsGMtz9LhYlH1frpMW3Jy+cFb1/i
+ZtUyPEJLuSyHFLvA5a4grEwybJx9LM1FFy+wwZYCbazSHR5xcfYmuUiTKKKCJopTkZVdovKzA9x
uYpRXsQN3Fr3YDo2Maj+fajE1iFIxkuVFxlCgJV8hLTn7vXcsReWtDdGVqTvzKfGVTeYB5a1mNkO
4XvCovcTGy53SQy8wLPvz+NEQr+leJrt1QI1hZVo28dgqDBYVnMocyUi3KpUsk3nMiOs0VpYqU4q
D0lsiYPvTGjxoHq0G/ukBEZ/0tVgOFlDahyb4VXn7/vglQRUC+xADqXIowd47OtKN1ZoxK41K8s+
kGT2tmNeCJR+2JXFeG1HQpSjGPKdZtT1LmnadDdi0HRVCFPno/qu9EP1Mm/S4cUemRK6Q+YcC9RX
X8FL8NpNiLKVaKDJftO3+AOXqtPuJLnUFYTV/DyO/QrHdxzsu8I4kWxym8WIxuTJQK3N6Px3fjrB
Fmv6NwgvDDgiQ9pawZLTLhATrbLC3KRNYD4aDRBczRbrCMdE1Nr07lj0SnesQwxFc/tbQQaosU2w
leTsnnTVjZ9i4pb8nB8zeKS4EBThobTRkEo0xX4ib8NswIYp246V8yR0pHz9cXzoWkI/g/KRkBiA
UmEgpkoODhXjPLaWox0XGwTxtQ2T9nFbe9gvoiemXlpM0S6dMX43ABguMT5zHry6UlaVQMxWCvHN
qov6ynuf/OZ7OT27YgKGqlrBo8p0/baLo+O+JWEcTLx7UXi8+6zqsQpdMI0kXTAfUR+AEOK4t5ZD
GL6QlS6umTGurEDznxg5nuVoJasuctQnxX9RnVg+hKneX6xAIU5cPtBXfJ14bR21SuLHmlqkvxpw
OiXKw0slDQ6EZi9pKJyPqOAHX1QllgQCz+f2HJOqBflotS99HL20TTkRN6uPwXofYsv8hAOorSHa
yIPlFzUQaoOXUOFmB6CdxlqSXVrEYHU3MW/5dWkrznHe9LGADIZebDh5bXbVw1iivjGUuv7o1w9M
6bJt7eYYlhVgtIAuvliZ7D4MDe2rjrDDft6dRLmyoUF62lUe8RTeNJYU34acJZoRWAjrbbnHcT+m
vrsmNG0thD3ZLARCP88y4HYeJgTYSbqYmVYcNWkMOH9b4VdKxrspW1yFXT9Yxz3IMaUsrEOf6tHK
wmBlbQW+fSJMQSBKI8wo/ArrKs23VxIM0sHypIEun7qXYz5sakQezrVRxE9WXwNaxv3rwY14WWtN
hyXFUHyKAmxNUpGrJNT7wsOECxtm2R5WfrIVUjFPPuk1KOdKiRiSoaH3XKcbBmQSLUH0BaDbf3Hs
Youeg3IkwB5eXPKnZHwx+648oVzxUfXJww8R5u8ILfVdTw5octzJjYscLFzvJvhq0DTHyqu5d3d6
vTmheCV0fQm8Rjv6RQrmWU+AyosE31TZbVQjwcDB1bNPG/Ht0RN4/opgM4ZdfDTzDiSolJvue9mb
qKylZnVRnSL86vlTM6sLdnUXjqdIqLva6RE1SBB60mtLvRTpUZG1xOyRWb6T+WB7VWtZOSVCIcgg
L4Wpiw0ggvKQhHmyiy35pNRQz3M0/y9+quUvEbFSYldO/5DZZr7MckU9MI6KRZ4nyS5yQ8Qw9L49
KnoN8w1b9JNCxr4szEvilxtE6QDzByiDxDHKIHVseduuZKhkGCx4YbmSDJnir5q8B74gaxsaMe/O
TVl9Atgc35KmGDdEMPUvM3O+p1HygN778BxbX53eiyfHZ6bghlW91swgf4odEvc2AR/k6iQYGPx8
7U5JDzUyJJ2bDEer0+J179vdMSYUvMm96Mst2vycxYm3ysj2asYoVp3SKodCaVB4s32Bx2xgWiSj
BnvZgDZZddKpH+qqqFZ1EzqrcHIHh5iJswOJxG0bgG2xXT9kuPXUn25LhNsW9qOvE7UxJ+kTFcGr
dSoV73Hw9jGas8+JACCmjZPCXDEYy6CumlUFI+EhbKOvvDbMfSvRyTC9tsPM2nGXbVUZ2xywUj6E
SDwDvFsEFZa0Zd5Wyyzqx2Pl+wav5sHcdaEhH/GXtpZJGOQLpx6YXE1vp3Sy+JSl4dtLJqHeagjJ
WY2aXT37WXpROoHBsp9O6FVSZ5rK8kDxJ4HhqH72U2vdqZn7YvfGhlgDBjgdCeyBmcoeDbFkrcWj
9zF44ip0uOqOYg9nMBuoV2JOh2agGzzC2HwoWk1/MEfVXcYMqlAOxl+2IIbjOMOpVX2+jnpM13IT
5FV/7n34XkaOV2ZWPMJdPQg93bVAjL9JnZz1CIpzUyEyf+SL1lcDHR/U/nvs5fJRIpJ8RqXowjfP
bBxxtU8SQFfQrMNXaDagvItzogbxGXKteW30xlmOEQKGskr1o1IhgWpEH/oy9+xmiTR/iX9APqwx
10s+icXR+aq8QNj217r35nde8R31XpiKToPttz10TOPQC26ncTppfeyHpdsuJaLci7DRELEyI+Og
K8BTLIJ6ZwDWn5i9lW/MRuBHR17wqMiQVYY2yrXVg1oohZsdUQ2NG+PVi7SKmAUJDg2ehpOYT8Dg
JPLCrN1wMDH2fRumxhpBEhsAggl+zmwO0GKbQ9+FrAGmTwK5K6Yk6tQ0ulcr/NLbwzidVnDaO9x3
ExI9W0b+jVcl3cFnjvLH5n6syoFipXbjrJJYdoeOjCu6PLbWkYewAa7IamP3fscCJFN3hu3bB/Q+
lFUseuVx6IJxHaWW8xBrrcYg92iGPkrtnrpTOvjVoy0vAoB/kCOuqAGiwuQwf3RhBBKg6NV1E4/N
SquxJG/aBjxKlCK6HAwUQ3Xu5KmnstLNyUPhUMFxuwj+ixiX4mFe148gB9tz2rJGc7OswQSs9lG0
mQi9sWK/IRUHG8nAV1uM8dksQK/FMkfooQQQlaG0h1GKYy8N9Js/fAucfepfQjzPPjWxV1ojOunS
6Rd+Og7r1OyvlujjXem6zQk63KQ7OX2cN3FUthuL3NiUPE1PxZSeLpoTPDdmGkUaNKd5H5frY1oY
9q6E0ckJwzc3odH+qpDanihZGeN0RwwJvdQablwsT/W0mXfnDQh7NHhVUy613tvi8NgAzclq0Dhs
grrjU1h3coHteLMe1WIEXjfNqRCsWzoJkJvEHhp5O+hnJXRROawzKIlnbBGGvZGAfjQKJNwWcddb
ZyfrNlYz+o85aKXCYo0tS9U4IuhgHOdPMvXFJo/jf+Y9z8nM38enYn+X/feYzhQIZeFpP/HUo+82
xc4XGvSdv6owqP4vzVQhnY+1rljcKv+/Xn7u/ty0J+F/RUqy/+u68+5fx+YKwpqmIPMZs7S9VRoM
GvK4/+nlfOKPu/uf2rk3myDV2+sG2gP/NvBXU3PZP67ppsgIdh30+2IQDxH21t+xN+wWmpmWVysP
WI9l9rC2kiH91HyFJGFlfJdYfC5RPYwvILXQdUWvfTlX1cOfYNWVz0QInJtBQx5ZXqqPXUKcai4Q
Su+YBNJ7a0wHzRI9NHeK602GTMXnXIB5arDgT5k+54Na8xS7cdPLUnkn1L6bS2jEBZYmI97DGDjY
meITthozJ/nu5Cvbd6GaRTBGha0ZpyTO/UsB2vPWuyDMAPqO4QdxImy1tC484HUinoRjECmYbr3M
sHjS8+TVzPAp0ezA2FpZ4b5qUfM4F3BrpFrCqOqv0vP7gzlkBgO+7XyMTDznZ6M3PY5SsIAvSV6X
51BhhjhXjZMXXj7FV2CJZC3Ltjk2MSHAWkmt28W1xDsEKiF71lcs4wiN7kbS2c+RiL7PLRhq+SuL
BvmsEYnaY3dubEZm++9Ows9t+l4yTIMWquMoD5Pw0BE/FaDPrDG/fNZGU4FgAKGZKpV/spLKuKDn
Jm+PBkGEVQ/y9aMMGcDGWhMHh7/UFagJ892pauOFz0oh6leYesEuzFVnKy05vvaVf53bJqBJqDoq
rKse5/VB6XNnnfTj8OH74Wou0Tlg+2TS9pfABBeOBli2YqRfOXo0fGs9fSmQdPvmA6TZeHml7UKG
r9dBJhewgt6XM8mYcQ39krZVCFSlbBHJDr0vxdEPRmS3b8IF/lbbebHt+iT+Br5/PRcoCzjDJr+W
U2TzbMI8M8CNDe5XYok35lXxi9UQp/DcHrRON2qftnyYzwPTDteBKuNjXcfxU+ajmn2rGPlYhSee
ezVCfuQqTomr+YRevKZ603w6kZlsLBfXh7SvShwLw9f5vAfMFPa6tB/wjVZOUiNShhqV99W0qJgF
vvOe23a9rTI9BLSraG++p+znAq7d96i45e4ZHopzUXHFYhHNc+GLeUjx93glImftnNAwmDfX2UfG
nHOu6QWyWTV9G52ssndPrqs8F5l7EUWVPWdCSZ/LEZlkxUNxa96FAusfpV78nPduG5tlWVyO7fFW
K0EgOvBQeFT11sqXsfCvwmd2VUxtRkpdIdyOQXZTGb8v4SpAqBRM7ucSxOgB/uuGXM2tz8dM/6nJ
q+hprmPWol03iTmu5wIODJhrE/24d9kSuzQFGFxpZX/kdSHf84r3Qy/S5w5AwROUIOLzmXwv5BAd
Y0H0ft7NYrRjtNIGrzid9XNmo2nOQ8WdrX5vxJOb4POnOKH9UNvKx9xy24CUJZuMO99UB3BLsaql
6CZHt/o9kdprppTNY20hDcRyenp7yXfIzcVZVKIDwUclCBvZ1irNYMMrQ76nkxlZkavM0Kc2Ssva
YreUP5f+0D41RKDnSjYMgmOQmQ2vOyo50h/Xo6Zq/DyoFLTMtUsJTm8+W5kPTESKtw678IfSHz/n
Qn1DBB2JUXU174Zo565kHg63vvu2eJVw1R+tSlavaFcu5lK6nQsGalYa0VfU6SN57/9s4LOq57Gp
xzNOa8XayyYT+unsfOJebv40CP7vTWc4q/uJVOuBccz7zQB0OY2TcPvHwdvHEmsgoOb6/l5x0mEg
/BVdEjSfTsF0zWTwGsKbU5fqNo+OWTOsk0yDXXOvFmZ1hjlL8nHv+a0lYqHWGt4c07m/qliNiaBw
PMhbM7AltYWbEFAT/0Xdme24jazZ+lUKdc9qzgPQewNHIjUrpZydviHSaRfnKTgEyafvj3L1rrK7
T9fpywMYgpykZjIY8f9rfUuDlRjRSiiWJWqph5tQq9o3SsMQvebaN/VCPdneFJ8p4dhMvs2QyGJU
KfZUrln9qp+hLUU8SIQ7beynV7NKfeqmzvOoRwejqgnSqbvYV/tsXgkr6i63m1CK7iLNMt6KHlX+
TxuIfYAw31rKzxsqF7dMynta3x5B4b273J7KbCsFwRP5tH8+/e2eBp41CEuTafry4redb/diOi8B
xCG4QT9u8NIUn0aaFji2f3hEMyFvi92w9/98ltsupVB7zKcOrcXlY93+druZ4zD3LWQuwU8b0qH2
1lXdiZ83KKLR1lgPtODPZ7ndo2rH2ANXb/PTBvJ4i3UTus3PG7QO3Y8mGtaOP37tGG4heGoa3/2y
4c8vkQzLadXVdvd9w23r7Y1PqsOKTixyoR+fCgEa5ZIW/dGfO9/utYsB25iN+ecNUsivjp0QjfDj
l5uhmqAb03//e1Jik4pIe/ehKZKhgSk0IKI8v5dEswa53aX3MtTKgMM4vvcIMws8FnDXstLrIGw7
7yo7hS4YS5krVT0RyKqwrt4QdYHH0vJaFlkf5G6jXWWcDIFnlvM1Z10QSM2S14iaKK8WD1fZcPbl
BAFdyYqd2c9trlFpqLyarK8oYTWezyyuUouMACdYdpUz3V4ZKQmvlhEBkVawEvTaDsLOCS9KRLHQ
MzPvgtvdDWRn2hfaHN7yakTyUS7is0UGvnBFYT9FvURDHkPPCadL1GKW8NJQYrEb002O0e4iBVdk
zqLu4g1mztZJXMqCFkGYQ5OQsq02Mi3LSx519UbmZc6rqdjNlDG9lK0jNnkzxRfcru3GMyflLm+a
fiPtyrtjF4IgNS7KMp/lJo80606mJIZ7EVqVqEjJY9Fi/S7qhLoJvYTytjlrmzwkT4t6or6RXi65
Rx/ekF5CbYaaDfX0FzAJyIDikY5vWb3oTanehbPzftvmIJI+5S5D9rTsCpYmPuSKO65vW7XeS3eU
90z/9lDAZu1G9k6xuW0dXc/zFWpjW/zs2iHOid6Agmwu1dPhqI6e/cxaGQNUW8CNX/5Lo6hZZVKd
v/+XpepiafPys9c3znPZ5L9b6mydb/tmTfLOqrS9u21Lne6lq9P4cttmKPXDHNfqTquSbEsgU7mp
axT5aKBsRvK4hZJoe9a0CuGfrareTja5RtPrrzsYpfCzyhiOqHL+c/dEibkLcWvvKqSbLs9zu4mm
WQBOCGlxjs2gr2/7fX+x77eYDj7oCrjb2+7V7bW57OKmUpqCn6PuzwkgizUha8W7tNyHGhDnU5XE
46HO1TTIlr83c+y7RPp9ahchFB8KX51XOG9a/xDHav6ua6YTSLA2ewUQ+rMdgVVcHmcbc4prqS2x
IYT2vQpFGLcaD5jqgmwbxRCXHEfC3QwwJhuG3Jem6h0tR/ZXk2kH1jC9/hKl833t2tVz5WSEoXTI
x9Qynl69mLnwbYdBE+t6mpdIuWk+46Yhm0KU9ZdyghJXDvR7pDHCqvaojsPdf5Jq9en2yEpEAmt5
L++jMocqkDWMJ24evrfJ99euoWX4MvcknR8ueLVI0CvHXX2m79XwC3Avo6x/MhBp/fjn7//919/i
hjWdXWY475a/RYrOcyz3yJT9417bzuh1Ko9yBH/PNVEQ+vGvrbf9LD4LVWhl++ffv7/Ov95N2+j9
xpiohyRS4Qm+b769jdvNsmMoQqxZ+J/+svFfT3D7mwbNxVeMQfn+qX5+L9VsTEcbIMr3nR/aUr1M
TlXdq8tNrs201+3iVJbZN5q0yaaxTBpbTUedKG/3rYFeICLdnGywXvWBQgbUtSgIql30YPRKB6p3
YpWnxNHD7W81iDQ/Be9If059BpUySpZhIRYxLTqPnvHVYg1xpbmo7/o5s1aWM4ePutXsFaCX2wI9
BQKjZFBWYSb9GhOlD0fqedTCbDMm5YdXeO5BnePxrkx0Y1/J+V6gCFBz7YSuhHJQbaPvs5JK4pAt
C8r8uep3rFY+D0yJMgGXczYquevJZZUK3P44G6b7qGv9aNbHK34vwM2W/RAlmk7XK3ZhcigI2xq6
i3lf7JOk6YIiazSGU5AGKUEd21Dp060RNlVg6zkRN0mdb1xVGR/lQHIiKM2z0lNQ76ZJPmjGfZIX
b2NvxhfF8+qXvhtRBJfJw+1/SbxVfo8nYV5bbRrvZ3fKr1rzLYVOeBZ5/CQnS9nnShuRAqtnfhZ5
2ls0jIdiXGRndiT2uoLG1Gyi1nciNOYqHy+gCLCKVXe83m46Khx3uFrv4tGq3sjMfkFEsKqZo+tp
a11aZpMobR0SuVRVBnTApt0c1uYnzZ43ADRfmhGFI1XwhFglL8yI0INfss8aaQdcaw8xXcQjlpKq
wrQzuEGNHWUllZqYLA0oLDVJc5e5XBpi5gIs2sUMKgI/Wd7gmeuMtxhqkG9aFFDrZmlhI5fA70aX
p3aBR1lYQj/QyJ8NLUmfnf7JM+3sLo2d7jCWVIeI8rvj2rp1MyW+qz0rfVCV+rky0pw8xUszPsbO
kHzCRQxotT2MFsaArop+B5sC3nupJGpyBvcszeakupsySutPBUmX+3S40C6MznnM5+ro371krKaO
7kxYJVRJvKWuisVSGMrWGovGJ6S2vS+of+5EH9b4//Gt9f3krE3yrrWWa3IoE/XUtob0kQyOrxH9
PkgRxBFF0TezyL9p3qwBJVcIgEp9AIH5qZic0I9pku+HJrTWDTKxoKfyEdzgUwX1Bow6D2JpQhdU
7wuziu6brguSsBoelr/kPaeeavVvKUX5s0LpapVMBLZbmfVZ1pp6yuvaxMu1ImXSPNdFDW4zYsbu
1BbPEisuo6BWrTRcjReD5rKaTNUXN5L2aoAycKjd9sVTsuqu7RARtVWIA5mcd1/qlG4MhTX0OEQP
muMUByd22q1pR/GJvpa7D8uu30L3XLVL91tIl9HDFulBkbN7DBEvrcMOGjezjH4nYr3YRUkzgv2h
7DFhxn1X8+ZldscBF7tnAJgp5Z0eexuNAU5X5t0SyfzmJMpdm6SEtqlzuEsH7eDQ53zi+K/WJTAj
GrVRvkuMXpIrVua7aLmHeSmn9yvzvRIVByWiP7JGuyxPiqwvlpp1+7DqJYAzw9mNgsV83rYNfvdU
Xiv4SPgO+nI9mEl6oTsDGgNJBCIoXtGcmSeqmZwPVRh5axb9IFxpT4XYBLYdAjhmCHpG/Seb1i3k
geeYpaHZt/XRWNx+CXT/06hTSHLc3D2YMEtWzVC0u3R0P6qhPHXMk8+GKpp1tzR+S/Jk42avVQ3A
vO5zmaGTnCxvuHyfJ/eXnovxNWo6zS+ILvE9MRtB1nntPlLrbpO3yRsWbfkw1Ke6stM3hIDaTreY
4VroIj7j9Fr8hDZrRRK7slHXH4ihsdcIIrotM+xXje7AQxM7n4oWSz1zlY51f7HEcjoTuPnKegpz
FOdaq75q6qQcpYmDXi+IWzCk8mILDtIhMwWRedWrMtXWi5Pob5aD+FP1Fi2JYvgWup7tYMTWY7OI
90MvPTsOBi1aqXe9Yt6NstBPnq0EyTS09IAn/Tyh+7Zj/TMQrGxT9GG/D6Xs1nwNxU6VGZTfuox3
jqYmOBQG4yRyi5sifYC7Ep8FgMXHoj2OTjs8aaLaw7g31nR+MCbP5uV24xXNye107zjaSbrBwg3V
fk6aq8ICwnfwx+0dh/WnW/1OXOnXfkiIRgj1L6Diwnv7LqVTbiqd9Xi7SbrilbyLk06WBz5IVGCd
aOfPjVY8dWqfBGOiO3sQwV1gxEm01W74+MK9L7m3N6amPLjqkD6YGhLwmNzIt2RQP1gKuF+EzO5G
sneR7Ru/R7FZbECSmv4SlPMwKsVX1Uar3i5qllyWX1sRT9tCiidqtipqq/isYsneMzHOD+NSk+TC
rO3BM+Ki89pnU8TWxqo5N+IMPZChWvpLaBtnuBfKF8WB1NdFfYKSCHXnKqozDQmMllxBUnRKaqAU
a2e/cVsdPycRDvokio8WJQiAM+9TnY5WsLhcXUHHcST1em1Ka/ySjF9Fr3V7p0+bPZ7onRF72aup
19g1AF0ECD833aLEGGIvDdAKQYMgal7PRH4+WHbbBjotUoRYXErVLLoTZZaeGDb2Wqa5SHBDZ3U7
lWRkPreTxMq3eC6oIsJyY3VQt8ql6GP3YGcpodtT2DxmVrrLRajfu+nY+rHFxJap8jXBBXmYWrul
xYc+CCFrdh5U8gtZb2B5uVNgpH+qDGNYV3mZPQxJAnSuiwKHctuux4Xle5Zcj5n7mM9WdefpXnDj
kLrUgJ+0UiJty8JrjPS170USLPnmCfXpbDKiN0vbJPSWPmWicQ6RAYVrrqiShoM6HJl5W6u8tIyH
phrzbdSM7cHtIrkD+d0RZwjdTU+S4kUbuvCgqXW6lmmNHaqUHzCBWPR7v/faQGExb7YtbzOwehnt
4TrQtHNb97UWd0aSVedYNwJ6dxIdXlOuxsibN9LRH6EPRUf8+enWjYAGZIlGldGcxHUkE8SfBgTI
btJTrx1qe5enuhZQ4Ml9Q1G8HaE40LqRxyHUcnz00OW1LdxDl/RUudsh3im6AkikTfO9XFZmsao+
uUgdgwWz+Dj0B8vxDqZrRPed3dcvhk44hbuEgaabSVHst8J0HmI8fVn82UFduBZwKTbjVC+SXh0P
MJlYaS2QlLklgp5WSh8rc3b2yncRl81zagxiW6lw2W43sdlqXy1llxn5iq/HMpixKuVmXk5eLnSj
n5pIYG7n8u2/QyXMAMzcEbVy/tbawqe9ZD3GtXOYPfhCnVInq0pJckqDeEiUfixeB6q1gxTWt9ZJ
CKt0Z18Z2poJtAoMcnJwh8u/3kHrg9Ro3JJL0OKr4iaXSgr/ZiagfXLn5aps7W/3SvihVkT5IXXi
R2PRvNK5VXwUlChoGu3JlvLI4sW7ZGbywGHWB13oifsSCuSs9/ho09A5sUQw971SpD413Hbn9VWz
J8HnK0Lo5MExacCZum7xs3TJA6tf964tgLp1he94C1sk6fJNpykqfjGKF07Bb210yOJq+u4JarTQ
bZtdrBSn9yENkkV5obR8r53IND+K8QXXQj2kieg/pqOYTEn6MvzDeTC0YwYYYxuJ8NFcBL4SQvIR
9f560PvqNIXzqqxs6zGZlPFiWtO+nshEi1oEEdUQ6WdgUGSSjoqzp6nSJV74nkZ6FBhcdYH9Ce1q
0dRdOVEvv7RheskJD9zWHMHrHITVpWuebAz+mzqq202vmgjipVX6U6I+xbf0DVYrrg9KdaE02uER
J4/iy8hR3+iHUdDyqhejb/KtzJRzp89ZUOJLekvzKmDlOn1EjdRXczQ193pIhGc4WunWq4AEjLGT
vYR9Px4cwTSl4MKr61AzOwbZQjrWJ11S0OsZz0801/TzOA6ofFBgz8hDXoZuAgFYY1IqSOLxtcLo
95mN9A3YuMNvDG8oHrrnvpXvTKrlBbCb41MHcLc0tAK9U7IHUDHeYxbGVDOisvigBmjc3W7gx/Yn
oOYI1bgYAEeqty32GsRCubKb1Q5pWGTi8kalQspoKNFZ8zfLkJ97ZtEU9UKIYLnzogymskn7LtvR
4GzCFk3tchMqDmjcQbWC2Bv7x57wDIGS4I6C5zLJ0s6OTF87U1DGmLQucGqTcL84JJuoMo0j0xFr
RZBac/TyNNorjstqZrQ0TurBon/tNV3yKa0Es7Rm7NatoU+bVPc60B0J2T9udL7dSKX81JLQE+iJ
EPAf6+k1UpahwqzPpjdmFysLjY3eRc7Z7biYMfmZT2bdVUEPHQgloDv6sgzjZ1aVn6pOL4OwKK21
FE390hJ26HtcdFd1p7/NbZhcQnNOLnYfjTs5ifdk0UqXadyeaqP2VpFEdRNV6XL4IeMpWkXupnLG
mzZWd2Q7pjslRWQSDfAsm1iz/UZy9k7tvWE99hP2Ft1rrHuu9Lk/9om5w0xD1glFUHMor7SApnu7
JQfFtZGVZbZzBUvj532nPJSaFihtXp1ThnBNjffMLpHKcdEJTHfUj5YC2wX/yfomVVbrXNmbCV+q
azFnTG2dXGSSeiYrglAlkIPGWhgfO9WAZmQUXO2dOTv1otx3PSfUjIBzky1IqzAaN8RNYnYzJhTv
8t1Qa+dRFEOxKgzZrxouYW9YGmJ0VG9osj6iDCeiZuL2KPGOnUuoqr5icb5VGkIAqx5FUHnGM1/o
uCqaiqil4R0VSwjlLXEui7XqgJrnuRmNmTdKoGPhWLSsCSe68ybMb5gFvLt5rFqu3wt+tatJm8pg
N9Ennq4IEPbVEv3V6wUq8EUVTYNs3cbYZmoz0r6wruIKVvVvmEO+Rh1q6SYTTGlN1hBFKh4aVQ33
lPbuxlJKaDCAahU8ESuTacOxwPCXaC2qgWg8k2MSPkD53kzeqHyVxz6erhZD2Atwa7hoaRYYQ9Q8
KbEMr0Y1P9K+SIOB2vBdOm3HKu7BjybyvlAL602Zp5rkSjS/mVqKTTmI/gTi2PbHlEa590SUhXdR
rShf5SFNA64+61DTIkhp5WrqGXWkPjS+jqrg0DK7YuzJpwdjoMeqKgWo51BH2ujM1lNTMymJZo9B
XpmM1Zhao4+azNj2al9dnVD/GHM5fUr1ZO9m+YDSLJ0+JUQoQqkkcBlixGa4qTNnE2U4OE3IPTQ1
hyb5lsRd9ilT0nCDK1QFeuhV68oSLay4AQMfBSNcUKX1wEUjuuIb2polC45R69/icMCeNbwhNGeF
VClfTCAFvheG1cbS8bsk1mdCKp295qrWqtdM9VFQrAE8My6QOSGAGDblZ6XC/UTsSLeFpPpVmCJ5
NSQ16r5/rfqFepYi5k/buH91tdHdlhXwnapQsjUKZ3vXKS4ZIbg2tj2v+VDG9wwDtJ09wrm1ar60
jfnUMlGp+Jk/U4Y5ysrxnbBqjopFHUlLqArKUX29Qb1FDEthNtqPcLSro5JUtp9rSnQcZ11dmUqU
blq6/xeZdeBkh2YZVt2PBdHv1LX3rXWd1Zx/5M0YLxDm+LEYGJo9MWHkiNSj3j86TgXUdhogcy/D
LAtrCkpN/yZrtbtGRvL7rNt+Mb7EDvXBwom7+9zC4t/PuG+7DjSRlvfbhszUwKUTFtRhRv3PLdyH
YipqXwwonKo+KzeAJejVKA2OiXm4WF6q7ewpG1l6e89239BL6K1tpo76oZ7nV7yz2LQByBwjo3lR
uCqsCxclReVOyiVtXaLaXW1ew4/2s8ymtqMMFvHa5kuWFIg30qphmfLigtH5onT6eRDuNaqb23w0
OYymtuudMTrebgxHIF/y6lNpCfPO0JNvo2wEyPFxEdmM9Ghq81jFdn293WhUaw1dqe+cEMmSE7kb
qHnhWShqsw1jTAp2bSrXEKXPlsZPD+LP17u4f+u6fO2JftUpL4462Y9eMmdPZXIwsvm9i2KDa7dB
LbpJrkUTVwG2kvaaOfJT1BvJplP6fo24ab4w1zo2Qjh+gfNpRhx0nWJjvMrwy2j1PTYWLkOkwB0i
VsIgiSu+ZdnUm1u9JSkF3b6l76ekDJ04Z5K1FgE3EHZanOM+bGFXpfMxse1LAVID20lBRznv97fZ
MYfHOeuM7lgaHRxG/FIsoipK2W3yYY+2vasWKN+Escjo6y8FFWRfdI3GqKTU6wy6jZiTrYIXgimc
tW1IZsaoI8mYNyhH2k5RbpzUlidTbmqLWYZQdSA5UxrkIg/X1GqdBy/O0E3QTkLKTv1KnQhQzok4
JPCqYElUqkclLXfSxltlGWcQQhpgOic9wkxjPTe6b6rCJ85GezMjyt+wuM5OOoVwqXMSYlgIg4hP
fN/TAl0nm9kQLud8Zz1JYb+OugdeIOdKUszY9CMyPiE0vEU27yRnEbC3O5BbzKg3uCnD3WCJO3zi
5WM+gerTB7wjZTV9YXKOM8NrzlnScMASKkmPp31sq9h8pwUBJgaBAvSX5BvuixCrjBrDAVs0Q33o
PUEDwyXGNKRR9eJL0okLjNb69xiZsS7C6B4NduoXWR3oQuneS8rJa5Zi6bUNHeK8GveqN4+zN2IS
aR3zoXHqL5AQt41ihbtKy9/dAo+YgqTuIXrsF6x3G8b9qYEtuUfAa26w5CN5Uyomj70JfgWhG1EU
L7LEpzUN/aLBU8uVl4EAb0X2NY+NL4mRGKc4AUXvtFy3HRE2O9eOZ2Lc22zjaTQ7mP2DBjKo9pjl
87AIiBy31fZMueDbh/qhlFPzQfLuVwMG01vpNM4K+2m1zsNQbFPRJudwzvDmYYkYzNgJCmgoMK/6
1dJQXpuq7dE2ld7JilukI8jvW09Zq7HQMSGKcQN0Syc91BiRLwKzI3rEusaDIrYJVZ0VK4DOtPAT
uO6AqLsRBBR3iaCgAuha7xV+L9YBbh+1B0HVaNU3MIpW4bGtEu9QtV10vN1Y8EK29Ozicz2U9D27
yTtOSe0dteVe289o4oRWbhjO9VU9vs5gAg4DGj0umkb0lFdoltWCaE109OMD5Gt8HqZgPpP1LpH0
2XSEV2z6ulYwb1bQw5ipmZ86d/yIWtwzoWfimqUhP3ccIDnKe5o/XtcGZKDN+INs+D6JeUExE2PY
yAIsHMfeG9HuF9q1Hb10b08o1hGjxXeZpeRUd5yj3ngTbUa78l1jdDZ9x6glmAisFcGgqeu9cTCZ
vTYKZ33Zwi6IHNOgQ9l+1vvimLZG9GilCNh6J1eCqYtp+YfatEEEbkHUxmfKDBa0J0GNVHS0JEjL
fm25zAAZZbqHjLXUPh7CZ+TfHJl16eAlVL/O0iFSjLaqpcIAmVUBOqpoaFak1bjlI30zhHOqZcel
NtK+tR2QwDQvx53arulAcdwkugZ2B8eV6rxlUakcYV7thwhDxdhwWtM4GoKhiJZzcVmOxvx4PUBB
V5gbu42/mWoHxayaUCPgEvqb4If/iuEmO9Og127qtuVAuwTR+5dQn0md4EpYJWTmZSySbUHhOjaB
YHugF6buO1n4335IB2//+e/8/4NsWkEMRPfTf/+5/VbdvRff2n9fHvWvvX58zD/9x//z9Mvvlfjl
/Lh5+nnPHx7I0//x8v579/7Df+CtJt10338T08O3ts+724tE36plz//Xjb98uz3L01R/+8evH1Vf
dsuzRUlV/vrHpv3Xf/zqMNk1TL7cf/vra/yxw/Jx//Hr+Z2e+/svRyp2eZu9J++/bEXy/hVA/PdX
+OFpvr233T9+JdzpN7Dslm4QXGQ5qgFAWXIELVus33D9Q052HGhShgNxu6xEF//jV9P4zbYoxwL7
NtHxWTbRNy2Xye+bCGXnGQmEx0HIj/7rf77d63cA9Pcfi6/oj///Nen9J0Y1VUlbM1F5INK3PV1T
fwJnTx51V71UxbMdNsgS1WNh0r5vbb9CncWDYTLU27Sa/i7Z/BY09Rc+9e2FyfSxOVrJiiZI5cdj
lnwnnQaZ0T3HykHGkD5JpnAnsRmbeINfIFDyFrK7VgSKbOmKlSQx0AlvSNlbJQMVO0IzBKtDa216
mPHKzG/N9mByBdfj4nOKqSJO6l2pDw+pUIOcWjD18XWvGoyiceDYWPCqL1phbaeCQTyy7os8ewLG
F6PqsZviZFYgCwqbuKvhPGjNSXEACRmoCsdqj33LR9aBjyRfGan9JluBzPfBMr0ntVOdldGogmGU
/O0yPS2Z1tD/7zyCUCYzeYcuqq70SvtoeuPC9PMpKnIudfVbEnVH0ZrkmxHRwCuYFgMrTMPhWqjx
K+b01ZRVdG1oDojxYbB7dMcDgjhs0ciNnKcaZhERFdvlBduO/pck4IjKwT4TLuqnIVw5dPjQq8LP
ZOaucFko0pPTJmslo9BgW9QKlEOqm35H7CAtDW8N0mtdquFHUUuAWRF1GXK2SlnucL5/VfEQrjVH
vYZ5i8o8N3zMyJ9YUAWAej/nawYeQlgaZiZGPr6oI9WseQgg3jyrJkcugr1aKyjc4BhA0XUHpOtY
i1OidIdSZD6iA98xlqV4Y/viWSnHfV3bfmlij3SVwK4KrvN3mbd1ymjxFvl/Oav/m9OCRR/H30/H
J0tZlRhICmEA/zkB/zqmNm1T9KOmiGcprTX1UkpKx9hC8tVMQZNY96BzfyfXx7DlRU/x7lI1J3sj
MEW5znLnLhlgFFg5zehyW3cO0A4Fb+/0Oiftp4jvA5YsbbgasKW108POL+cJbvO3WBt8i4qNU+j3
hKBTfq1XSehB6YCtXlQ5ypA9JbwToFHufllKGjHGSTW1T3krD5NF5Q+pJdayFbWlY1PiG5VpvAIU
hGCYcDkqPZU1sNIkHqjT16yMH9Sepl1kYNR0FwsD2Eq6ZBQL13nOwivmSIzzz44bo8KwTk27RMaV
3SbOq50coGT3VrHSHHTlU/2WW+IwD9mdo1u7Du0BPNidZxdXepanNB8vWOwvddM8IuDwCY05hnSb
WPQBxtwRs84kL9poLIemsLg6nMJjjGtUFxvHHM9D9GE6HPtFwYINsWxcrnOPYE4tDGqtgxJV7N2y
P3A2nDAu/F1Q9H97OLA8YowG+2UQIvnj4TBkQhSltNtnfC5Pte09pWrO0oGGWR1Mvfg0a/nXCpuo
1MZLQmes7rA14B7COP8QDtsK6ykqv0s6NVvRpKfE9QK1iogBq1Y6tVwaeCvKbFc7VJ5MXNdJzmxk
bva9wdevlr5rJo+KhsC9afYWFQnTGUgwK/dc+Jl5S+SW/ZZBIwgZvduQoQneZ8kZnjrTMYw/Z+4F
cc42zMUhHFPfEOkXfQOV6di31W4c+08q07+mlC/CTX380rw//HMJaT4tHDKcxt5UbY2IwXWEI63q
m6Ef1rRq18q4/Bz4L+mJkfdwTrIBeLRNGz/jVCdEqKNKXLfnyBguVKT9FNRt4SyoAUheOXym+IrJ
6gwKeVvW8UzqLbJcZuBhz3FKDS5uXkx7QIBc76rsK7mAJCiUK2UkHtz9ECzyWXEf+G0OfVvvtBGl
TuSTRgBPt7L31FK3aahc/+ehYZkQ/JeRYQk80Lheeo72cwph6sA7gGbfIt8D3mN/op7taxHrz8la
t2a5M5R2Yxjl2pPEMqX8Fm2LFDC81o4XKGm9Zc3uKyPf63IEjVWg46avmY86qDqQ0kBvM4UeLOdX
PbMgBYEqTHMX2uaaaO2dJl6HCPZQvRqr/pWK9Z5swOcmTD6WE0xnMIi4hAl7WIfYiXun3jvGqyA3
83/+Fn7KQVku3zoBktTVgWka9s9TTpPwAsfO5u651M3nZTw0eGWp9/5ER5uc7b/LH9T+2xc0Lcvg
FDRhtv58AioCyahkvmBW4BCKaoMmxQfFtnYizIAWAFx5nAbrRN15PXJNGLNXT2Is7a07jeSHFeyZ
v4uC+SkQxTMsRgLXdKkLWirJKD9FwBlWFjmGHOQz4l8YQ4uODnMbg89sm7umtGmv2eu6Zk6Vm1vh
mLtUR5tTPsoO8r5lQRuk78tb7ZRX4Tjr1E0C3DHHMgy6nDZn9JVRIIh754Q35RNo42sKWaNhBNeH
cl95PZB+rK4oELvKDWBKvuJsOg6UD9DnPZup4Mq8tum10zrsX0Fr3RWWR/AXNoAcLUVjb0AQfS2K
ZjtElu9O/VlduE/WOrXc95aZiW6PFyIVjw3TwRztdzVrQcY6Z9UAWFl5ZZGuxpJlZji9aOy7oi/0
FhXGvclOKyXnaqMrT62KyNGIj3VeyL+5SC/Lmr9eoklA0OkGqwZiAA084U+xODV2XzpEfP+2YuyE
NLeokr7/xv+rtc45+RBVW/3e/byE+WHp8//dYoej9f++ztm3+Xv7C6udISnf2x9WNzzu+8JGsZzf
+NKXf6hryAzXmUN9X9kotvYb6VecHjanrEqPjtP1j6WNYmm/AYd1AcKyh6vfHvbH2kax9N8oslsW
T8l6hEHW+N8sbm6LiD+PEOKSlmq+RR6i6pLJadtLds1fFsamFYa5IbJ8R2PgmbUDmRu6na0rheCM
BDWUHD3dr2LQo8mL5mXOVnKkBYCUNinh2BjfYXMIZhmFEwwdDSq7xtIRFfBggGWqa8spPmZmuz4Y
Sm+F/eDTBBipDPHbU8FjwmRo+t9kQRk/joO3j2RAMeEbZ9HGmnLZ/pePpDe1B7hPy3bwR2Yq9iQy
EMCwnnJsWgOkfFUj6zJe3iJyOLralb72mmqn/AdnZ7Ybt9IE6SciwH25JXvXbkuy5RvCltXc951P
P1+VfgyO24KFmYtj4NhaqsmqrMzIyAhc3f1BXbCPLyxKqMH7EiG/u9EapSV7SA5qpVwjPT7ulHHK
aa9boonQuhujdB/roTnnLG2jooC/gR38M9VrhNfE0whZC1cZy2AsaLdiGrMZW34NQCsZjrXu/7MN
P0jM5e168UoNYb1JXYzBGqyMPz8/8daJBw2pkbmN8WAIofZBaX9eK4X5M0d/XTOE5RSG2+BaPUzq
gLtqTQ9KZdITDxi6l8Zt2ns5UL1JGeHU1SGPVaYmGoxiMH3UnRs8opDtpOicXb4zdY3DJx/hT8ck
+QqpsAAEPI/iHxvyPz8C0rxDhV1UxjOH5WFN7imvbX3T2kJeeDT7I2Ir34eZ2k5NoRiZHSnx2p8K
1N16U73GhpAxGWoDNHFwMVKxIIFJfegURLfXsFfvisx6/PeSL27f/y2Zs6pha8eRMi6XHDtJmVdN
dojc9ug0lXoCtHmWr0CdWoZoDevQlek5ndOrmIY4V04+QSmLgjAVZcakvCG5mAcIMNl+DCv33+u7
yMnk+iz0CQxTVTXwBPXioHtzrnmIGKWISeCCM3kx1e7Xsku3GuAx+x7PKbndF7180psOt6HGJRsV
p4cqkOFDCLyzRpc3Rb8jw/MR3gHNfyOD+7ZgldpozC6+da33iAhB2Tp+vtA7aXR0VRbE70iYR2Qq
NTs9o/1p+1Pu2hBejG2h6fnGNqN1o9rJIYvL6xqVKx9Dx3On50809F2/jQfbxyn2JkkMakbF+yxP
EUfi4si4JGuGZTimZ//l0hcNrZKv3VQd9EyDzYboMOoSjCAS+Hwb25qgXZudU7rEQ3Fym9lD9Uvh
S/sh7f25KGl20E7MNPPeGpLvro3+hlMue7sTPPg5PUVIVTclsj1u6KH0gS+Mw2S23zhFfieDRIZT
FyFpPk3N+kZ82Rm1nW1sLdrlRoOpqdPer0627pLiHoZEitoKwTnTQIt7kuocIqKfDqzPSctr1Fww
sbImbL++RnoCc29VVn8R3563k741lmlfzH2I8ob76E0qHeWRUrQq1hGB3d7BB2kOIhP6FlMBm3WC
2ux0TPin58rzHqsVQdPImBCtLFFNUayvdjbvKjz+Nki7P7kDgfXfe9f9M42Ue9e1XTJalyuPrXsR
0fDcS2u409UBpv+vcDYYqWkt3kDYrTsskXSMvdMxfIzdnCn2J9solj00lKc5js+FEr9MM9B6Xzk3
TKC6sNUT+hfuvkapBSvsxt0ksbVZao3T6Imn4xCzkXpZGQDDTtZar2MNimNh5ecpVld6MErlw8L5
RjPtR2q6dzqY/dQPqEK0yYq2D0Lstgf/SnUgo/WxT5J8inqbsm5o/DHptO2cMbJO2owjk+pumAnR
gR1AekaT37PcJmv+ki8JIzN1/qPIaVia31K8TbdugkyJeEtZnpyLWbl2shocTUnOWs9mZHhpDGCP
0vIbmE7hFEVV8kPvhMu0uIOZRBd1T8bjQ4oyx7tLgf5KWyw+Rna97OPstlpwMVZbwwg613guo08C
+4Un9P/epEdVZIIRUBpdRCHLdAZvXThozZCeRhvRmcgsBlSTlpOhX7uWdex7l0bjJHLr9Ex2kG16
TDlusbzSgn9vK10gt5en3kHp3tZVEi3jskwt9cpba82kvh91fbuOcx6EXYdinNUe6jAf7rUJLdmQ
xMVW9F+eBrXAcY8yDChmuo+T4XXOIiC80gOZDYF9ur4fArckDXJIJv69XJms/7VcXbPfbbXtv/A2
vdLXmEUfzNBgh1JcbmAko6rpGFv4xNYGoaprTuquc8e7Ml8DKF5oBHEwwlp5nAaNU1KiLumm65dP
lvZnnSFfK0C7AwhvapZmXkLVkzI0ZRgpOTIUI/ZmWskfoUg30nsz977HQ4M3dLOiZKL/4kVs4Q29
YA+4QiPhX3AweP73gmSte/GseEyOSbNHtCkv95kzoCnU9xO3sTjS+J2ePLc64C2/VUO21KIv9l2E
oqYRiNMT2aFfZ+avOavxm25GLuH6Je5v0wqfscqNz2TJnd/V7psiotsCST8oRUK7iCiciDtS3Fck
ksWi/ILId6X0buQz63gm497VitN8thk+yJDoDTjY53psXp78nxkSQwc4ypF4HyZrrHeJ5VDIrmTV
TkrSOXMvGxUMzC47dwkNTGZRAkAs95PArIkWxJ+PWYfxpUN0A+8zTVXsi/+k2pm74GVNb/mwZGqx
66Y5YOJkyylo4Hvx2Ttt33WsqtG00VeMHzUiG3eNSPuZTOpUwzgidhTdNf2qbz0veS5pLn/ypPS/
73aOt8Pi2JfEbvWifzM6WZswVsgaNQe/y4FMhh2IbeM1cyTPSDTT/KZxiCaxkUGpAXGvIhL2KHPm
+9kyyVlydfAR8PjdDaq3pbZh7AuXMnSeUOhzfXQ7scwZwuPaQyb49z6+MPQVB0tXTeSs0LzQmFq5
9CjVeqgPcwEdVFw/cUwqHxaMPMvDJXZun5IyulHR+DROjXunfvpkAR89PWpEkz3mUpLaFwhOMllV
T/pQHrJq+ZYqycac87NT1Y2/IF/mUxxECTVQvVZrENqkiZQKJhPTg1Z/lqR9sNfo3JLD8idJ2sVe
A53yOnM0yoOr2LcR161RYYHu6uyYNnppjPb/6+E7hqU5iBJRTZoXl1Wt6epoK8inrIZ5QzPy2LVk
6gZSjb5b9Xeq3VIBCQFQPSwohZxPYNQPAj6ZtaN7NPdd1+W/P09XYyL644w6nxgTcT9cMCszLVpB
otsnWn5k6UWAwPRb3Bm3phGfh5pXUTHY5xNbn6eK7SIDLNZ3nwUg3RRv/uLsgxyoBFjhq22ZF+dq
qO1oTuwC9dE82eMxdBXhMgH1fYz3rqIK15r8LJPYBhdVsvYYCy/LfC7QFtgA9E7gX4YYMCM8WHb9
C9nKPNDy6KpE7W4bufN7XoxrVLZBqdkJ9HXPpjoptfZN/ljx899z8IzoAQlD85lzWn1x2VE5rLvQ
ZGDBUedbEgD0IlLVNwYXyTJSgaP8sRpoB0pMyLjGmDyqIoWa8FRjuNbaSDRA/lXbMLKU/wLrJCiI
20Tm60kVbhnEHwOXwL8YsLatLH8vlyxx98sf2VtMCFO9ujh+Jgf4tuUu1KtqM1nd18HATCRXWHrs
KMsOY5JyqyMtGpXD/TDW7iZCFXrrIr1CpTHf9RRWIdIngdm8oKoOoxIWywH3xhhQP6GhGL+jFSOm
Vg5zbowuu5xI6CpBA1drA2Kz7MWFhCnntMxQbRX7IRnT7+Hc69uBH+2XmvX9HdDIh5LRKVilpd1d
pUKUoV4xUWVcF43OJX/RdFLoyRBIRz7c5XZcHBwzerHbkfuzfi1NxhqjjCSFRgZvt+10usB70+3H
oI0JviX6VePU2dQt4aPcAfkIKOwR0EDKgjzx6EW7Bg7ia+ZnWX1U7XinrrDm1BDWrgh8ctkyS5dL
FiLC3aokvs3gCZDHsRLp7+yUpN/dj4LZ3Mg7V2v8da76WwagYt6Pb4nqTFGVN45VEQAo3Tl0eAB1
fJp/vHWB66Sxzo9JVh8GcHtKwHT0qL5ZKg+drh4vMt3RjxOaXL47W8A6VdDY0ElkjohP05NWYhYr
loJY73rQTC/3x9PAUZBfQSV19vKZHENUDnbSdjCgVbTDutOyfEsUhqIwW+b6dBVcz3r91qw0es5L
HVM0YO7qhDdxj0Etc5+F0enbLDK+zzFFDSoQncedBhtQZ5Bz/W0sObxfUTShCIShKbELbrTIYEgR
6pWyJmOMb1Pn3U/+jW4WFOe9k2roXKOANf0sVcUvpnFTMjXOaCUmgglk5Fh7aOsl9T3F/qIKNWKZ
D6FX7kJU4BC81yC5vR0jr4U6P1yl83IwRrs9qei/7ko7o4MfBUWXtMGsRJ5vmZRA8qfAeyo2y5x8
kg58kLHATHZpV1smzJLL+6xc9HbAy/Md04rsiigqFDmSzHiHP+Rusob0/O971PgoWpqiHc8IIcHy
Emd1kwKulEMsD22LHvYgckeySM/SZrgW7k5pmk2c5T00cNDUNKOYmM2JeQbYDItOZMITvgXHTA8x
dpxwL3ZyW4mjIN+jPEX0Q9PA8O5F3qeVpC5yV8SQKk+WKIpbZ7iOloWJskLHbsJ7pGq4iTNYCLMa
rgdkQ62DXUC3RK6UVfz7EQis+/LC0EkWbZrQ/MHE0J/XGYKeimOjHH9ICQ+Iq3A5ORmpNbfULK6q
0EGouXD4xWpNILCGH3EJwZYJQGAj/oiZZdoaBqmHIzIAZIqDUk/PgA5nZIEAL+t1H3XxZ43tv+Fk
AHgwPdUQkLt22UNZ7KmO3AH8V1mAU7VShwgOu1XWNMjoknKLbGhwwr2Ls0oQ93a/FedcgH1DRVYC
BxXHII8xmHq1DlrP9fzvJ6t98GQtMe9Kr8ezvb86f7Q0+0HDHeGAPPQjo45yWYvI91cPmsuMoQST
OngDJMO1ly+btobey8DFZ0nBR/UA9woAGlWB7RiXufZg5mHrdCxEwuCAac1msLsvycRSJOIub8Rh
HTa9R5m/Cvkaxcoewuyh86x7KgI8fTvg+SSs24CBRr9ynPX/HYTQPdPyeJU8MBAl8Tj/U7UkjZ7q
kZelB6Np9GCJ5meJgDPC+1qqsAOZ50WVEoA81x5QhbF9BDQbJIlL7zaZo+u4NT97geYHabZnA3hT
sQKbkvT9uaRVw7oHk5XkQB4wHowCcS3uapk5Mb10X4/GnWNzUWMFwqxOaoobRVwriNHTVrHLTTYh
CsQpWeCjcHkL8DDCjW+juYw8m0BGyPwyB5stVTBVkFLaOb3HGlncf/Ti1egN35drts+v2lu/vSOd
8DmxLVfvqm6HeOILSnhRUC1c6KUn7hGBhiKlxJ1sxahkqMgVhh1EsVCBghLj4N3YN1NiHZOojY5R
12zslLvbXofmdS7wyigXGiKds+y0sn5FEidgLvWXDGPMp32hv9NsABOY3No7GGLsBptxSuZzfsOd
JY3ASyhANbCHmr7B84SZS0d7jKYKrEYkap6C5rQSV/uiVb+tVa/eWr39mOUopKLWeqLI4FpH9fu9
X7MaIzRs66ZvYQUtcScM4vv+2HpLCC9XhcOSoJjQMSmODjWldYKOF7M9wdSFB/mo7WXOqAwnJIy5
hp02J5jPlAmWRhL0jrmKnArZAfimDs8MISdufYBUPTJevQ62sswvy57xdiXur1LlqswQds/hdfhN
m++FGsOhEE2kytt3ShshINWEJ+dHiUQhxvS8kdnGrVrDT5jRyb2EoxDxONfO+CbflQQOHZFOQ04i
P7RNd48eeSrA4sJTlWNWqa+qo497qLLhJztc/xuv0D0ilG1Si9uiF/3nBjdwKsH7HN1JEfPjAaJL
yUBzlGnMD3aDEJvQAyjwjR+u4zPzmeepX26aMN0WDdDGIJpTjZFGgaZG7GKg7Xoi6loC8ii07BcT
Qw+fBNW/0UHiF2itbrgOmLN5UX0lKpPhKOqjlNmpECSUwyKaXeLCTUQdzgDhVeQdBoNraBQR49+/
/oN+jehHWJ5o4/HgLovPPmSEyylbpE3z/qkb8J1sgCuDEl0tA2Wd9/MnOzb5GMLxw1opxNbmSztQ
lMjcIo6BtAuvPU1RJBo1d6b4PpyTQl8nFfMicG55mFCtYkDxHo/nrnqtGYNnVig+zzlzSmbYntKe
cuId3lyy5SkaU/RHnInBwq77hhVfRMTUyGjDs6vEnFy+BXE3b4szLq73aDs5bT/7Ctoyn2QUH6DJ
PCM6AwBQELshA/+5qSJtpcmEE9ghZiaBfiUAnKIot0WNUmkH7zwWOUKRWO51FnEkc7M6W9hh++1c
Jnt39l6wPP717/em/b3RyfDg/AAOGIaqS1bvfy6XxklTnSEu3hvtPwFVaCQzDAme+5gN6/ZowxVF
EtTh7Nsk2L6BU8YnSxDY35+VOUsw6fLRBLZdxJv/fCwe+tNZpiXxQfZobSRJBxXFMNHntuIgzayn
RqGDVIHUAAwEZaZcJ+1oHTIMUOgXa8xR+NYC1PHJuj58NBa5N85u4DeXjem56JinwtrmICEMNRx3
tKJ3eCWeiwwuvpYvzyLz9uqZKip7cUQ4+GQJfydznGjToKcM8M9NewEilTG2ybmhRYcxpwKS3s2x
s35pQs+9lsEkjaetvVavaRceU4beZ5VOeJTMbjBpw3W9zPbei4qj3jf2yRZl8L8XaH/w7ligTX1C
XkK6ebFA8OT/ZVBxordBj06JPwkQMsRWPAB3BHCogbXddQ1sU8FDNxFkMh2GqWWUZ72gMFDdFrAh
ZZgS/6+TGWFMUPY+tceCBDZFoaOY3D3OeK+4DKUaopkQUR3WE51JdxWSWWt+kKiFMqJhlHn6Dw9M
BVmGJkAObi/xj8GDgyXgDSOH6NjO+hiYZkOCIrFx8J4B1xr5BTQeiDMC4QVqbZHRgGFgMrLCqPsp
jcbrddUc0FZW0XjmzyYhTZH8kB5t52lx+2MNaW4/xB4WaAptc9N+gW+GfZdeH80yusP+/ee/X8IH
pBh2iQPJhsPnaJZ+8RLmFFtW3cijg9KY27FhZE+ZLfFckHHIz7QWCaP/NweSz1RcC5WW/tBy8yAv
495B1EsJii/qCsrUWAlW2rWFigaxtO2rZW8xshXGxgbRgG/Qc93NmDZf59X0jv/+MB8QE/gwdEBo
GNH6hxjzZzRIY9UBQ27+l5PbITx48evou49vRUpfo28YX1bHIbA7Y93GdW1tgX3Pi63Oh8WJvupY
+6BBSf0FLK5E7MNPVvh3TU6kNDyYCR7BARDkzxUCPJCK5Xp0aAVs55a4HiBu4WMSj5sHwl6+V4AK
iEZWhCvTz/fKttZ8J8GYPl1Az+T2Khf7kZHMfWhkv+s0/eRkflDbsEpPoOAytqqiSf2fwO703RC2
zC+hIpCdUR7FGWyTFw9iWTIBZR8ZxxgxkACqR1CnDjld1HxJK5M8PqVZL5I3+qxP1ri8mQIU/OQx
XgyMiGaBQWSj0UHrS7C5LjOWrveGomuVPRf9k4QW9agIofDkJ90V2RJgENN4qAPRBqfNRfdeH+d7
XBp/KZN9W7vzYZ6Q/YiKpKPttZM4jCwSOi1W6HEjlzMDoOKqjEw/NYXd11SWaUvro4aFA2vCRX4I
hxOo+hmGFiHD+f6Eo3kEZ2Gbl4Br2MvbI3GCYWFiAaQTmZRkaPxpWYWVFsxprY2xotLeKiTN0Uq8
GdzmTbHXr9aEmVVKHz1xfxTKnRoaadCo5WNfJOF7qElEN5/+/NfSVZFZjpgZVbA/1Wx141qYxWmL
A+mJZ5OYjyism36MUaTMi+UqCpEKu6B7hVky4svrQr0DrLge0IqqhOEvhxdrvPk+b+KgE4oxEoFE
yvOla+d7EQRmZXmMtWRXq2Tkq+PtC8ZTZdfQbMz5fqQ36qtF/z0TCI/88ZIx140AsIqa3M3a8jMZ
tTQA+1APkvJhqk4c1JG+CQsCvvEyrurBSb3viehONhLhE4ibt5iqX+aYVcmSpB1BWXCEfGRS7ykX
fJ2wa5DH80p0GHqhAuBmV1nNkWYSbKRpiF43Vuy7sWZY0HTRi1fQ8N6WOpdw1lTGzlOXrzif5we3
EaJOnNRoar4wDdEATdJ3WIs7tdDw0nTD52KkkJeH8pM9/sH1aLrUyLqhCwKBDHb/OYQlHmK4CSmw
J8isCiO5G8cBP23keXDvDEGZR8RZp+QW8bF+HzrHige1n/GQ3rjDAgUwTbji3GsBIP17ZcbfHBW4
dmQ1sD0F5/2yWaPBKo6y2YlhmREhlyJCr4Ooteqxw/+tCCJy+vowfqnViEktlCEQSFH389r8kvm8
qUYoS/bObdFg+cqm3FWOHm/S1oh8xOMwf22jbyjYfENR+eSlWADKK2iFW+9XYXgvr+CwI9Nuk0d5
xGowqomrVTAdJ9RXPos3H70Lz2TuRzXJv0F8/gyI8eRpfTehQafE8ZVb1G8TYxFOjEqcgFS1xf2B
1Y7X31rAUb7iLM9eP1VglzkR5jFnZKedjMd/vwXtg7dgieTOssEXaZpdBOl0iBRnjdNE7g+1unWz
0tpifQXEOJX7gpFBP3HWvdf3qLUJJE6zIgZWQyYJFjqpIrSbDeyFT5YlMu6LjJxlOcxDWBbjp5eZ
b653dd42AxxSIS+WuTdukp9L0aiT3dMkGm7mIduqngXhiBTYHVG4TV+ZGP8M+/poJXQVLZWW2Qfk
WEyIcgvDh+RQ17yoUVSvEb6nVWJGgUAs9QqaYpjtIbFgYoEcJZ2xyFOR+RBQ578fy0dnxgJ/4+BQ
qOh/sTTaqYzWKPWSQ6OPhTCj/enm+aMzm0/gyLT9BGyYoi4U1eEPYO+8g4dlqBAbJCIu20zeiOy7
N+DdB2pYW/qL2S4/EtdcdlCrOX6C61sruMbNmrgWSdzQQmvX+k30Xlblh6uvNjMoZJ9D4j26v/oU
ZdZ0/SSj/CDDAdsjt/FgbLMPxFH6T9hS2jE2Oq6Hg+nUCQOVkF5MG1pJEZ3FeFtjEj+9cn7+9/P9
ABeG0aiqEAfgPVAl63/+2mXtI3cN5wSUQk0YsAskaF1RF/gWypSythFYuxlDUK3fcHc5o637WTkq
fsvl5mcQBg4BYdFSL8lBsLEnhp0sttwK4rDgXhqQZ92K2zKtUR/SG2z34p04ALM53gg2kET5P3kY
f1efYE+CQ0GCCSfIuXgHegu2ViJncZjaxtsnjjNz3gi3C8c9obdnlWswokgAE68haYExiWLx9pNF
/A0qmSpzQcQnCDMQpi5gsAJ/qFVxXRxZ4EmgtkCsZE+rruEEZYQ4J83rO3E5oVZ/26nW8tnvh8ry
19uAoqXrLvCE64E3X0TtSfMajX41Wh8a5CBRwekiF62n8NxN9Zs8WfLmsmPlegizFsY0uK3KsGuB
mjxW3SSSmVbC5603PexzFJIQwui0h8F5NG0Tgb8pP884QW1qjYGt+FHS1coRNd2iv65EXjSP4Z1b
Q5vUWkSHO60+TKt+O6h1HagoJT2MwqbD7Q8yIQuH6FWbYE3qM7iJzNYmUx03/NUPxYD3SgVaXo86
rGaq8i/lEqoB5G9a3gTzDNmhCRGmbsz2c9wzBpiocA7pEi3K+ogamwdpFVC4yTVSu3oRo8m4VskS
t1S9J6qdKwGJFuGKVtdAcoV+zT0yh9mmTDK8DS37GlVbWlZp+9vN2ueqJocEJYfwbeYkWgUDBD1i
fnizTkuXXK2Q0SWIPkKo2Ut+44Q77oS3HRN50I2HEjVJIrfvCnyOzqiHur1tHJsyP0t2tMFtinKv
48OI1Pex8XuIRuhooueu9MMBKTT0lxq67KJW7eIGuY8hxO21X/Rdajm/5evoczH+FjomFL0b8aCQ
OdJF4i+C/zlRm2aPRsq+BmK71tc5xJAS0KDQhS0HJnZMywJH60V8X5rpjBYrhsfJgAmAPSyEFmVC
kNmOybdpQ0jkQltTdQv1lHavFSL5XxwzNTWPC5KbeGzqe1ncafjhjszBIkUSROhAwEkH+AhJuheH
LKfBzVJSZJNsEaD/KVrhv8CQ63xTKGRapykrfzC5cC3gS3tITkpJfJE5tBGjSzyggCG6nu/Nqdq7
T6M5ELCJzM0kP70uf0cqr0j1uGXE1w7uy1wa8VZviheluU2G5CxTe1kLmPHYMuwBmyLvp+VAWozb
1p2mXyt6Ex9Wj8aNARsgm6k9AJa6hwKUWz6PTBC2xc9Hd+Uuyx5kpwcVKGKBUl15DFv5oFh3cqWy
ayBBII07lN1T+ZVemEd9UG6zJkP8upibbTcaL1Ee3mCYo52SVpgNpGzSAr9pZCmN4zSne5ZnAQRz
C0oOnKGV4a5lVLhKl6de77IvYstEEMCZU1uuFBumQGiTA0TZMx7qQZqnGzvG9tst85twLJDOSati
lyjTQ5N7+vVkF+g2duaXkPgTxNXk7gwlDoP/y6DXTNA1jHzF2zbQPuud6NFYcPiFVaOR665pd2N0
SMTHGgaThWqkd0ve7iPILW47DV8Tz4remROKYe5a1zyXq8UE8ahAjQ6v0Ok5y/79ENqvdVdzokbK
gCFekUVwdRocRv+zXsvH2mjCO10tELJMnpYlN49wL6KNGttI9M1fsxaVSvFykjmzkXtA8k7k22p3
LIaVeW4B/eQFNfSCOJexmtt41aG5KIbGrHeEmg3BR/JcWnevtd6uyIWvY0/MHHNUlEYzYnQRM09x
OtqqwvqqecfN4qziZoa3JApP1e/o0nYpwv+yoMtqDv5aT8zWE33yGjov2pYY4DqsfzKrZ7TZv+FU
buCZxvNcy9H3qnQ+RPPMpskQpxMDCx329VAHnEPZjnA8XNRK0bHSt6ERIoSfoXg7Kfj7KK09bbLi
pBWMLetDYgRYfM9HxctfzDHckG6U1/JzDvpL327GyOZ4t4RtO27yzar3FuK4xT4vwXEcxPePzAPD
UIqOFbquhlLVfootc0AjEPkHxG6HuUOXp6imbZc7nPxZ32txsdfqXLQbDcqF/KxkgKFR9yVUKeUk
ZVMtWthAgsAka6GOEbWC9tyKmn8e5Zt3cv8awaxBUcJ0qnssDFEERju7McJl5/GI8lYFB1YzwfMm
XUw4ERhT3yUZvh10uFM/ps4IDKdeA72Ot4OolQXlC8HDc9gP20jzriXmqXmK5dNJuZlFqYUl9KM5
p2d1aqjXbyS8KZmwSc0wqR7+cpPl0RhBlMV9aCrdmxku17L7SbeeBo1ZvnUN42uChGR0Qa/UV3Or
fZVNdJkCO5x5K81v8qQ4S4hVG6NzXrtItI03SqQ8ri8T3dKJrHZ2t2nl/VxywTjD6clqktsmwRFN
Ipni+7roMNXkIJEOKiHZZ+L7cH8/K6blL27zLSpuBKvEYPKtXgrMV4fR9a+Tnq+XHx9ZFzYXZ2Yu
8va1bWAUhRooQ69dWUb9Xd6Yq+jTlukrxiLP8q4TWhWyN9mbcwgRx/mdFOi8UTD8zkSL2xC4Ru/N
d3la47eCE0LE7RoKtMGNvqiULgYDXglsP+YUT/GYoz2mpw+y4Wrm1c9RGe4Wc2Up5JpyRkamD7pT
v6Vms5tFlqAwzecnoJ5+JJj+w5I0G5GO23O77vo1RlrBqgMsOOTNLm8jMZ2Qe2a7MZJHuRj5Etui
uGbGgIil5btUzSgzovopytlfeh2e2xDTqp554cRJ4MlXE5RR1drxdSDD+S6Latcvh+FZ00sbk4Dp
eR1SdMDKa+ZEhHrroUhhAhnFgznXxXbUuwdHwyjQqNEFasYp0FAZ3s6BeJvrwqnR8+kVqjCMGmZF
xI6dO332K29kIoC7Rz4IQ0w7FfZ6ABn6UYqoIfdorbQ4XE5mIDK5kY1gKdhSDgIGRyll4+HUjtpj
OXks342ijay0lKz4rTW4ntLZ+t42zk95m4nUQhN4uQwW74163oVIZHSPuW5DD0md2FdiJTUmK77C
LJl81Ite7RiYpH0ILi7GcZbc+MrGnoN3jpZqLDTs5y32JQA/oguBnocoDYv1Ji3ap6LFe5okmACi
uNuomR5p6ltbHQFNVUReiL3uxrTz9eguM3RJNTwp67zsMZ9GULXKBoRPE0nLsw9mR2+fmJwiWNNd
q7FKnvU9RURsmuBXTobrb5khV72912rDSd7rPqf7OR+s13KO7xnTuZf7TxfQa6Y9jzM8Pdkwkf0X
Qs4ekE1hDJAP6qD5kbTND8QwyQCtvg/UQXnKckTIqxhzRnHURkgXO5kUACdFfhj9ls2W0V4IPmt2
Fjs+1DidY0wUQV0JbzEFLnvDHBCUFpDoAkIYGreebTU7xkpqZl8Aj4rIWDaVHZ0r5v1Ek0cftNfW
0m/E9hZbSSY+qZ7bvDzVT5N+H834Xa60XN1GFVQCAXwq8NZ8E4OMjb4wfp+k9haB6RtjMlogMfbD
4EU/Lac+tEwK1p1a3XSit7yi6Odnlf41j2f0COpvOa7ZcjfIbjVD1TScUGwFEoYMIr5YfkZ5V6/u
Gzkrn1j2B2K1OItUVu97XNZJ2rmU+LWj6KW14gJNndp3Cohc7x2rIbwLhckMQ0ci0x40/aasFEBM
wTaJoQ7H6mte02pgNjL1jRK+4CImcADivxcqlvfvcUxvHtchQpC4YHjSTqMN1Gv7ujCMewawz6Wu
R3svLRCGy4rb0mIgx4rq29pAuVN7qnBTOhnZsHfmVn8gb6O4t/08p1JPYJqclOVLNRrT1q1RVko7
54tqh89k5Ay7MeRm6HV97C06ykiJIq7RXdeO8ZxnS39Ar7gOXKPqOMP5pgMU30z6/E1umNqcHmxO
rMkHl3ODI/7mEDqp+4Z+0k49YGriaY9mxO9xleOYNOleHp1e7EDLcSIGachqkyzHpq34DUPpOGA1
L2avYY/HjBw/yQcuO4rx2AEpue077O95yluzYAgiiMm4eyyRom5mzGQSQQ6SjIFWSyjYyweLvpW8
E0Zb74OSsgs+EmZeKsSsFqKoiKd2a+HuigL9sFWy6Isk1cqrUSLlYgP3YlajM/IHJBcRX3BRYy4w
RJeZmIasw+isp1JbvlaVyTNiBi+g7n1wR2g7q3jb8Mb8yIweYqW5l3XUOPY/tXxefM+Ld/Iov7d5
RKuskrDaq4E4FgQWWhQ5POzaRDSzsSdItfmZbmDhhwlSsOJuNad5DGQH1/Gu6siqT2U67C3giEPG
KKPfOuOwG51F3+oI30P54HLs0pmf6fW/1e8YBMEnjenqSJJPHKNt5VZ4SoiuxzLP53f2Ud+F+7lc
oXuvGskT25Ix0jHfwsy8i3RG8teFN40RNPa9oL6bBNfegBeOZoiScohJtqAV/XIw1YIyDbHeRkZs
N2IlJ690CaUliyjGU29LB971U69AmVfJTx0KjtdSCMADpN2WyQ/6VQturm2K7PQMDIfAq/hUPQdX
1v7ePH7vZ+MoT7k8wJL1JhITOmkQWstJYfw2v6INXmxMpPr8hctZcp8jLX9S1ZyR1vULpjbCfINw
lBg94xwMW+pIzp3S6prxKCYvu+j3WL1T6vqq2ztF9CqDq1ztVJAHRrp2xL4nnERng+0qAqx4a2fS
15gbPkONu7iOHOUrrBRt3xQeTqiMNnp1eDBjoi5u1RnhdamP75dswRgClEPSY67jNcPvsK7poo2q
9vZ+qAvtCemAm26ovkwi7Vw1e58PTRTUs/GSMXV/NOf2S1KtarA4XbEx1hV9T8ED72xXOyqqeo2w
uPE+sCgeqUynotAMsChN9sVqXI0makVj89rTfr03lelqSriZB23jZiCobpSckgj3G4xZcSwQVU+b
PTVrOASyF5xh4bHkeuCGmvU1rGiH2UcP7Sw/Eb0rPXcf6mKe8UBA3idp/LVYn/MiurLEHIC4WiQe
q4lKWyaifZc/W9jaSaqReLye4DzIHS1H7NZB2zJ00PvUzgk822WDwr0SdFmgiSBIHpf4ZVKfLAxq
kBGKHkKrfpE9zN5tNk7cLD5jBkRzHeMwteXSXOKWyPEM0/xaoGGZwJdlkG9oqPsqO0mSrMVsnyzB
ZBxRawXlaT3zJf9f3DNVlpJQYRTIN6HFC9+p84K4xkpQUE0CiBOpH5bWgx7P3z1lfJBbF7erq6op
jg0xORArcP8PYeexJLd6bOsnQgS8mZZr3yTbkNycIGjhvcfTny+zdHXO3VJIA2mwSXZXAb/JXLlM
lLJpmvlRa+Vpi34m9pRixWq8qT61t38lXWscwuLL2JP7MZWAMa1hQfsUHYMeUm1QPUW2veCjN9qH
gZqoMUProKvY1hKJ3AamTHCRhTHoWd13o72eJG0f3JhLQDyvnHZ67eVO8An7xWedwXusMQZR1n2x
IiGRus6xk9fFIYRWwYut9j4GiftBsG1z2RmNc/br0zcYdQJpeY+FiM/bSESRxlsUJOYt4MOzbc/3
CsDMOEYdhor7YYb3K+KEHXMMPLawUG0+8zIvKWYfkLdAyRQ467AOPYz+cY2n190c8KzmrYhFbd1E
d4PhPuMWQEjdrePnNwCrvNEeZ1eQDCiWT6q/IY3zrQzXd/b/fiEoD7uQjE+A7/5fPXEsV4G8tUHa
XDpk2KI4kp3Ykhx+X3nuQQ+piqk1gBjTb8E1tLDGKLg5zXgJVZKf5aO6rv6EqGTZQJt9pwXNdQpO
8UqSDXdX0S7E+QxRdx3VzSFMH8E19BSaLPjHwmaVJanYpLiL9238M4lsFDlSMndNfD/kw3ZiLH0s
jCA65JhvC3FH+zklpSx+98B9m7A83N/7QjGgAscIpX+VxLQ4oi3HTPyNJwoHe2iwEqC23eEEH501
/gfNdEYe0o1fxuQVPj78Gbzv1VJCAU3a1SwByA/hamqBpEWsAQwTxRil5+YanLfke45SffOy+jKm
Y3M7NQ2BiP0rqeBPm1R1GCaB8ImVSl4T5eB9SJLsQ1PEIYdV+ofguk1vzPV+hKF5NarhicX3a9k8
LoQKErdQPnhmjT3AOHMO9/MtbRX0mwylhdT97I+zUy3PpIy/6lpihPJWbt18KnDMXqjX5qI+es+y
Ykhb5qSW9k2bcfzI4CJDci7dD/7gftMKI4yQKuzRM9oZioQQsoxdwWIJL4iiO+SaYJh6fWlNU8wc
/fJmAsxwzlRWn6KimnGsc6rTsIONuBt0aW2b4m2SyPjoZm+D4mND1gOi0/5rNFF/yqdZ5/QlnbIM
g4r0jyG/JmwbGhDOB+2SYivdnxo3+hxh9QWAz0Btq/03I2b318JB5uJ4IMLcOMwcgPUWbNTD050e
9hnICSzYv8IlA7Zp78lZfNYSLI7mFxxKoECI8k4uwZHGX30TVDeid7SqvcKYYIuwfdXT09go1kg5
l3syldFelXPe2qX7SrS4faPIhMzs+J32Ocmnl8HiY0H/h6+e39QJH9ko8DJUOdVmnWiMvpWl+xLy
6mTnjUlFL2oVXxRhhQj6o8iwgxRszid5jX/cfNH6f9x3KEUE0Q4dZ3ScwhFZiuEIwOU8bJvFKu2K
z1VtX/YptTEQnB616lr24CbNrebi4qh+qPDQvuudDcZGy5EvZUsd2CRlVfY9tLke0wzjEdOaf+Aj
Cu1I/zTmHfzm8mFN+GY6bdGHLZC1a63WOeP9tzOlasrR0OWY1+UO01eM+Idf6QR0KM3OIJasbmrS
jrKqt259MuGn+MbwuuNQsMZbcVa0xzTMEsqye8TjloJUtvfamj/ian5edc9an3K27VWtKN2+4ht+
99gQ2wo6xxDHQia47vlBlzlCZYTassy0zmv2Pr9bsSfZr5huLXORGTurcxu+xOls04vY6kBQNsxI
oiJ+W7zqEdPK6tClRXYBGkqx8Am6o8gPtCEZUCMxQ13p7Ey4Erx0t6tuZt998cO8PBg2HQ4BzMll
ajuc/Kl2lqIAQp29q9Iyx9c2jb9LfXHFkGKyKdPoTavTYF3eQeCmo5iZSIkhnDHsN5ifyLPp2/Ip
XyxQYI/yF8DpxQ7jCkPID9cyQrqHawc9+Lzp8IWU47ee6I3DcqcMCy1d9EOtJifcTB6ltpe+V4L7
WlQscGMB9xbG2BiP6hfW47tztwp6CjWwvCilFOam8X3HcGvNnD9FPr4pxKEPZGVQAqEiJRpSSEp2
9ji33D5S4unVUnXLHdyC/Dj5C+/Dcz6PlZMwMMOJM8rvtZjU/yuN5DxFM5h6OD5jHvKCv7x7sDEw
6sfIPTVoI481+ovKPHZYvSO2KCia8gupTAl5K9+TanLAkFEWGWXx08O5MR+QaNY2tSi9E2Q1Dg5q
5rG6zNkKH8WDzNL6HM1geTjypUl6bvzpNeKKwr7Gf5IuTwGE1t3Wj6iLoQOKZV4Tf5Rl7zloJdco
vU2j8bv+vcFD1qritdkDJuPjf04FcqFzn91zL0i8rnpM+MmsS+rbwMd+oDSK7lBZ4EaB1bZnzLCP
eha974R+UFWmp2xEoWB3GMV0ZYX9OnbGRsXSaYBQbOPODJb1oCZeehvHMob0yOsuluFG+TaqcvYn
/+Ln2XYO88m91GPJfBt+rh5gRbO/TzG8JeKd3jrsZP3ExjeG0kZ3lkEPu0/Be2W1Nuhc9ab1EKMm
ZHAWKehSasqB6cbLlywdXkpzeHYXAlOa8QsJFS/RAKNhHGhXd2P9ZTfgdcMeVyfSuJOT14W/8TpR
VenVVKiz/KNpLvlFylkR5eryIIz22Q+XF7kIgkz8JASdwsl+PKRl8bjL8ZBT2RC7Bp60rcPRrdDO
xn/0sFM0YUG3EDQThnKi83Ys4rxmc7lfhqKEtRwhpqWdjf32gedx8cRNrZ/agASY5oL64VGvy2vL
NzmnJAcVurbwLIYm8L+uMpOwiaRsDXS7MTG+RWQ9jJWBtob6UY9X1VHX0X7XVYjecAwBCerpAMbm
i5MvSIb1ZNvc5I9cqC6erSeTOIw44nKqhiI/WvZMaIWMdeV4C0twyWnFmAnJPNe4NNxymnRD3Z8x
jPnLKuv8yBDrU9u1RHZmpGEsw3gIU8r7heTwQ1W5b8Hg3o8FPtZ6M4bCb1WLHrkhHJkk1EwSasKB
dADgccR2SfVD2SxVz+DUCLkjfa94lEVQNqQ4TwR2iFJ7Y26+5M56oj15dbb5oq953tr+ZNjrj//C
Z/hXvhVsAtQpISaneHz+nSm9QF+y8LCqbz2nbA41YjIGzdCahJ63FvNjTiDxFJt33UbAT4lUWOWc
ZVcSSrCtxxFnjTgr98N//lj2v9IsPDPClBpNHU5slv83Ane7zk5f9lFFwjQT18QEXGlmmKB9/7Hr
SHhOl6c5JPc+H29B+UARuQqy1YeayeC1rsYnagWfKpQ4D6fGvSz/I6QMdbv7z5/0X4lBnqgQvRBX
faH9/91EAVtI2KAO8ZvKB7E+W333Pqbxl96CK7evb4UV/xdj+X9VIuNoAbGd36gkyr/xYDoozr2P
bAeKf/JaFenLlQkmCqvJtebDYtuXePfLY8FH+s/fVjz5/0YF4tfCewkQ+npIHP72XtbWM2kv/QKm
98R8jRXgmfnXwkMbr9qG3nhCw4531gLqwDtRfZMxM6QETkG4ZsOlnxesIzaihIiYyhzGfLnM0pXQ
0LXzfli67IQfLZYQMkKaGi53Jdsizj9MvfXTqrPwqaxu/NyU5GaOHO3rqvpmHpg/zAWUjWhBbFA7
1NDzecIxfw1orjhzkr1+BKph2pRQ0OPwM6e/QhFsd7Rqw2z9jDAMYGWzb61muSkzVD6J3R1VxS8l
SSLAoDqxrdZj3TbeMciSb3D1/gvP799IGHDkEKqhSl3RRvEm/g/jbDF8yK7+lN8mBgvfmdAdQbb7
lGckkAGhrGPytIUm0HiU3cVw/52yoD+gwY0CFoJBUhrSRGgcBmAC6Y+Iq6GJyfmssmHVNZsFNGxq
4zQ+L+I0KQS2CqPNvW+G/yYRUHeX/59E5qHF8M3QhUJn/4tAFs6Ct64V+kFGR5cCv2xknuhjZEKC
vRJWnhRAs1m+pzTGPgfosYGIn7oxsys+NGoovAXi6Ya2496yR7LKhGsRyy2pSIhWXIOP+rgJf0s3
E8q0ZBx6BFrz/tcVlZRf1rXpIViI+NVfPbr7AxJEnIBsxJqyYhXcosNswVHji5qDiCJmYnkVVEpX
nvocdY/ErfzGi+qy1RZ3unB01ZlKCzymKgBfsYmt9fgr2OvgSDSLam3Vc2+y6EVlORpGStcRM8BO
MLOKO4yHifi79TPr00DmstYmab1+2D0GVy67BKvHAaI4E0mjuHFc8S6TmU1gMIQEEx13hsIYZMKN
tarP/Q6gVlQOiAKziKI2L25CCWM6HEyM7AZLEg3JTXR7Noq5/h58Mn2oZghe+jlX1XOHZQgZf1hi
SBmmV3lGtdCKHYkzAtwWdv7wnw+Yf2OZg4Ucik0HdZdpe9Hf+HUYjK8ufs75bYO8YLC6jE/A0pzz
S9Nlr2qN0/j7zegPH4MFhbcv7gMZgd9bHT7LGe977u2Aec5//lxw0/+Vd+cRb4Goy4tCBjd//2Q+
r7Oc8iy/XYYsvXfDL8FoUuJSWknZgRQUiJXs5aR5USb3zByoy+lyld7gQ2XB1PW2Ri9HDADe7oT5
Dq3p3BFJhOaB9pYCor8DNRzuZbh61ciwnZEYnXmhf3D1eGhBpk/mJhwgI+Mc3PHb2Z270o/bM17E
AWvgSjhT1pnsJK2i6mn/0wThgypGdH0q20Jq+D5u39fOhxbUc5YscXZj53gyek2MScuK1Fw8YqwB
+tSEy6SAhpXr2scuH09z1pAtOIzXolL78lAU7m1gHwev+plFwSkcv84GLqlEkRMGAHmK5Kyouyxo
WUNvPCtUK2dWmmy4BLawgBxvk0UOY0NYTtBVtmPvYnjwJxVQoStzpkRs+GNgcyoM/eacCRuSUbYw
crpDv1QQMTgU3GX6XNfDuzNHL5sDKTWp2BSVRG5Ipx8mLdzI6Lc2d/K8+31FSpeVHxU43WacTEuv
ui2gjSTWU2v/iA2saILJbI7zXOEWIzpseR4KhOiv1N66jFIQ2L7/oAQWna9goGedaqu/kdG+AmP6
OzIsq05WTiqeNzBlTMr7K1YtjsOmOR72fjHPEI8f+3bqGcoPMFlYKdoGM9uHiIuRWbqRigkB57bh
mDxTRaP7IVxGDEPGcvvKFLG+0amW1pvtmH5MyoBOU2ijUOsPPUR//bWRkHC0mB/b4EOTQXiTx4IL
zJs5AUM7w0pC4RIf9atqNT2B5CHsCg6L1V90oakSpnWcH3QxN9qByJBMTuP//Wqwc7/b0/xBnp1O
BfSPlO9puDOfHkZUFfhvOiQvBzwD4t181V5Rv8hD4jEh19FgV752aRlddGKnbEs/NH+utJF6wHax
Iwcz92AtvSDpP2f9CWXyEg+w4eodjqU5FykcFy48Xy6UmaV5JTzqA1EgKt3um2Zp8ZcMvyWVjRFr
vK4wB/qHvk7fM64oXUWzV93hxUpjP6/+IdgAi2OxBvI2G3dVt6Tn4x4pWuctj3CPGcSoOu/A0CtI
NANBt/eu4d3YvfnJkzlX4GzUMll7NQLQ0cQczjXjpZt4ZyinePjiLr8SDBsObjm86d/JzZHmtr5V
mq7OEXGMHkCW8uUmgVsqTVWHiMK6tqB67tCmNFyl/s24EMEuseDad81Z8hIGfXYlPNp9y2pgZ+nw
Q9eGzBm8nrYymZObPnJQSzNHH0mVIiIhvSzh/klqUdeNr1NBHQfpzOjKWyFO5VyGwV953RFaPJZP
8lO7Cps64ne7efxQeP4r4Nd6RecGUBG/jokSEpJASgl8KvYItjV6FB3uto2BzZ5Z3OVW8WFzzLus
Ii5kCBGtuV/0LtVNqbOKDtFNSAKI8AXk2tf6YQ3g3WiR5DOg1EcoRq2meK9OWXDI4bp4/l9rZr7W
RJOc/JGsYN8BXNswISPhszrUHZaUkXgn6XTJ6Rv/tUQXCxaHOg6zdV0rWi7MW3/j9d29KvHUykp4
SXruyebQxaP1s2JCgqxIrygfVkWojuMQQTC1BJMWLG/o5jJKVqAT7RSkmXR5QfvTnZRjXZgYo5XO
Z/2esxV+bLeah6XlIuy7bXyJN3hUk8wAFLtZ95iYn6GhchC2STNV53IGzy0C401dwZo8+VJv1s+k
Tn0WMmHUSVOQ8MwKc2SARx0dFAj39FDQ+q2xChCevf6SSLFVsVUkhfeEywza4xSbXJr6mZJfvr0O
ifR7Nl733WqL27n4SabnfOgJfLmQhPjT3YrPqdldjx4ZtSgdTH9duZwr5tYN5hRpTymmB6LYC80d
tLNqvcd1kFvJsUnxq5uzOo4UfLg8ht4ieLjOT6RC09GZlorXYkzUrJKPo69JWdqGgcom74Z7A7zj
6tclE9Han90Dl1yG8yQHS2k092i7s4Njp+btIEQnJ/ve7SZjHDRt+r11xUwupefIVeY0oGGXKfQG
pbLqqr1CYRNSvfnnYm3nYN4wBfIJl733l+bjiljqaHRrddxXaEpGPeLiEjgI6eQjdGCJQgIvgFH0
vJHJZJW3nyN/+SXHWCEEBJ3xyRtoxVSMyBFyCEGbdZgB3IKH+3Q9ENpd2I2o7v2PVl+9RrH9NHSQ
eWU6oLM3zCg+dUZNTmfenpLF/Gp0d1IuzZjY3FhIC47jGJ3TZafGS1BsLPunafo+QFUSUNeL6Mp0
6Sl0W2/bOyKYh0xfgPig9WP+GC3VVydtfzDOeZO3omCY3sPWdDuk9nqCEcFtL1LZyOvPXlU/5V4Z
Q01u30RJbbXuCuM5uAsicrQhU5xwY8CJ2wI7ElobcSvHMvHpRtLBPcdZfrC9ByCT8lha3R1oNON/
hstaw1Uymx66cD1NDRw34dvkufE7jAmoNtrPAgEj6PGQXhq3tcUi1jtTGXl6FTHBWAV6xQ6EjwzR
sCIh7HqNitVKDQWqidZbLeDUNij1l4+5ZyobW8eM+gPV89xq8rc4D9592Yn6zGTAsvDbVbOiox4t
ArUSIP71SzEzdpLJLE6BZzT8f/T3ZH3+1AfNQyvIWQVTmcLLvdWOOcdY6zjW1ZspPjZ6JhdOws0C
kqdXneqp+6grLnOFUgRlwY2eZB2cjd+7ZEenO7YjxhZNB0aZIdno4/bcrx3pVvWjaXTb+0oW+YEa
lNDW4o9X/gjbeHyNBpIhsFzDSVUuIEnKHtr+LouAFhIIKgzlDl2VJuSxEJoAeYEQi2U5BxBFrwNe
QTLlcZRt9TEeSLuGWbfe6JOwm/FCTDTZox4OQMKzlDtJeRcd66vdVy642JbZwvS0dw5h8JnERSFZ
oNLRwt/YuNOnJmved1NI8N7wPLrCiB+WS7/iPsSNox7r3rRZJCeZJ2GjOMZPL7N8PIhw6AdlPari
N9o8Ggdr/VJTNzCM70zo1RlpcIQtk8Xb3+joQ/FVFTz46+8ibTnUZMSmELaORbRmI0MURY/8gVpj
7gXNsO10CHzAONTTSG92T3zmNsYiSumSgYnQ6UAi8zS7/vN0iG7soQdSpWbBNRBcNU4gXFb2y7oB
k8sgRgsNPXUaYaXKRcPBf+qq+KtOhcvcQ3YwYDrD7tHfu9TYIHl97J/1KkTttZ3rFQW1tURH2ds5
VcrBXiEl0FT0yy9z4jUwb79twXHvlpHhYlce0rntHohQWmBe7GEBlQ3QJq5298Zuv+lITQsv2hWI
98ZGKkHOOSM8tkk8hDuHxRggrFZ9P7UGbm0taBq+PKUJJwSLv/lD4aZPFl7xp0WqRUCQ9yJYUeO1
03OHAdVxKngz0K51rDG4JvlNdcU14BQ3/sbZz2Nrs709ZbX/omCwrDG7niGZkJslz17rQj389E6Q
xyfrS3njfVb8JNEoO0Ap+zO7x7ieXrTPIJC7OfotXnGzYwSnr8rqUGX3HFfkb43wpLI6i88DTIWx
pYlZbSJwtSAxyni8se1hI0uvXw9pAFNKSXX6IQzI/WcjekoD5BLtLWHqPHQmx0nRzUzhrS9eAgxf
zUWsbtzydXQ3SRWli61fw18tUPY20U4KB0Ku1uvUB3bykMdfjQb5kv6yOX+ejCa51QvPAgs49bVz
W0bbo7el9i1C0+3RNgiVu5JqhOFbWh8ZG4wnrQL1DrCG5q3kAmD5ENMeBMa9zd14TXKRKov3DOW8
sd1HI3IfW9cPb8OEehJ6wVYNr76RlozA6icdkKeT84CLVfPctV4AqkpbRLt27PTHklmmlD+3S26W
sVruwqR+zvf2RS0TjKr4FaEZvI5HZTcllfXbpCS4dFP53bdr99H1k3fPz4rHxPcf/RB/4JEZnmj6
dANR2ey3Ne4lWRY694y9CeUBDoEBQFfJpMfO8/qwMyQ8qsysjqI3rSbi1LrMowcTx5oIlMv8+CFZ
jb/q4kmPMz3clo535zLklFwIqSwVUNOTX3fhrlyO3nuaxsY6u9kOaZiBtLsER0ukzjqfU8K2J6MM
IFHiEd/MwoC17ljv1rCf9OxpM8xxp9z5s+zRUWtB/c9aYYfJ+FcYEFetZ1MxE0oaFNZFTh2lneJD
YR664gHzsEu9P61G/ZfyHZKkeVDsQIYmVbg4t3VAondWD7/sfqKM20aH/rpqT15qWMe5dUd5nc4p
deIWi4U4uOigV1JfLk3lftUlu9vFj2F3s+MS5Q74L3qo4vWqR/Am99DMZncyI5S4pCgdonCr/wF/
zIzSsKSl9h0Y1eHskx6xS6+FIAHW+uQi3L3eisQ+J7ANeZKduLgIZXR1Ewbt0mS4NXETHlbnDnlG
Rb3/QtO+HfWMGHgeiorjW4aas9x/TbzYg16Tdm9/C4q5finzq7mPFw8k6VQJDo2W+5zw1ZmpU7kO
iKdQA+Eb924WRXZa25LvZBI0L1XbgIcpJXlDhAkNs27GcuYsgKGgVhDctL+5iIC9k/ds997Qpz3W
Q/hp43eMe+88tmi82brunVVF71nQ9tdmUTmnezo/B8tO2pRVb0c98uPSJk6pW5KDFTtosfpXPKlN
hn7Lpzwp2htMZJgxRHB/IGhdlP0qm28azEtjDyfolN5lQi5+M+zBY7jw3PVICcL2R4o+6LY0sYKm
ZAFuwUI6h+hZbQ9BW3/rJ/hHstydDl6WCdVKW2qW6wVbQpLdJ+g3AzFPCdscvPIxygLIRGILrUWT
QkiWaFvCPfnauMmLdggzVvrnsM7vSqd9WGBALGg3qw6mT8oAZMewDxQeUViQnKo0hTiUfWyFRNq6
OBwHhIcLxW3F+fvYYKYs5We6R+3N1qPlbAHDxQxN83zICv+NX+jjXJXgbUKxMLDx7mITMjLfiiru
FaruBT/Gr374Qb+b/i1taMz5NXAawLGdXr4IgXaS8vea7+9d2jzGXniWTlP/etoNf4abvohfw+r/
OUOZkLfXKgIdEv+TpFofODflKgWt0+pujq1PPZPoq8rH8XGMSq0Rk1BIW4pZ6H2j/t4vY8y0Pqs6
k5HGFy3C/nm5CZ1GvguMwa912n66EvWkMl65H/WnSYGihopqzaxOjevU/ExKgNjAQEqQGh8U8NFT
TH6YUgYVCcN55UaBE/7trVkaKFEEEnPmeD6QJ94CDoxPCQN/PA3O/WYgUJEuWHZJKcMun6sOfUt+
IYle7J0Lk9aZabhQNFchmncbRKcI5GWF7363Q0FSwEJPdDm15Hi7Xnci6lP+wRCM59AD7SAq9NZi
Zd7v7eNqY1PpJcEnSPchzQA1ypZ4PbOSMT2DLEH9EMBwSAmd6k0s6UhXHZrwLul7aLFWc0oj6q9Q
9KjjcrIEygN3jG787lPhp3foMfNLtLJltcvaDZK37GZ6138g/Dpd6vK1KX9ZimSQUz729UNeDj+N
FYr0CAcXy5jupJ5fikEUk/2cruRWpuSbXrq0Nk+uR7gUNoknsJMvU4wpTwtTVTptBbp1KqIcYmfb
7iqjiy/S0uUTqZaMpvojewfGd1XfyjFoFHZx9OPomx4JqZU8DxMOpMvONGQ7QFtCXeZVn/jOH+RR
h+qcbJIXkpgf9VqDfYewg2MtyqTCH1ADyvqVKlC2iH6k1XU4S8OaqVOCmY87tBczsxsuDmvQgaPK
IRxM9jacwR/IwY4Yuog5J79SFptGMg2BcdG9tA0JlxR/rC18GVG1DOZKvpDXnviqSOVKdABJguhE
3ueWjxl2mum99m5FmNCy+qguguKtKpri3LmefSxC7+tgQKmgXaVMF5d+Lfe6JzvuEMILgq5Dp8k1
6AnsH/84t7hytJKMY2zcnXoz74OtHI/i3i4fXM8y/XZ62KG6wWk96asrgxxjH5r3zjwVxtYdlzY0
TuYavbdDdL8loOWuUHwMvBoO2zQ/bH1/7LYKnMD6rXt+ZlNJ8sTH0Y9fCyZQD9ViWkffozkYl4sq
iRUel+q2H/o3Jrp73/3SRlb5qH4+P7EA/AN453torC/hNH7Wp8pgoHiPMDvr8ERE1/kwwpg6Zkl7
xlzkfnBwYw/7/DR6zEaT0rteAYoby1vXelOoMya1dZsTiK47S1Om9M9HH2nO1tzq61o8/AR6y32Y
F3wyueXL0qJMM2SMak3kojMwZIBNVLY2+B7VAj6X02Ur8PQsui/aIMkUTk+EYHr0pmg4Fk5uo55M
fldTWGmPquCYDkhJXk6Q55MnbH3sFkTAvhNVgPjrNQpR/VNmw/u5T+aTGhQQg87V2KNsMvdzXZCj
rT2fbgmZmuvbZU2/daDvDH/vYhrS29Czzy6KVwzy3dNqU7paJu6srFCPeRFN11uCgKJBqHQUwy91
xkpKftz1ABVzF4V4J8G329r8EAfGN4UrynB/Neg6hPqs2EAelRkisKwlSg9eUZRRoNW1xjFq8mMz
xFydW/hlI9gE2jhEAB2mMRDmKc3z19Ly/wwVKoiEQRoZmE+5G+I1LppjeBkMlt3+yITr04jv2xFZ
FCc1d0ZnbwdMyhkHuevjnqenJDSS28z76IftBvsl/BIP6aO5Wz/apAvPU8f+KGq6nWj/KAj5Qrdf
9uRQFlv91ljNW4y+/TAZv3R7MREhgDJv7MNYoXOS7lf/O/0iMj7H/VKkQDwQgUiwwchLkFrda/rv
hD2U+B9J7CjPiqxbEbYv8bhdjATkgZnT79m+1T9pRgKvE2IPtA5R7ImU0MsyYPfVmDlvwa+nU9Sl
9kHfh70sEVFwFAfWVe8chuP9NG3mUaG9zVtujHD9oTTzAGldKerLAlNrSMf5dFHhRbwWP1Z8mZvY
e2Ao6N7JqzSc4slsDUzGRoZj9dQeM5eixt7JyvD36RhR/yT97Nw3/YL/ZND+SKB8K79tGyp8vezx
T2k868GsAwvFk4qwvCe7FzNkmb57jvWhHplJcQsy8NelJWWPUipVCKn4E5KEzxNpKlY7n+LIAlvk
lcvlJe2NvHotAOSMI3nTOOToIDwPecuhb7aECJxpOdtYK/SCWLhmcDTbSjkBWnRpsyCwkd5TOHal
ODnEiCTlmFUK2lrd91b/LYnv7Yl4G3k40usSiQToWtvfOYmOpZk9dPbOVFMwTLlx5LMF603sld8t
mU/61orAqPqgOEorQYVq8qZvWDsBdCnIDOfiZd751EvqzKdyMhAHxfNTt2dPizlMN5ASymPz0OQ7
CAHA9FWAa5XdhcCkm21115scI73Jhb/pP1CffpKPqyJwbzKKQzQ87huRTwBuCojr+4fVsNziXHJH
tVnOxf6kV1u3lShDkMqntUEPynft1+cC6ZGXLs+hCMg2g+2jBx1AJttSXp0cqQsxm8JHje+byHxe
K+qqzsPVnXk6KqoLUYIh/gkB5TMtntZ8OnmwC7KiMZCRFykvRAUvegPMXkUDWP+UM24orA+xZ5O+
shDxZWKC7goYKnmXhec9GW6m4gCVagXVtpxmozMPiSC/8tnKwH9L/JcwtOHmi0BjsZNfXrI8XUk0
s0emQeU8Y9z0GQ2o2OFftam62V0QwUNp3fs1d62Xhuuh8IkYgq52yLyyuW/DFOVGk3/c4yA7jDIY
tNoVeZORYmoAfV9Eq5Vkqwi1WajucNkSNFEy2V4x3ggNiIP2IRDA3vSaO290sWhb+ytB1Smy35Mx
pg/2HH7OrLnFBhpfH334Gj2xZbl5aBPkLX52j4p9veBVDrw0/ZmW6dKWOXxaQXydBWV+C2pc4TDa
o7S8VvVjNozHZcuMkx3CPpGVI//Trz7H9qMd7ExLWcuKMwt263bB0yQMYhKEMrZ8+K5j32YxSD4Z
us/KqCLD9LCE23LcCn/4Im2IVuYuuSRSG1vjHN/JO1cpsQg7VFUov1lJ17Czu33E9YwloZwgK8if
DbxphURJ5brxguaPrvvXuIdPWmPoGA4nkuMYZd9+6AmMQfDvYRvf1d9Fe2bt6gdhoSkb25zgt9uO
BxCCgX2D5dMWud/mrjrN609j9KZD6gPCwuAYvmQhpYR62QCE9TXcuHG711F3y6avjC0GFl4enD5k
G4SQmcdXK6y/pkZMIe94d3OP+k/SC9AuhSOsrxqhpXYzW9ycYnvZVEMiq91bAR4zVhVzuqYnEL0q
0+hUT95Zq1lZ0UDiF3lY+tTQMcLlDJ83uO9K79FLqBlSmrrlnCzJSx/kN+EU2ri80OmpzkgrQ9md
9EJ3e2K7OnqQSs0xh09GNZRIcnEijkGsyvpGx3fKqJdCP8aCobf9GwFkFepR2Y7uED1ClQooZhjy
/uSXXOevhoNxx2jeu4KUbBkWCRvse/0XOmuEM3YdOiqspGxeMJrnOvR/6GkfYgdh4nlz5Txo87a2
+8bHKK/eHf8kRRgECVUcI5d/jmHH6ibupu0kf1cqw3Wx7zwHFzYZDHgTWr7AKh90JetD3UXwpNwI
fWY2Z5mFhcOxiIobZtHSDIJWCCqqR2DWbuAbNq4QcsctYmYhk491ZbMNicG/YxldrUcNnmpUmK96
S8qs07HD9WYb79O9fEnDJX7Q2Y1fbR8KyOLnPcZ5P4ccdPDCGiO0Ij/N/sR803yNsmk8uNP6O+nb
EQ58nh4wPLMO+Lu8pZv97lUMH2tXzB2AqqnwOdED9qIrQX//lHYGbs4gAX+M0ZSTgf7Qwx5Td027
UY21bvltRJV6WMS+IEzrWyxY7rRh00JRvpoSFvQ4NeUYMTNTKD3gwXgwHiJ8cHDzypDJ21JU6vxb
+v/I+BVhf3rSClpLdG3yt8z/suUlXtmcUoq7caxRiW1EMe1Mtq/ATYPtfeeYZ/n1ChvogF1W20bn
fMwY8uvL0CtFr/1+BOg+Rz2kBt0D+nN0pKs/H505o35WA4FMRx2cK0EnEopGtUU/VpPWWJORtEQY
dsek5cIoQrWqRoUZuV8i8A/e1Et2Xoz7KZyvfInOpwbpE4z6RSWiYp7r7SK3is76Ap/OXdffdTws
oPxU9x9mF7WEDlp2q7OxEjl60SkFKjv5XcR24Y7TI/Nuyf3ofm5oc+cqeJZxpRJq5XCVbag1t77z
sdqflzKh55md8dyDjSp6gWJzQsPenxXZ191HTcb0LmAyZFClo+zsSryEKu/OyO0no7F4tQs+cU6E
87BIwEei3o9F9rYG221mQk6Kkv5SLdWbsjgllFWWV07ITDLjei86oyrMRIv+PAft49jRzdVmctLh
TpIjGZQ7IlkwJ4+cp7GN2fpGdfLIcF78Qg3AvdLY8Qw45x1hq9G+YInugp1kPcZCbZmctyD9olWx
Vj1WPXyM+oVYLhw21+0bn+tDg0wDt1iyEriRFfdCzPndF+sCDS/BsUU+uc5BhVocTeVTmDJussW/
g/vzS24xS6evetOwSkzj49vWSe61mlcIQ77FZhoUK8sHLXHlEPVK8/NU9a86ntIDVOzS9DRR3GA3
bwi5KG7UA2Da8w+xDX9AJU9yDev+tGW0MEn2mdYTUKMfxr5glmtOzPpdtI+6tjC4/R0526NWn1u3
fyQsQ5XZY30kwAxtdIvZgxjNCGuGSOqSB9F91BJV68j/PRcr2K9tP93FGdD1vJO+uAfWWUkQVME3
YQbXobNJ2E4zBmWWBLzuVnJvDuIX2KHkSgLM6FW5K4d0MqWX0J1QY3DzoEIgfarFVWXDKsvsUWHx
RYmWpNEkr4mzVSozd+LnOoAgaZvdbv6Djh+M+mDB6cRdyvmkriBadum2kSW3hVF8GJzrjtjT9SXe
s2dd9YVhmWf/yibLn+t1wcmr89dD6XPrXXm60qLoiRm0/uvc5U/6D8ds+Vl22XVx6SWoyJ+uoqCJ
PmSJgesSC0e97HzD+UnZd6M0OR3u6B1nLJhk1cttQ+T51bJidFHs1U34EWWVYAr/mfv6b1I6OHBB
aKBv+xG2vMKM/T9U9MzAysKw8P+cJAFDzU8LOzmFGU47dR0fvQrDK8DGl/9h77x65DbWvP9VDN9T
y1BMi/UB3s7dM90TNdLohpgk5pz56d9fcWRbGtvS6nIPDgwIkDuITVY99YR/aE24sobBm16jOrCB
Rl06DmOF71+S8VcbCGR4XRffEJQQ8Pd8I4I5wNtV0SGNX9175gPdbj46bt2/Lt4Znjnf8td0SwZG
YM8dftlL0e1lbAOnBprOni6GXtmqUMdRlcTawlIvtZzZsTSTnM0K53zHQG2xlPfbLsth2WXd2Qxh
mzOcrEN53/Eu54JtHpQk2l00acHS5KT/wQ+3/krAYOSMjjDao+DoLclH+epZ5J2lIVGP/O8s+crk
NKHJAjcAyRevgZku7Z0q5HhWNr35JXCIdhG2erZ1J8gxWeIEgHfQtOA5DZX6NLcf5KFXGrS47dob
1nEIhpp59np2prXp7VtJv9dH9TbwIuwhBohmUAkSfXABJyV0BsNNC9UR3U3MR/oALcWptD98/2f/
lfJi6bCAdIuCARN5980K9AKzdtC9i3ckIo6EH93MP9qW4G8rZMQz+8fhTJ7TZP7RPdf/SnrB8E6F
h4ShhKbab5XBhWEmcZeEyna2Y7Gd/hA7+rmK9iwAIBdtueRmqGj8SSVgL6IjjKjZY9Qjfq8nyIiy
T6HKB8B3g1OKYYTfIIcfxPES3g5I38eoS7aBP9x//5b9jY+NjU6uoLHuUCfDuPh2pQzgGjJOPLAa
CQ4oMARAR+e0pXJp0VzYkUES2ESL3Epupqn9rOASQe8cSP0PruOvVC7bVOmWCIhS0FmcNwwpUOhV
6qlch+tfa7ZVI/SejOv5Pvm1zlVk6d1UomfSV7V59mPO0ixj/i3zxOaxQc7iP8NFOvjbG1EoZgpe
wETJX70YIvtyZrAxj2ULRGLHZHsRDlUjKTCQLHBbwm0DBLtszM2Ry7ifkgH59zEBaimO+oi9xqg2
6iKos2CJws71D26YXMxvr5cl7liWZf+NxY2L0mrQFD2jbMXNzpAX3syTP4DbkO1b5Z6zLX9l8QiT
aypVMKCtH1BtOv0P5Ib/uu9sdKcxhMeuWcX18k2YtZUOcx26xlvk9ZyrVLdPs9GepaNxNTrWElS7
edYW0gIzePr+bfi7xwaWzJoNx7DQNmQk/CrS2Q2IZGQp7e18Tkr4ix5NCPC3573QQBNhQ6dOVbDV
hvP5YTEIAZsllJMlqQGBiStLOx7mD2MAqZ6H9is8UGuTi3rE6PX71zufgm8eG1bP0P0cFTMUS3+z
zAali4ex6u0t5xbWh025gdaENggG20rvkZ42+KSq5VWhW/foiMTmpm+CH+lDG38VybYhc6LRbZlc
C95R39414sjALGVksfOw5k0GTWRXJDHGvpdjgMeyf6KQBIsMJ1IGLKkZX2v2BYZURxn7B3lRaJGB
ZTexD4RCmHpEsQGV/dQuX4bCOgGByGP7uc+GrQ8cyiu0dDV7axLdrrXK8H50a//6o9gOcIG4Buhj
qi6X6VdLwcz71ogN4e9mnKU0MNfTrYPU5QJ52H1blTKWgRUQsOIQ/+PxR3hS/eD5/s1FGJqhabif
sqk19c3zNd2y7/V0wJxlQKFC6yCyoXEyBxOZqkvLO60aOHghIWU20UOJuK7vX8QcLL9dZC7MKNc0
Hdc26DK92RSmrpJn21Gw8yhCoiZIQddTlrsKLbQEHfZK5p0zizdCx+l1Noyq1IPnV9GcGHcxon/h
pDOH1K9ndFOjNp86HTdiv8nVXVm6j3VfcS89qP5x/nm20C4l1veVYlfXV4y3vcHWNmPUYt/hAYly
nEs0Re8HKUkxKzzPvRsC0iglKNd2Xwwr1d7NuoVzsdKH3dZTa8pJ2QZXTOrAAB/0pBXYlrDU5mI5
w0wchC1yj1LAPDZhnLbOqxbdvOM7if3wRmZDCdOoiv5fnsIj0jWY1Ia+U532XG2Q/sNM4HUs29X9
TjdqdFexMli2/U2PwoUdexss1XKkwBsFeO/TayEp2Xbff3hzBHj78GzH4DAW4CnVtxFi9NyQcjEC
mgDjjqaJdqcHrb5Ex9eY/d4Nc7qbPSVcj5TBA2LgF5q/sM02X6mFOPed4CrSCgPhFybW0hPDguym
pNG4RKX3+xc7Z9BvL9ZhnbPQNOY1b4nh0BW8ZMxLbzvj6WZ8qKI/W6VlLOyq3Y0FvXmRTh/nnuDc
ySn0Cuxj/wqDmtskcwsh9u+nPL2a32e1DIfzplqStqQ46wAmGhLvDCTrvi2z3QyDntF0GOioe9F1
zH6tc1ryyMK17qZLzQOENGCa6C8CJVAeR4iPRVuTXKXoK+ZPeuhDU5PttHDK7hpfu5kfPtIGbFW0
UjR4P6nsIs2NFITvoQBn8dk8WJYDovndcz9UNqJefbYkXf93QGwnVbfQ9j8TSZuu5roafa4d+mGf
ZnEBqtEYOa+TrEGxosXu0YJRIFueM+xz1gyS/DNLWih5BrKOIFhO866dn99/PQ3/7b/kl69Pqv7X
//D3pxxZPH5X8+av/9q+5KeH9KX+H/mpP9717Wf+tbr5f7e/fM6rX443m9u37/zmg3z9l39+9dA8
fPMXxBZwQ7xqX6rx+qVuk2b+R7hQ+c7/7Yu/vMzfcjsWL7/9+pS3GXOP6xc/zLNfv7y0f/7tV+ms
+19ff/2X1+Qv/e3XdfLLzUPSPTzn1dsPvTzUzW+/Ko79znIxsyCjEcLVZ5+f/mV+yVXf4Q1mEFVd
/pAmNL/+kuVVE/z2qybekUqTpXIEIJRgSN5qnbfzS8Y7Oa3GGYQnTZ3g/vr71X3zlP58ar9kbXqZ
h1lT8736vLH+3HhU2oIsgpSLL1WBkDlvKPa2QMPWmIC2zUWqSB7zAMXb+oPDuZLT+aKWIHo4tn5q
Bm/feeKUdiBUvNDWliq9lThKUtRwkrVbpgDOBhiSceJuazCbSdCDU1LKetFF9H4lnSizrGxrV8G4
CHrsEBJyddxVIsa2YXvogTqso1BX1tgIhrIstiJGWYn5jEIBDVsqoEHxwmVhQGV2vPvMep4EWnl1
VSMa072qOhm59pQhyROGGWMkVHTy+OBoHI0e9BlMw+y9HxgIKGbGZwDUVbdpteBxfk0v/fdDb+/x
kjbAmDMpi+N405rUXI0NTLvtIV0hTJvWjMHKZHCXfsY3RYW2wjFo1SXurTOAqo4Mmvqym6j07UG3
4gd5Z8EnRQhnmvtpQgy6K1F5g+c/BONeFvx6Hj9GGjJTtlr06OcXz+0UfMJj3V1OLbFE8xFAimvm
L0xLgHTC9wjjx6DNlngaGMDSUepWKvyWy/STZTG1qezgMS0afjWa+HrZzdOYSsWRMTenJy8bztG8
IFAgA7hqRHVbFv4Hq0/DRZV0TO7S6JMSis/z/ynd8EnJ70FtpIvcUD+WrJXU7679ST+MpZdvW7wF
KqWm090mJ9RZ6eQHJ7O1jY0SVQy7onIvqgawmYYRRO/FaL6rH8H0JTvhXudmdhpsA9xnq23MykfF
PrbXJSrDi6LyAKQq536dYXWkepd2/sQCnuRk8NaZ2o9aWu71BHHxKOrf01J0llV0j8gfkLYalTnD
7R9tl3+yRf6odyhDIeSuigQu3ugO137Sq8tNoyfVyeHeLZS+2YcjSDhH2WpGvzeQP9nHXrLPGD2f
eXbuL80iVFHO05FBiKv0NKbcMAiDl9V0pocVHQ0FfTD6V9c9cHwgO/rCy+uDC9MToZDiMZHrPrY4
0vpQOJs8byFuxtf4XNtnXTSuUpd0ZDIbDomWQWhQR3SPfMARjPz3mom6WlR8VoEKLZLch11ki/vO
RMHPd7X7RNOydUopSS5alYui68RlXhs36pjtq4LpCiZF0RogyKUJjVyi6JY8D7KSyj2vKmoriLD9
osTKgmTlyoRatU7Zokur/4CH/AccoBD/U+OrqHiOlHC4CGgyg+1Vg2cMGrMV3nv7po7uh4C5otF6
e4l0s9H43mvCg6fhPtGU3XRFzBLGGSazAT4GKXo3bCB9qtYQa/WVmkQ5vAEY0EF/tL17NeuvbN0J
biytH491geWU1cOk5rlXS3cwlW3t+4LVTy+dZOfQTWV6lnXGPgxzcfC8MDhWYD946mJRZYi9p91w
mxGJ0DT7CLc93zmQkpc4UyB733cbBSTjWdtLVr3rv4e9tKhaUElwjvF/RaZU86QQF74/W7vp6h1q
nCwyM964/RQvgii/b7oxXbV+fTvQxDqkUi0utpaVfCBmqNs3mVq0qL6ZqPUaw6bsbqwuL1Zq13+o
Y++TbZBbRBchRqKA4wi6TZ7JmXsuQfRuNHwazeTeHRFQL/GeCIdm1UzjpleQGu+HKYGiChW8BzAy
5IguebBMNlMwkcq8N8raXCSiewz9vFtBYbKQmPK1jduiptZhi+rAtvecgUwHNt9ChMJc4qq7M5zq
mlIZn5YO0q8COJbPSQ9rHXcaZXKQXlVNyqDyKrM7e9VoNs4q6bPaNXSMtfK2ceCACLBWQQ0gR3jZ
+6hDslZzmisnvPRVE1q/DW8/N9Ju3/ovnRXiSp1sxJisYRicaj0EGaCLz0oNelhLlQ08+xAH4Glf
0ILj//CvO8C+tQZHeTu7swLdO7dCpCnjMryvM/MT8nDZqjAHlASLNoHOjv4pOLCrwgxSzEkyd1m4
XUvFCpioHTGoCSX6VsURmTk4PX+dE2oDaiYdtupDzOUoekza7rosImdcFIEbEhZcRCuEbq7ahDXq
L8J0uLNVnHT7McEKVb4PDjpuN9plYIbNqtbB9juFf1m5NDIjAwR8SA/Ycj7bVJgrkTjZwUytbBk4
Hbh0VpGqYkww3pRl9mQBCdOpvZSm2ClOZh2YdqJdF3qrBJjeSUx0SSscYU7wkaR/Y3xhYky/JD1p
N3Xan/tF5q2iwj8L4ORuINVVcWrzi/JD0j8X+nXTK83eDGL13AmivQ978iav3Y/RoMAST7tg27bg
N9pQv55QA2AkD+rcGq38OvbVjVoEzgqdMk7D5jSq/XtLQ3k9SFCsLgwDcGSULK1GIRkw631npsmd
O3jAkJc2BxpCBuWNCCHdMpjzFwZM8rOxjT+h8JLt8N34jEFCvrc41E2pE1xPU8rFuGu9YxABETLa
xs66GxKQYE55X0X1GZ2Rjhk084SN0mjZoRfDDr9FBOEhJXQmB6Vlhee3lRWeoB5TVEZHNUSqx0qD
+8Z2yvWk51uz17RDG4T7ulCu9LDejor1XKiNFCkjSajFShkAng1FH65zTwPMBB12Ed52a0FVvBKl
45/wbwTBgW5rCNipH8ZlreEUjPOOppUXiEitRoVC5hJVkYtYq05mCh63M8Nu7Q3GTSJQYKld87xh
IwO58GeNSYy36xX+QZ9Qp8KJrNx0cKF3blFtJt1dj3kQnHtBtk10Hf3ZDhnyZS6eBshYW4Rn1eLU
pQVErrLgOLa0LWTIfa6nyzzX/FW1abGF2oRhCsIfUk3f+We+1X2AiTZR17gfYV8Mi+K6qksO4SFc
Jfp4zLxMLPy+7lcepKD3ZkwS13EUO0O9snt/3XQdULRRWWoHR62mRWTDrQuMHMNmD61RxQ/wzsAI
aUV3oF8ieKasch9kiZPe6w2WAUnD/C8ogMGolZftxrbEootp44DzU9LkNgXQzqrxO3D7urzsLUR2
PdLGVRj70arqRqwGFEs9NyN713ogefvhLFWJr01+7DFb2ms2gs+NsYGv8sxkOmaeR1QxT0Mx3voA
FEA+wsXt1M9qiK4skWlhZkDJvCwwL9JBOzHS2bPRrlvMO6K8+wBH4n6iPKsj83ro+wqgEMI8YaI/
T6a2U0jOVl5FymFWL7MZUVvVmzZBLZb6eNWbzCJ90tiuhS7VxPDP8PG81jtB7wssYcjh1Ifpo+uA
DEuMsN+WqFnETXmW2yEOZhCc1dolqCOsWeVIc1b8/noTCwFWGKYQ3rtPlXpbud0OXM+z5pCuO16O
UlaPD5eq3dijeQlp5DZKxbbTrWDphDyDIEEuw9fSXS/e+9nQLI0US3CNIewyqhjHRKhQtCFUxaQy
1mPnbopmQqFLf3FxhAIeOCDVx9gF9XZWfiyctSv4QljfyygoQMamuXSQjQAC1skptVA+TSCb8W6m
9M6H9qJow3tbwWrSSJybaYgehROf9569c5NT4Y8XtquF++CTaVUnxekuWkAGXQE9IXLi95WT7JMJ
6y0F5aLab8Uu87h43/tse811pTa7vCC1AgWMWkYZpIc0UY92a3WnQRv6hc9RfdCa0sQfuDvXAqZw
/lSeQ8GID3FpPWhJkB55mKvWSq465DpuPQMKg2oSXE2r+OheZjZASt+x5cIZRr4C79uqvivqwDoO
huihC0r5/eC+9mtvZYgOz10Uqg9KV51ho3XV2fpG0YCYDjzjZViTYRWhvU9i59YTVAFBNLozlnAG
u7LHUMnvjr3Xb7pk3LVuepaO1HNstGgpeuNDnm5tWSvoPV0KxxifBKJQvUeIMQOqLMcfyNl99VHz
Ax5bymZIrIBUA9ARxsZgCyp/7XlmuExp3C9TxbjFzsXZOo618hBRXKZN6q7ZNO9zg4mgyJuT8HCM
rwBhzuqZ81CcBV+vRGNzDvb2puoZEUGdU9ahdVCTIMAXPn7MPb0C/thdBHXrctCGAz8s2AlRQdVN
EDepYFfKgivS9Jp8g9RJbZzb2C2xsQOpslRL94ws9cU51aRDii9QNSofhuBufi9uaNFivhNd2eA8
kEEVDh8nr7rv8/6sCMJH36esswpJZvGuk5rycP7M7M4l35tatGn8MeVsKy2AjvFwUvGdwQdDPZS9
+VRAlcvs6arSvIMZG8Yh1JaN0wXLSUnGM61RUNS1dWb8WvxohqJdZmPXrvG+QDasF+MZzhqYCVIS
eKXfXLd8faciReRJnA4yIJfJIJDLACSxVdpjlcZynhQnPLzpPdpGzlWfinNYPtlW1RFta5QHoaTd
xaSYK93E7bno1IULf0ZlUnakT7Iuu5yvajJIfWS2qq88US+Ui2ZMHud6s3Xs/SSLKlef5Xbm+26N
zl0fIN3ZaMFubFR1bwvWTNcy7Ko0qWbkBjcFmKCiHPtDPZYgorKYOnTbBu1wGs1DqAbTPsK+YMiA
ezrVEapekDXuuZlUWMFQukcZHVff86ylgA51qGx9X7XsE0SY7U1SVtbKlDpRY49LXI6w9wKeEugU
y/d3Pi5k2oASaeR/RHvHO9jWOaQKIMQ57Tsrmg7DRMAsVGfvhtwcf8QPYG6lZVRfhrD2SYV6UqVD
gEiixxCBIg7f64SWhYRUQw89whJ87qNnrektIIdstU7XL8ze/jTriFG81Uj5nQfIpY20o4DbgbyY
29O1xSV4vYq7p6WspGhFpDSrMEfbpONWpz5bXa5vR4XWCQm6WtY8C4Rnh/jcjwXvtEFCBhekaLcG
rfqlBPokVB+0XU5otEVQaMG3VT7XpDkWf0TOScf8eNncZe2Dh4P6wg3aS9NLValwYHBWoYSHydpq
3heRxt90sOoM7zbcs3bGgUaMb+BhV95wnLeDqhNH2jp5tGtrr5ecoGEZ7YHYIBQ5FFzUyM8gBTJS
bDHl75L32uG9aWA9KciX9BVGqzG47M0scAp64In5/r71UBm3Nf2DGrX1qhfiNE6gJQLb3KfZHpHQ
DwmJi1yccl2qyC8tGr+5jOJd5mcb2VhVounkx9GmzCFFYNuFdRxVoOnTOzI7OkvyqzwfFc+UPaaq
8SOTPop0eTkoW1KGyKhEe0ciIVOZJBFhaVhAthmR30gaaPGtydDKpgqLpKpJIQNCNS0V5PPSCn3X
riVkt2nyOKIfhCndtHNKau4s58AJUKdRfArhYvwIhc6e741iEOp08bGMUogBEug5Pw4hrzkLb0Vr
PJQOlyW7R2Vt3WoYS2GXuS5zzV3mGi3+jnFgY9sf55ZZlPJ18w8aZcdsRi1GAnha054Gc7iOElQe
0vQgYrHOog+oaDwYU3WVhFIwR7q24Hrgowcy2WuzH9RFLxgZNA7Zyuy+oCp1t4bNd24PLGJLWqHh
q3Cbjqw1GSDnwD34AN697smyaQZVg4q070Y+/vkIGCxQJa5vbua3zkBux6kvSUd3QkcwZTTQbFO8
Pj6ImsIIygmmfSIuV7HI/B3hvOZcpi8pt8kQeEjKVSYqP7TMhI2c+74k1C4yswMUPODo6XUPRVG/
R+ai+8H00KBB/NU8XTZU56mdrTHDli1c+fpX00OrsusC0xRzowhWzYiAX5ue2fG0QIselZmllTVP
IQtODDae3Zy/c9MwKST8kaWagdKI/Y8yCMhnK9zkGeZMPh6GrLwsI3Mv8X1hy6pEv062M2dwaM/O
N31xigz9WvcWX/W0v3SNv+4SfzuW//KLQFLoSAVa4KDegICEAjOiwZtpI3vCQCXJ3+mMmeFjY2vb
fGg/WjHNxF6399//d+dB67e9aTCFJoRogouKcpDx7a3UsyzE9KHjVlboLnn+MnGwWKAN3ETKWmms
kyAsyyhSYKUAk+oW+95okU7hI3gmCn733iB9GNUzK6zvAnDIrY5en0xuWnZz4Ic7p8pXLRfOqOBR
5gzSjSrKrdP3f8gMHnj7Q5hrWWBSHLr22psfYkRCVYMxZAavAxeWVy7jXx8PV7WyRqf+seiqC9uu
92XI9oX+ZaB3Hz5aY0hjj9RDEB1CLqumrYvb1ybKTzLEywH6jDqXQQ5trMnkzJSDOnvkA8bviZCQ
Lgkyj6kN52ZExlHePvksA7bm/Ev/Mwdy8d7WbZ7bPw+DblAjeIhbpQ7yJv96HPTHZ19nQpou3pmW
TmPLRFLZAaX06y+vIyFNN94J02GrsdpVx5XDmC8TId18B/xQl8LZDIslzuqPiRAvkRzqBiABxkmu
ioryz4yEvgUe4LAlmBKB5dAFIYwreaME7CQq0HkwskdTB/syqvvWUA5WxUw0SjVOx4/00a4hEy2m
drzL1Sn5QbTRJbLhz83yegFEGuGajMYMTbxBPiSJqlh+6apHTUNZHStZXWEUlLZk6aOeLirN2et+
9Gx26eUI+nhRm9mlVdR3fvBcR8xbfQwqKi1/7EX00bL85yQrP9Io/pF07N9dpiDYC91xQL291aYe
+zLWNGx1jw2uYDIzaJVdkjd0o/LL1PQfgdPeWfpDOjbHr1bVD8Px6/1B29gGGWgyUZwPoK8OGCcR
YVo3pXYMQe9XdH4XWX3S+2LXDfbtOIqTqWSXDLI23/9n5XP/+rGYKohIB0giC43BpHhzCjCGypw0
c+xjZ6nIjntryR4FrfXp5yPIMXxC8zn/3LwdEH8zWP6/NkrWBLf0n8MHKmRPQfOS1c1L+M0Iev7c
a+hw36HBLjESJBa2xFuBsnwNHe47wYLQQGDq4DCJBn+GDmG/I3Ih7w2szgHXKuPNl2EyL6mAe0yA
W7pqgXeyfyZ0uG9CB+tCJj1gpqApWq8x6uvUp1V7xuCVLIH1VDZCxvpMjgEFnEY3z646h4yo9xpo
6YVRrwUsitTEAjwwMfFtRDms6yHXVhEOcRMIv9RdjqA+op4ekFrYFGHFyo4NCiM5AsvzUd1MeS22
MQm33viPIbYCOIOsndSvSJ3Dc98QOOhZ5gVFIO7UHp4hTXzewW5UHGHuIFgboDqsQ5amHwYTL7Co
Q5QRad5DXDB1m8z+qJRYO6T4nO18c5Uldb3hgMZVGkWAq0gCKxJbWykN07ysw9+FBhZMDLHRtAlp
nq6+FJmEPqd4RNWTwsHLBGlPwfpYJuqtaTfhdUzyUTBCX4AGthaxmeG8SUfEiHsaKThGkdjiKR1b
II3z4dI9KArtcUcKnsDsR93NiMJtrpj9wm1pazMwRqQT2tWiUHamgvJdNgzHMVVQFRy05c/v1H9L
zIdLMDdNsuB/3qzX+dND/cvzyy/n4UMGeKRqvj3wv3zBlwPf0N45toRsCCLofED/fuDLVywOXIk4
Bakl/ty1BrtWgAkBnIF+vXRB+GPXypfkgSNhga8n/s/s2jdIUhBinGKc9mQdNhA/8KRvsmwVHLsC
TfjKhwwp3g8YUFcxlb9tL5mlrPPKR46yQFIeaR3gTlI//qtb9zcH2pz+fn20vL0CGVe+OtECr4kN
t+IKShxZkonRTkax6USr/jjuzQrt6PIqbD+lVoM8O71g5fnnV/KHMA6Ll+fw4d/rzGGJWLbLsvrn
tXz2IFvy8dcLWPvjY68r2HbeyXRDVbHgMKhwLTbH67nDK8KUJ4cFQ+SPbNXQ5xVqunOCBP3qz2yV
FS/xUACNvixs8VOLV5Vpx1drB6S/DrhKAz4l0dtAZb9dO3TrHQ3Rem+r9VCiIivEsnCaQPqoWXue
Vs8damVrTgNtSby8ygwzX6eh9b6asOPwQ+uzj1kr0qhdho6AOa2TcrpvKyqtPEXU2R1vIKmIXdSf
0mkwNrUXtAstcdWDNr2otdTHNvoCrOhNbKKZ0wy5y3DWThcdSlSLwFCeEbvHXdPHDBFH28uIumzf
D/B0k/LFtZQOU5WXdKjvjC7fhfjRb/osTNdhopS7rDkri7hd6w6Kuug8p0s/KSJmeR6qN5gyLgem
9gwAabILL6kvkr4/lAGuxLVUlIlwbGBCBJ5zmpKTB3xwL0aDThxWPxBH6V1ZIAp9LbyOjLb81EmB
wQosiT247YU+im0zxmhWqhHq5jFiQoZaTgdpKb5024khZKBkCG+E3rUc462GcVyrzhhsR48WKRYl
Z37ho5Koelc5LS69sYtD06n1Gohks6yCFni4Vt8K06sOSWkiErE18tA+AEFId1ZBBzrEDSMUZbeN
c2Sc9Gy8gqsp1o6An2rlU7T7+Qjwb5p1vm5lAIT/HAEuHxT4RE9B+KDUdfs3gYBPfwkELqUrFQ9H
kmPoKvDEPwKB+04TDkBHSCRg5y2JFf9SuxpAFnFXAuJI94MIIsvaLwkogULAHQDiCI9AUOtZPxMN
2PlvogHFie4IGy9m+D+EKVLdr0+Sso1jDcJTxBwcSZQxlihEDzD4pKAlYanNk276BzsxmANMfXBK
lPRYyQyLK3fPU8xx+cNFxdtVjmnbJ7cxc4uuUd0zNHsQJRg/M0EjN/VTVH5HQCAG9gareuyUpSn6
eGWXzV7v9PJK8dNHA0gl3phl0MQrmEigQoronBhTrvSi1Bbo3CBw5h8UNc7O8Mp0N1JQCqkBZ7iu
mhwdlBzb+0Q0W+S4Vs6kqMtJtHwVZrNZo1vnJUQ6JfTHbTpO03YIOvq9frvz2nLahA5ivwbdScjL
vXuuKEvcw0DojeW2z1tQTCGmbCgXBZu8g4ErfGprExeF0GYO2cX9S+To6YNy6nI6/CIf28ekWImo
2Ua6Z920DXpmSi02ITZoCwukOYYdyB1blvoSarp2gHUcrL0x3OmWOq0CCQzI3BuhNvXFIHNsI5Q0
aQfzU1h8Z2jRrlRN8y4Vy1qPpOmg8MsNLqY4EuCblwV4pbq+Zm/LrQU+1WzirQhpWGdO9GR7ToST
CXqe1uD1h/mPKlc/utUErbut8BpM8qg9VOGHVFEEXpL10U9Qrgh99zau3IMZDvkBD8048hEUcJt2
2bnuXq+xxRlK+9rX3HqNxFZ29Iy7eBrEFuHeDfH8LoncaDMN3SfXE8G6r32bHB+0dmaCqjEqbNlK
62qsYrBfGj2MXGOy42I2OQbddiqqYxUEOfg3tEJNmMOQ5ZQ7QwlMtLpHMJk5WlJ1UaLqO7YDKEHg
emGq7hXp2wk4Q8fJwLKXSHyd1WmqrzzbfvbG3r9VGnqfS7uyrL1Iu7tc5DdW2r9oTvExinvjiH35
Im+dU19X5r4FLLfEhaee2BWl4y49S1Kga8hCRpJBSbbLo+ail1a0lofatRMthtbwj4DpFrWEP9U1
c5K84bQNcdkqYmVdOuahV8yzekJ4TfMtbR1Z1QZZ3fDWaZFfyvK02mLiFx+H2rwcmhpa/MBAFwRr
cNYN6G/Gz0oZWOuokVp3rX3tQrtcu0zkz33RoMDpiVWgji//if/NKAHsX1I5GgX/HP9vHjL/b6I+
n/kj6gvKesoEly4QfTkS9D/SPyC3yBXQeDTp1Etex+9RXyMzFGRk9CpdUlAZi3+P+to71bGIqWSO
QDLoG/xM1GfF/SXqGxqzFomLB7SKFuG3Ub81iwpWSuhtaeJe2cjDI8iJ+0o+6tspEBvUpe+qkMl0
XfXW0m+Ki6Fi7tP16HaVY3ZER3HtDFD/hqk/IG74Pp6AAiHN3SAEhPmUVYmHpgQtTnbjn8JulVop
vgKmFuBafhzUUhAzPGDTfYKVotkAywPD6xpesBHx04Dk39GQ0zhNf/QG71NcQpysmuGEIm/4IcFC
RrVQ6yX/2SaTd6EM4j4LbX8NPhh5XHxq4zgo2ViI8ji5vwpCfDDtPEZjWMXNw6HTXw+Ap7MmRrtw
yg6ap5yYJyaMDa+NUEk2LUJlqE040TrFyM7rHofurioY8Y8gyKqpthCQ65Gt0T2srBUTaCF+rcsh
o5na6thtZ2K0thmKFq2moKbkOS9o52mM8FbKFOjbRmtuzTzUjoEVHy2lrdZ9mUplRqmz0UIgYDgU
FySsXRQj4YaSLt7n59Wjh77HojRblEv6TMM542bQJzQvinaXAjvWMZtxMCanaWKG27TjK23UqAnY
/SGLtI0fuN26qLUr0QYPpWSDZ0oIokGU56VVJ/BEAeUnUh0ex1qGhb3+Cfx2vhMiJKr6xXU0wscF
sIgDAvG3UVBbb9Ly0ksJoFUDyhCJLAPcYQidvWwXJf4z6OFSlFaTe0ycSxMNKzKQW1xeNrhtL6Ih
YKBau6gXOeJcbWtszSP7Su9dTil87nTFA/lcGBQo4pMdoLAv8Nbejlaxd+BWAK7HPNR9dsxw3efw
wkwnOuh+M3DzQgamsW0gq4ieGV7rFwLxxDOAD2mMOZgB6Uwp9Q9ZkGiU6xWK7BamE0CTzyYlewgt
veenMW8NAF7qApydo9hAQ7v2I0Y+1jLPsCI1V+4YZqDBymvDV8UWSMmw+k+Q/SbIUpv+c5A9fyia
4CH5mzjLx17jrKO+02EDqcKCrfclmn6Js+47Fzw/MpIODV7aQaTQv8dZ9R3FNOMiGrxQpmUw/SPO
qu8Y1zLFofdkqwDxnZ+Ks/O89etae+Yb0XUmuVeRRZD/0tfZdQQ6mcOgULZ9gctIaQ3a/2fvzJLk
1LYt2yKewYZN8euO47VHeNQRP1iooq5repNtyY7lQHr3PSnOuZKdzJ+0tPy4Ml3pKMBx2Oy11pxj
ehYN61VfbQI0Q4eoV44lFGoEcbcOTpUecaJCME8AKyTA+bSzy/FJUzpEvyoLrJ98HZsUxk7OOj34
31r8aaLRIx61SDnWhnFmnVbJlQx6tzGQYGVO2np6oxi4BL+Yw4SBKKZAbYP+cUafRvoK0oTU1lF4
JgNkRa085vp+FI127PUYtWzQUJqbw71aWM4NSYqHxifIaO6Out2Q0BTwlC/Y1hm9ykUpMbw0RnWp
SciJES6tqoB1GNLgOoAJVPf+DZKqZJ9lqOISoT1ZafgoLTY0eKUvIkTpXE+zgabzqFb2zHYsPUZR
SWMrM3zk9frsRvWs7eYGDk8XNtcwHN/Qa/qopZDlwLYdkbaLjg1kUTWEScQoFON6p0TEoEZd/dCg
/CfbTmV7RSaJXmW4POIBuJOBBK3QtyTDt55GRl9eokp3chNIZ6lFO9PKtkOfdW4Py2Gl4tz2GmhP
bCb97pKEEAQzNtdVxoYysndgCr3YxIMdBVq96+TZItrXnWxEaqV6W5ToTiad8LtBOsdwADPe9iXF
EAB+0bUJsNr6myKjvYHpe2NWWeVabCZvVAP7hP4tTIpNTsX1/6t5/I7fd3O/3cet3sP64/DovzZx
knVCSGNZKYT8ZRPH31B+M7aRy0gR+Aj7p3+Nnc3/0JGzIOdctAuatiwJ/7mJY+wsaf2B6JH8SuX+
j8bO3/doP60t+rKmaXS56Q4IwvY+SiRopql60kEv04aWWNIsv02dd2wFl8CnxuilCYK77FeJGCPK
x94bX4Y4/hzXclsF+XOaH23sSqtMzfdMU95VdfGUY7c2tf7cDDbI6fuxxy7WoCVelDc4KXZpkL1h
Ot6y0hA2xD2ae1pCky6QV7IcKVqasxD+bYa1TVH0bWdlO8zRm9zoX3QDUR2Cp2Pe5isc8t8MICNJ
INeEpm+6pnk2tayE0ia3P70y/qZVTkv1527nj6vEm4HWi7VMBz50O50oHXwfYbRrNMk1H8kKmlm4
8KCtfn8c/cOW+vuBmCTSpF3M2M7H+NF+lCnZkREh4PFrTWU8pLfhHG5Yi2jACS1yWf09q/4GV5sA
NVxv1XApSNBeVVNL+Zu+Bv4nny9DmeeN3wNVU57DBjCNnpwM4xMCOo9ReREUjLHwzWn9tS//8BE+
EGms7x9hGYdSlHCh1Y8Yh5q3SNYUJNIVojgn9nrSnLtuDi5o3L5mpuIlDoIhxMqdGZ+q4k/Rst9h
JR9vaGayGovoUiJpH76qISYzysqnyq0KYvQMIsGdTxDdP5sTPSEtzFdlQQhDXYMbpRuzKR3cZPyT
dhWQWtEkweJmFIeVpjN/mbX4tTFLRJ74TRpJ7LDm3/ldvjKa6LnkGRHGvE51h7i6bVlg8s/7G7M+
g3nbkdZJt5aMKg2kzAqoBMLFWN1VdXejKzjNQzDHtdZkm9/fQPTH/nqrYsyBhWMCkZM80r9uFgDd
oNjIwWFmiO4TnTIl6fNxE3cDr5o+vMNJttXo6JNns4+VXOOViJsrxYkmsKDkUr8JDFyCfdS8p7I6
V2ryNE/afR3kW9NJYQKXmOJu/InAAl+Nr3UPNDcFYpCM2uNM+E6eBNu0LG8sclXzaVg1NNf80blp
hf0UixQ6hOPZJbRK22CipbX7Xu1v1BnLXWhmymo04tuFS9g5IUDLvi/dSdu3Wv0kA3mGsXQCR6eu
u7BaZ5HDWy8yzkbvXKM7Z4JKQZJLuEmsYqsqBWJmUu2UqFtRJW5yRXtWnDt2UDu24y/jKG6QKdcb
YjOujjTuVMRpcr7vwK+O+XSL9WavRAKDJNEArUNrviBPmo5loxF+koc7lEZHHy+J0NGmVqeeubTj
n1k4PfY1+5aj1lm4Qfn4ZdK3asakedCcmw7OW2rNVJRrNIaIE2ejvmnr1LWM/KKaBjyvYW9UCEIx
m9S18hrK9jQF1b1jVB5vkGtt25eoKy4kzRymvH/V6IypSniOpmpnaflDWE3u1I/fepyHhm++Crt8
yMksYn/FHcqWosPl7ZRIzbVNQLEb5tZhxHMUKs5znmYXObSQ09IjaQ5H3hce/gzXaTkvDHFNMt1M
UZOw+0vfDEm/lkSbAwXSSz2fxnJtOIdQQ6HeIYEvELDPTbW3I/sSB/p1CuNXp9GPhLNsGkp57pBt
61OP+7cCLymZ4acskqcxkLvI6M+InTGgZPl6VICLgm1+JodE35hqcsNwAtcK7MBU569QF+ys1L+d
i/DoLATKmCApJdnoYYWSnntaKIdykNslcYe5xjaT932uu1ZreoNyN4pPVX0HdoF9qvpUweL1zc5N
G39jkaXEzz7U2J19HmgKeSVZo9QEFJ9X7tCHEnzOoQ1D+qG+c5tWjRcotNIGce3q9G20vlqhfTNn
RGPpUKJj9sW+KD4laXGP2WrPyuIOkUraOLYXyZcr8Ykp/aGrnqwGWYbGya+zMhvWxWTc6rW5mxrT
cyrndpwt6LSAObsYm6TjCcW51WYWmjpvDoKaWA1soq6as143t6Karo0YMKs0j4sWNjBnuDDlfCln
/a6BXrCyexvvsah3VRyf6Mu/ppP1wKgs3SoWp0B2BNefF3asRt1adepjkasv0CgNVwaqiX/BctZK
xaksb2EFVX5VDHtHwQwJEiZe67m6qODJMK2VAvtdX+DdxXGVgd/a1Cqz7SByerewSMIBZiokfdbA
lmd76s6a1blxzve39C/jcpvy+vMVtT5w9L3iiFVJDVSWiOjZmKDeRhu3iFLTQe4S9M1q13qWQNab
5QtcBsluZKYbqhm8boWUp3DQ4XYYd9ocPRWD/tg0yLjH4eSrdsaykb1aAZDPpE1POAIJXTZv5AZz
8jWhm9xUxXbRg60TlOiwzZrPrYHfyNKfVCfeYKVc12V6IR/+MGHDd7TpiHtp7UvzlAC+joaMO7Mu
dn1IX5vtDUnSe4aY29xBle90Z99CX6fr1b5lPqknbGkQ43tphgLPeglils3RIVwIy7/D7FRpu4OD
MXzu4wdzbr2UKMVVsFGDmKxp8leqyLiG+XxUBhXi772wxEqb7MMQdWdAAUwcS5es4mVW9dDTRo7E
gBDB8pIwvFrs88qye84rbFtqsmkzjaHunWXQcEGvoOhjtMmpLLy0aD5jmS63emBsbTV2EVLsA9bg
3jYxOPKQyJLXDU+LSfeviT9Z8Ysey0tnYuyyG9Y7se1NBcCswp4Hbm3EujbQc2/kzuGZNAnx1YuG
GrCcWJCGU2Yot06ErwjhN8Mj0LeTuW/D4r58ZqryVOR8SSHZnbLYacE+avkPdbA7PP3PjKh3ZeiT
24F9Sp9uynjTwGBjjIIft6CjlETG42xlL6nIiVsqdoB6aFTOr5OxNzs+HnJ4QltB3c7twaQzZbet
l+Cz82uVO6vdlOaLY98XEHQb4Fq9+qllnFUoBsRAWotV600Mr7MclA26i5mVplPlvqGRhAlZqz45
sngFj3gh0+JeH8vXSCl26qBg0c23W53HPfSXir3me0I+wvJneR1fwXKFQWC75DNsB830FmC/3hW7
uILuMfibon8IrfRZ5qwVmN1fzVpeki5+CMqYGGqd+/6yZFVorNxIVFfkz7tMBFbLNxTo2evy/+XC
rZ5MMPKFin47+po24moG+a2QzsrQ+xvhWJ5Z568GytGcJzRiCtMRFKYTwSyZJ+s8rHI+x4gacSil
5ipNUY22HY7v1g+/hGaBDFwn1jE4LsuYCPrDrNu3SmTC4JWrQmDGDRPm5+H7oCifig4HMxP6alka
wpTI0sUmxEV2wqXEjoc7OqXb/Jkd93pu8vvJSDfpuC9S7Us6Sq+otftg7nkbjzekl93psemVI49g
RdCndeZ7eGf6s65y47GYuBqhdCMupsAW1lT1AUPB0kjg5cDS3zGWX8viWxKpN0lQ7JuYr9keWRub
jbobA9qTzfhUxPk+68R1UhsP2MMuNY/BYGyaNntWQhwE3V4S7C7GcROV9k6iqGfaufEHkPoIz7mY
BSmoPoL6hZfSkvWLRs8KSM4zWjhFSU3/QFEJCystTKMAxDw7D3D+OOoOGzbLa1K/N3b0LTG/IIVO
vdiwntgoidWQMh21J8KXDDzL8V1X8KYzO/vs9w7PcDd/bjJlk0DeWBE3vPUD2EqDEZH4xAg2S4xz
XISbsCSSSWszCBdYGMvaeAkm5T2v9E9tFmEAHDVlb+nZdezUXaE+2oIENNN6iyx+E7cI/SbdWWt1
EB4EeVxuqMCsh5TO3oR3TGBwC8XEdIU1K2439V/Ab9BQrbdJN7e7gaiCP+ykP+6jwWpaiMYQGaMD
Q2rz6z4aWEGsB3WDnjJKvmZ564lAbo02OBqj6f3+UPQGfq0uOZSt2TgtNIQ0SH1/PZQ/BWxZ/LwG
i/6JVwDZP6brFOU+UlMsZcUfCjTanL8eTaoqEjdKBJvmAYL4X48WWqM9l21fuc5oYAQijrBY8h5V
F0bgOhZbI/D/UD0v/clfSrIPR1zO6CedGdomPGoBow40J0QRiEPcMORMVE/E2R8+3AeeJNXn92PR
yKB5wszse3n007HCIizsceRYhabdTNY8urapbkR9qxc+d6qJdH7aaIXuJXWzHnKbvAqLRupWs8fH
/rEMzK1C+sAESk5k3TYQZCYO+h++b5rGf70ebAaW7jCGg0Um9vP1IISauW3CNtLpnhWjRSEh/nAZ
/nJHLVeBIR8tIv6H/PHXI3Qq04gyLLji0Xwr9A6npo3i6GGYP0f3//DmXQ5Fx2IpOvFO6Es9+tMF
VwIt70TVgb9PvSLfDrg3E+0prZnC+OOPBiPy8r/nZv2lDfPrsT5aFOigYfIc2sq143obMlKf1WnX
45v8/Uf6u8OgCkU8YwrG7N+heT99pMnwLWLHv/de2zXfrNd07Vomf3Jc/M1tQOcNewm9QU2y0Px6
5RI1DDFWUan3PYkajLp49W5+/0k+SjyXxwEdu87YQDommtYPj57WT7nIO24ENOjvtd9vaAq7Jftr
xYEGkEK3jIBBJJ4o001tETTul2/hoB3+t07DBKrJTWJJ8eGjqk5XBIHJaUxaeK6y1JtnE0TIVXEQ
mOnte1bjNyWhLk6/FKI9OouCffzTQ/E3Cx/aJB3PMBFZS7fz1+stFByQglGj64Tawzzpl0EZiV8l
a+JbtyPV+J+5z74vRb8c78O1bwj7DJ2lWgSuaa7yjtU2+0LnxWMrQmZL8aZF8mlqiHKSZFdxBeqo
2i6LckFGAv1NxbJ2kF7vVQF8Is08Oxx3YU8IthDeEEw7M1U3Vjvcy37aTbX2mGriiYEw4Uxhso4I
w8Bxe0UD/2xNxT4lTlAbq3++sjPd0h0TbDbuqEWK+vPDX0Y1EkNElW4xGmAq3aLZ69O8Evmf3sZ/
+6z8dKAPIzBbh647mBzIGjN3wNAcseH5/U36l8bZomRYWOuajZzB/t6a/emp9/upSKLULt2QMtEf
64uP1R7s04HeDDOt+SXTHydYpb8/6t99MBiFrFwYN7CLfLhJClNCuBhrtl/tF2N81kBj/J8d4MP6
LLVa1Uf54wBlc+rAoP3+AB9Qhj/u858+gvmh42jzoeidcgR0hse+SF1YdCRZESBKY6E4mcFMmGBw
DhMFp8SobUzrZPj0tLFj+PJi5LhTanV6aKbpBZQmsvNmbIhpVm+0EOamtbWL6fr7U9bs5QX4YUuC
IUeDvsQrEu/9hy2XKGVjKkbIOevhSqubcF2U82lIWhLueZ9MadNu8hm3SgQ7QlH1R6XA7K8gE14h
M1a0dNcbpofe+sRYb50LefHLeptDL9XDuzbpYfQUJyOKP89mQfrPQABmaJ1roboyGe8nSs4JSsny
NJfOcIvC5qbR9Qs827UCB6yqaTeFoKmQqg1iWjBZd23Nf2/kJN0XtDbyt9GQF6dRyG+jDVXTKKzW
KRv2XMc8PxT73J83VH/bmsVW2uRmFLm7/Dg5zhsRwFVUxic4PZjWnO3kqLdSL069UB+WFXmJI24T
eQHTdYbCdtaMGLmmfJKK8ZSxjrQF32+VTDsinYlNNkf1pknCs67ke5x52wqBXsCP6QzhVRrsYkW7
aQtuhEZ1K7JcuB/v/BDTtBGukS260qKSKeq3NFMf7NzZ2pO91WR8btt4o/L3tfpF1yeQAcm2WGrd
9opAZJFHr60ABqROTqpVv9fZvIEBAxWu2M+GszeScddm0y2pMJ4jj3mUv/XpeI19/QKo+2Uyomc/
KL7BwXqxqG/Jtad/3JlzBvtieLczezuSpZnBb5pKdHc65HjlVmT0k2QDvUxB7D2H6I1CUtSGtPmq
14yxKjYJPArIUpviksT2iSbZl9kun9sW7m1SoAMCjKf4N50RPQ5m+6Y2SyOeH9oWnFu5zcvs2NB2
apmX4cJWV8mS1g038LPTBdtGvk1D6w6d6VqqSfBD2eKFapJD2BX9LusC6D/Dk6lXX+1kuhYwSn48
6//IZ/z/ql6bJeLfq0i8+j2P3xfn0fZ9fv9VTMI//KEj0ReDMQYhDEUIotlxsdj/0JHwN/gHmUgt
4mgLNz/vr3/pSLT/IOJDlZiQNJyeGmTZf4168WwsJgtyHdi8kfrOrOufOIw/JFxwWAcPo8YpLFZG
KqQPL9E2LCUzuaCD5RP4XpXhbjMxcrii17HzETKyQry1kHjihzBpkL+OlaAPhBB1InAqJAahKnOP
jjWzi62ex25sDZ9gbY1e2Tjzmz9Xw40poo0O6ohWLi3ImkhwPzzJSofq8lqZRb2e5vQhzYILyP56
3YZIwptW0nNJy31g3yuz+qRLxSuq8jacqnNYyYeiB1YltPJgjF28+DmKtZj1i+WkIT16Asraetyh
iFYPyaC9mZ0VIxlZ7H5kRzLOIVVo7RN8TMLxuI7z0nShhASQZuSpiWZaD7nOj8jkCA8pZaIgii8E
R3t90nsAbBC+QtbQyne/DzyZYPJXRHxWfHr0lZo5x9GHoc8TmOniuatJR2oQttOYhzDxxgZbtATe
zvJsFknoTuBRT63feo7dbED4e0lMvZThxmw8P5sOTTFegn5aG2wXezKv2lNS6fTvzLU11J90HXCV
AwZSyHstReitsow/mlAwMUmGJfMW25kOrZ9qwZp1oYMbpc9yY4jaWht1Ya+7qvNXJQnX01zcDFZP
TGYT+XDKYyNPVpUcr/3YaytzNtXyR8X7j9aNy3vffq1+a/P6t2aw5UD/hbb+v4NQ/f3x+fcLxr7+
n//jVzvx8rj9WCdM/T90jVIICe53u+5/uzkM4z9Ugwd1cVMYqGoF28F/rRMOXjC2LGhCqLV/OI3/
WxKCpYAhtaPi3F+cHv9knfiA/2A/p2JZZslRHcrGxXPy66Z+JrI0keza3HyOrkUr5CoZA17DcwgJ
y2y/drozum3dnWUYEPI1xpU7EyWxjmyr3pT9cG6a5kTjNV/PJdCx2MLYAXypZP/tVrVyMkz6+PnM
2A9x/ie1rx/UUjv1Cl4N1A+Oaw0JQX51Gv24Cf9t92Cxbv666UMMvTTaSDtRqQIdRDU/VyupWjtJ
kmmq6xjk+OihaG7aSQk3berXPIRDt2s73v/0S+ajpPN4DopxWk2qHjwZdEtHtHQHirJkTYsZXUMY
akdVpvdtTeirwtt2bUWMLgZECVusYYTRhc7sCb2CrKpp6loNxHrRkext3GN7oFlMMDM3J8/1tjmG
7QwTdB47N+psfZX29eAZ6HJ1ALFD/Icrof3lSmD90UAoaPT/aHJYH0rh1jRROXPVXRq/lReZRXfW
C3x8XQgjrMUF7SU66X12PNY3hmXvc/MIyci1Zns+q5mpbzri59bsp3oPPiGY6DIy122jW3+oyf6q
5kDdTs3u6Jww7ZiPxqK+IqTPyX3NdZxzkxSfNWiXZBk3PQle7VbrTE9Cz1pZShBtO+hSW+0ok+oy
xAwohCARNoJTnU5opjtiKLpmGA/RaB5Ck9jcycnIicidfduhJFe08gbmzWuT0pqWff5g9cNlXNLd
VyalzBendzap5czHtFcGRJRY/0Ir2pqh0+0Vza8YUerIF+wAIJSd/qGX8DdtTdrCpsrbe/Ekgxr4
9daNakLbuIkIeWyHS9gHBHWO8Qm5PWrkqjuI5gksFZ7B2iy9IJi5DnNAC10yE1H08NKNId6WKd1X
NgDd4KG2ITs7ekueXH6nxtbXn/ZGtz/qqJ/JRdpS9/9aXlEQ0nOi+4grzHFY+n5+0mSrQVIdeN4h
A9du3pJjq/pUNbPaIGFK2mJLGB758oVyE9okAoqelxaB5916ysPsEjvyRYS5crQD6LW/PzfxcRtE
T2xJG0JKK1BZ2dBdfj25Jfe4tSO6FaOlGJuxzJ6AVVLuJcx2HDW+NfuB8Mwwg22b1ISM9vHeGo3H
hFOD/SEAZZMeuRt7x2ZuWBYM12LPJM8CYBmUvWjunu05rdaDtKsjCk8GYSmDzHxo2N3TAjNm84QW
SjuKOB1olTRnrqSzmUvN3hpOP2yDIkmOuB0mpzoZUHP5Gqn58rF4YRh9l3ZjcdGmxsXbrh1BHBVr
OXfRlRbsN603xaOpmntgkDsj0I1j0aIz6sxsrbA2rokK6w66c5PBMrwG3PH7oZQJewKDj0kcxZC8
wnUvrijiLRZ9CG11ad+1GRxINdHeh5YsaApB05tUK/dSQCQoo5wlMwDyMCFCu7IY0LL3BCXmTXpQ
EECtHVKXX8wygdPmKJ6lR+My3BdkTVnXbAzLTagOFYaNflhkVvq6SMxVEJT9Pexq2Df7rgZVG5I7
szULeG+2M161Fnw4tAmmZTbyCWK96jXvNAHETMAO1o1zo8WEtC2ikO+/64zmoJNofouF65ja/UbL
omZfjaHAVhHzRE/bGUeElyjzvhh71EAWCpBuvO1JG1CtJj1Fit8+V1CDN0gp/AsojanLvEwdhWcH
FZRrG/EJgqZ8yz3dEVUpjBNtHdRfQXMcOsR2Q6dEh6F3lEM6C92V3EPvgSRHioxDXIIZ4MlUQ6Ih
oRbsdKwUfC1q+wzAfJfllv1Sjwb6i0B/lBKf16zUbyIeVaiMde72nQIdLE1ustCu0HQvEhmgzd59
6AOjkIrPCu2IY6vpwy7C/SeqWD1VHdok0dwLoHavQYTNRXTaIWdisJJ2nR60AvBvZXLqmQnjwplz
+96MUDsNCrqqobXDg5w649KyWTZE0O1xjezJNE1ffFRYzFY0AijIZXR7P+/vSwd+eylaZY1utHZ7
uzY3TRKrN4ul9WyG9sqX3XXgLjqBzhTXos/lea4Y68YI3cWgPuEezc+YCskDFfeKLAxzFWpXtRLy
ps0pt6vkk/C/mGVFQ3V5sIVsu23YogdPyQTdVoMGDmUQxY5EIpOAmUDHa5MgtvDFn5aYpXv0YflD
ZIiuFoutwSDmQ3cpkWWB1AECHipD7vk68i+F2d5hFSeccdQe0C4i0ensA6xgtIN2TgRANj3Hwun3
OffdtqyEvgmIN9+k9BoaMMR2lBJpYKYPUYmHKhyn4A+v2r8si9SmjgoigNyrpdr8GAWUT7PqR5rp
E999mnzVujOyFo1rYuztbpwPhb0pwGOsi0Afrzjkz7bVX8kWWTYtquphwUWYW9wa1hQ/WCQCrFRA
9Q1Zq6cG8ovTz/eq1TIozqfmTy/Hj2+b5czp2wqsziqy04/7urL2w2DZQJDXAW6xq4N9Jgmx9ENx
xwUeabbosevUSzzPPBTL2hRxE2m+W7WDR4wQ+PypURm1UhvNthUc40k8jvrUbeaEAKM2mp4iVMxb
JVTDHfEUFYxlo9/mWbX5/buJ673sQX++dbB3w/+SNlszgmZ4Kn99ORm6XhtqGBQbNP0Sqd7gEvRt
PNPeSx4cSWUbz/2D9OnuB7PyFFJk7GTVPORyFPcjxG0tbPB0+bI8DL7Yz1XzNR4rvKJpuk9sGZyG
XBJe5gf4OzI8WGan9R7CvxIOsF6uk4qFUu0CV8+nU6zV3YVQlG0TVeJQaNGlg4JwUyej24+VsWrn
PjsowXDfmv051qfQLY1pcvuQ517znwqd0page3RmcXEYhxwRHhFOzqh3d9zozS0pBmttInilnqPk
zLXlVZlF1YmMG/6seg3sTN2mQW6du/k99iUiiKESzbFNbP/QjHDcVYV/IiLjwK2hHwYi6XoMwSQe
DCEt5n/94tiZQ29BuN//SOuwYCBfXjbl8YEM1cwdG7CkIM30jRGh8WviHbN/wr6VALhmlCK1E/jZ
0YYd5qj5NEy6iRDKMg9A6bYpkJq17Lpwr87jHjetOFq98VjyDt81YXvqi6igO7rnaVmyMVRzPasA
vJEN4SKfUqgYgOJlqA0nEV71YrSPsD/XMSkE564c8rPSZPm5nI9OGYbnqSrGYwtMMzTrLzkV4TYN
EcASFYNYtkkanDuFEW3Y8zScb7NWCBk/OyWJmI1eEp9hsxGZE+tTPM3luVT7x8lQ4rtE9od8JP2i
MRHDEOQDusia5U6bpjdYu/JOMT53NL4NZ1au06Cmj8FgHxM6pys/N8tt0Yt+44hGoOL43oyeoUcJ
fV5zl1+JkLNxaFbmKg4KbQNhIz+EowJSKuRu9ZvPJAm+M9R9TfRdGGX9nosa3ikI345wYO9AQXc7
ODYnNVO+NJWKTnEs5bb206+IvSSfUik3MhSfzGai1wFwlrCv7E3jv1olQ7qt0L2QYjavqjEI972l
H/nxzSZ2zlWKEK0I2XZolQNrXO13RpmKzVxve0UgiyYG1ivj/rEFPw10disNUOuBZtzn0RC4hob0
OZRbpEr7ksbUyjCy6tAmxWkUVUMhGerEdXbPMYzs0TG6larnIDaIBZqcWndjI35jGWL2n2cPUaeZ
W6cw75O2H9ZlWlubri+6K48GXtoAFWAFESA2jwUi0GPQT8ubHFNQ3HUEKqmPvp2BUQmN9jhIX1/L
fonakV7SVuOO8Oxnn6Sng91NvIkCi4QQM/K4x8B7G4whyZQb605ZOdV89eedVSMAkjJKTmpfGmhW
534r7GSXpgvMeawewjFOvKAlCpoAjCOcmFXS+eg4RicaD45akDZhINGqCyve95rLynrttaQ9aAPq
nngo3+q2O+aT+Jx3iH0JbKlurXTueV3r6rqp5+nMEhajCXO0TWgaHbUav+Sh8S1p5eeeanDNDPVN
AFxeUfKovB6j98RWiHkmmHG5MgbHEl5WTd2JXeVLOaLZwyvCkkluMeGCBdMDiedzUvB3KotBk8iJ
L0Waz5d4HueLFqTdLk0EwXypvyF0gEQXvS3CndbTAWGIrj/61hiDgodzNjq5RVhDgYZpatLqoBYN
IzyymSO3qwYY90DYZEOXLVcEYZHMRtyp1LZTaWS7KHMrCDiU0Lg5KIF3QpnrWzJFdW/ux9glXAS6
duFchoxLHo/pVSzazCDInliExNUSzR6+7rNRZNlNx4bLnfLCdKM2yE9+12Ync0pScqIr6IyR5JXc
m5k3W5Vy0w5uVRrlA5pc8yEm4JG08fLAruCQqEhgzTwbz40U7alqCfqxmjs/mqt93dKZcCIEdx2h
uKgixHxoMwJcumnYV4B/B1MRd+G92lf3UIHKg4i0xJV5/yjRlt2VZfOutoH+xPm+1FP0mGnGgGe8
U1dWTgmS+mTQgHcgxsDAHtvPRobGffIP8G4wJxaletcnmgrTvT/FQ/6eaWzmEEhOSO8PgmT5Y1kq
wfH770RZExaWSRx/WqKf7LrTT99/twjZ+VH2nj3lO21RxYOrTcOWNPr4NE3ja1aTUjnIoqU2q6Ny
Ha7TCPmiHpT1DTEqHSBmfDVJ2qlnJzPUc9Xh6fXTaON0mu2yV8BKwmKCQpQPdhCCrPewmq213NVB
U+51XdzLrpJndifBjlydTxM433NwbFR9HhbiRHrmxZye+4kMrHDkoQfxcZxnmPhBYjt7mBtEPvnX
oZGBS2TBzUxTnQCpatum0j91Tf+fv0Co9E/f/ywhsHODwwOuR6LITZwkeNdJC2Jz53v0n6pb4ZBf
WExbW1Hip7AK6Jj3KrvnHqFpl83WBcp3GnTXaKhpv4hRO0TptPx74MjUZ/qGfJNsCWqKt3HmWyec
p+RWLfmWYy3RaI74FlEnZghU6/5sivKlV8lu0SQ8S2ecYJCXk7KlHdZdmmY6W7GEiC/9Y9QMzSme
PpV+r+0LfSbQC+spS7ESnPjp9yZrkUWexDnI43HDSKzEnc9qb+Ac2QSRQWhw+Ag6Zr7RtLqH4+z6
aoCAVvpA/8qmOtdIeIMpNbYZ3lhEywTNDuUsCHQ66OZsXBppvOHljM9hp2n7mfnJAmXjPTbq6tY0
wFdVUrF3YQMOdHCi4iJsZZcjXfycBHQx1U7ewf9IdkZmf65JANkyuryj+TbszB46jKPrZJGpWnRu
DchUea28W33/8L+IOo/lxpVtiX4RIuALmNJ7UhQpN0HIwpuCLeDr32Lf++JOGGp2nyOJAKp27Z25
Mojr8AeAk02Xxo5d+dZ2Oc91IM11blOuxo56ABXCdO2ExJ8kETCYcbyWaiAwxOygGlTpdEJArmaq
sauNckKXhI3G/AEO4KZB/M62SttT5ltEWtOMRN/XhJroOXCy89DUW/NhcBKCqy/GbLzZo/1rRCMr
0mD+TV1v73MYVcLgNrGjjahYd2MdWKNSP8hupnlc6D3DIr1Zdza9Ocvb+Ho7c8nP2PijQPNsZOGx
OFd186eJXU0Gm+lhMglDJk2WVVyZTyWbUQ35ooHYEgQj6Eg8B5umSsV8qO5WBG8yaJyVz83zbNQ2
+7GdTWtyvTxWqdD7F254LsyOcGRU8rIys61RBHMyLBCODfE15E6fsby7lyKAZRlR6smkDgjz6e0j
fc03HQwRktWEeA6nXHH4ZhwPNn5O1RD9KiFffR5RUPlvvXD1OY928GSofpESOrZQWPyfGuVz0M7x
5OR+ImEIkT6Ext/YtVThAHz22Qgkt3NQNZeR8Qc65sl2ZPieUGTPbTH0aOKnt8J0sX2D8d+OOtP4
McXbAr5ev9NIYCiNfPO3RpxgN5xOEsK+dNXc285t3ybWYkgKQHEZpSfUCrnY5ghpjxO/2NJMqT7d
FkODNegHNqN6O9Cy2BrKy4g24HzU466ZT6Kpz4TaV8taxt419iJjPjmollKtYbBFMsOn7QbXusJw
0OE1ebbxEpQNTT4cBAdfJOjec4Z7cdgP36htvzUnEtu+8jF+grQlkKWs7qEeZgvbTZwnuxQ2R55y
Ogk3tdZpldp7162uGYKmlR2YTAhDORwIbs0wI8U1diqt5gF0+ivnOtrvk0nomEfTyWkx61XAj1jn
/OzN9uKKPI3W+HBs5z2xO+yAoXWc8jD8yzi3+OPK9OmT4vp7KWHNkU/gbd10wsyqsm6Be9b486x4
X5qCzD0/DI5a59xEmTmfUdvjn4mV4rhCO2+Mq+6199n07TSkbZSS/xOWNK6MLlDPiMH6habp4qn1
BY1DqywuehhnK0J0jJPWxA+XYDRyFonLB9Ij2Ugt0faJzgGCEYsNcsItdmkc6ttBUO4Zo70k/wZR
dJTp+JbGZqUE0mtBxHFh04cC4tovRCNG5i2tvsjjUi3SyKvmRtthBqsqE/9Bm9H6GV+oDSmIrZsR
EPPUd+F00Kl1SHZmnornMTjEGAvUlBsz3Wwx/E9e16/zJPlldSkWo5+O86yI1VaPy98hA4jnhbU3
n2IZzC1G5fMmaCKqmPzce0a7FgmjjjocWdYSpKJjZK3bzlKLBub9yQnDBiNh1y6qACeS2xXfPr8O
GRLSmld1pc+DQvhLco3U3OhPHT2gpzzdm4htLoPBGhHGIYYoBxyJOYliqVn6gWwXlH+pxIxs2h91
BQ3QM7XnXnXO4X8vnDZHbPnWI0Pr//+iEQMFoyBqQbbKPnBy+++LeHzVAzbhLK2bq0qSP69fhjCw
DuXjX/776t+LMAv+G9EMBx0Enwjl0mxqUn88yQOT69I6/HuRHp1EbQp2biKfY37WxVCZr6Xz0OtI
4nwO+Gr/++IGGjMk29lNY8tbXp4i68FkluJ97nTNwlbpV7SePbntTKRF/16izH9JhmmlV26xQorj
Hf69hH0er3qSehj9p/VeN8q9CyB308p4OpgB7r66MEiH4+IBcYSnoMQ5CBIW/Sl8DNj/vQ5TTicZ
O+3KJHP1ULROvmtszqClW+5MHsAdh9dHuiZZJr7GOanQ262XRd6TWUa08bT+MsU5OhgnPP/7U9TL
4eIWVPg0fuXq33sIc9W8S7j22qiRPeAk1amMSDLLYCx6qQxO/uN9Lj+uT/qh+CTyxRja7lHaiXvU
h7rEVVrYpA0wcmyT+uDoZXQuOKXdfTHsxnYcLzRP8ntulZ/RaIjjv79LBLukYTjN/t9fBj5UOIeD
9TajgtzJDJCZT2bTOSP5LrdxuLixOZ3/vWRy4KxN3oGeMa7iqME/c0kMpJEMCa0R73Wtd+ch0brz
v6/ISlg1TVYwJqH5QyU4JHOtpzcToh5ZtwQLPempJ54C17hbo/L3Ps+5SSrhCcIHwaGRkWzVUBU7
UU4wH5VLQVcEWGN6Wl96l+FIKfTnRkljYRm5eco43G4rUE6bqcqzS2EZzMkoV97IR3oSvTP86Qgo
GEjr3xojpJlee+GtAeW26gu3Ppj41fb0cZt5ONTPpRTOu+afyTGE6Iz1Z21JGzCRaQCXJZUPUxK+
+ab8CSisWx6/sG8dXHh9ghH7MWSkpAkAIC40U8hVOo4/JE41K5GV6pzF2S+bBjnbQ6hDuVPR/j8v
UoCX8pUb7XEyBzXp4c2QdSvJYy66HhbBVDTL2jEJWhqTk+p/mlGvj8xAzY2p/KVXOTnesjp8TcUj
sZQrf+iUHb66WbUbRVle8XKbNzOL5//+lZoif9263V3opT4XYtpluO/WxsgwMM2iLT16sgjHvW8M
w5FZbnZKS5No2Vo/l9r4+NWol11JowYjIOboNpkIReRzf8pp9j+lHm65MOi63b/3/vMXMtuHrd/w
Qxdvbg1OCF7gdtIx9bppPE/7c9KZxbKx62dSuw/Jw1Ta+OmrppgDFTGza3LtwlXUql0ONa4aJusr
n9oXlxhokrnZIcyVXujbqKFXFcLQNqVFQVGUKxqMJp0bkhJ7QrVs8HYG7YstSMMhuOZ23MyJabpW
xXBvWZeZe5TuOiK2jXULBsy0ojpKF1FZgC4RyW89JG9NUhH3lNQ7iZKHlMETHV0CRQhOpQuI964k
lcMA2xR7LjxSbgW77swZCKkXR8XxSqt1+HQFoyHbITIvsEK1dh1TzcLaXdtZAnspyE+BTh1FLoFD
XA0txV+/Z0CLpYeIDrQ1aWFszD55F6k383iKZ0lRb7HqvZHx6C6KcIQPQKDVrKLLucrAY9C9a45a
0f0ZVcsJp4cu4xnRLIlwJVZ581640QbL7EwE/ikorHcjDY+OHPtT4sCHDba+UtqP1XgP/MXC7Ufx
5cJKTwyC1oQdtFvXKb6iSGg4Jjm16MzRqmlliZGKwy/KOQVkO08pgBZTVSZnu+EGQMz0OkRJfhv6
+LcZ5LNPh/AzmYCnSeHi/Lc7rjobwmSH8ZkJZL5k4tAv3MGRp5Gz26izzygCPylv3GbRpLZDpJJt
rDHqJnttdIy1kxsxq3tp7LMySta0+NSyjaanHPbAcpL1qZB5s2OmQCdTMBksPQ2K+kvrgLgtOHOS
dzStcWJ+GWGN5xRUBFCCtV+HOKmJVFu6aiS0lElm/uhxedtUaRbAHGXRfsYhy9JlzprIYVBrlGcp
9mEUhM9BIeFvdQc4FOnJr7t1MdEuAuA25XZ+NqsLGswNFhvSmrE8cNb90HMgIo14pT30Ojga/Qzr
B0D8U2p1W+Vq7y5aDxKj/QeejJ2utBdQWN+iXHy3Woq/TkWHGHyl6I1DHbrvdd9rR0J52d3GpSxK
ErP7eJ2l/XfcIRdBVTN3DEJKM+ugM+NzBlIFbXNcTUmMuixL5KwXj/A8jmJej4O4dV/aPKWIfETP
ES1F+s5fZNQ/mtIrfhJ2GtJtv2m4dYJZek86R5k753BM/Bm04aOWTttgzFd4DD7zOGHTQcwFBK/b
Emy/qROS4fWSj6wFbGxZ7W7ArgPKQL25OUR9OjrHLBIotbHtz4oW+wD9j2cgfC+I4ef12L/bhk8l
AELARLjX2i+x3ZwaDRK+H9ZfXukAFAjMp14YK+6gUrnhI4obn6sg9WzQw6s5mNeSwyfDsBzJatDe
oQQctT6DBBKsS2k+Z1H2p1sxQm8Crp1EzSI2p1Ak7nawyqOG03U2hcwiu/KTh4HOHzlttCaFvwl7
b4crYf1wcrQjDemk06N5NZor0SB204rxZNk6jDdz0mZpXn+gNLnSCCOo+lR5FNBZF9K5fe9088qp
yiRf1H2pJjUsAyiAA33gGUe/jsI5ggBiJAdniPaCTMG1jvl4nlpDsykq8Z344smRjFkzN4QUBQ8O
kgGKqPi1c/qPzqrek7Q4k/S1aXTmuGpsblVgs2nhCQn9tYPenLPi9NNPOiLkPoBCm4bGU6tB7LPL
CpD0s6dZ5HOiOeQ0iyKz042/DpiXEk+lGzqUH8jo6ahCycVXTpx7Bzu+cOpDSIAB+wm3TkCO5JIT
17PJeSRpDIz9boj3M0y1Ob3oF7LBoNfZn2iSjaWuJ1BHxw56XdqDp2LfBcADxMB9i9PJXdMfW6NF
xiut9EOeQ5uakZqXZyQPBh3Gzkaip2wGZKVuuHe8/OqgX6d/TAVYEbLrONFvJW3QIbkzAdryn8Wq
rOJ9gBsILKK169lOURrNxgTrqIqxCtJtEKl9Y3QE/CueFlYIsd4P/NdMLqNHILOS4V6GqMGD+tvT
AHZ07UCm9DSsYBsif8yLfBHxHkbHHjqOmFoOp+MqjryTU9zzyABFoWnHCXaHFsSv3BsgEvMKBKyr
4k0QyY2TEO2cBAb7Ell2Q4Ur1w0OmqrwcDm/6RB2C7oyy6GNFP4HI1wKyg9ahmYRH918quYq6BCv
9vqq4gFajPnwBy0MWcyQ7PN0PLZG9w7YRPfgBzjtm4YHgJZLOR9Cycg31Dd2ZL5HIcwe9nV6SwRf
2ppahHR0WKaIxK6bQixMnyQ5CJGkrf5iTP6gHV8dnUf8oFf3UJjCtc6nMI/bCQCzBislIvfbzIK7
ZAxTNu5tiv2XtElPCKjkrOn7FxM8AxEjRLGnyW0AO+yaJAIBTycHzknu0kYUM3KIqXHOzR890QzS
k5KvdfGwYi/p3B4KuOgGWR+54pcLMpMsWa9Z8ePvXBd/vs+5iA27rtA99FSfs3RvSxLQQZY/hzLP
DxH5G0ZBiBZWJIlDOsBKpoK9tGAfgfYlBUjPFoFMvoZpayIXeRCOr0GBckXTZwmxnKuSri96jOIC
wOq9oF1QPsg8tQ0goDCf4tRhEDQtqj7Ygx8x6FdKCpVWdpfBtL/1KdkCfLikBp03B3kHGD4+vrAK
lpqtGDjoHL2YW8DxGG7guOmFYtGw2I05rL9ZU/NcJGgdmRqUlnuSEOJneaVvk94dCS+F5hzpDSeT
pAYkHZQr1uhmHjnplzNpP3YeES49tURN52JlUsjPp4SDvwFaz2lBYQDxYZiyl21z1E0IfugjwtJ5
8myl4/f7G/IKwK/GWdlP3a+arpplWJRVTC+SoNE3WbRHBfcbEFaAsNpsFpr7pbvm0TSkuUK2BMmu
8DsEN/K17HFK1KmbbQNAKjaa6S4KXxlhvqQDfTZyKj4zpb8aKJcqoEArDinWnLT0qy0xaCM4S/e5
NwJktqIz7vZhNrlgif5d11BvzxMewDnjX3Dcds4ViNW7enR6x+AnfRzrjUQ7Ciz+6Jqdh71fQyNT
aLRaaOlPAiZD4y4YgzzQN8bMoPIs4+gtrfPzIIZDTFT7I165NQh0icBdu22Z0K0K5d5To+TsMfFA
/+/PUV/JvQIgs6qG6jY49edA0bXSndaSlF+dsS/fRJOKnaGH4cIEsD23i7HbJ0nV7ftG/Pcr4Wo4
Yt1MzeuSewveULAH9BnsabuojHIEQQGJH3keAm4Gnz13KhUh2NbkLrFMuesfqlNgB7SidCuj2yVJ
RW88YN+Pr/69FEJxCAB1pVmbHLwAsm4c80Md1eu2ta5RfjRD6zEeM+qTLOERkuo4H71AbtIyzR/Z
VbtMMMfr++gt7hhYhMWXNuXVqqmN6JoPR71vJE1dJ7lNWpoCZali1iUD5E2DnbGc+mEPUkqfS2mT
xtDn7VH+poK8AvS/5YfsWwaGmn7oA9Jx9THmVhP1PfNHtS4d+Yy96g8oy7QqUwJ7wjBeJQYty6Qp
x4Ok5bsp4x/8eBmxY27FDMv/J1Vy1x0FbBVNx3osWU3a7q5q9xxo7msQncLQfmOIz0nDHl+5dw6m
8Rsa2Xuaak9151FyNEeVDCsyFpeuAJJGzL2XpC0/fb8ws5JZC1sVwaZqRgc2eOyEwGZj1G/tvBjc
z3joT71tHUkI/+w1cbcTisU2PHTMk90a85id8dAiMmJeB+jF9vJvFqh5W6q/qqw6zjMjgaPJ3M2N
R9FkaTMnUBdNGcUSEnxgJE9uXu/BC21V/gt4Yld01wnVcFGC8io43Gb6Om6snVZ4rzjLXkkhq9Uf
BiCK7ixLqAyXfSpfCJihKnAupY1mtYhMOpzUFEgFCMT68gbOzWzzf1YU0AMG6FlZd78y70GbHKUA
ChX7F8ZU34VWzYKHp6OrzuA49pUZHbHZv2aB8yOE3IAz2RCR+FckU43EKr+2gbXUCqYPWYXKMy/U
N0O2TVMGd7cbC8rMLoW5RkXm1JfEUE/ZpJ+4iCQuNe1e0/J9n74HrX3pC/oTsnltdevJwTNS0mqe
LoDddlwDZID2SdnDqipRok0++31efJUU9D2slsDYu518puT0MGrQWOIT+0uLHLpQ8CJDCcXq8XE0
XfOiee+D51EuI1Swws84hyuRyIPjFjeMHvrN1WJGdlDLLOaR7YNH6lJ+NT+lpl3qgXozzbW1qYh/
zr0D4H4CCFTH6J6TOYMsh4W+fQ1VfdRjY5rVLW8XYbaMlNypJHppxvZcqveS5Om0aC4NgQLg97t7
qydndCWrnIjoWR5w5ztZffOicm1K7iSJ7h6ZiFxNub+Q2XoUzH7qHsOKhZrM1sdhQfCrmHMqxgT5
Riws1Q5LHCtmiB7lB0/fBVnLqc2tC6qBq1dMX4nrozFyvzMcQnntQV/tdljfN3FE9HxnS3KIVTuz
OQqGllgVE09s7HjLwgQaoXNPu4qmk3xKC/3imvavn2tfRmnfmjx+r8xgmXXTRmnGm90KyXmrfdW1
bi9suRP+ysymUxk0V1G0x0cmS+x9g9/gvJS6CE8GErGb7CfOwfqVCD9x/xIGYLQfWeU/mVr4W9Fm
AWo0HByC3Ns/EecBR8wCuEr3UYQKllfRfoJlOQkoWo4RvkSVOiSJe1V69tqNb4mnnRiCIRABkFuM
9s2zGF3YbXI38X/W+jS3ZPHBzHOjshsF/9oVpPQOxU6lHOod9eWgdxuNF9S2f41PZ2dys88Avb+l
ozN107fYZiVh/hfAqgFC1EKuske/nTfd9BbVLeVbAMK3zOeNhbLPMXNtHkXvA90vRAg8sI93hVVr
gDVXtVaX1O/MVcliUzNLT4yZx/5iOAxSq8H7G+m4TlaiSIgHEjOJW+bp5IknebQwJrCG7UCeRUQJ
2HlFAct6YG8JIzQp1svk1gSck/TrV/EpsImLKFuWENcc50RD7hHSf6nceR4eyAo/YLAb08WP3J1t
TdoCeZPkESbb2039GR+hPYMa8cOGsE8oQfxrC6cIABILg9VU7/rYH7ImA1Wcb0UkwCzpBM2Vd8Nc
pbF5mcYe+eZ0kOyujUkh3HobuyDKuC3WGo8ipt5DO8SgX0gZVmudY2vqRgcjV8i4eoB0w0ecEFGZ
IgTwwcW17jYovXPFY7j0Fj4U5FHRYU+05uBU2q7neIVQ8Kzn8YtZNq8p39I1hq0aSbUjOyJy/W3X
2UdvGq4Dh1UXQ+5icpCqUdmtWvyyXLaaITixwyjeiiX4ndemvKchU8+KBi4dueFaQxxfJVacoltr
tp1wSeBzyLW3nGMM843edDIC4QE3rtHcI32hnFWItlyOvrUYz3ntXCfhXAIJ1suPVq2J+MCPmg8U
l7fG+K0K6+CUnA+66IEYk+H35BtnT95CbxMX9cVjTXPS+o1oIQBMsPFgPTxFqK66Xm2YS52gvB9F
jbMAFRDGpI+qTz+JJ+Bg7VbcfPS5Q8/9Eiaqb7gmVIaWfbFJX+mB6GFTjZ9bz3svxUtROV8eQBl6
aKJFtrfVxmYneu3uU40FpnFC9cyQES/cCMUgKUHON2dXq8/9+GD4lwv5iK4vQ29RWPERwjqbj+lf
Q9d96cbwhvg8yF6MZnopH7ewSYxKT9CehexmbnlchehvVIiWBzPMWbAKPqQ7ybAJjarwyWlicjL4
2QzNXBSPpBDpM94YQWGUbEg+jQMfbKHh8jiNrv8r0v5WQsg3cwCmsT1y1KJqpxV0YURPxxArJGKC
6OSXwwtstdIXL3VNAlQRU26lataX5U32NnMF92XQaA7rGve6v44c4KEgu/uuvxXCReFtXXs//+M5
Poz1n3K949BmH1OAiarogk3sQJ7vfPNLM6t9FNmKOXq7IeOO1GJ6dnPRF29d32Pnjlapnr9TLbno
9ltj5kT0HMr2pUbOuHQcNhdHHMqE0CxV0F16pHv0L45V7RLN2KGWPGhSYf9MwufUW9qav6jr11GJ
C9wEQhhl8xK7w5XVbBaOwUWMQz9rE9oF45RuXazt2sgVMIvwmrT6lx7rewLSfY9vTdsFfnWQQ2tT
B3TojDjzmeM12cLo23bRb6xQoOx/LFS2yZhkijZhciqMhKo41l9tLYsWpsGQ1GKF6qDZoo/T3gPx
ogfep2ZVJ1RRX1nLGo6NS8E5K2pOami/4HB18gEDeyLIEUNPT4ck5BJFCZzuKcjeRITHlAbhMmyz
s8ytn0KxVI0pGo7AVLcIoZI3KkJvIY7ZQicZsx4aVM0wqrrgT5ucHxU9DoWT9jz63WaIy08dJQSd
LC5TnH0pSF9qikPoAlE1o3FCgyDz1kPIrRmb9N/cuP2z+vHWViM/fdG7LAXpdSA8hwKUBpjofsLH
v2sibWBgIuYoizitAOpatFN1qnwJqq6ryR4rP2MdMbbR/XgdNZsxoavrEbe0GXOZhgfXnepfIamf
RbTl52OpScVf3vE8Vvo6ytvvqQWYOKU1EZotBLhMcxfRUH0z15vXhY1e0M8apm31FoXlI7hTt2B/
FGvDqr6K2tMhUeL9QypgDfwauOHVnH4jkDMkQnmfrY20O5QOJRne53QW5cUbEj6uBcwIyz430qMR
SSZiwTbqTKwGHr/nFDz6wRQESdYejXy65gXKVuiN9KIpajOKvJwPhWETEFifPkPX+mu8EashmL7Q
W90jv91Zcb1nbDqHynJMMG/NYmBFjCCfrDovZ207EnLuEYvqHftA/CQTfT2Vv05oB4IaY38bI/+j
O88QHPZAryFg0mX1p7s8YJb+hTp1EbrtZ1vln4HZ3E1GtVqarKqe/a5FgMcZf1qmToZoUD14a40U
s6p9dBKY1jjjb+vWVDa5+SLihm251Q8s7wvl9zdzQOxopVS2mtwyLweo21xwgZ1dUTUzpQXNHIfE
ugfv58b7tGbOoYN/nHNe3UsR7YkqvI6Rf6bl8tGttcl88qX2Tff+R+bxt6lna8+092PPbqMLl+/N
/iTrAt5xQ8dItNpbkaU7ZrgA/qTDA0P7NTdRV5YfrmL8GAXyg9wo5ls4F9uHTiK4RIoVoa3sTR31
nx3R0jx1zSdbRu7p765Jz15oGe2D5MlHZctdpP32Iy6hQe0zm5uyqaDdRNPOYR/v9fbFzJ0XjlAw
DB8AyOnYtc6Nh/mp9O9jZv4Mkh0ry9p3GjHK6D59NAQzneAYBJvTb8C6xXXk1MuuxeNVsyjbzkya
DFeJ8gKBy0dvPMxmdlh8U+ECjiQD1voeUsY9FurezgNhSjGjGeZtuIAJf+szpk6w0d+JNFzZev8U
hHxiiC1ooupLCxrfLEiM+6jbkC3QJkXpRdOmb2i/dzkZt87GGxXoz/KxTOhwtR5RVNya1d2f/Oc6
6z26BsPdYzSVNAr3KE3WeZ0VHwkUW41kGS1XH40V7RG1jeb4XLRyZxm07GX/FXHqt2zWJiPvz6Ml
9mNs3kTmLt2IkTrfQbPRZbbNc48piU+tgIydXnPmEx4Y3Zal0C+jj0iJv0yimenrZ69xTj0TCqvN
z5daitsokze6B6fJqhdefGK4+xrk1Rlf2KXx5d3B3qqH6T4oxSfyp7+EY18zhs9IaubuwKjBtcIv
/CJ3RZGB2g8lZENRDWZLLVBlHZTWf5hZzvJl9LuU6EUjIDUi6lcE6jV07Ckg9P4dh+sx04fdbzxY
z1mG6DJddvH02TzuZNumgjBrRmdIu4GOf45mNT7sByDgSBmzLolOgEyWXQPJI1kZMH4nG0mNeXys
wxMxMhptDidPP8Mg3WHZnukcvGZlFXKphLEZu2CXeLQQw3ivZWvMZhENagwObnRLTX8gGhg2gRwv
vSOY0D8QpMJxxpmydbAprk1fzAHgnuZfaa3f9Sb8jtMAIrOTmzNzGn4Ky0LYED5lXfI+tDgUQj/T
Zpmjb3OcnnrDExSXGK3AFu17u1mOk4fmxWxO6Q2t71teCxr80XAPdKg82SYsOyQF3sH3cIGOEz4w
9zzVNqq1YTlh9u79t05/LRv4x1qwyyUSYmdXOdZldPRD3IR7Fbe4HcAFVO2ezOdtNy0URNkB51hr
CEzEoBjD6BGBt1VTt9RtOQ+k99Y22amHwVLlCz8f3zv0/ZBWcZ164hym3Z9fAziJTCSgw7Noc4Sl
3GmkwuEuLjcac1czcRnrZ0Y9KzE1iv57lMUffDuU7AHH5exHT8FUUPQ1c38iqs2jKmuah4/bh7aQ
07UX2eWhwPcV0zzNoJrywT6wxvrzMpYslRaTLkTWA7xme1gnISfdrNJ/ZCHOGWu0ltsFF+uhx5Tg
AF35MWhNP/Nz8YKXYG9ERKQg5GWyn8Vwu+TGR+Y28xIU6w2E7rQXC03FJXdOi9wSoo8evruDxHMg
Pxz8YVrUv5qj8ZN2/R3gA1rfd0aFN0EJPZoOJudkh6RkbTCryZmXa1XxIQztJ9ecuxek+yaCxczo
CV06uFiCByU3sumt0HOt/UHn0RRLP4ovle3eXaQKD5M9sNuRrDelGBGpKxjEX7vzf50rOaGfRpGt
gq6qF+WQvDphfCOZ1ngM2r25ahAROtp767Dj2HV6yj21t53uo0QDO+hkTfk1O3ltyVvCoNwPjGti
tz/9OH3K2vjCR7MoDIUL3sVB6PTkodjmdmxwT4TJ8NVJfZfn8Zqu46tR6L+oxxuM1ukFUw31PjNr
wxXvrd0hiw7AcdJMLRygvP6fw5BN3F0XexEQEiQujbwCDXL6jp5HZs886R1S5S59fN1zR1ZI1hVA
UhtkK5F4apbK7lQ1LoD75s/T61s6Bs+TizTNqXfK6v9ohj0aSMlVK9F1p8nV6AAaaAGHL6OAX9uX
a4SJ21HYdzKBmBIPf4WR/g2MgvT6Vek4sCJvODokiDl9+Yym/7nU2u0DjsL/gkNdBXTAf0Gs2bX0
LJmnzGjPXtoweba1ntrFeSv06Krj3JixJABgxwWFSzk3WISH/LcrJmo1q2O9w9cQDhBSvN6RsxzS
HB5MRjUh6iKlUUfxhtLinw513Wzqq8/28bOGDFH+vZswzBXmJRr6cuFzNNc1ctRZQhepVb9mCAXm
rEaoa6GFthlaSHDuBHXWEHeNFHD0+OG22gLZMFc3RKklRvegm4/WKfnAdDWZM0mL26uxNHSFKSQp
Uw83ohxfcNAEc3TyDBTejbBvdtUfztnwqVkUUcBMUZnFM7kGBCRSezvOFG2hK3mXSBLI3uS/4yAN
fMr12ix7Ot+U/QgJvXqh+kZnHY7ehN7YnGJgxMgc3rEWaadwoIGViBzdmS7Po434RPMVlKxMt7Z2
OdCwBdlnw39Zc5P0S8xJ/WLy7FdVpzsrEKQvpjYDMDG8F+anmWdIsvXeIzdJOxuhdlLZQ5dt23eb
YQazCZNud1685sJb0oj75jEOGSkH21A6WyfVumVdN19d+mZLc2PbtFxTWwMa1blHoWgBiTb4lL46
+DWH6mI8Z0a2rUfnGqlm73dYPZBJUGFvg9RLkXR4bDk9qgOXZnXbP9XC/tCRktjKZ9woRLc0gPfN
QGKQGKcmvllsqq1W/0yKDDrgHjcrMI5DYrz4Eii0hkz2LirmVKnsnaWTayQoWN3aHB5bUmlsOqe4
1ql20+h3CnfAc65l761VP+vR9BdHZTOroxyBf7htJrREkbnLR5sszv9j68yWGle2LfpFilDfvFpy
34IBAy8KiqLU901K+fV3iHNu3Jf74sAuNngbKXPlWnOO6bwOk/FpReaOQdA6GsMPkbV/gMN/DKG8
qpECetxvVYdOOd2RNmJzyFtprGJkqT7u4vWsm8zZ02Tcj0NzKun8xvNM5QVfkTGCXNe290hNtmVF
mYo1qgCMVtG11Z0PK8tOXdPfWyX8Lmx7Y9fWLgOdRJhyjEaKyXc9cfRYOsh+w201FtlbTmVmaGhZ
LI3o0JZJHAlV3CZ4Rc9R8jwQqf4ke493lLvv7r2d059hAcAJwPy+Ias1J50sGGebCK3G+SdIZUbr
sEuT6PH7LTZ2Cbq/rM9ug6YklJrfCS6FFDZ9UlgvjLa6zqNDlBEYaowk9IDlIFNX44ZrvG/aF9Wq
Qb6IBKJdJkAyhTH++3Z3plc8DLJ4V63NdLQKaYT1W11J3U+lHikvq6tXllfUYJM/jzNN/sJhjVSb
Qdl1NO+NWa1ObtL+90Fbnlaaxdhc4hMJNW49zyD3j56EVZ/aAVFsNRXdZuSYcyothD3RABYe7Vt2
/n2g6It8mmneVjIuvNKLueh5i0+kc1fIn+nmj7HYYaxBqUG3cZtJF9xTi5I30xoNk2iV+wUrbvD7
GjGlad1bJ06Ub63bVH5tx+NBJ0LjaHGzH6Vpjzt8/v959vvS74O6fMf/fdvva96SCmi10CvcNIRB
sTzA1ZTrFv40+/r/vkb/N1qMSNHp/3sNi0nqtwVRj05oEcwaDYidZvIBh8XJp42045j58C+//9xo
wjrGKuQExVBcPwm77sJ21q49h2wDZU66y+8D8/FJW3WlQCFgkP8msAlv+5yO38hBgm5tplO/6qV1
NA1BBCQCYeT7ewo9NPLLg2oW0HpU5FLLM6VTwn02Jni3l6cGO/Ew8vbSIYkFp78YLg4WYXo2Mjo7
dGLPRAT/96th+er3aVi4ZuCBufNj5JfRdmCygnvKNMq11sb0rH6fR+NobtlAEVUQVpDqlXsYrPnW
GM6im1F6c905bMj/eV63Gyq11M8jvKWaVDN1a+n8giha6A2KjIiJoO04SNtdRk8uFRvH/mO6PBTM
APcG1Cs6YwMpbRVvIcwKBiLE0ZOgbGrjPnWLtVuCbQEOU1+cTB1OCe/vWZcMyhqHGJP/PG3b+uIZ
9XFxt+Wlpl9aO3RuNiEc9L0CoTGxSSMaHFYHRDfWBXnw0wggPQRY+BsP//swhZE8mGp5rmqvPQnk
Htu6dD5HN8eEFZuyPf3nS882NqYTRce59pJLL8WdgiXHkcSz35fSRP73K8/tYca6hMfo7TZNG+OK
Z9+4/n7VNQ36JB1LcUOLTMtz55hojbOJh1xsYtXRH41FAwpxdHdOl6fzuC4sopr7RG0vFEPl6vfl
clKzrVfk5aYfS+Vii+m7inugccqobrPMKV7MMev3bPfI2JanSk6oJplIbMrutDMHu3xNBoXIieSb
Ng+HPRAOr477weTauf/+M8LonTDLAp8w/ERhdNqGmlmtlfmr1RmGqmojD2Ep2P29mg+sl18oB02K
R02/upwSgaek+EZHV36VMZ6Tvu/8KZHZZawd1Xe9mMyGVDJmawUrcOhFR0lU9A2zy3FMWSjdOs72
jtJbd5pm6t7AHbUSRmzd5+XBRlWvTOVd6vGDrk+6ycwq2+FQIadVie0TIHMk8XBrKZ94quvtcnTl
KzhXEcKOLNlYdbuIQKN/WlwV+99nRjowOrcwfQ4VguEccyKju7haT7l8dk232hNfUByNuEVaWBSo
hqRHisXwEnV6fzEo5i5aVyabodWghc7tGpO4sXdKNGpOZCRoRUIWk5lzVVHCdSYWTPNo+1bOAZeL
fQi1yTkYo3HuCm3Ya04LuQb77OX2+2Uyx/BllhfxOw/nybii84l29dL40/h5zbrQqs0Al/Ks9lN7
c7AMBHOGR5am1sooevGBarfYjSDAkR3zlJPvmcQn8z7T+zqMsbmxcsv1cexVXxmcJtTH9l86bqht
ulp7oRoxNknpyhW3IYubico6k2L+zFSGIHRAnqUrrNPv6yVHSnidVnWI7Kh7SqDE1GUZMsLQ2qff
bBbPEAxm6tzgL63Ff9ScAIVCPwsAF4eEeeYN+BW+KpLV04JCNcl0+pKkPZxUxcEYYuX12rUtgQba
Ug85wWY7FoBNF2X9UTUpvX4fehS0R9vNuGXhMdhUVmd7OkemnE+/T7yya1k+QXxbJCZv5uVH//58
K5L60TP+lJZZ4G1cXhd0HqgsQ460mXbwjElc6x7ElWpiataZkMzOTA+vdv+N7J2xQnx4AekgV12g
z9w7eeiRSEOb0ke1Hvlh1EAjM5mFtPh2DfaCYoqKnYE8LDLTiUvf+8Jh/dWYKA8RZtL0Vn9wWBSr
fJoItqzq729i6ljOZxqKuUkWOaWsb8/Vs5jAM8zJuYvrf1Gho06czA/GkkQBYUtufmwRfurTU0be
wKqgv7PCa8g/stGDpngMBXOvPCv3MsspiVLzbaKcQuHzZy5otmJOv+rKUgOxq7WqwnLVZTd8jLfS
obElSxu+R/VU9KjlZ4PVTI3Kv7lePHsGVa5geD2PL26ilZzOmlcttP/WzaFow5+Cmtkpyk82iM8Z
EWtlfZe296UgbVvNnnMLx73h0VBXp1Mpw73VoTQvple0JA8xOB+JGp5zm7ymETtBctZS71l2ydOY
Nxs2aIY+jfrtRYjbtBurqp2xlraw7lau3t5sNbw33hna5q1m4IaCvQic0q3o7GR3DCAB2vFdn3E8
tWK62k56V5euxpSNFjLs9D2foXb20R+7oLOVC4otA0aB69HErHAGBb2OZV7VP2uL0BOvPpoZTJly
ojuRhs9R3z97qRIMVUtaT/sFVOUgiCvrVbGL+uqhNPJDHzKa4t30YqnetgLFx7JwbU3uTNjwd84y
19EqXrxCuyDTxMcl15VRbBjaXF15MPp2R5geZ+MOqW54TpgEWKWydtryJpvxZmqgFmR6pDl1wdke
aDZaVYz/bfRaGe9zvs0bI4jm9qjV4VOk18gO0jehx8eZv6xgvt3HkG8KlzUJiQnxDm+Eb11lrt1D
dDbI/PLXyo6vyUCodaiivxAMrhNEratBej8T5VY2Kzd1Ln8amn8sE6eIrBK5dLfKMkgHCVRczl+l
xXCjj/rAEpgu6uwlStO9ByvJkR7NBnXdIjVQlP4G5XAHjQo5OZMEz6BlnhmA1x1VnKs0bfeFSWi5
V2FpGvXPit1/VY2WuxrRaVdqc8+v9FKZveCzkPqnKrhQ1AxJHhfi3x5TQyb7TYP/lPYAYXmZQzas
YOIXVatRpfvUD8TAzJ23NUW0mcr6s2qSiZ3LfURhd0Ppe63t6WHO8oWTSl67V4CKf3VPe4Zz9ccp
sHXhe7BTCsfamv9FRJCzHF+VqL3ktyoZ3uZ23CdDfUnE/DqMEbDj+VEU2mdvwXdPuUogpa9USzyZ
heAcKcYNlwLZW0hObTJ0PeVTd2DxaZwPUxwUgaFCAOnHV8MaDGbb6N1TCyYdpKQgSjnv1GijNdrq
dIlplWmRhaz2Yluo+qKGVEEGWC/p4L0ID5UQLA9cPTHelXGk16eToqQO+mup0gt0Gj1wPDrpYdmd
2V4vTthqBx33xLYGduKLsD5pKlOU5yriAC4a5mpmfu4M7TmjyB492org2NFLck2lhJfNLG8rUbK8
5dQ1QxQ9YeX959T2XzfFZMiANGmRiqVK/Zfurn6OcHa4rQaSn8HfWDYnxRX3Fn8d1svE6kvfIWMx
YHgD2y10do7WPJS5pLfF/sOIqR+Qn9G4VUrftFiFyXMkQirOuDXa11rm9yw36KdwXsBsE4ug0ilY
VYYT+LyH++huGO8m28btZubV3brBvCFnc9tV0T7vs++mcEJ/mkxatNY9xp16mDjghaEigqRrPo08
fdjWpizdd8Jn0Pqkh3yKf3JjSUnQaTYvHZCWkiWBKxEq35LzPxsnfXphMm8ptGxd2MVJpaNTZG64
6d9heX10XfOjC9tcDwjHHJkC02Fgu0oldFzNbHdtUvwRk3ar9fbDmdjfozg7m1H/4bQ9CY0WiURp
xvDDmTaGhQA+EbLcxu20acI+uVQ57LRk8BqfaSicPeM+45uOUAyQUvTlImZjjDkLn2jqU4ksHbPc
Ls5KIDseg+Lf3oAqOj911VMuAFzEIchHpuVrnFDIJedFfBn0HgYCQM0qLTTLRbhJ97Sg8GJsiu63
sNjJOJ6G9YzxQ8HMFuaZXxigCiDicCewLgit6tZ2GgyOy5+4VIx11qNNK+E6cmMcHfBKhpd/IYOL
URgaz2lqGn4snbOa20uTq3+ZIb1hj+R3NdYDn9fKcBrYQyR+Y2DSvoj0YNaYfRQO616PCTqW8/73
SZvECPXZVdBGIeSj70NeL85sN/sUYX7o0vxoJiwHtOT6VS3HHPYGkiRg6z6jsl3SdB9IJYnWQRFp
Kw0Arfy9c2cf1v+PrXKfdDk5VUjDII88N04Z+dny8+UQHxg607HUtuHiWZpga/kxlpSVNsiPQfmX
jObPBGqmIDY7s4bjpDBulK1i0y0S29yTJ5BEqMwKlJLQ+s/g7EDH12LP6dTe8+th66DvbM3p1cVo
hhLwFqfCO4xpP+0AnO6yNssOA/2gOmmUm2AP1dvcvLh2ts1VawlDaf/k9LJDG8F4rocPzIAsl+CW
/UbBFTUwurm7xlz4WgKzcPm8mTtVay65fIM/az7lU//dDBE3wKiaay1B2J1oRXvKcu4WOr+oBcz0
XbE0Zu+1u5lUZj4ScwPIDjnuQrebrqH2o4Gc5WJiLKF4ylsGjePYheOVMLHyZPZCgdIxYy7PQkbO
SGxjwmv8jNEUQ+TQvirWpg8vqdrOOHKH3RzbMkA4cDamEDiUjQnXS0soU7NHDElr57vKyf+WmfXE
rEm+hnmeB3UXvnexgxfLqcW2VnI30NuOeUu7y4YJCbRVLSNMDGBkLuu07jCmZyu3C82tLfF7xJ4N
WtD0mO0s2axzqtI9lw62pBlX0GyMH0mNUZ4mRf4GGWhVLrdZdbBy462uh3ybCMxOE1Q7Glpgjyan
WApVMsVcJ9sh1laDeVCdoBgbH1g/oqi4RKxC9YhO46vQZ/VZc+qVTB+KXvERAbPsUvUzl7JhaeDo
blQyaKfugJpyxX7CjIajP5bw8uhAv9LmQe6bpqBBPhcNCcGVh6qCLWNwsj0TiAdxTQPHuS66WfNa
xTg0M+3YwfeKth4+uYxqCTP/VaNIZuiVz0Gjzu9tg4fI6P4k6mA92YuIqp6inEMutUzuqLU/Y31g
VjzT6hDWIcRkGMBCpb59FZ3B0gBLGckMbIWRMw0aDuM0gl18xu2H5u6cWfrwCW7oWuTKjgmw8uG1
wlurwMThj+KwJ3ntYOjszniJHrXmfZuwwn2oHxu7BTyc9P0PW4gf6WRzaBaipzaefFm0cBHN3A5q
QVneuDBy9fEp0WkKWdFnJIcwAK48Yd8NT6z1tyhWjKPNESTIwSsF4Tz/CJl95vowHENPO+umpQX9
DBuhCu32HrUmqiGAu8Q3kRYHX1NG499Eje4TAC9P2GLtIsbHttatHZGIjTajK5iajZdCFE1aazdV
DXxMRBndxOeOqYfe7mtoEEDXNFG6zUiWLDv1fexCN6gjweqSWs8EkFg7mmMvvUWdNw4uMHuvGfzY
HX/6nExtbCl8qhZpSJOzd7xGHIox+jN0ieoLos0RbhTOH8vojs047BI1/oeZ/wBKIQwQYdLzzsE/
t2m7tkO2N8tz8idTFSlAzsLXB/WjGaT6DOJ16yEfGb1vo2XLF2WGCN1+6k07vqOyAvCL46/vXkmY
OMZm95l0xHfi7u0EKWFccRVLLj6aLjfnRUSYB3ODbybFbkSoxt3gm/UkNW8t9Fm7cNQ9ctTc78rM
C8KserSzNBETGV81Hb4+5zyPT+chUQruwFC+WH3qcLvWR7WtOUo2Hezj7B5TV18aBFR5rvzVlfhu
Wsp2SOsHq9VznPR6MEbFLenHi2ssptXa+q4krXej6y95+bdomrP1yZuMaACsDF0XgeUlxlHhw+G6
dPK1gsE9SFu24pEhGAYfp0TjgP7BZ+QYr2VHkYyU9xVl3DHXnR907iNZ8ARvO21IByWKW9+szEeI
5ZsJ1VuhQovJJsHP00HGVDU2rKqJR997uOxy7L/44CfihUUDj0KqK2NukoPok+gYDwigMuq3UFeU
HVNL5RnOPrUdG1hq2fqulYScCYqFSJHTRmJN5TxiV9cY44lvG7GzNrA9rZKZ8yipkWg7Sx1kTIIp
q0eOsDfM5pMKT/quWk/7uMwx+RSCWt4g5dB0w+dpLjg4mSllBlSkd7eiaaUxWB8AdGyNoqHi8I4S
zsyQAofM6pesVEbscxdLx8L0ic/os4vno+jq9FZN6b+UONHGdLcDAcu0J5G0iZFBm1C0GYaXSSpm
cu0ZKLyAB3EPda0hi5PvtTZAuArhscuJGIjhq5HgXmhCnJFEvoc2ZvqWUXZWnA0ODStP0DMrQZn0
cfLVqww5GfIDfVJhjUQVmwkaLnsgbk9bqoG4RzFvKMfCbuMtEKtnA/cqOdDTv64m5jFmIKXKxgoy
t730vQJIRamfKTEZgJCvPGXqN9oERFpRvxBdYOrgxu0qjqLEu0Qfuig4r0OMW2FJcwbtGtJkshL3
bw1mhjMDU8KoIaFo1ptNj6x3PWv1sNOFsJgNdZ82ba1da+05pcxbMw+19zF1tnO0K6Om+eCY5fhK
nYfXxFHCXYN3oFBSyEqV09yUWS+3rBvcehYG+sj+R4RnunZoYKxGl/6FKKjjZqXytoPXgcnRUjo0
A6eZ3H5hLdoRjcwxP3Ww+nUJwChrDyCaIQ5F/1pSy9E7YuZleATzqO6wrQaEz2xLrNuKupF6zSJo
J0+cTgVKq5Y2X3W1R7KK8ZldtTZ/JOz8e5s1YAOZGpcpMxpwY6m+Lwqj3jCheURVDxUqGo0Xa2J+
OMQ9J6fKwI0UWi+dNc0H4Mzf00zCM3mb56rbhmX0kQzpU1R3LxZO3BRqbTqlB8twP2IZveMZxiBr
pfw60b641igWj+NK2Ogi3AbLXIcOcYyoe9p8MOE3goJONJSDOPYCZP+Y1mcgfThvOTzNarrBOHYG
3bKNDU0J9Cj5k3vKpYchUgJv0sPYCQAzw7ZzCdlocd+5nbvtDbu+dWV3Yn6DMd4aOTi0iA+WEX0o
QaPR4CNjZyktLeGrepiA6ZfzptaMS2NgH3TiF2t234gA9pghdOw8qrsNi/HcqlvimwaY1VywESHc
axlSobRaDjDG8zC6uQiGNPs7qsK30s7Omcr0tqpgGVg9SUZyrldKYKfOLaXtiDUcU5oVlgFjzpbb
CrBDj3I1CYeThUGlDzk5dLmzhQnOtl1M1dqM0eFLM7tMHW6rzNN2cnEDsoqDaf2GFmWBM0AXOSvF
W8/fNdSBDZi4tUgKqlTIkChzAkPvCtyg8A3pvsAHVA56OqGdTZp+O+fNG2o1poaaV+A3gCuruQNO
VdvdJ6yqHJJKzAZyKKn5n4tihjFiF2kwlaq7Tpfty3LiepeT5+6rfU9x1K5LVSyEthn5UnkMzb68
5a5+UBebQ9ay/Vsempx9hMAPh/HRUl36BE0702vUl31kOMGo9jFpq4Hb1Rw27fjJLeAQG5rMfYR4
AREa5Yn44XzFoLrk/Ot8DE0ctN7CKY09v5u15DgWdxYRloIIHg7aLVxJiz3Hc2n5LSnq7CIuiCol
BULbk6S1qo3hWMUcHOiH40uNboijdkbxjam6jvJ2oxNo2s79rey0Bktitu9LF3dxaQWaYycMD9nx
hqR9pPUmLUaUXx7HK8UD9sNk2XcFLeqsUfSlz0lTQwLnnAy93YzMuFaxwyzAsOqd5inVZqZxSzUV
om4ZM3kcRLaPycP2Q9dLTjqohFiEgREni7aR4bEYNOK70vvoxLxxEsI/cD95YAu3UZfEgRyubDPe
IVLMnUkKxMp+uFn5qqbdQ+ATgJL1FkfEfjfyNc9tQrdC0Ebl6ByKrKp3Cq1W1+ROozKMGOXifijK
jV3AnHX5j2tpcNoLYUNZ0eRtkjnTaA8bGlCiGUSPPQ83HEbpfq4K0LSWBWEVz3pW2R+lp/6rm5K5
dUJqZbHsIe6zZyUgBBzCd5w6+U7lU0fFBpXps8pNDpumeLOMNAncBpFKOLmQw+v4ezL1B/FCnFf7
YhMu3JoyiPGErUwj+syqGX+1VlubWSeKk4spC9RugeP0zd5MHonczwwz28G5Q86212oKR6utUgdE
oE25RU9/LL1om7o1OoCQBkGKoZ7dp9Q29PO4iODfJG5Lq5D10sgV9VlXxV8l9Qg8LyMDUAbDWDMk
aT5J9uYsXubKVbcoO3SmV8UrVwhc5bEjKhseC5WMYNpCnP2oKWcPu+ClmmoHZbF1tMv2GSMf5nqV
w8dsnFot/ZPabKplpzQ+cT+SNUWUQZsMz47HAT0mgPLaO91rViPn67LP2aJ4xSR2Ks3POrxpCUHk
SNQPWmH/OE4BYoNRIMUv12Mzrpk63+gRNIHNx6VKx/VdjRNHTup1Fgr0e8hFjILGWo4CZxG4M/5q
lAsKW3OFgWDvqiE6CwAXQT50cCbDylwXc3mhvY5OqCejOrIumCK0U1Jr53LG951GTRjExrkRkmEI
woGNyoXRiqUfbtw7FYtLB8rPm2V3kN6hrw2x1wbxR4hCJ16pf0ujOiiJekSerM1bfHoaqkJtwrEE
I8juUg1BptUFbIKPyi7edLuMyHfQnoQ+nawW70colj9xOMOemikD0YN1Bucxe3Q+c4sQJhbVqXSy
tavlT8o8n0fHg5fyaKIR4WvYZHjvHWQXy7Jz1weNYifF9GLoyS7vmmOvxO6eQSGaQBR6rrtlGXgD
dLhWWgR549By38faVmto+JnAnw4u13+djOE6sqdbrGSf2EjxfYnmT9j1lCGsDbs6S9+yKB1476xy
CeE9EmoJAVQdrsUJJxhw8/MUjfvWIaP9o03VjBhyq8RJgw5bRfmpeU9o8V7KZgDzmqH9rgONiihA
DlpsqN1R9rDgTnZL95F7PlTlKjIgYuJWBX+nzeNORs1Jx05BeB47exfb1rpxmjOaHF9xcE7mFkMj
PORMOzwESPRC/xRK7p3Q+nxLIzlNjfVVJxxvPcsrAn0AITMkU49NKH+tw6XZgziSni1Al+yoYVKG
wCU/WDoGEJUKxXlTb0fabVqP5KZPCd7iDb4h/JIbZpF70UynKBqMbeXB7oJFtqOEuLTKM4bKlxHf
xatR9zCcPa4+KyTeOFZmv+ZiotXEsB9lTuUY556phqfFxd7sHJoj8E/c0Yk4clkvJqoudH3o91g9
cfAuLnsv74/cvPQpk/gHniMjkUGBZGmkG+rLK/HAG8LSSu4VOCliQA3j8LEYjr6BA+7u2tZ9ku30
gQ/zLpnbcKZFNQ/dR3Hr6VKZBAsOowg8QfM+yqx/vZs9e8kP0clfskvHe1jvBAKvwKw1pg5O90yf
7gOv0nHOaLZPrrIvzQsL1rhVGH9QjTHrQAi3gcY7rX/PAdiuKq/5UuAtbCCoHBNi568Kk2CCP9Ah
FeZbHVk/qE05SeruY9bSjYzA1rRwOfadsMwnRl0VjbNvxGEQ3UP0vq15UeGBzmP1jybGfIiNEgx/
WKXUBQAURX+fbLNeN4RK7KxJkYGdQGoKDTwMZqlBz9bacR23ZsGi/tznVbXuB8UIZgsngQkXw6FN
ELnNIZbylsatsu+1kzfAShZuca8cdEwt5sfGja4iCfHm2A5cYoyaRYqwd7DSk1ep4YlIkCuNNRqp
BowvyxNrfCmPSRHGfiIW6pzwA0iOnt6y0PJOmIm7mqbQXIYV8iaXwU0zOYi6hr+z0+KFQWEWDumz
F7svNdyb1SQoTEIK06Kdfc3BSCEn47uK9G0uaWJXrb4VpXltC5bEgkPkJJdYyQgmkSTpxEvzf3bO
Zmw5F4rsKhD28FbTEYFOEJgRWadzDCmu7yqwyVCCV23nnRVS0m2pO4ybJFukGv6E5JA+5/DyQFi/
22amrYGP4rVRoEvBFgQFVTqA1FPvqsQDXvZuTTBYsdZTpLFpxTFMC1MaI8wXfc/smZIUZRAqihbo
arMecm08jVBvuEq0dQJoCS0sRrG6v/ShQpXdA7QfFIq2YiwDrUvfRqp93ytczJSR1eNNlvdKGByf
wobAkmZ4jsrhaFQO8SFM9mHTBW7GcIsPbBWLgv2vbB4c1pe2gvcR6flOYLjnLPNlFFO6hvVZwJuj
Vx8XXy6hhHXO0BWJ80hxlwBLDOGgjmjjGcixxvldRU2sugCOEZf0GyWkr8OxvwPIYn0zwbM7XR5t
ovmMuva2uV0KvzKhYZURwzHA4+9J4w3b7DvxgNRj1nvpHdSBOIlP+kh1Jek/qMYOrJZG2VzjUDWt
z7iA/S7lKc4kWHlwJ53AlSud6USQ6R5ke7ybDYnGToWFLtR2KUdd1oXopChAP8TMgKnA2egPqHQS
5hW+Dr1plToYyeKp4O4mVwcOPBLxiskXx3VEivgK05laKc0GHJCl2Dp5+z3B18P+S34DOQGwDIa7
kwEKV6sIjXX82uvNdwzxIijt5MDYN0XSCOGA+a6ykm6+zoTAsdx7JE9WjyrCnk06ZozX0lCDLvL+
tVP03BXxo3E6dz3K8txW3rsddpEf0Zjt6g4fmeCa0/Qq39YWPjFoqFkwtOo6n/PzTCfVR3HPju8x
VEVAKiDVbtvGhHTnibdqqD+IvGiOmT7May+9ZYlyLnJwNHNZZ/tmLFwfXQ8VZMVXoV5nr17WPZno
i5H+sPNOCzMeM9gtQZi6kRzL6TXNKAqKKGjHpNnTFQ9LZVNoc7iceGiowp7zR635Zna+LBoax/dO
WzryUD2S7BC56YHUj4FXbibvyq/a5CJGmAYZ40HH6ndySOOzGJx/kam77JnmP+YCYITiECSxt8ZL
xZmqVbx1TIARieMrlkrOP60C46fRT1LFh2Lkf0YSrP1uPY5KAMXmWi/jDhTJd+xyT9OUnsdY38PG
8B2vuJlFS82LelVr9C9lSjdicJda4KUv8YGpG5PVriM6KZnEjtioq9LZ0LtzKzDBA/tMSHelzBi5
cTSOhodIYli31kHt+V/NlM2Qv+AkXyuxuS3BQRQIHeCUHjqa63SrDqnd7Qhb2Jdu1K+hS9rZyzQm
p9atXmTk3hzhPMgCeoMqyLlmOOTpOp1r6CcMC8mEoHY2D64bXnK9eQJPf1Tnej9O3Z+MQ2GPNo0a
8xsqobmt1PZu5/RldSxG5Wn5vuUd9kV86hxI/nhqMjX566CEix0CRynei5WXfQ42v6ib35vaeAGM
ioYDSsRgzC8TrqeOPvuQUaKU8s3ytBcvjZvVXDY/ZHvsSm2+ozB8Ur3olVSCyyjfM6M5uVp57ZSP
1vBOtl08q3n5z9A1EqNGbuPcVzF6hbSXmR2nIr4pzny0axxxphqkqKvR4T1NMnwHtdLjpE2G7PdT
zBfkmdUR3mMfW0zuarbJYvioevuiTzAL22THp3IO8c+XmCeU8oEeImBJuUKrBsX4DBVuV7biYOKg
DyuMSyQA6d74J3Oa/fI+UDadPSwQE/kgyNQA7Vfv5LnSKmt2cV59TwbDfLdCGNWDlcC1NzPeldW5
KKo9AVPgvuOrW9EAs7GClsJ9Adb6NLnGetQSaOS4i1VYdyL6zmNO1qbuO6Z1jDwbYATbvsWb7TIr
A7OAGkFR62evIPmOv5Dl9VfDRoScOeVTIfUTcrnYTu95pJyEaevkCea0sdNb0TC8hshy8ZL8Nuk6
BCV86dqMfyA+NAltbf5Ecc//3jhoAHfFPddxtdap+bIgIYQxHZUfVoVjbLs3wS2FESTjrObBgwcn
VBsuvidXBGMpLmw0n86kHIq6PEt6W4mMUcT0H7IwLrV743M5ZrF90Urv1unie+SwVMrxKEAt9DiL
3MXaPTzbLY1eK6LlO/o2MqjS5CqJJlRJQcMJqlYH4urqV32UN9MhOs1KNh1mj7iv99VLbuQvIup2
0tTeBnNvFPW/bCkrZnJmaZoy8vQ8RkuZtY/RLHTuNSync2zMIAjMS6gV6jJx9CnNGXjWEBuXPjoD
cdy+VNrJrABWqCe/oY+9MsqwZATZ0wxARZrp8KnVfZOi4pT7WoY4E/LYbzomAEWY+3rzIXN6Z6WX
2ftejKyS3Fr7aZy1w/8wdWbNbWrhtv1FVAELWPCqvrUl2bJlv1B24tAu+v7X34H3qXvOi3bk7Dix
hFhfM+eYcxEi8uijKb7atkMf5iJ0BvJCLa3/IYrj047Qp7ACTRKLBD9qz1Dqu3b2Niq/vNn5DUbz
Ux4TuJuPl0pLT8pWtwAFaROvhIjZrAbdDdisXYlt0QIRNu3zKAzW6fI9ssxD53aXwc6ucC0+fSRo
qFEWxHFs6Ul3MMwJO2ZcSqzgQrcwzbAHi2lGUJc4RL4ElCfzX+fK4gOjfOaJfTUZWznml1ErXy1P
nGdZK94Gb1+43gIczuiCBNTrP61lvwRafxbuWvIDVaK+VxlzSatbDm196aqCNY5CO2SSUmoY76lR
7hoUxW19ZXW2wh30aTacy37m/yvm+dqg2ucsn6hMaS8zcWXQv+ir7KlJjUtEervGB2PsmrOlRSef
Dx50NXoEBBepeVMhkqgUdrMVbaLKOCcGymtoKhn3E6k8dv75n5AFJKN+H5onjW94LDT7regFKNxq
ByXpTM+MNGvpNrwcfo/phEwNjwnt/CLEndilgMpHli20vktEj5zkBmQvtBC8BkmPoI5/miuOvYeB
tIomjOqSGZHzqZHshaW7ij8QwSNjxM+OvJAtAa8zW7N5+HwP+Pn0eNj2sXzmtvti2sbehdRlmM4K
fB5qxJU9Cu612DEScSbabq868KV6dK6yW667/9y2pvMfkqUR6hRR1K1O2m7JaRlj8+JW46khfWXP
8I1Y1bC6EiaEgbpKsm0S3WNWguvQ68xlbaUbkcwOD7PKt7YjKLtYS3VeJRctK6Tl5JUPNyiw85Bi
trKN/N2JWVYXMSInpqT9W6GcWz5ozxDxkoS2IgFLuKjGAWTpg4HHufN6ooz4RnX7Y5rwJkrF55+B
TS2B1mjtjSBaEup75MKGIfslVE5f7qfxOekbfV1oFS6f1nxvJvNZN0BOULwU5FO35cLo6RbyFnJ7
XbcvoTF9jQWpXXqHqUD51M+Depr/GwPm6nP0ebraYDHiaNBaG7lK7S5NJtG6K/7Vki6AH04Df8Dn
1Baeve4i7REmcM9sKzyabBjS6kQKJiKS9No6tsP1O0E5nvR+j2CJ98GMyItpJ1y8Vsr6OvkySgwu
yF4BL0TSwurjdzfTrG/6INoliaQSCvdG1N0PY+sbiVjaNIqz2b70XCGrQmhM7Buk3YIxeDhGC4x7
wWHMGVMF8rsHubqISvjwZgl/XNY2bnIws3k0HNvcid+Zom07q7lXsjoC+O6XlqADIWPcYPFJ2Ece
u18hXqaF3U6zlDYPAKxVl1RhbyZsF/gqkHwzY+sOuX6hv8vC/myk8UHfCho2icuD215SAnAXTlFe
hiQsNkWdX4U381FdyK3K8D5c0f2daatX3d7rRLVRBzJZJX3gx8Q1dvYb9QRz6I4a7ZaVE+234/8b
gcTHUwE+rqCXHOK/pHrhHSToFH0/tWv/mPwG8A4tWwmjau73tn7hZVsQrEgHG3mKrMvQzN7IFnpV
EbgbYdAFlhVEVQgCBCwY1XKIo/ykou7gR4gFepY1iwoLFS6tyjw0vLVrcpJYaoYgGOLgXZaQdU0H
djX0KLinK99DmEsJnxvqn21EP43jB1vXysAgtd2ttpPxQKrCv57vtIwbUp5rKz4HE7cBS2cK7pBf
wrkQfKqcU4zB9o19S7as4/pvkKfohzXnjxlrOXK2+slxoNT3JSdvVRckniSXiD5l19BsLKsmsNYa
JqQN7mvFBeUcakMmcNiTG7aHU00TwXZTPLFrCw54QaEZR/9szXIW7qermfV+rtXxO4I5LuW6o249
lHjwF0OM1C9jdn3RI8j8KdIrNhS39lc41+pbo4bnJg7+RHsagFncCRT6JzM1XntcZcxl8Kg2JbcS
t9VIQFDW2h71jd75/TqseeEU9WNtZ2tEmi0RAAG9Y1ftSZSgf87/MtdbQo75qhsnWDVRmlNEsgnD
ypxuRjYaoRJgdSr1yRs/rEE/PBeTF5P46mM6xyIYIEVBL4hQXECYw+dGjBj3b0qhS1n7WwkXFUz+
nRBnYxuppZ0a196Ap9gU/QZ2AewdVEdrTnHOejW5C1vjnhc5yaXRz0MZzqxKE0Lg0rbyV8+pMuLh
ZL2FFJZA0RnwH3NDpjnNnKVpcLOxjGQj0i671u1XQtOybMOqWssSZ3busCYSvfaGuP8gxGDvLBNt
fJb8IXEh/EJZd+QGNJfggY75m1iDoGU5w1SXPSvyONREoLhtw0EFzY8KE0s9A5IBsZMxpvcdVmqO
E43ruB2W6BZX6NnKU1hwAyJ8/NNOnbvbZSciPos3027fsJFxrfZufNYzRSgi2/h2tMwVw7Rs0Uoo
I5HlPAv2glurQXndluSMj89jTF53nFgBnPWemR/aIVz93ljDFke8x2j/JNpabLLgi6NXrDrGCA89
VQ9Lz8kj6NXOCkmOGk0nXavE/CzLBt+3t8b81p3CrQgbtgyh+XCa+l1ZbIiDUZ0LDbBV2+UmSxxc
8pEZm1vdMMKVViSbfOTj8GvJIzVZj/+S/2gu+8Tr1rLwT3pGpMvYGNrbIFnMGG3RnJJ9wSp6qQp5
aSvrVcFwHG9hx5FVay7r4L4o99i31m3rJLtBs7aBoYMJstjYomq27RT2xmA/8/2uAYYGOt47SJfv
cs7gIriekULjorpyxhfE6LAYAp9jdwSTlbqccclr2LlXBuCNam5lzSbHmoZHrI8o+qmtZUMEGO36
MzfpV8gCVz/1inWWcvGM4zUpsITXg7oAKXqPFHFFcERr3HWLQEmOdROOkY9GwelQ903WMz3xabDy
TeFqH4HnxUszSaGeNAO0H4fG1SnOhSrIuoL33cx69tJKPnAU/MzdBjqrrUR4GbXuU4b+ZDEMEfkZ
1Tk13W/XGP6l+kOqmt1Hv3E8Zojduc8yjsQOfEELNol51aHtUS8OeDaCAbFNOkv9qw41FRGMyn+y
IWhHYgTvH16QqTBf/JSRuFc0CsxBtJdsDqGN1B0F2oWJ/ym1y+eqOzUJI6M+Tvegtaxy5/b1hoS3
p3l6UbJJHNubUdpnVXPv9kkOQ+s55fl5/oalP6xCqREuWl0Zc57KzMHrixmibfTj1AVrFFNvlWf8
i5wb9qtHpHETLyAiUjWaL53uviM8Y/dTRDACfNhtHfpCRE9wutPpKp0j9rFXQ/e+WwXbUVhn4A3n
WEyYTz69EecIEYSe1L/0MP4qhbmxMv/uhwhgcwi7lJDX2C6+CXFCfVQ0P6ieXrTKXdXoJcayuhQE
YZVM0NDdsGDN209rUudhdJ6qmZ+T6OB78CVFP9DvZzfCPKyKs++mrW/Kc68YQYLFCkXbH6ZpXIkq
/QHLr1Zx9Mfln2TWcxDPgDK+99jlD38THF2creVNTekOFsTCrLITUpU96jdYb+aq9fANe+2MK+H6
bPQkXhEvBeohK/bkbNwIQyPCvs+1K0tZwBbOewB0y4unFajVFxgQd/xWJ9b7LN/G12JsGVloy1pD
iuno77qBeUJPpk+t+kHjtxyjdmcZ6dvIOMz/NAKGjJlNzxOYMUNAkHaOU3EqWNVHFcImayLuO+22
m+vMwTnJKn02Q4ZTkiPMqMmA/Bx195LF6sdN7D9tjtU1RsKexccu7KotjKU/fcskLSWK1A4D0gDs
e6CKdxmx9is89v3KuuW1/aOS5I7i4pGVe7dJ3nOcP6xf9a+sLJZp57+inXMJxpx+8qJ+Sgvk/GMe
/IOlu+s8C34KUIrKne6icUiPeE05MRa0GzkaTIanDPtdLueyMthodNcB6afdJDfcge1qjMJ7n7l4
NCe0AuNPDS1LZSY4ZS3aBab5XHczzgeRdkg30lG1L5BGbp00vOcJJXWh/HuYWD8C1rLh+lsXlF+r
o4W2OqxDSdRePBNoAS/2kHstQRkGTpDKe3hB9gHqK4qL9UgwGKKm9zBEaTF/rxBKsUcdnbvcQGLL
GZb9wOoy8vyzHfz1TLZM9i/Mzhl2I5yRNQAD8obMmZ7hGYvyHbT8S2sj2DNA/Cum0g3yIFwAJR84
1jU+IsFCp9/LFHeQgLY0okOYVV00Hvk7qO7TkNLGywj1usY5ieWUDPhcvFhBeFeoVNKIT5tq3HZZ
eTXLNf5kkLzSfhiYtxA9tDFFkWUhGDXK4MEH5Da0yVnYqcWlwCuQOt5NQ4Ye6fiuwio/yjzZaJB2
O4vPIIi4pyht1qqelZY2wLgw5nWnetYbphPAXG/VvEwxLLnpZPIJ2XjphvyNwodjMk3jurMh67Ux
q9Sg+soI5FySHfivld7WiM2PMTEfVl7eyyRcdfyAS9FjZkrjLZSLExJlA0lT9BEybuPf1vOaaebe
DNgLxrp3oqu8DWGLNELLoDHZ9yE42HH0kcnsR+rhnyYdD0ZdPAeyf1mV9aweo6LFScZrk/no+9sa
MU6D9AL41KKX+ANrAXTN8yO0V+GOwxxPmFZcFdh3QqDshVFYIcsJzkpApKODgVUKToC+YVzhvHFf
eWP0dAkCFrKeh4I/5mLr+nqnsvLuDfUykiBJzXJ2LHnUJZ4GZUaIpzjYhbl81zz1EXVKMhnlR+15
dVnLGyUCw9bQHnpCxd4AMbSyH6+asRWc8Bxy96wcMSiiBZbVztHWhqGBAM/OfdRKchcihgWgdUJ9
eJ8y810O5TVmtFiSrqDHDsOWsjAWmj3nXYslp8ajSAizdUZ0LykaL1MY/xDa0CzBV7PYFZKhbh47
ZJxdzOhzzB8ROTAo7y9OYOMfq4IbrAsMDWyCvF4exgJZSdTTmi66qL7kgfYdjjorFuMi7eni2clR
c9ZWrp7jIj4PdfLc9TrYjGxTwIoaxXhrDNAgjfs9xQjgwig4JH31XNn02FU6nawAMkPb5y+BDhzP
XAe583cK2h6UGzbJUNKD1bCtoBmgN7nBAjt3yvnnWeZTkllvZtC9ub12Qli5Rn611ori1WZZblr9
a2dB8GLEmxbNhWYLAVvffvVyb/XqOur9TdeCHdtpjkyu2pLjiAzZ1uQdG7ngI4vV2DGZ2PF6KJxZ
lSaaYn43vdZxudfzCs1TtzPzAzf6m9dR8Fc1y4S2OhVx8VzOGK0oguJfw4DOiePAn5XeTc/918T2
ZxVpr17+nYRIfq30FuTdJYz8nT+IK3P+jRqmFUqetS3aVVjPnNyaqo4cg/THqKIf8AgBpEn7k83r
1jKnNaPu14JAbevoFupi4hJa9JCR7A4zZJWPK9IG0Q53P6HmzU4t51G48ujLbOMiS0SEeUjtfNvT
N4Uo9Ie6uMbF+FyqHOJCH3KMLH3W6aUWsO7gap7OCQN/x4sfIRHtC1Xr6wmHHNdPA8aStcuNT3y5
sE1QnLZ1UPl4FY489glTvYYYhHpyX63RekoN5zV29K0bWneiWb5jYWEi6t5YNFGoWRABO83eUVZv
zaa8tfzwQ8Gt03L1J4cuzmxmy7N3rqCkwFtSpPxpyaMFoNIIRLp8tFShzrIldkJKevCJxYx3QeWL
1q0puUNp97GzXss8vPsxC1ZZCLARvFFDt2cchTpYXnWCnO4oejBNVBaYX/SMkGMYf/gNC720fJFh
sw0zZF3c2oqVHbU/E0TznTbUb2EuzGXRIeixSzh4baxtnTh6nSroge3kks3kTNu6959NGVR7MuV2
ZZYyvfdTtWGjeotHTFQDmyuicWJxrBBZmEVvfFu54S6sItz7euOvWCFa/LO1clt2W6FZ8SpKy/DV
CtvwGZX2+feZC/rgRV2YNp+EPdlnUfzruyF4dWrZgCki++L3aePjtK7BEHH7SoNX2eDiyCQhi8Ds
9cgjy9jSXhBs6nQQdnOI+5qnZT1uqxC4cDN9OEFbHqz//+BxT1uPCjKg5j18hXznf3/v93/F+opa
rJvzomFK/M8fDcaIL/7v89/fbkPwNgPM+hiHAbPhqjjYtssDiz8iv+WbX2WcaloB8hmlXAHuZYY/
z/9f4zc0CinSjdIc8sPvg0vg2H4gWXeemTBEDSHGHMhlqw447P/n4b+vATdGR9Lvfr/++6X//sTv
c6qBdAXymBdkcLHn/9/f+v2+IkJLN+XA9alGBosqrmc7+pLG4JUqUl8MQ/xliL6ReUaWwmi6Ox0Q
ArxOj2Xsc9tVSM1LPHsdbdmy84YOdBI2GKepTlBkkGKlLJjdPzWN17Ey4+KYou1fwjQGVf4iRz7R
7C1jTr55GkztEUPUYrpk7Zk0x6sm067KDcaVH3qI/8gPWMkWzX1c5/WmZdp6Ixbjj1aMB9H3CaIT
plQewWnHiFiVkwo9Vs2atkYpGx97MkuPTVwgmeMPR+TxMW8k42VyNny+Kxxh3FfL8Z0cw241zoOm
kbXiNsKQtg3bGsvnxH0yYBhTQ4IrJhoik50bGljii4yj2TFc0GenoU50XIp+dFv07GcL6ZTrQM4S
0FZEEKLQHMoA2k9iZ5uxMJHgzdxVNA7jPm2HfsWIBuWFh3ljiNRLVOPOaQpGUEYt01XJTedERW1x
xVRmaT6BhsUQZZSPRBrFSZLCcHJHIgk1eoqAZKELYj3jaWDPKu1RPuqSaZn9PoD3vVBDaVsPTR0d
ce6es8yh4a9hmM6Bz2SoWfUmGVhsu8IInoYm/Au/kC2kNey4Lsn1i1j2pE2jX8B9eesCFzNmKh2o
DMOMlWPG2av2qDMjCjE9om6C28U7EhGTxEuwrq3QXdozzaMayUbtbXnUm87ZasTLHgrL8I9eIN1N
2dvpgWXIDqRHdIyFqVZuRda317sByQdssMYYIRiSfsrb1HG/YsQaY3PiDTsVnlG8kTdEhxLm8b4m
WEIzFJeKn9bPjmL1gZLCL+z0BHMQPVI/GhjbsMbYyZTtXMqIh2N+KfbNHXFht0qrnNfaL1ZjnYe3
ttbsVynRADZEUCldf6Yqa+6Bry30Yq0nzE2GiC10boUBphtsABVTHOrCukI7A5rVN5x8Fxq2umhF
fhd/YeprZyMX3rRoEsEvI+vh0FWOjPRtwVKOUJyiW4jCcU6Dh/Da9BK51fsUhJxVuOhNB20ZmUmG
LIFNh5/XyUZVLJ3tKaBg09345ojfJJP4n5IWqc4u2AP6dSJNjMF+8fOJ80goA+EATycM29swnHOD
SCZ/aa3UvEyyW//+ZtxE71xbwQmO7UeUTfaXZDPPZe3EbGYZiaYGAXM+K9Urk+tvxit8sohgPvdB
HNxJOciWTl3I/e9TFtQahirLWY+cybQeOblrbjIeS7d/cqecUFruXQt8RuNnSKHOPWO8dWb8jkyf
t8YdxkdfgH10CMYyAwJuXRvxC36OKi2ufpfrx17oZ+YF3THR4u74+yu24NzJkEcXUSzuNbk499h5
V9RIyWQKaiwiRild/6YdS+YI3cZTIu2cSJzSJlhPyH3V08ZV/ri0zDR7+f0uMRy932daQSyYRju0
1nogPBq+q5ffX2V1nv73K03TrJWUiOhHO3c2o4NCVLhszcC7phzFWf8m6dO9sL9qgYr/zqLFkRyM
dzzZmC6EvuuM3Dx38zp4zCfF7UQjhN2ecsQPCGZwZbxaMI0BSxnGhzbQ/QHQtEnJMD0GOd6bUxnV
tbXC9yp3yqNmw2QJZzDLFCf/fakwK3vVU8KDc0BtvLLkaBx/H2wxZker27pBTx0QoLH3srZ8RhvX
77SAOOFeM4slkVjinpkjvwr06MIEumW5BESFSTYmIOMehpJReCrTjRGzIrKHWF/3Ic6hkLn0utNQ
OdhpA+F8CsvZc8BuPDv1XhO/+m4XHtsKi1I1v3tS0jw3Le2bQHazHFIL7hs20j+YB/wlHXt59Lp0
PoCvfpgmZ93u+Wg0MsZMV1k7Uc/o4dpZtwrpRK9lCO6c7qxkrV/TOYp8th93uvOak3C20DpmVglp
p7YWQbSlXQi8qX42cerscpv3ImKApILoqlums60I6tiLznmyLG24OPE+ioaLrCbz0SoqxKCpu2Vb
AkhNLS8Az0LCtYWmY6P77OcDu0t3UWHrb7rAt8UWZTqWg6VvazI0CIK29Q0JpTprSF3T+Nk1g4IB
m5IL+PYal1W6tt2ElCYqRRiUrX+sVQuX3DMZZAVeWG5wH2Ko9vxiG1Ljv3t9s0mkaF8Ml8jQYsDO
+/tlpNXEFguGhFaZvlf9GG+nTAWbMp742MXEBbF/uGp9OvzJave/XwT/9yuZYz6pzu+ubTNHO/g4
QPDQfXfd4KDpRbCyUHPxM5O/1lWWDTuUl9Ou7AbtEjSc+5Uqxm+Es8t8QpmDDv1fU2vVk6XEwY4y
6zy47AY70piWJfaIVZ+XsOAIJdtiwx5WlQ6APGJ/jsMU5bIFLqauWPfpwhHQYFL34KdaubYYUH/l
lA+9V3xrwI5pJ+e5k8Ok1mVG++o0g0WKEWPgeCZo5UXFuDP7wqKyUYRjHaSwJsQbEOaWLJUJUeyU
jv+raXZBS6Dq/KwLY8JTq5yRwGx3HdKq3/iyQ85TlNXJiPCc2u6pxXMLm1fAD2frPXURua6qF6vJ
IEi30zbYSUwsG+60hPaB4GfOi5s6lgBoEVdurtq/XjT+HVtNPXKXmU2mBeJGlS64JSbaeZ45M9L1
N5lraevM15iQ0EA5VdB9t3a/HWcVVt/h6ipFf2SDop+VofNg58b59+koBc4jI0BMOcWnxmfN0eXV
i13jaB2Z0v8+0yf0WirRKIptnxEdYhGdTQLRtio5FE0YLwvhvPpOidgTCwF+NxjOv0/hWIRrNmPA
2dgi1ST94JjXCoC91Zw4yN3ASuR+MH1/C7c+nYNperLI9FdoqjO6IKnAYWr1pvBwVJhFGa79GMjb
ALrphPdUbaijCjHsgUURRc2bsPQ7w2VlSwlBbb3wbB9dHsldq76zs705FdnKdkr3E7E4RJvaeZVm
2WCq0fEKeXa86/iuqB920RC3P74pQPy5lnnCdfU+9GV3NDMbgeYktHc0/3O2O5Isho/BYwDKa+pc
RyJwiisy/xdACcHD8lW5MwaXmnSOrqs52oEEhjovQ7gjLrK8hezhbhlxLpva8sPV79d+HzC4sG7R
rfQQz/9LgJBgbxkuM3+Gc+XsXqZjD19MRBDog3BTU3OXx6BmG0L7SgvMFhQVStDcHUj759jCbtWX
3rEMALn7meKWaDIuyCY1rVKrFpc2s0emltha+JS4HHZGYNGcDu8CpP1aMhu9mMAiLolklIdldGH1
lvuXqqx57/TcpPmPnLPTDivdBiIwxIV451bKIJIf4snvtfYNbeMYzN1oH3yFjcua1aQoraJa29sC
p9cQgMkYkZSsY61JTyMz71Uvyc0pPIYXPbuaTUOu8QYqp7wE2CH517Kuo7go7UyBIHCNo+wnonNV
W5FgDgSaXQAq3A4FdIUOeRObeJT9cdIhPPC6eZmMNg2K4u/IDINzM47/jEymZ6uim0UNtLFd1Dtx
Ho8vfo2aWBvVVbQEWo9K7nHwcQ+uZKdzx2HwG/Yo+2LBwKyHseJEQtt0wZA/sXiY9kyDXgATNRdg
CAKADLuFqbUeHqXgh6+Nz6GfgN5psDfVfdvsvUZCVujGcUV/RnByK7OdMYliS//8SghnC9Q4U+yQ
DegzkIvyp9+/CiYajGwZis1v4Wl67Xfc4p+gxE2PTUnX09Rl9DAtdWxFV1ylz2C5xne7K5Ez6eUo
Ll7NaSKVOLKrYcDiAMZswv6PLkd/h87hS2RqOOMGIHFYmZsgJWC0EPqb1vTBLvH9czKw3yRj9an4
qyAv+eyyb4LiiJx07RLaa0i/yU8L+qiNMZXUPSzMUVb1s/DCfROufJcwwEWkx1utcUmRI6wmyLE6
WS2Fkt1U7lvQkiHK2rPe2hMs8rF3TqyU1FojBXTbG/aa7vAuLZm/FEOfr/G4ZvshnScjrOJHigdT
pLjKY2AtfaDsnVsOHewLzVpjJaEf7X1xprMl6wrO3TL1iNEGM7/TogJWYmuM575ytlNVjpfWOADR
RWfNEMdsiRNNS7RceTri4pkbEygxTKiq4XUIe0ROoRVuqqrZTFZH9JtOhezoyexyzsenecuS6eJu
ztLOomNVGALJhxRyKayIYSPKGhzrWn2sKmSudZq5q2nsjR3lCQN8N3quwopblD5beRN8LrLyIhDA
iCEls9rTUBHFkwkS06K6XhueEa1ApDOKAPWyKsdErocsHM4iT8BGkDHDWWLLq5d4Z5VTJptFQWj2
hEI0G4YtS/D4JPy+RvQwS/XBn7wLuGhmYaZn2dQpujH2UaVM5aG2XQwCkzh4kXVrgHOcfx+k9JIj
qHDrONCati0NhIWacel48Od1ZDcrPcdP0yiXjyLhRUoWp8KJqpeKa66bdT95pSFzgN+04lSN1yl2
kC9Otk7lmz7raNsajDJNFvdoOtINviNj3b/+JWxePPntW50wIlrnVh1+wIz8MAA4LEEtReu+DLNX
MYFUMWNz2o4OiXaFWx5Ho/nufPxvec2BqeYHi1uH1iW8ORoJHIEeYqlNnHrLShZEgaf0t0g28szK
1z07MlXLRnXeCj5hdaIJqU6aUO46dAgbI+souw0eqxOdU8Se76p5h+vj93v+PliF+ckOuCB0hFsv
kGuCMNJjGk8agnVa036InCM5OJsJacE60Op+VbU1H7pOH46YV6GSFFutd5JzZm6ILXqrhHqj6ole
9Vy6C5ljyO5RxrWeYLo+tdHV60Nza0dmfxxVfsDMDd28NCQ+wHRCWyeorA132sfx4J+hiH4EnRgg
LDX1nhGIfA/N8UyAxiwCnZCIGtmpxANB5TRdfx8Kq3WYXYdPTW9F1xw/NtulSzS26iLslQocsRdt
8NmNQp1/HxA5YUkgUwwPOOp4YneGTRbTRWOxVDun8d94FZMTVRJIWEqURY4Mt5/K7ClJ82EbQjpa
TkYRXiJLn/ZOxVXXOVeDq/stRha8hHTDDg2fzibJsDSUA2BlSzUg313FX4d7aYsexXrCsoi2mKzH
YLSOUYAe1cwH1ovIjJ/L75xB4LmqiVd3BACkxBbBtpBGs28H0ix4SZmkJ83aa/SXFifbRvhDvxUk
Xm6KrHooqUKcoBUayTB+spuSujJZ+FYSPAW99aaTQrQ2Bo3x1WCUT2iDkkM4bhNDmHsrYyKLdqLa
ZlFnrnMn+cM1pg4Wc2JmyHdfIxi2HXD16t3E3dFKDtaEOroOhbMkBw6JhizjLQ5X+2DqZrwG8aFW
ANxMlpfe+BBVfIf42O2HQZu5ET02T5wLLeCXs51Oj8FKCmqasV75UhGD6QIwQPteYpdtj8ztjOsk
be/QV8Ut6Ih4NcfB2XqBe8ZF05+0Qav3BPVgmhO+BjGbm2fhdsEOPUmyLPFsa7nWX1Vd3s0IQleK
tX4jBUfAaCKGxluCzdIASZHF4jB2SQHhTR/ems5bdBzXq4aiZj1wpl40qyiXReix2JXVD46s/uY7
I0qGKCqm53poN+1ExZSlFp0hroqGeK216coPB3nsM4Yy0o7adRtDM2H+cwAvKhey6qpNhBU6KML6
gLBi8qJ9D5l0oWtnCO9H1VONmX0O0dB6aD6mUURecyRTDK8YKcsSLYB+LT015yH69XNUpYx3kxxS
Tk/4SZe7N9JRCB1i9w1bw0SE5kjvRCg7mzx2EQjjRHiaUONW41OWxcZVsPKEwJCeDFJ+RKkZJ7vM
H8BFo23Q5lskYASpdsa51GteInCkV7x8z3b93AaA8esGhv1Yd8+B86wcBLBDbOHS8KGeoIps1toc
pwuWRjsaTJNydfq9qXlNe+zLCZzvXCGU2Zy9QL+2A3vy0qhRnaT3F8xjfPx9MrQFCVS6tdEHqK70
gMeI63kf2bXcp0r86XzcYqVrrFsHPXTM+mHZu1q4pWYtz2h+vUWqUO3PUbhhZTRIuAAgGAxY9plC
ktGreFpEg4gemkWZpMVc4fgzsluXBStKae2PpS+zKfMOKVjl/2Z1mpd5e2fqziaILoTNkHVRIfE+
FWy0ZuzNZDbOdwW1zGzFaZjhTyIR17LrP52SyUIeWsGaUTBqF8HQId7nLakDxVy5kaG+ZGk4rdyu
zFYKATTWhJUfa7CUwiHcaD1XsCKwvu2zJcvDHhu6h2iz3st4jNYZzts4Pikmd1d6jxDAiczXSBQ4
2djGEHk/eqc+L0hTbGahXtIcBn1SR91Defd7PhOVve2lEEwsKg7XKBm2TVdAZhz7fi9dFgK1LwtU
Zk724OQ4CfbZbP/Soz4f6oJt9tKRZCpHZieOqIpYESWoALTURjVTmfaewdzFiKv2STQazqy0CGjV
yKDE/lyvPachx1RB1Q7NDjuRtkoYvx1ylYM9u8sp2ILvKi9N20SMZNVtoK2C8Pf/GDuz5bqRLMv+
Slg8N7LgmFFWmWZ955nzIL3AJIrCPM/4+l6HmVXZWfVSL4ygSJHi5b2Au5+116a8uE45RQ+KdDfn
FXHYqJvht2ocqUlQhut+SN+6KeU0sEEeFyOozEpGNxlpMs5oSbeNOXQeJ0bHsGF9F7MHJSjPVBJh
0J2vDQ/Mn8tj7EXPYQiN3QYBx361dRyCGC3WzHmFluUlMaWoQzZVn6GHFTZ0de8ZlXfqIR13Q+aZ
mzopkm1Hg/sJmIRYxdBZSDHpUuhteJIpWm4cEib3I9PTyWAvNYXI9pDp3JXF1B8HuX9003DyqoYD
9sCDH/Z0mkLkV+gli3OgXmm3ZGF3VvmPryXM6D4vIzJpY8r3dPocemd2d+5YmHuG8ODfQf4rqZD1
zrr/hKADk51bHisWd8qdiSYsJPQZobRcj+lfDAoR4h+m2KNOijT+Dq14tLVqHxYbYGfjqNK/C1n5
Xqw43DWDEV1GzCUEJmebDYKPkFYOvF2f3dCosuCqDUdHZ7vdk/HdQCrM5/kyRZV/r8+fvD5mMhjV
1XMj58zxIgk0m1LTDqnElpEfoSsOoEMELP0xaRj9f50jhhWDmrbov5mwwk4wFdfIoI7j72+UO22m
Dl5osedb3vj90fE9dQ19/Uc+ks6wGI1joupcfjNlcFQNijCD4cRdxU6c+y2HtorIOwIbSq6/llus
wLpj4gC0eCGVzHHIGIfBSHfUmOqstJjSOrzb8GYuG2S5TZvuW19X88VwpgdDo80VNr5Zu3Vl3Ri8
WrfexAtOwysnH/hZ9u1CuY+TjfV9IRajJX+Ee5suX9c2QnW26carP//4t7/9x799TP8efpYYH5jr
FO3f/oP3P0p6JuIw6v7bu3/bf5a3H/ln+/W3/uuz/vXv/G3z9H+f//hdNn9cn3bP//0z5dv911/k
y//j229+dD/+5Z1tgTN1fug/m/nxs4Xd/fom/EPlM/+3H/zj8+urPM/V51///Cj7gg354yddGMWf
//jQ8ddf/1SG+nok/v5AyNf/xwflR/3rn8fmR/0/Pv0Tnvqvf1reXxzl+7prur6yddPnC42f8hHT
+4vPMNT0PN1RtmFa1p9/kO/uIj7k/sV0Pd3STUJ3hu7q5p9/tGUvHzL8v/DpQOqkJnzf0X3rz//8
sf/l9/PP39cfBcvZMmZRLF/YdP78o/r7L1J+MN73LcbKnmG6rFaUqeTjHz8e4yLk89X/yWjAGjmy
KzYgYOvOCoL7oZ12Ggup6+L1hIibjNQb+vWZ7Ks2se50H8apq7ZOY6XPxI3w+irv7PZReTdgm93p
ZmIeQ9uwoTbIR2d2v9KMJKAvCceVmwbF0e0szFuWXj/6MFpcaWPrF1ewGUji0wLEIF4+vDScMjD5
czv8bEx3l7mf7tpQd9Y5x51P3VzeZfl8W4Kwf++MhnuK4lCDxshbuNzFplKnEBrh4HMytFC+tq1K
LzkbncXBBRqHG9UbexWbnLWnAB6FD7JutybCmcDkegRXu6PMKnnJcVNolMv+GvKeXJ9uv2VNcC7x
enFB7Fg14yh5VFoUPpoMpLYcV1Na4rcp2rL5BdP7cHILp9k2BIV/DO0xjX37u0ZR04ZQwIsTJo1k
HLMHu8+eFC3j554zkz1LUnqJvSF/qOWDTvNLRcpg6ttbJ8MphVPCvxbioMLQ4lAvTi+HNVIaU1Ck
F/G02qYBEwIX3eOxaguHIap1KByPsy3NVFs2v+O2QAhCVsypCPUMFS4seDNl76YmrO+jxUbNmzr0
tNHPugNrgObhVJrnbnf655skMrrToFgFoLGu93HEufjMPx3cy21PiNd1Nv4pcwe95l08c6esqr8N
SdZLwRN3RYtNKdMgf19wAT15RfrLiJfxYbGAdIlIxEcUPFzo5M+CwPitRZyhKlM3IeIT7puk6fBF
PlEBQtVZr5Gn4ss8gvgwI8CTcNAcHJLUK6Xb0SWdF3p9c2Ow9KRC9IdcBhb67bi/ZL51oQmcFeTU
1ltYAMapso6E+fPWY5m0PMpA1F9vjBTmv3BobY+ThlRHGHfPtecEhJA+vEm1zxP+usVx5ydFnI7j
GOPB9u2GLjftBr7v3IF89Du/LEMOHAf/Opoc6M1FEuxCyPnrnLiwaWm1A/0dz14Y/uMN8XheLzPn
PHE27tWQxxLBWxhQM8+n6xGd6Fsjc35DJv69zP4ToQAYfD5xGdH2MBuK9SCsAJ5+qAHhBxYhCbCR
QUwBF3hCGRTCG0RCHtTCINRCI7DMbWDzIRQUqIIpzEJonB1hGDqhGchAanswsV0F6FAZeHI1zpXm
toLe8bps71jlxNmrM1At8mb7gNz0dvCFgCiQk1F2DlZRCl+BePIyCXGhC3sxCIVB/nDDsD66BEJo
sPgaCKZDbYT1fNLAOAbhOVIhOzxhPCahPTThPkiWz4ic/YcwmFmvhwZh84QBO2RyMltkWTLiL56w
JAlQCYe7tNzEBLSgTTrhTmIAFCf7GIRHGYVMqUBUkKQMe8ySDC+++BUhWbKYI1XIFgXiEgnr4gn1
QnvCzgCD0YWHwS6yIXWWP83CyoQobFnMbFkt1JviC6jJGCGcKA2Q4OMXctMLfVMIh/P/fSgWkufr
/dAXdgeI559/9PXnqXzG15/9/YvNwgJ5MC9HJ67K09cb8toD8/2a8j0hihqhh8IarOjr//oULSFQ
n/WqDNffqkyHRpLPG9wKRMlfHgZhlkaBm2xBokohnEjTATf98/2vDxtfGJQrn/T1ka83mvBSOuDU
AkDFVM/a/vNjX5/aL98wsLGKmpd5P7BOe6qNCANAjKkvZNDxHAW9/2SsEzocjxzJkOcT5struWfY
JkpDHtrw2Szzaj/rYb/5enexfy901V8hja+EU3vY55jugeehKq5oCKgVkPfguaRsdV+iN+Gs2bbI
nMOi2UBpjLE8MAo4tRZgLRNybWY6tk6FZoNboC4bvq0R0i0CecujqiHmHNxpQsNhf/ZuaFcJpsbP
lhBztPdx8gNEh/8XJ9rcvurC1zmAdq0Qd7Gwdx4Qni00XgKWJ2crdEpTUS3Eni7snhKKb3IfHGa1
lHqx6obya114P+ZdzEiilwUQMAcIHAEDeyEE3Va7b0AGWQisPBDCApSQpBpwkdCFwwEFzLvs8/ky
0IcxGGIhPKJbbmzwRJBZPglgEXnaowJgHAEZ2xj1kZGGGVTuayqsI0ddP3mBv6RAkDkwpA0U2QFH
9kCSk9CSFthkAT7pgVGC/HDIzAl1BWAZ4zFd9dQwNjfkWWS9aUt0KDv1bP19SpANkyh3Acj09gZt
xD353aEsYc2E6S7rmgc1uA8hAvkqqjGSVyiHOpRD2F3AQjPw0Fg4UfjvT0cWLACkjpCkE0gpKvd0
5QOZ6sCmNbRx92yzhXIBUVGxfqfOS4hbQolCa0JVw63GAKwOICvhVM6qF/aZcqJjP2SDdgiL6Z79
7WPGLCkof7ZgsfJlTMFkDYxWws2Ccm4TIWkbYWoJzt/5VnVBa7yBiqacy+kfTaA/YFwFlNsB59qN
es6AdTM2tAvwbgbEO52ZthP35/cihK8L6muB/CIAQSzDQKyODxzVP3Jw+BCmJzp56K5euCmXw31u
PS8EcVa9Nj87oMVhXT0DcTF+o5YM9NgEQc5AkQOQZOSmv2n1ZEnz2AIsI/05xUIwm8Iy8ypjNg/e
3BlbaO7tAPRsC/0MTYDiHeorA4yOAaR1IaVLkOkedHoBoXb5rK4tdtClz90Y3w0TuA+odejSC5Ce
PUDsBSAbN+ihAtAeAbUdpHJg2wv4dgDG7QrPzWzpkzrJR1dIb9vik5zlQHb+PeHGl/TqoPf6uXQ6
0sgtzBd1fivDn39PZBMdduAEDJHnGdr0jnCW6wr2GgWZ1JpfwzV9O/jGt4JHUAdTj8HVNbD1Vvj1
SUh2k2ML2/QRCG3VUB/63Fwv47TuAeDbmZdWABJfgsY7IPIKVB6137sh7LwvFD0wmTD1HGBQhRGA
2YPbM6qxGB4Igx8G3JlM4fITIfQDUP0CZJ+Q2CEF4Q+E5Y+E6s/A+4sle81HgDzEqEL/L5IDwHI5
rVzadiQhUEpWAG3PuiI80EiKwOH4JSBW0Em+YJKkAe254aqS9MEAciBphFZyCdNXQkGyCsDr45NB
fKEnxuARZyiJNcAAf5vDE0O4Fw5KX1BQTauKGERKHIIGmXRlEZCIJSmByIhCdJgsS1IUBnGKPGHt
SrpilJxFQ+DCJnixEMBgMvJtcAlkEMzACEFLAFGNgcjGaPOM1wlxWJLm8CXXoRPwGAl6lJL4aIl+
+ERAlGRBSnyEkg2ZJCVSSF4Em9eWEMkNVUgB1ZJ/eERLKD88J5I1YVW9zgmf5BEpFMsmjzL36XUi
oGIQVLElscIKlhiYpFh42hFQSJ9pwlu3knMhEdCvaVjvVgUhGJswzEwoBg6EOiTJyXgEZmZJzpRE
aHSJ0kimppZ0jUHMpiRuU0vuhsjlmpjqKZBETi/ZHJYDF8OGcpLUDruip+YN0oXfDKEeMEaIXMn5
eAR+HEn+wBTIwv1XQiRokmxQKikhDrsJscI+xSw7Y4JEsSSKFqN+IyGzTYgaNVIiUXzTCSDpkkSa
JZMUVjzZCCllhJVsSS0Nkl/yCTIZBJosgk3ytWqCTpUknlDpvGhEoEbJQsWEoijXo6eUlFRkGHcm
salC8lMdQSqkOsDly34iYLUQtApnElcO0auZIWvOHqEhkuUTzcKY3WAe405EZiuX9FbaP1uEucxl
elkk3TUS8+qIey3EvnLJf1l9fYuj6bOSZBgw0XNJVMwnMhZiY1zpcfyWxMd4SN6R673gnPwcEuOx
o6nJk+zZ6ORI7ewXh1Bazth0kpSakria5NYaAmyLF+6Drr75BNs47SRc4tzX7xF1p57ktyPWmh5x
uMCxLiPxOAXx0RCXYxSyaonPuZKj40JPPzbJulIydoak7QJe2cuBW//rQhQvdFmou58EBr572KZW
TNX1nuzqxIvFt8ZnhHQ8DO4N1O7iRvpLTOSPs7yN1mQbZ/He0iT5xbDx0dK6X8uOKdijr+pjNeAB
sxfKcv2GWUPEWa1h4EQL3E3QMcxtma9hsb9Qxgvgkh3cHluc5BR7AosRiCkwTLnBtbCRlGUaf/D6
yDcZUUdPMo8B4ceVKznI3nUeeoKRoL0/NZ2kJJ4CSjQIT/JCzGTBwmtwJlppE7Es7fF7FtjVql7i
dVfbv2syLjpU09L4G5OQpiKs2UhqM7arn2H6UEia05dcJzvfl4qg50LgU1KW6IQ/pqV+CLsffMPb
GGfXcXSuuYGHpQrxylTPRXrRc/XQ2+z3jXqmV7vjzkJrCL8UqhuSSHtr5ZyB5rgV1mMI0yR9Zz9F
w9fvwDdezSHaGpFxXkatXMlDbXCQnCbdQ5dFh9kDlukjxp7ksQnGWgRka907GrV9peLtcSJA28a3
njitT6y2SdsD98YpP05lQY+5dbEVqEJkXJphuHfml2WiF0O+oFl6GCca+8VS3y2ivLab3IMqHR0i
vga71JnIbzscckkARxNZ4JlQ8CDp4K48DXLuGUhueJIEcQ3W5frPneBqBIxz/d0nbpwb3k/EWdeZ
GHLJrWaVEEz2CCgXBJVNrh/hEn9y8vONexz5Rck014Sb0UpcdcLOraSeTck/R5KErolEz0Sj7VS7
GESlXSLTxVd2WlLUEXHqTnLVKETPCUFrl8B1R/A6kwS2TRQbuonDcbLZwaI/dE3zXBDaLvyRwIDL
aWth6o82we5GEt593j3O6SYm+J2lz9DDbDUJhDeSDE++MuKExXHhkxqX/DgCPW4GRMonouUlSbPB
1R8GM6fRsUm+cX+hBXjejt3Qobgw9703o1stw639lVyXDHssafblsSDaPjTWc1B+7QO7tX6awqW7
cJhK5Mqg/7edkQ8VkD9jmgAsLo2xXur8l7YqpOS2kmx9WKc7VtXRJuG+t89CEvjDQBafLpZiGxHP
50y52s12/6YI7jOhiFbxfgr04WKY29nLOXwn6L9I4j80E37dDMwOlpdfKUx552yyeW9Gw9wgVEqM
zNxhQ7q44hIIkApEyAVCv92QzrmZcUQrm44PVNOWO04B1jZiAksMBQRN7wZxFtRiLxhmPAa+GA0U
aoNOHAe52A5MtAd1bVSvPiIEByFCL2aEGEVCK64EOUBJkSegzZ63mvgUZjErxOJYWMS2oEzukxyA
3nIxMejiZChd7AwUnNIzXGBsUOJucMTiMKBzyMTrUKYfnDfmqB8mMseoH2zg1tcKGQT4NS3m4ofI
xBThad8TOyk4wEx2PR9jV4VVYkAvkYtnIhHjxLEV+wSFJsWZw4tnbsU0Nu5UjeEWCkHFWXbfMXVv
Es7MtDDWOUbK8u0y9BSMkE0Mm3TeZRiY6horBEaMamxetC4iwktAo35gDkwEVxwapvyoNuv9MWja
FaIdsEzmfwSV0oPe1HdZ0E3bzi2/q8pB1ARrhtwXZ8pE/MVG34gLG6dsPaQ/tIDcrPVLtRxqxbbZ
HFss8lVS9LvWKbeG1m5jsYQo8YU4iEMiMYi41oKkbRroK2DfNNosg4zWfG56ZVxK5HNQPy4I1ETN
sP1qaEqH27C3MdoSijqbg4LaL8VoMovbpBHLySi+EwvxySwGlJCJqG737bF9z8jFAaJpn0M8bDg6
Y60YqFsnNhUmZRewAQKVeFYUwpVKzCshvqtdKzaWnq04iVUMLTqqlhZlyyTuFlcsLik6F6Q61Uan
AYdDJA6aUL5g0ynWtGojOMUGw4v5ex0pnGYeG83Q8li7jdlVsx19MyY0Uthm8JvN4ixHMI++OGd6
sc84aGgqdDSWeGn6/OQ3I0VFP6g2znZa0tLU1cdvvhhtLNQ22CKWbSy2m7rhlGoQA44vLpwMKc4o
dhxP0XImvhxyZhxgjBPW78Lf2WLVgflPV5F1bzENuHCqwYXrS8GDi6cSKY+vhsssmp7RH99Hb6F/
rIUzYRnjF/mv0ELtk+L4cer2SHqRW9lMUeaIBog+Ep56+c0UP5CBKIjoHMYgcQcp+1iJS8hHKlQg
F9LFMmSJb6hGPDSLgchFRZSLk8jv72NxFDliK+rRFlGl9V29LQZdE7qB9HlJOuLAFJZZdOqkdXdv
x0O462YT02huuXgXgh+WwZqlE2MS4ZSKLQUWJWDTsxuOL+lU7tGDk+s3cB8yvV41yD9Yb+G8rLEy
MQxFQVB/1GFsrVraJ050N3CnxuvpJNEav9+ymXo8T2ZP5Ba2uyasjwYqyRgFwvXqIEVodkUr2j56
Yo4KxSE1kNAnQ8ZBte3nPwTJZJ+gE+dxuDqkKpWjlvHoh4h18C85pAuKhwJpFR1gdODQ0sRS2teb
kztG3+AH7G0ivisGmdqKRGG9Vciw+qp6hcP2WK4xx4xmuufV4DA8depXXWmnIthl4tbiv94Eqli3
KS21hfGjafunQnxcVCpw9pazRxh9oj2LwtvVIvBKeuOtc4gioJCQfepdn9Lot+ZnRU8lBrAlxAWW
IgVrkINVA07Col8psYZp6fRpohHr0YlRQnUN8/cayVhrc3lNh3resIUoh+jer7xHb5hfW/NUJ5SW
4irjp3vr8iDZpGS6NlrdvedjzlzHGlhWiO3MYpPuiv/MrYBmPI/E9YQrSgupU/T6l6lrij1qiAq5
Vvfg9EptKp3GN9qYLkticDUhvYlRAgUbKyrMCmJl89GzVWjaWsxeSNsK5G34R46Fb125SxyIBOxy
y9oEoIYGHjB/gPoDb0IFN6GEo2FkH6JINBB4mbTbrjpacxouBF3g/54zjcNQdDOtfm1Ilrjedw2n
HoOSj1GbUKJNNkR9d7XS8T4d0dWaj0uAUzSnARQ8Vv4/R22Xorgj2HcNUN5lFeq7ANbCR4bH+mjK
SADkDqojuslozqxR540o9HrWXwj12BjTlmL/hHJATpC5tw71Hi2qhxhXHQzRzmGWYDCHcCJdjhpX
dY0RyTTvWNhf5J/m4reL+fns1Ly3suqmsMfVlf3A2SZ1njhnkpFLSEnDX8zFIcgma9XjFtRaDqjM
B84xGGS0Byey3vTY4SBVld8hds8zHsIaH2GLl7DFT8jCmhXFFjzsOlj0Z2MxXLAZUgNcc66H3Pc4
egxP5FGgIvjZw4JoesZ+ae0j0jbfxcyLK9EVaSKwSiESRVS/CTWRiBVzDIsmpkVHlIslGaUU5o1z
dO6wzj1EIf0F3LVxNRL3PNW4Gzka2gW4HKmjvTksr5aZhP3wiGF9ROywYWB2J9+uxQiZYYasMERy
dSJl/VjgjRxEIBnzA+FvYYOKW5LD3puDa1JjiaThnqxEQrmIjnLAS9lXP0idfssJMM7DrBhnVeax
F5VlKVJLc1jqtWF9c0mtUreC/hN5HqEgbee6sD7NdwLlx4BInosv08KbiZEGznDigCIghIIZyNvE
otmcRLhJGwQbQv+Yo0ZfKZycvsg5besWiqwTAx4E2n02JDt9cY6TSq7xvBnYkec8bBnGTwvz52Ad
dTygYdsduJU8j6+MCo+6icqSJ1RZD8egV/cao6kap2gj7QzOZgqna4lxlJHl1sGSZGEidTGSLj5m
0nHcT1ZyoEOE2uFzk+N2bZaPqaB213NvOn7T2rvXsZ3aMS3hS7wdDK6aUXUFMT33UY4fAP4YhkLZ
UUE2jNBBhF/QqgkRMiW4I0Nxz8D7TCExjOfZQMBaImJNxZFUo2bte3UMxdUqXl1qEW4ccZ7cZdlA
43FFta7UBt6HKSbWCp2igcGZq/U+LKjhSBHDEjR8ylEKoosF0nowxB+rnOEuMhdRBOwXs3mEGBJv
pc/ZhEWgFiQKEM3bof0+5+hpo3C4t9LkY5jdu8CmK9ZOnygVBbOxHnL0trqD59ZFeDshvtUR4AL1
sI2ur4Fekb9QV7scPyKzvim22Fz+P/yZBkbf/Zba9Xum1CXj3xTxhKvC/lr0yT02bLR4w08KirhS
0xvmiNdnOs2M3do6e2RBTILoDknspuFuLCWl3sxlt8cdlRAHiQ68IJ9FlZw2O80Nz+HEnL7uT7bR
fQ/i5RSjHY+afpPoOz+CUc4YynIozUtrM+vuazLqZ/l3OFxaHdaQOrG/Kl+HatxZ6IsVGmMXnXGL
1rijoRDJcYbseFzexaur/BBbonoo4fLwqR4kiIWTgBsI0uQBeTKqHM6AlrXq4rMxjs+hGz45Dk/9
OqYoPhhAp9HMGd/6qeNcMiAUXHTJ3vO1D37QTvzN1aSdReWrEDtHVX6hBmb2lr01VE+WO1r7CElx
L0JoxNAjgmj5vN4ZiauWD5xD3nzrlItPusgxS6eimE4YFfenBfF0Dr3sje6bjpC69crnGUG1y0kf
p6JirY7QV0NhH+RRTEcCOxUlj5SNNsjul4ZyI/TXQ/askGHLv1DvzRMHnHdsrN9YKqEqjy9e5RzY
FrdrUHY02h07HkTbCcLtNkdliqzbMFmKeLesd58t2zm7HZ5ja/mBq5oC17h6GrT0ntjZGn7pCIJ3
NRr3wVDOk08b3KpTdLoMwYZY2RzhfEmTn4Ma7+mquDhiDm/EIa4QDIlTnGmWvyWfgs4W4XiW+v66
JNnmRgYOSNYupW791sVSHnr4yrP6bRpI1FQNKrAMz4sq7lvd7dZWE2PrdpKT8rxV1beKDTr9sOJF
h4D76FwwsF5xRo4nOyAwTiqe+mKxqkOPhJslG78XY4vY4gs7iJP7bpjkRMwjWieG9iBtH0iKpi+a
2Ns78biDeXtsi3C7F2J5Z1J4DZJ7GirnbSke+AohPC3qr60Y4klu4fAhutYhj8fJYJwW8clHdYE8
U20nF9N8zV1ibYh9vhAPfVcJCo+a3mUIj2rNf6egGD8H9voOjX07hbTO+b8X8ds7HjfcSpz3ZvnW
siDcpC7nCjpa/LzGjz+OvLHFmV8iz4/Fol9F5UelntOY0hSzrUT/2T95iPcDMfDP4uI3x/KDAN/e
TGp4tYUHJBdzPy1TFrMItufk9hex+8fi+U/dEMazVLj/pQVgoA4A9oaM60xDgCiAaKe5tNIdMOm0
CATQfOvaRLHBxYhhQE97QJHNl7QmKxjYTKBH9TYyg7/EObthVv08IJdwIVKszENJJuFgcjLdUG6A
zpDyXOoOEuk9yD6SmmD9Qh1CKb0IIc/c/VSRbrKkNYH41MGVHgUj/eVSq5BIv0LISpxudDoXGKqi
OpMeBoc1UQ7ATL2fdL9x2yOYVTYYb1XAepoxihir5MDveyY9DxaE/Ham+gHQ4T4C7tWohMgbbaDM
oX3zbTbldFT6bLIr5i40SZRUSriad7Gc4ay68bGRzolqpH0ipYZCpCAgszRTjNJRYVBW0UprBSGZ
aDNLk0VPpQUynluo6Wengcae41ltk7LZGDMSvX6pKD5yuKCW3PYqmk+pKBrZvoc2WhRyaOwPHO54
tGuM1GyEhIFTn96NngIO5dPEAULIAkXaOXh2qq1mxO+yCtEsGjxGqjwK6fRwF9o9Qlfftq2Pl5v9
Qs9T9bRAnjOFoBVklH6QmkGq07/SAlFu2PLdoF/2LA5+m1V/CpzKPGUQf7hY2zX/nprQlXNXQt3u
Ic0vFesKnaKSibNQhgkDSPi87aBrNlkYJKuqCp7zKXss2RNyptBdtHj6FeeKOJF0oixf7SgEvzZp
feGM17/UFKgk0qQyS6fKrNE3kFKzMhCw2SK9vDZ4gGj44/xcOlkGylmKBO98Ln0tCcUtkzS4BHyB
OwoxyD40+9JKn6IwzelyuqQR7S8xNTCN9MEEcKZsXd8WimIwh5ubXrpjJvXItgwllk7p6GjaJEIt
F16F6wK1MKnOOUVeHjojqNjYD09esDxpqgc8UjQpgvnNp7hqfnvRsgm9hiE3FTctI5tqpPOmLtdp
ktkPBGYDbuE55mwbZ2msvVW0h9FSY382ufUaziw+w8DfJRXtOgM1O6FJ304lxTvMxhl/v4+RNW3r
OdlZmo0TVAmeLL09pXWbqfFZpM9npNinDtS30GsfbWn8maT7h/yr3rID8ikFCuLPnoqgMsCp3ZNJ
7y19xHvHOUStTygT2tvYQmPneOEDAPK11jIKSxSgalyApXQ115iYFRLJPBiKhAolbu17GsWuZu4S
bVDs9oYKb9xMuMpk5lhn4UZLyYNWQX8Xe/bFoHOWURnZ/V7ED76VQOkxYJrsyDn1Q/jLhWya2/FD
GXZ877nJ98knTMdvaOubobVBA7tnaJ6yRt1qbcWRO5VqEzs1uk6rJ/DKhXk3MS2V4l9ues26b4hH
VWAY56lXv60Wib7ptaeZRWGqA5BPdAuHtu4eU09RiKyzXq/oRMOFWa1z3X/Bp8l60ai1/GrP2dEz
8huFfCeNG3ahtac4ttpXrUouo45ouK/n97yKwegzH1EJx2EFeobWin9UgL/bInd+2OzOfZoDG4iD
gNM41sJQEybJnawONb5RcItMaSUaA7WbX3XbfgwnUIN86ggjORlhv6h/yM2O9Yrphts6MlCxlgXM
uc4xpzf+zk0esYCZSZq9cQNI9xRyF0jOa7ylvXtjH19etCCFmq+f+C8wWRKenTgYN5lGpwjHzSvF
7G7tM7U/hpaJr6X6QGAXX/CoU8RtmuwRsxfyM+mmWAgZFWS3Qn7SjVc45T1St9XX//AMYu6qV96+
dRWRFwdyslAF1zaKtWwWu2sY8Bie37m5U8fzpOkRjZFE5W7ICs4hs17nvGTKgZyPv3QPkdksBwrl
NnlB+rPsw59N2Wtbz4xpafZ/LfxG1HDI9NZ6sAGSGJSwzmb1NSjOwIeoIt06M4GLsOPziPBlsGQF
ZbT3CqvZMRHM1ks0ngh4qXU+8LQoNATKHvuIjVl2L5Z3Nzb5Kygsi6aS4+/KzVrGjykL4sU5563/
0lV6ygFHfelyCs44j3vytPwTgnaELpjjMx0SL9rir1UaK6yQ3Ae9kX7Wd2dZ7F3pMxF0KSI7+35w
wTsd4vUNHjhFodoYCC+IX+yp/7SsLqJzLAcR0Zq7xaN9JugKWj8/0r6K2C7XZ3zFKlvo/bW5/tvV
O/fuI9IKd0cfY48NWDGL6nHx6OBMA3Xz/DDG1vHzcsv87F03Tf1oVCE1UB4GqMzM92+BPj35ZQHi
xSatDsqLPY9PSrlwVzZfKRh4gpaBseU0VrrqeMUNXDTPkd89cDRASlpj0FwgN9mXMKGHoW3fS9vp
DkxtaUozQp5VtELPI1kOu+LGx/47qPX00DoF+wGGlLN1GXyIi8rot+wCRa8Xfy+G+MoBElmebHq0
jXbZ4KkEbfSxl9T+q27wrYyKIQi/KGlM6N+tsS82fVrSnkKRDQ9gvh7mgJM3f74LPCYgFZvVWm/o
WnVrYi8FEd4ewtGvag6+tOFi9xUnyXbFarU+K0Vs26qw3ks4qVPxL813LnYegOCE2nG02UaWLTmG
JPzQkXjt0emVlJzTlRbBjARFf8tJpm7pzOOgFMTVKq2AuwPL14ntr11H4S0CFmUq9wIz5Wzt2HxU
4wceVC5eZXrP6fHvpk33Zdwux6EdfuY6c9Ss5lXllsa0cdx97I1nKzeeQirj6SR2D3Rxf08LtClJ
NSO5CgsEKyzH58LF8sCxYtMn3zRtDjdJEDQbTLBtR2Epz55xFQ2Ui3I2o1vLzvCjfG1OWw+D9iaZ
RAdiEScxWDxGVUJpmM5hwFDsJ4NDQSIsoYlXITc4lyyN5PvYegc1JAAbU6+dl9rfOyAO225Oftqw
ZZtxYWWS+tMxeI+5XlG8w+Hx2BKot52AquJ4OrBiv9d0C7HzEm2IYeg7258Dgsz0LTUeV1+dn76z
40M8OMspUMaW7VG/SYto2NU5TszYeoys8kYHWL0J49tc7DSIuHXVzw1NrTyzx04DK6S1w+SBMoyL
bjPX7EoegMmZ2ECa476e1UfjxU+WPZCAG+D55uD3WKaQYSlBHWeK32yzvcYUsq49IbWoakwN6hiL
n5Npu6s54piH6a9iFeV/n6MzBl7jI0lrxqajUbDsHGuuElROLG0/3w1NanOTYZ3bmvBZDgEp03N/
BA3XuezU8t+3rGox65lZTcsOYWt/SXQqrHr2cNTLkAoEiVIRIBal7QzigDiHJZkvYQcDViTa9M1N
pmEVRCrahr7yj4Oq3jpUs+c07swd7tOxApRjKdDWzevszsP3zHSwN7KjeSo9lAV0TzBw6nuO8gMO
A+PHJfG9FyXK4mrWTlk4O5eszqezlzF48TL6JWrlcH4xS6qTQ5peN89Lp4eHfgpLOlwZUjKDH25x
rL8Yi1ccg0HuORXh2TMRGiaYvAirwSAbNJTLthl6L947hW1e6pCtbJ9fPUhlq2kvbtZ53cZMsvzK
5ogDiBxRUGnQOZEbKaI/n7lR4RXLj2UMfpHBnx+noI+5B6UBw2Rj+eHXZGFBGFZmOOqErRJtN+Id
OSQLDEBLiTCDpMJizPOfb/wG/Bh9i7fqjTK+JmH+rA25FOrO8fXrjwAyLfraZ0zytSp5iWk1AW3L
p95gSghA2TGzV4KyM3nbMc0xEdIsTFn0m6Y4XYxivTikauzf+ozzfz/R/ZuHEumNwUlndJ9k/dO7
sRypiqQpfsWeqXvTdDYxlj0ySuf0vKopabVarTubsy36kdLozl/vO/KHYV3wh30ceKtJVdMpzwMK
puox2Gp5X75l5NpyFdSY/3ySkN3/Y+/MltxU2i59RXyRJPOp5lmlUqns8glR9raZ5yGBq+8H+fu3
d+/o6Ig+7wMTBiGkkgRkvu9az1LfIr9nVm5a0ZZsLAWiWS9vKbW1Bd32zskEN2W0UgR/sCgUpmdf
WTqpaVl+C7ydX1dUJgrrkSV2jbAG50MzVSuz+jDDPDyBSpoO6BLOTtF5Z1Lfp71QwdmVaUKknhcc
SkbFGv4OeuEABOY/TYRjdcSIzecWyN9rQOrr43P7AEDs9/+0wkoOYgZ+Kj07KMvKDs//IZ6P0caL
aNV7AmHmvPDsND4UQbVtfQu9KNm6r9GLrtrsV9EwpPZkYTwcykGWFTVLL8lpvde2fwiIBtnURe2u
Kyvmlsl4v7QeVSFzuNz0WdSe21XFTCFz32pCHil6Ppx6nECyvqIONB9DXlE01Wc9ffata6TxiGi7
9YwJCJ11vvZh+FZmDJK4MzLLj62V4RLNksd9iEwpshguYPKoivIuQTlgqEHc4kvRUoOzpzt2RFcP
jZYxpXyPmCcfUAagR7G7NwOLJdcZZ1s5vr2WU5W8QdDGO8uoZGnlfvw2BGl0K4kqT01GW/G8KIb2
jmUpujw36a1L1GXFHMuM7W2mGuuNkc9qcOS4Ltscf2Ux2m/tVAzo1pWz8ObVtFXyYhvB/fkgLfBN
oaz4xcw/ULY5b7VM3DePNykzr7hRPXff4pkWV9TKPynFbDWOw5tfUY4KI4tIdCv23zwvatf2YI4b
IzW8tzDLtS3C9goUu7PtTCu8dTl/u265kJOMUnuLraa9aKHzeK65hHW/ZhXZfLxugc7kNmoorIfi
LwlP5d4zDWV8F14QpMnr8yFDEfEt+3umM69ytC56UNmHWJKbYt/pToRQS7p8EB4Tp/nRirJvYXMr
1n0GIFXbJY+BmzrBF9D2ciNMHrXnZce6Qp/6XG35GHPRnq2h5Lol0scAC+FlsPvDc82uvOHeUU/O
68C7N+4DD1oGk/mHlfC76COmf+Mw1Y9RszdlmslbWAVkRXfWhURSHdFmtu1E1j6kXn3ILoOEO69V
5MzOLX3nNDhW83A4Qxa0D7WNrWcPcBR093KmX63RtYfnKiBa/M8xX4OnNd2j7gsanJoHP8lEXpsF
rXq0Axf/Iqdc+1wdhjHH6KlF2xTa0mPoJmtdO+YL5D3ym8tgfNhZX2ziloSdIW7Hhxtb8OT92Vqy
EVqvnYN6SPj+WTSudbfCYiR6OU1ufOBsJwhw0VdZu39ue+6miTiFhxWo7Z9tZR9Wq0YqKBd/H050
obEuLagLf46HsLbe9hSSln+2FWldAOakw/HneFXZtEdi+R5/NlH1tc6lnjKF+p837IcoLLXg93v7
/X7nv6OcsuUU+9H1zyYBS65BOH0iLjiAZNZXkJDABJfq4pZBcn0uEkgHVxs4Yhyhhfu9CFyPjB8u
Ab3/300G496XOn15Pl5aADOGBmdsh8f2OkYJ/ryOUL8SwjwaCItVw6nS60Qzg1BQu90+d3RsjF5I
6WAQa0F+a8mgrtyOUda89lzkFH3SIJcnpjtfTE0Uq8aSOFOzjlMO7sd3ZtZkHovyYcAEoL8hyP8M
iU0aqtYjzau5VrI3f4DC+lGAnHpL0nDaErhg7fKRq5xLyWMeO03nkloiHB8Tuem8+lzQypxQtAVQ
HedtRYngutGA+PzZ9q/9RJl8BFmT7f5xkPn5zyM9t6WUmPlBR8d/HUNjyHCOndomrv3yr2f/WTWJ
ENuXGl/g3+/qz4PPbUmchFtsjpSf//wd884xSYEMSJThcAloUd///bCsppHZeGaQYxLhs2dMzJ7P
x38/CdPPJ1IiQKL5ucqs5osYYUPUbf1oXFO9eHb+eG6GVzrugxI71XPV4payYgql7Z6rpT99oz9v
XKO2KN8r82qMWfulbHs82V2OfnM+8qgLUhCI/Fk/H9VSkwRUagdHa965bSDj4RZ81aICgpLFOTw/
qSjEdIQ0ki6fT8IkH2xoq2Xb55OwGTJtRu9zrrSp/SLpXtRW1j2A8XUvcav/fu91m5MhVlJOeD7J
mfBndJ0R7J9Pqm3tg3qgfSXVNntv89fn6yZF4Z69gu7U8zmiwriTxqVOyhJvNpppbEXLRP65Snnz
AMV7eA2HPL3ndbJ7Hhmk7nBEuuUvzHyH+N8sULv8sNnzluZaem8Tk8+iyft1WxvZvSUG9tXwX4ty
hifPO9jSgFwd9vbmua3USnmFmYGWbH72/Jw4irmraU29e+5Bf1ido9y/ZfMxnpvgOgN1SsKIIEq2
RcRAHVO0cmiNOMhz0cjyLyzJ/vG55pN+Q2QjIp/n6u8jZe7FcbW7WQ3uCWIAvaqghdqeht5nim+p
rJvsww4NAoiQRoPjmroHEPTraPfe5xRVZGNkvnPJBj5Uxyaz/vlMz9P2Ya7p71UmQ9r/MIwEOIQv
bZ+B0uHQjY7JIYsm7ZRGLbPfNLLmZrv7qRCUw/uq3ky3V5jZTJJOZdd900to5zw+KaoiMsyhrSYk
sDBOpgo/P4CAjppNE8ev/F7wFLoBKrz5AasleHRCU+1CxTA7IfY1PRDu+vn78/GgyIxFaJPUbkyB
cyrhMlPO5D1G+rTuhyT+WttFiUKdTqzE2/juOxKgKjswqOgRg9ThxUANdrFdBfRn/lwo412CJNQf
bgFpDeaVvckagMEdtGBbRuNXwFyYgdG+acYYn5ukB57icHqjkTK+ezD74mEaPxj90hiIi+bgAvq8
0futUVGzh6r9W2O10yMohLOFWhPs/DJv5i/mXs07hB6eHbuytdvY6DlcyglLtkxRondqFaLa+c78
gx5eUhuXRKt9cDkGF+nnq/e7eMwcOAcwMXRPoohx+GzQevu/X9ymsElQivyCCd7YEN6Q71Mis+9S
VD+fhyYv5/uoOvc+uL23GxFhk88n0y8i8Q7PHUjutKAWgVhpqr47amaerIfOLT+j5O25Q0Bg0hyH
Szs9rOmhdwOAsvnNjRiQ8OA6H1wyjHXj+cMBvt9wc5jIIKrj7xLcVdFEuA9hB8bWyMxkN8oieTBs
/n3szDGIvQhV/uroKjyYbhJvEFWFH4Be1s9DFLwobJTCv2S2bgDeLJuV5bvyO0xWPpnke2nr1moE
48CEKrSuwsV983zm1CQ7LHioySs1bfJRNPOFKAUyn5JsMr89zyu/+a7H8Fri08Yan2xjvB3v/Ds+
d+gTR2JZ08RLEPMjp45U4JDqtW96+NdzB0gN2rISnjob8RRfmpLK/vOzAaazMCEMfROZjV+mCMwD
pMfqZmioZJ5PLcacbAsa5E4aWyRtMgsnXZN8tud/secj+QonzzgWz61oiMNDXFMi/7PTP/77fJLr
ZObx+T9qbHqA/ALVilHZHhzEvw8Xz8d87vQ8+u9Hnuu/D0dlLZmnkQCCbBmsno/8H3f//XikI7eq
wnb8/Sc89/z96s8X+sdb/P1KntuVO4LWf7+F5z7/fh+/n/48ks5ZQx0zjn81ZDRu/ryP5/8KyywP
/5+jMc64CWn+Xzkajx+k7USf/0RpPJ/xX5SG+I8Upi2FwTkmXTpB/4PSkPI/uuHotuuCSXWcf6I0
LAlKwzIcIajoGKZjw7f4L0rDNP9juKR4QdgwwGDovLf/B5TGvzgawuIopvAkUA7TMwzd+d85GlVf
+17WQNIP/GILI5cmYD17M9a1IX/8Ay7yX4rHP6kduuEZfG7/xHbAanZ1x7EsHeGpbgsBPOSf2A5T
1yEOIrNd2XnU3NA9rGUr3RsSC+/mhuj5cg9JnStGbNCkpjlb19LevRmpleNA2XAdZvREA+RWG/Cy
IHxojgfDPmzCF39ewO21V7bR7VUJt6yc2vpspNpVgo265iWqzpzi267LdTJf44Pft8jRlAeap5Dm
afx74dH9lbajdkYp5Ds3JDCSIt7nyiGfDF/1wc9GCORJ7DEf8D/bmJh0wrxf9Lr95Uwm7idVJ1vb
1gMyByJA5ko8TIfGrPJDtEOdKM/Q4YyFshIuTB0qP9NOj1bV629hbdhHHyX1Mhypf1aMBFcQWtvd
MFrpsi8q/TVpfPEKYaQvmdjWJoQOocfNLUnTc+AUE+rKgmQmTBs75CMJhG7zhR6OPA58PSugDBlc
WyVfuERR4yBieCUpXh8mF28kTZTxgB9AHdpVkuK4NLT9kzhnCgBVzCzhq0+D2lo13XfGK7ScT84k
5NaRGkPB3CS+qvN2tZUzCe4jkBn4GwiW3ROoByxMybd8SMQ9q01UuHdPl9qjYWRx7wAwtAUIp0fv
kNrpDqo72b4/7ilpODsotZ0a7U0/E/vzybYWDlaVrSYEJkYfheC66rzgpA+OODVCGKjjvZkcGZA4
kxHlUISgQmXto/SWCqMbyIu4OLWl3dNS9I9lZ2HTUzVF1kp0702Tf8QIzI9J5wIjE/RFKs/eqV6p
10Yl5auKe3unmYeQYNVDV81wfGcOt3UEfaLEPCEKzsFLW84FPeuhElO5g+hHZ4zS6xucZvtFN5Ot
zImNrjLoMJ5D7DfyvDJJkJISg7xRQO6OcB4FTThfA5tg7puUqc5z0TXVoYvy8fRnE54efWX1jIdV
QhC6Dv8Jy3aAbscpMe8BC3cqo9j5afJjKKKTIcfm4sI8gdq9zyzQVxpx0As9dO9NVPww0eCsvBR8
KS1y74qVJt6l6EnbBU6xFRpe59JRNtn0k/vNcrSzVZbjV7/SfsZVlO5Qr1s0dFJtoUE1OfVJDl/f
o8yHXtM69YDp48n3dm4z2Me2ewsAnp+w8kenmWILvyZ+hK5/19JAvUexxPhZMTEeSdkUURGm6FPI
xOb8mNvIqKWV1AskuN54ixqcV1kIcMtRWFWGVp7ralXlAVJJzIfikMMNBYSrzfDyfjj0vf9iq2o4
+Hk04Q6qN/Q8MmKy4r01MEMKcUQTjfoxRhSkoD5sKbONC32KmLta9FrGpN8JM/lVt93OBLa6yLqk
fQGsBWMzE6/wGMUqIFFyQNrQtNB+c1JmoqIl4Nf3wZrIYx023+nUR+siUXehI2L2ZABpwZ2IlR0f
yK2GD6h9nPWg3hZDhbXcqJo3xn3Vhhhtazll2nCfKm2HKT/+mlCYNTxtNQGxPkS6Qbv/78VzW1zP
zaMQk2qCUWZPIW5cC5EV4FWHm2ZATZipeafc8eNT0UU/+XtvEACTY99bjGIrrOdVAhI3wc7T45Pb
ECWCRD8NjnVuoGtI9HusUdhtw2zLlafZGglmy2Em6xHQAf8r3zblEDK1r5NlXhQt2kS9ORG83JzM
qXCOJcx/AMXHPNPs3wtGhstmaob15EORQ1UrHxkXvaEzv/RQ5neDZ30NZkZSwlPAd9JfIu8D7Unq
z30xDLXMLbGOqurVNYf44nS0b4rWDwAjpuOrZWH3LJFlhX7vHQNHVXfdjK8NCMrLhPZ0ndbdSY2O
hzNn+CRR09rmvYSfWnli7VQYE0ZlgqzN2vfOhU8UB7G3sIyqP7YO5Z3Kpp4b0f+EsCFJVuzbPVxO
7yMJSm58k7lxE6fYFU3+xbX0bqdMg3J+n9cnv6R30jrqhIWc1BcxlwDtEPB1Pp2DyHrDq64OmuXI
F8+xQmw0stkW8zWd2R/5JaNiMG5YmywiOGSyfqTC6t+tTmVHIo6wazmTes/aodjJkZ5kmobFGvuW
DmVU+0ylTN+ioG53JifN1ghE95BW8UYsCVmgtC/pOlD8gNqi1lPuHaBVD6dKtt7aN+PsDX+iWpiR
af4gSWcJB374FQ00AWIDaR+8oVoN37ivWW8pVv+tmU5gmvU8uougRH7Ru2hmU/fdjc1gWZSpdh9n
xijQIe0STyZ309yhBNM0+jFvYNLSK/7InIgW0twxGjjnLj3S8i8V1MDUmhAb5lZ39N0w38NMjzek
GBafir5qh7uvh02/Ymh/QnCHutwqukeGMnwTKQqCz1Uqhe5WIQ1F6+6uu7ke+1woWNBrJRzosG66
tBNZImHsuuoM5Ks6TyZ2PFvp9SoyAox0bXYb5Vlaw1KWRnAezJrI8NorzzaXt0zvkm+6JNymiQN7
aevjD2dWKOnIbOVonqmfW+fn/6Ke1qGM9oILTGL0QEbHzgSBVfqLpJAlUFW7QLzd6MiD+e1Nno12
Toee4ln6Sji5dTeybNkMurGO8FvdJ9Xp5zhGBFs4lwGg4asNfXxvefUXULvJX9TLaEQn9ntG4TVp
tK+KdKW136TF2QS6v8R1KHbBEDVr7pPLEQ7ZfjDbFARXj2KdFIINupr+UCKYJId1nIWe/aEoItTg
lMq2DlII9FEwGQr6V8yrwD83c7OBT1sOAPtn2YOWtAhHmz2s5QqJQdzsKQWEOxNqJDIChL9a3+h3
geRmUza6OKJbb2m8mc661qZ667uppHKPd2YEWPYTXTuaTlEH2bWD+vHyXDhx8t4bkvMUH+uSUp93
BtHjntuhbuC1HynLzEL1sj7Ydl99SdFL5GZmfKSZ+gZFgshGcM8mN9ENP8jiiDoyfkH3Hb9ENGfW
pqlyblmJDSiqqzjzqvRmtEV3CG37x3ONeT1hNIN/wvktESvozjdJeEoThvRdlPXe5Ua9KsasusSU
Xw4WjddV3wBVKr3ubna4Ysw+l99TkRPPVOq/OlOdnpLAsO2sbVFBsM6CrHrT9DxYo9rJr6GbeNvK
daiMuwjXu9ZG1qSC9FZJOUAMmozvDRX5OI5dhm3koE8kxV+mIP80apqwokcJStyRiWtIGGeHPu3a
MfQLhi+s8coI31svGg+2RfpRPcIQ1t1kb+uEjRWWY1xNgy6WRl/mMCW2OBk4+DZI48aLHWZfu8Y+
j4xoX3HMqtd4BHlWDFq7qktjqfMbfbMbwzlMoMKovofFvam/R3mQXtNKFkDT+JU9y/zzB3sFalYu
XaNMGBx2w0lDknia6vEbZ3G5nRy32JuTQ3F/apALDgoNPfcpFYuzY47ufpiR78/FaAzkUBr2hKkv
2aHFOADrUldds8F1k/DVjtAuctNK3s2RH2mfKbqnOry0ydY4vQMuaXCXaPrTdvfzvD8LXAtHL5XF
GknSN7p3pHcAM7gmlXVxweojuvXMq2UAxsg75Imw1PdZty2ID9pVbk1+VIBX1pyh664xXgdEMdFk
AZhqX/OcYXndwCkc6uSImmr8xS7YJOroOwA2f+Gi2HpN+xAzbR+Nx9DqqRjqWbNCilNzejT9wYsQ
ifoBLpC088Z1Rr7FsrEQNIcoIVCCkuAeZH69QZkQnQFG/IKVnF+ZEBH1xe3JTYL8WtpVfs3nRWYN
Vzm4+FT/3hR6ac01FxagVZs4CSPzMMGx31NlXdKytBmesiilCNYaxOtVVJvqmAkuOc/UkNxuxDKN
/wrCLnsNM/0lyZFrG/N4iCyG9tBRpAulca7jYEabJ6t67ro1ucSIXqBaRqCHP7kOrdeMcJ9RIuDJ
TVO/lxXMhHKs1M+vCJS+16Awbnnlh4cMDfvKTaL6a1kU5TIEgn3K8N9t7ZIMhMYUbBNN8hrwlW2i
svKRqSFoM5EZvUPWXXaFkX4UhDkvBnSQO0zIeRmNVxfDEBCvyAPE68U7VSBeH0gA2ar5BAiHpn+t
yzcGtPi1a48LYuOIC6q5AvlJqbZdA302kG8AuNwtwCSbZhchJr6o/VlUWsVru+/gtuYMBcBIv+G2
DxfNmNnLSJb6PjftblaTeUcYXN97Z3zr56mzz4UM89bB1qX4maXhVjdTRdAlLVOrL6c1Yjd9Q7R2
tHL9VsMflGKErOR0U6lVrrXI7K5B4uPC7lwRbeBUowiRBVbaEWmSi1xl9+Qgx6NOmCDDkHXd6HCr
/WHNsO3GOWVe8bBgYCodUhTiaWcQD1eqWaIEZ3Nt9Xp0hMKrbVP8KV4H0KST+rF2xnvaqH4rJvhE
9BONgwMrwYoFLVgFAYqygLmdQeCL2DWJQgxCCrkVbZl+XKO2I1yg65JbUVvcIhxzjpW3nJcusg4d
QvBjbMuQsan/QVM++5xgXHNx+4ubFcd0Md4E5kDERb7B46YzrsrTZYLRZRu6IXBCvTLWIoj2YDsZ
6iBlJO2+Ti80uKFsBnaFUpOGOWFTN9XVxqos03HdhaOGViMcH5VCQ4VladrreIfWJlZVIAKV2hWD
BJXyqWy84Lmw3hvHpKlDNCFzdG0B5P8Iud9biL52l36B1d0vUpyzlO57+tppKsTSGV3JxA/MbwuG
fFH8Goz6i1shWRsSZpIFxmOoXyitiuAvretuTGGg7ddcDIqLZp2ypnEP5rmlIwWjCq2d8pxhCeVx
jkKt5oyIDrmTfo5KE5TSQFuqlOYX3bQOBiWgLXmB6bK2ZbdyuFLvKKU8Sn+Aegb3yRakJqfvsrUZ
v5dARCuozIuA/9it8yA8BulT2dRb0eo331UnffLHRUZo/Uym2ha2fvW5Vi0K/W3SbS4bCjIJyiV0
5YzTwvEDELevIOukpJ8RM05z2UvGnzKP/I2X4kQJdQ3Wcevuxy4gLKIKnGVtfkIogrcvYFINrYmh
MBUHSOD+2pfJZbBLONpFQkIPNNbRgOiWCXocVKiLvl+FdVYuMr4qNJAIEBWp0EYbc6NPVsjrp91Y
f0e+zCc4Obz4WK1GDAtMYsTXkqJ7NGVUxmEjVMZAbcQp5appLm2aEu1JRJY9FMOKxGX0DyNBQyEs
fOzSdEgJSSJLG+lAyuhumXGnwfFABo6Yvwu4cmVT1pv2SU98hrT+yWwtVO0Bb1s7E/J9mSBcp62X
rRunpM3uPUYBgz/tnU9V2q8uqDGNUKUl6gP8zN6JBv6wTDGYZwgf1i0OyWiQ70ie9hjLkn1GLzHx
xWzeiIBVyarflBrJLDmpSmMZa8ti3ZntX1CHPgXwycWk1484Uld3cN68pLsreMUL06vugzbz/1dM
ez5tCzIecUWEHxRc8CdrjmIADAC8bYmJaR8HIt5BWiSZfNhBaUS5bTUwxhL3q0M5BUrjr7ZCrSeI
d9KHO/DpDSWyPRk5r6qqvk2Re6WOfgvH8o7cOTrVLXgk+KNdqx2TtsRL0Z6KCjxU6RPE2/VbFLmf
Vqn+kpN8N2mZ0Fr7ObTBz5xfDEZfdZE6wk2PlmLnB2vFBGXpzjb2GC3kwo/Q5OqTua7r4s0uuGKF
rkV70hfxURRgjkVpPOi4TgdPOYRnoQThdEHLLM1mrnBIpnQdwW9DjDNDXtOSfByXq4IY62yhZaJk
reuX8BvuyfjdAU4DCAOvOvciTuAxRMSJvJyQzOmuLNAbcekv68HPlz6kjlUKjwwD7HfgNP6yqZ1f
hRaevSo9OK73Ro1CLIRGOl8o4m6pynrE+B2TEgTcYjQ+PT3F7ZCGPwAj94cuD36BlDDxMoYtfefF
FKu5a1LpyzChQlOnHymq1yU3ti9Id2+YaPVFJxIo7UOrwxKG7Ol9Jr4HMYTO0ZLU5S10y19iIre6
mHDUxpH7dZrsO1Sqc0i2yyofzW+q21R92K+6EjRcEuufZR4VF5Wbb0h05UkOjlymxG1oQBxWYWNV
0Cmh0I9E96Ifrbj/zjlfQvDTjIy1mZh3R/rEKkSYgoH/uuuZP76svTZay9T86E3QN3lG0HAc8UWR
jBPnmr+gO2Mt6rLZpcjEz1wRislLNwa5M8AMcBN20S6FiV50olnSMaRCX3evvt6QHoHXp9dg6Vv2
w1ITbm7b+pkY5c/aIGWHE3AYvJ0xaxbkX6XjEK7Tau7CGa1dNxOCsxY7dld1N9EAkCLWjIguZ+Si
gRk7GRyu+j2Qi8SkGBdh7NJcfSuoBpI7S1RdZjRqQ4gNSRKgIhonG3d2FtzSAUluGqJXBzO3oopc
XCvXR63l+3vaqfKY9VWzlhUWzWAkR4pCaNeHOBlpT4CVgy+axFtGusyA5KHw+nPRONMdGw+wRTgD
g1aV3zxzxu370AC1LuSWzgflCB0ClfRsKrvK3YN7NIhr2SLKMRdli1nAnJ14xEx964wzFSkmcaQd
Ur4ByO2b7dbNKnBAPdpmTQE5URTaVsXgUsvzRbCKRMq0qTX5PsJpMYwyApn53geVt/Fr96aFloXN
fjQBeIHDwsUgdpoFASrof4jZsu2OlfVSR18M+jh7TqJd5CkwakTfHr0IyEpT+CtCA236HbV/KEz1
4RuCKTp/9TKAeQ9ZL8YwyrTAAPi1HMKmv9YCslNvpfo6pWK21bxpo8+kj9TJs3UbJBcxupvSdZpl
JyCb15ssTg9Roxg19JuuV7hnjRqkZ/+WtNolcLizMMr/Gabqp5u07ZKbi72kZ3FHt30oa9yjwgGv
hxsP4qcfbvS0zXa6pTYIfc0V6CPIAI02LibQH37rnyr1Onrip9eavzCWorMcf8moJPnRdqxFZbSn
2ikJXNFy6kXT6CMP0Ka1O9Q2Vk4AzYTxMSDrbo0W7SsLHykmC7rXFL6Wrhh07ibm55CG+QZ150pJ
rKPDlE/bED4JgZr2cbA1fUO3B6QGsGi3LvE+2LGLuhRDrMiVXJK+ue308kSdHWgmjY+lHsDuDCZ/
ZXujgUPL25pTglY1MeAjyRyzIzBkfmVxiegwX5ux+enHArdBEX76jIcXadTszKbzDq2X1YuS4nAY
d4yqcEhtW0L1FkGvbr3TmEsFQyuj+rWzW0rZHdO9Eo8z4thwQG+bh5gmfd1546do63z1RZDBBQFL
sTQSC+dSne34Ufs7PWyvuZ/Au3S6In4xVMkUxMQP/3tjkAXyIjHsAjNdTB7DD5mnJH8RfdZMiNmn
zmi20te8a2VqAutCeGQqTz/HlwER3g3qGYCLLglJeky8kK8MbgJSfekDpb9URg91J9kKLMdfSmSr
WHQoWwZ6V3/RmMhcIe7tQrvpOPmVfjCndjx7WL2HLijOjGGDowyrgmTz+pqSFLLMZPOdTg1SmLzd
YFpI1q4ffo9TvEQDDlrwlu8tObxjoKB9i/pDZcYPPNLO3pu/dMpfiwlAKhyxe+iN4X5syFDOmjK8
2X68joT+bsWVczIZFa0t9UsXXxKSzGoKsys7YIbd4x3pB4xiaOqnlqp42/opaTWYL2p4OF0lLxG1
JFTlsH6t0ltNeoMlu7EC+i1UOKlCCZwyvFYzekiDw1NiwD5+8ubNdO1akY0aRVACS6WLR52br+1k
oEUU18QakAH66pme6KwLJPYLYAEr5q1y0UkJhiaCPJkF5HnI6GeV2Ni0xxFLBKQtgxrvwrcicUwd
oKe1MaRLNanmrVG6gXH2xclaZFYx8luLpFmAxmqr5agTW6ZeS7tz1Joh8bn1UepakNGg2FBUIcyZ
IZmJyTVk0pb6ZYEdp0GTKNx+w/DSmmdGTFiJQzi4cYxmLiRfoBpos3nwmov5nmjka9txNuzXrXKr
d64NVe6rCakD1TFfSVP74D8eXQk+VU6K66hvq2U/C7P47d8b2h+fjk6ZOsbMdCA1672WabjxM+8T
KaW2VQ5Yw7Ct9G1tOH+ZzdRuepOv0iLQHq2pswWp1twdwPV3Y6RVOEaDvn+uFrqBPzRWHw6jprJ1
rHloz/htcG/M4TbOqH1GNDNvjTC/JhSDMGMvpZOn5zDFVm3Li2vTGgKdY/TG2U07+6ALJZaUkeoV
0z9LdOMh0LjOuU1qrAiuVUtNinRvZe2qLPQ1fNj8DitqOiuH9hilYxoUNVEGyaotKjRiNRrjKiyT
VQNj+/RjCp3uUkVyRQinXAvLAAEbDOE7VNWt7N1ZcZbBNiizA4rFcOF4BLtYFGrDdDKB0sYDMVdl
fjNgxRk2DZqiBjffW7NYK26nlZmTj+ZVzj00hnIlDR2ePqnLnLF0JnEMOgmTiCz3UyKUootp9syv
+8rkApgXTCxH9ygqgbs3LqnS0VxHm66+dpbdvSKIZcygaBgGSbTVBts6lgQiXPtElReXUThNvVte
5umRTCdmj16kbV0BHgBbJlR7pdFCYEz8MgxD+KIHzVevRz+Gyy/Cr5iudWPoP5xwfImYGHMZrp2D
rsFq4kTYCOclJD2K4763XYn2XZPYh9JvvcNFx6oQ+FlVou0zgflJcfuI20ur0ZAWnAf2D4ht5GOr
enwLG+B2nY1NljCc6Qqml+63eG8K22AyCZqiLftm14aUNYeDNTTpcoTNo5qrx3d/diafaTmS/I2A
xzchQFtoncZkL+RmVZbW3QvCYZXZ1QL8gL8TSTonvH+TNMVBLR0aeigZL7UUgloXGGnsr6TwwNDz
3ypzLI/A7tSeM5mr6kgx1oQJ0Rf+tY6sfl3r6BnIRdi3VtuscugwG794JEZNGzKiVzPQ730l/Gqf
VzVqQdzOkcDpEg35uB5acs08/JXhZI2byk6QZflGCvhn9tqSFepNxWXyxk2iO9/7QDPosQ3matQ2
w0Tb2lXdL0w4GVKO3t8VZKyRxucBcnNHvlvDRB7PiG011nSIU+oMahrbI79WuC0kRNvM4JdDEVKm
JS5pETbNtwLN3ZLKm7MUMUGgxVgvWoY+FnXLhSZKcsPmFtz/Iuk8lhtXliD6RYiAb2BLOHpRfqQN
QtKM4L1r4Ovf4X2biWtiHAnTlZV5ElTyY0db1XXOR/QgEMeWs3dlzFA5f6+xONokv5Ta2lWq4lxN
4gsPk6kGQLVIKRDrHgnyh6mD5Rxqgls7D23rOJgRGZer4oveggrYOfcvMZZrjQa0cwBLev39O9Yd
2J157p6qegKMG1eSM3ENaWW3sO68Jn3jUupqcm3Zs3HMRgijq4D4ATrjnTdfDrCal5LTr1EMf4cz
h/LXyjHtFbNr+XZWnMRqv4p7ppesLcycJbIdN4lSIA5ep8t9t+BTEHclETiufBiRutlEeRlQqXDU
LSY2kwRkU7xv5UOD8O0vNouFIleOg4pzs0oJzfG6+U1cPawgqmUALXNNXcNZ732Kao2bma9hVRAa
5tck7lphJcEtoRKtem7oDBYEdbyl44iFy17AlaBzHrSmIPtqg2gskttSce3Esi1f1lIbHo2NvY6I
0U5YJVFyszpX24IakuP89VMVGVnBKvK3QWjaSh5V673sGFMD3EiIQpd8Mspzu1BQOtPlFxC2owus
JT+DHHngofgTt8mfVFeZGXhp+QXNM36rrSYbN5Z0NsU4mjMG2qLTPV5IjrHWOgTUEJHK1ASHsbk+
uoAM3Jb5sNSzvw5ZJlPE6QFzxCuq0nYoWBmv0oJ7KGzOfTqtA0tK095/PzSVrlGN0s+0mCzKbi3z
AU7TrIds+GiKM7VQdOk/m1sH4Set98IdA6lChHEK+YE3/6RjhfaoVIaZAazhljdLaDEOxIucLnjZ
AyqaLeC2XHrOcFfJyEiEVjx9i7kYQ4UIpzcNvc2xE7NRAjPf68A7QE3Jo6wl32wt5bJj5xHvR75E
AkYKZKPNvCmV8tklxng0WuwPdi2Pw08qSXcnHO6CtMK9YsSZs2/c+lyvdAXHA0C+rJq1438/kP0G
cLJOn51wWVcx4O5YjE/H/C47oGUcOn7iZpYj0xH+o/VeN8kr5L/jLuEst5wUxotZ982JnU8vRxsN
U1koHtGUh1gwZjsT1T/sRbGsYLeZLN7ErXlrjPp3hotsVpX1B+bsulj9oz3azMRNTAdZoREx0csp
UPNE2yFXFWcGK85g9kZMmM/AaJaZXYr8aOmGMgYwLYaCLT9xFHxCSZAR+7S2DW1kgV35f1CHJe3w
J0LN+c2Af3aDuZ6s2CCvPKYv7ljcq3HM7tRzVT6DkLWUdU9AgOz+tL4ZtRbxVlqe9G38VHtRnt0u
lWQNQec199qYTaeAx0ig5W3tZ76k3kZVxg22s3FjaQOqUqOwfgXyxcmicgMSd/a1GNDCqrKJlGm2
g2qL6rarEKTVzx4BiZQ5zHzo7zxg7+NAXTTYJ2bhFSWrXfP+LSpzekyhjj6WKl5+CrRfCffQMF/b
2tmmSzgohFnDk3EBMlGX6XNKAKLKLsGDdSM46MwVxjbt2ZpZo87c6f4ixXJiMSpP//3TxP40rFzl
G4Aa3IxpnzXbgKVjnlhI8WCNS9MluS3DbeKkXHEw0lflGyJsuKZjelfZCE4D4WD2yd6cFbbJ7BqA
ysfE4IBiWU/uWJ2Lqk+PirP9M4Sth4uIo6LSk7PasTU2lex16rs0VHOt2kFBcmxUUkB8xo9pk2lW
hieDTxojofuQck9F+fjuykmHprIyoiTMk7mGwjrhHWB0AyMJqjrsVMrylDu8uVqV66hSvzif5qUx
/qxWdig1FgErRe8Ri2X7pU6SFSOPe7IZOWAl4F4A6dZ5tVTM0Oxr7BZ97okZ4Q0dngd/cYaICM5m
BAZgYYdYQNkS+NiglMj+BcCVups6d6+C8fTUUS197FhnoU/yZKoNx4ccPC4BPYjlus/WcgrLSVID
P9B4TMbpYMMwtKomYcap14M2px9rY1f7vmjVi5tob2SUq7CFKaYoCwRQUnPcoHVGD1BVXE39vdJ0
/Zk2qaKKKY3NoBkbBf/QVcNeLuJfWbUGxzYgQYoTFmJR9nWzvK32WB7njN96oTv70FfA4IikHvIH
6pqXR2tWoeBU1A2kWX2gYBMUAu8xswU/0MYVtbIc3Xruut1iN1QdsYWkGhl2hZpavqWODVcfOAgx
m5f5x2WwZhl1xLJUB0aLMDM6/HWnFaYQASM+HFmzt4FKstsKt43w4fIAyNujzc7PakfSxUcamYr9
Zsd+q4M6akcbC9fRKiYZ3WEaIwXKCLM7nocPeUZmSbZrvtdl7mcryNVpofXGpIvUyVMB249ICZbZ
Bvl3NndbA0+B0MktWcskFGrG9+ry1eltGVktKC2RxOA8elq15PLF6+pY1SzBU1fpd/bEz1/nPIIG
83uv+tEsDvzpAAnCMMU/KFXFg/pKUSTYx46XbJ0inwDcQprSsEPmzX7No2TOjDt5zwmlPSznzUHs
yGif0SrwcECSTRCA5D6p2UmODmjDZWi9pOj702AOPqwm9bSpUjnzhGYaqYsRYLqmvvARRVBW5C5J
k+1M7dbZBJkJlrj6InXnnJC/ISUpZKpVntE9gWiWasuvHOL5AGW3v+Zw6be5lxc1paGhmE1EAaCP
eAc44Zfs1YM6IUlDykPZl4sMcLy54Qgqnc7vYMIz7SkFTQI51av1BOVIS9KndmussNtoGxnN/Nyx
99MbHji9Zra8MGa+FaC5ruakYEsSXkl0y4U2e/tyno3zlL5OLFPnhKUjWRYB00uWVOiIJycGlzU5
QCoHdCaWM8NT2/AEtgwWUY7rXJyx/Mg2iu10xwnaOyiYDlfnPIBjasrkpurvRWo4h0zpOfFjnqvc
5akacRvmjUh86vJ85h9xkFthRGVTj3xtdx16HB4crQENPitUuZvF/C41+UUijXwFvuPA4QtSuJ/A
SvMb4p2DOdCxW5JR1ZkItJR9p4Sc9kmu3mKhyqMBxN43ZwP++jI8T3n+ZqsVd5sxzlFrktS3YBuQ
5Fw4ZM5vCZBDi4Osz/A7ILAWGJ2LQvHqyQ3n9Up5L6N0DOd7BsXO3g6JTvwuwzhRYbjcgfxS9eLO
rkD72G9NXrwryyIe70u0lteDH4Pys0yjwZU77MhVOSfMXO+58Zp0ZO7zomOqlRi3iGZTAplci0rc
NbkEOacLltZkJ2YtzK1mj8MRPBw5TiNkWM+CpTP7wzpyuCaVE3LGIuqmJEDaULEQUvFZ/fcDN6p1
SRvnnwHCMSwtas56cbB2+tAXQG61XSNyi4JxW8PnY76JoRmDurSofyqo1ki6BwxjcBOFMR7AgNLK
2BjHJh9fYzvPr+3YH6e8vbYppWsqZeR2nV7KHFsMM2FbWzzUhg8Xkmk7dGm06fh83JUQeNGOkZvT
EccZlicHL6FMRxttjpli/WZd5RwGQ7pXvRn+Tk5/s0idIqixxU3ygsddjjVs0AEDcNCCN19LpvNH
a5WAizogOcLkiFB2xYMc4PYCUNoVGrQ2N4GrtOhoyWkOQ6VMKH6u5veZui1IZiliWpqd8Bc6Xsax
A/62TViuEP3Agwmqv2vOgViXSzfem0m6jmeJkwEPZrmVTRQXbC47UdqBAeqPTjgnCRVMUxf2+aZg
qFqiXsoCkU2Pjxn1EVb9Ryt184Eqlacmb64xm+Mkn/5KcCQT90ZvlfFu7RsONmr8vWl8K7hSPykn
REdb43/WPX9IyPSBaSM03aIKcpe6aSaOSNTZTTUG66KWNftncbeB5AqPsImj7zoou7KnaGgoh72A
2qOOirtXipYVSc21KninB5mhWtin6cACOHVKn5VBvsO7D+NaUfwDjcPpnrshCzLJsSMHz3sbVnGc
KE7jzVoNARulemevGRVYOXCagpglh8J7+1LVPEsr0Tm4sGZv1Ud04SwaRkJxzBD4ZejRCjqCiQby
/1Zl9GanQ75vCz1aW+YxNnGSAx7kzAFIlj/XlDPcqXuqsJLjbBhlMI/IBQnPlR5SBLg6XlplAaeJ
m/VeJUEzAx9+5yZEKmKVxZvZNUc2cE+boz7qE0iWZJOs4saUxzmGggBK3e6/xDuelQcrx+dP0asK
h6360DlQerNmUiAGBV/XPHwAAccISPgVaiZMNVIXykpdmBhOhTqDB5fVSSYwmvVc5VAQK08mTvEj
4/kQgNe4V1ZltFOymHEkqNc+jctIb7HBqPf1IhCLd00bQXIIlgHj/U83VgfH5X+VJiAtSQBzBFfK
kyr5creJMIWmsoMlZY7Lp/lbsYknkTZwGIP/oHYMIFmhQNyrXfXs4OfyNo3ON8BHLg8X5sBeuNa1
MmnkWmhqZ490qBoUpFpqD6TywTfaHbtX9a7XurMWlg2BDVSXVCifA8Ys9mbAK+o0/SPi4mY72vOs
4CLV40/SxAXq6Kz50LONlxb8FCejJdzuM36VZSBJe/eHrhotGhf2v3rf7nTjzEfX3oDBUOxk5tql
yJifcZvQk9Efk5KOJ7HV6t7gOuRJO0EyTUbs2gMCOnwbiEGcllCo8oHHIFTq3YDu4mFp9TniQqan
UYhOv/e6J7TOvmulm/OmyxM+YTTChBKIXNc/7I5+QRN0VaDUC+FmAvgeW6iv0R5nPoX6R+GUrMYp
7PSMtoVC15FEOBYL7iafCMstS/G+ucXwR64ccpIx6V9tl49+7AnBipiiNFPkQSpbZjytbp5zmkPx
HY6+3hWuP24iuYmsDzbNqqJhoOiTW9urRNUGEplRag70OT1/zOI6vhfMfELyXHZrTukYJuZ8n0A8
6cUyXDaXRQFhgiOmeQyR42FT2jjQ1fzJdr7bQdd8WgQACXz264qx2oadxGKCtwXCAVM7r51RyEO+
iDcuCQfJP42jjlrO3YSdaq+4Kz7BZgBwmum/m05/+xwjquicb8Oms+FndNgQtaQNVUzg4SqdP3XZ
s26G/QhIKgfAE+Ql6WSxtCzriytz9E3z4JY9kzkwQjhMWVh1GLcUq6783PyzkXGG+IklRpovMPAT
z14hHvIkIaDBhn+rD3qXY/CW6rTvSHbsgMHRxJO12d5OtltOXa6bqRx8etzqQ8mBGrN4NM3Vm5aI
V46jyd7F5UPhpPmb1GjkpT7f0zD+ZqxJlMMs2qm5/rWxCA83d2Or0xbRnJaXVa+ti7G1Vkj8rfbh
jb6iUCu7aW6h8DmFsRdO/gw4zfKzWB1CjkagkUoypGnanwzVeLSsoX6YlOW2bc1n09JNkJXIMZU8
LiNp6q1sdLzpAu8jAmo0niD7P6ckl46EffQobggp4MZMfDcdLfR9VniNlReBBjl1XfPknNZtONuE
d9CJmiP636PGMVlzB+zGE6vykgc672i8nBtMy56z13FAnDxjVjpMxuTs9XRRTsQCIeFaxuBjYLJO
SCT2qdSXP6apWL5r0W0Gae9oNdb3NtJUJWqH0rB1gUbDyykBSoAmQactANV6M99j2e8Q/q3rJqgw
nDRorNa/emL4oeaP/hM0SgGbTM7Gg7NbVJtcvgAgv/VL1FHTqCGjhjPl0EvNytPpjUepOFQUu3S/
uplSeYtRww7U6kdzlNq5vTfFzUvuD9TXBpOdNTcrDWtVIOynhm/ib/HanECH1hw59nHAAXpeGaYb
ZhMdGHFV6tceKJTQ0Zq68g7A+mNpGAWyUogT8aufpVD10J4yirOmmry7onz3Gr9I36ARFDqIhtGu
IBihe9QsYSEsm5FqLdi91jfNWXgaI5F4jtbvSZZNjzQwYANHArASChcgPEhPmS3e33bc8AkREupp
7h6Y5D01HYm51dmLMaeg583kde0TlDQn+QuCZch/dJUNiJPXX3fMKElupruVU48ZO3+K1PrQNPC7
ZKhUwHlv8l7kxhjOpGyWnuumzm6sGsrIBNuMpWEVMQ7RmHL7Vdg+zmOfBLnTJbDEeFxOHej5hjpn
z05vro7mkWr5t05rBeXCM4fgVLnG0/ItVzofXFsEFHv/2JklIg3DK4BlN6VNNrd2G9BK4URMUZcq
4XyIz7ppE/QKN7bAnGGRSDAFqRnfR9cESu7e2C0tO87gswfg4ZSvFkewvjvS/jLuHaF/gXQPhEF6
h7NRpRgvy0qd3YwItquqOyVZvhgqLUhjHRO+5xQ/mfUTLsJ3CCnpzrBVIHKpHP2vVfbo1ar7gtkf
n3cPFpMJJ7iNXStPLHp32AAw4LRGFzUTFuzubNHZF8zpuIRlf5vZfN7NgDfckw+qJG2oT+OvKstA
cBVXjeMNFQMJtoPlN57fdF1Xg2WjC336pJkbzJeZHRdJTsgiYMqCSPxqebyf2+bdRrOwuC93G75i
8oFqTasikRT25fY/0BsAZnh5aezm8/XIwqsNyBsdlwIMiJKw5mWLGNW0CnHQObdc8yHRtzexrqEs
F5oYkPH4cO9AlH1/74nUF7w2d/wxfL1Abi5wQNkGG8YFOlf5VBP+zvSO7GZgfP1wa6381c77v0Pa
djCb8PEtWUAnAzXakSmziH2bvu+H5rCarBPax0LMf/XJnmB6u5QxfGKNfehWeOZDR6ndXFG3W/O1
YlK03lKeAoabs8/Rhncxo3DQhBQAy8QVkGP6WogpkrXJvVqHNplgCeHGcip8d9SpbrQ8WkMDepHN
i181eIaWjWFx0o5K9T0a/cjdpnwz3SKUj2CZK9zwGA8Que4bFMOZPeE+FWxu/SEebwKix/0b2dJN
nDZjfh5/p6ofQwZ15IsVT64NcJdp6ATCHXV5yLSooIdVsljz1IxDV73wPcX1o1A3dMWFEFGxsXiL
JR5+MJUU+D2xkpTBh73NWNu75kRlrrtr5x8EdjSH1Wr21RolaR+HZA6ui9PC/gH/H6+oKlYBqpHs
D68yQh3uTItdO/uJtpY7cKGFzzbq17CHA51G2Q7J+oygjRNFsDphd3hxNwifnXWZl+St2Tjwu4gY
cnmvrM0J6VOj7iodwnjGz6CxM+gk23DDvDpscmB8R+OgHOqBF7KRpzLowHx6bZH+MvihiOChoVR1
FOzb8i+1rp6nUTNhZ9EDD95ZUawXcpO3gs0ERNGu520D+ccY2481P+04+POFUjKLY67wmzETD06H
tSxlaWxYlEDSTf3XED1nM8AiGLoWCpdwNe0EZm4f5BMUfS17bhrxQApc8kLgGmXE/G4NFKnJVYxd
pz8TGA0rWN1i4lFtto7ppynE2TynR4fDyrrvbSzAxrTkJ7OZpwg83AUPYL3HxBxWNsTuTBB8Sp7r
eHP2NovZMFValBku4HXGcdBhEpvUufEqOiAZ/5a9m6PBghQ9bDZHrs5g8KDxgmeYsbwZim54Wa+t
sHG45R3uyAze5UNTZR81VXo7XU1LmlFwISZp3XtN1aDiVhdjjGlCEZOzS9SRuW7V/M50nQfVkM+j
xR8X1y0YU+sgoE4eZmcKWIrFF11twRknPIYhz6Ct2xhI5BSzmEDh3+Ec6gh2ZhHb01dU1g/DUNxj
w0yvVpjhEkwT+iCy3agPIHy53joEZ0KJKUUNYPGGOEb2V0x8nPX0O1uw+/vRMVgAmNaes5CTnRpV
saKhXv5mHVVxluoe0mrE3KOOgShMLtX+ZeWhPJvWhBkYZ31RuLpvVRZnG+Ec0HtNz3BNatHWR8lK
7lxnyYezzTQjLm12I1LJfNUcciI6t8VVcmwztDeAM1mCIgndqXAO+DA/EeM8tzRRHwrjZJS6uqNN
io/ojpDvEvVAjIy/t5Lygoqz517lDUC18Q439hMiD862YtzCxFZeOYfu0hRxVJEATnVV+bAtPNJU
iZxymV3SuIO12Ngvuo2LwUai5e4YTraaEM6r6OKhDWzDfXKhNPSvUfmW0O7Jo9q+lOW73ssvZS2N
zzRxBLKFYBVc0wJlT0rjKRNmAUKBRGeHy6Iha9l08alM//dczRB2qwgp0uC+Q4UIenbGO5kXr6DQ
J1w14uqyIrvOanJcDezvSms+N4P6Bo9Yj5Sl6o7qxKNX3HNaTEYEVOWHU352fBJ/uthi+BE9CW54
tl3Xmq9q+VAkVHVlJVM/h0saY0iJPZh9kC2d7glIp9FS2anvZFTLleM0eAT9s6AW2sEaa+EbEKpQ
INKosrRzveFwUMoOWl6pLoEiO8V3JqRCM0uaKKMjDi+Oe4QoOFEpA6COO/MJOwPZHbi+cpqcILdQ
GWxr2mUj1iQjIdw3owh09tKHhVz3ycxMoLkEDPXh22jNK1hZ9IGWiSPd+oTXlO3Vi12GuZO/4eC4
f3jruLdUPYk6ZYy9Ii2WMy7Up4pg2Akcz97c8Ggaqfs43qN8HG4ApxHUOVSm9m22kPiQ83NPvceJ
zUy7NKz8FMzmVMbFOyur8JTm0dgW1iUr9JdlQnzLKNIaKq27TogDWwGqmLPGT8yuYNdTEgVADjfC
TB57p8vE2pfQW5H8E8gW3V9eQ8RRS8FaNs06L4MT4i0WzWxLhX3daWlYqFkeSHPdGw4fqE48ondX
jsqaIQKh8d/dWOGyxm0vy2059daf1bERmoDkkPhxKcItdCeKY/S6+z6NwMK7Ztj/TMeGN1i2uMxI
mU8ihzSEBxbFkqPGdk1aS2ceZrOj18Ne2wAHt5NGA97W/RpJ/0mHBxkhmLeZmq+wT7l6XIGUrs/J
ByKLcrSpwvQbE8+qQ7LdNx3k5d7h2aWI9hr36H9WUwdTK8zL9Fm55kCpgUoGOmk7LspZ0HUDQHYw
mYezPm4OkvBUYLMSrxMAzis/IULgAETWOIElzaNo3HeX6GdGXxUlXJR9VYLSMGdhU7Q+uCxWUP+V
4uKOiYuSxiBcOR9z5sRn04lqlYbLu5DTKwaT6RMusRiUsgKAkYV3kGA9vGY201zBb+3QWm4WBYkE
4t5+m8OJLu/9E4nthpUU3tioM2xxdT7ClCSF62rTDrxBMOqb5U/5MHhYoBmZrDFQWgo7p665uhqB
WjAaeMUomG+t9cjJmmtiqjhcUArUGwznbh8HBa5730BMwE7CHlyCeZoX9j5qYps36vH2cfdJ0Zj5
KJT1qcQC7eNBn0nt+GlhPZdx+qkCPnMHuz2YycIJrdWOjmr+dNr21wVIuUnX2VnfOAMgqifGFjlj
4SWYJg9xvT6vpnN/vh9WwFTnqTNOFNIslBZIb8np+oI6RC2SgUGncScj2KjEA5eQn0lC+bos2Ldt
4ja1nY1e3TjHuvz9z/lpSr2+oKj/5QoQntGVI79cujJo4kl0p+lL2M2phpHozbiXvR5YMA7thgAd
V53JjEtMn2k5jy8bYIHaxafIuUNejEKNsL++ms0I7jVjQrJV+VdxF1ZQipbdcbivsudemjXuoKbI
/SRhK1wc0eJoi8XXwHmuP1T6JgK7VP5QymcCKeP0SRyXKINhgYjXFyhZlCqQxKIGwakVMj/GhOda
4Clztwyj9jzT8IqnrgCoxcaLReu0L2Z135czZk1z+gv3xg5kJt42LC7WnEqvU4wnjLloqmzs/BIn
cgdl5VXXrP2QjN2uYSkUDDOqfU/U3yebIndLydneTHGDIjYx+r2Q71N50uV2QH/j8m7TyOH+Z/1N
WadbjFqEjfLQKIq3ochfMOZhz2kon3TYp1NRQ+RElmrilakGviVxTnHj/HCaxlC7UeOCNs2N1JNW
6B1Ym0qWn5zsu0bi82tcmX4HGvOCg58NbX6I9e4nxzfzgPgxIXgytAssA5NWSKoVq+bKRcxZi+K+
HCWHz4J+Z43FLabgDJxK3L9TVBBSxGZ5q6bF+EzwyOldAuSPtvZQxbYhpuSL/Z/qbWZNHGWTiD8T
wl2a4HKjMP6LLZbwu7ufqJrUdd8mJt2HBDzaMWjpnoX8Uc4R/Q3R6FSkkutX9AfznLQSUqRS0mJT
tQ9E0dOQxekrgXUjgqFFe/LWvfB4ASrKAOrX4sOhEAU7SNfsNfMBv1R8xdqzNZTvtVDJKpfsqgn+
29NdCXKDSwn6/J2Ykh2m0bc4MzH4Yc81asz5fXlonUYGoAw3P2bRjgS8RIWZxph3jJNGrJBiUasL
l8Y8TUodsBCltQVQyLS6AYc+6nitBnT3yvIjNuK3mi3yfhG1l91b7DJVbNwLRUE5aHteGuYAgvg5
MeiI3DuyB5t6BCSoAEXZBLaiEBaKOXC5RC1xvhyTnsRBklX/6GchpLsCwjOz+rJZ5SdMwypy03Y5
6iyQVrWV51KLf6Zxw/h4g5QpLqoQmDF1Z2/GifAh3LOO2JTbrKUbteHtByujFXn3V6a4kSurxAJC
bpyieEoZhiZas6w/0EG7QdE4qdOjRp0CwE8iUVaSUZWQx7XfpISks3nA6IxjcCuqcLPRgJsEZbvr
DkO8Ibpr2Z2sPNHM62CgKk0JGggm+okhAUm8ZUJ/s2ErnnC6VqqeIqCx1mbHlO1aKnx2XZE4x74x
5ocOWDOX9nSg/bD2So5Ct6lfDmtM4+YKLmRn1G+Fo9knDhTAJ2t7X42rDlhpWINswoSZp4k814BR
2Ng1vOLnR6gRNKoOhnKEa8OCuYmpqZ8w//Vb3nHtoe3E/erp+HcPW8NzQlcsN5QzTJwUSfSEEnpb
SbHs5Ur316Zvw35oHSSL1JX7YUVBu49nwczqyBsntcKWZ2CobqZfjuDbiTiqeiJl8l1oeRH2G1Yi
YJyQAB2EKF/te9oi7JYNtgtqAiLOpz224oSx8yejzIrBjBKMddycyLAbzWdypVpm3ABr5WQMNTO2
HoZMHL8IsxeHmVD1WDJ1G1rbRbNGzkJFDQ7aarLxCJvygRAm+dk0Tn46GmF7nnujU77IqjKeMrPf
5/dm8rVO9HPRkJn671/jXnMieIQNGwf+r8WoyYmqKKkR4fp2SqW5pO1s7UiszKfMsI8pzrjjlDoX
RUlxPDTMBVUTJ8eGtpaZUDHNL8qXkhq/8C+ycLQOhhZvYRs3NFHxm5br8JVRZeUjDPLyne11fVi1
5DoioBz1nrFF3ybqwNqoG0f1VbDp9KrNOMYDD1KMcuT6PRfS6ok6LbDMGo6sdaWDqOUARfBNU3el
yNygMjGgTVkDC3ey/XlO1Md6JlwP0dk3pKacZFe+FA0rkNEkATUJntVyYlwrFAqORsGEdNrmcnxz
BMt8Vm02K5BmwXhUuXF16dxZv49LOZaYXj8OzNirrF2Gz8xz2nvezKqTq672GAU+x64f7u2QMc5C
+7Xo3jPng4K+EPx7gi6xoY2ImhNCQwCPQdG0H5O+Os/CuQw9AH8tC9vmQ1Jso860qqnVifMINZdE
gpyXJY6xPFCiwhLE60hSDZwHBd9mBlySTam+RJVcvKqCboU5Yhko2any1xYTwCYd307xhOjHkWev
qrkvGiu+YYIaILuDpBisMIjyyJ70NzsC+a4NK90q9Fs4yVs8nqwZy1RyUDaBUzs7auWVNjV/ZOEq
OmKRFRsLORqnYSZRgFUAAepc32sGt8Sv+BvpuU1X+7uLAtYB4MBofuwwcUvpoy4ZOX6n9rpk385o
Bp0OhxjMcMz6UwFppa0fCgW0beKwVhr20qJlyG5C9OP9om4Ihf1HanEnrmkbNNVLZessiNlLTIxQ
mOdUOCoTvIuaqoiWAlJGD2IZX0pnP/Hd+9Yogtl8V+VGAcLolctEfmq9sbAHYje+agqu5zuluH9Q
3pJcf56SV4uaFrhYAaTlWPluoe7tiR7U2bu+/gHqGdB4jT7KGKEwL3Ts+pmpKM6UHWvChn6G8bci
qonLGQyCt/YLrirpF0WLO7jBrPktnOeyA9ZAMCf2hxl+l6u8Cg33VnEBdFDmRPFz2LZ39me7S0a8
DZvjMd4neKrwHrvdtFMamqSRQ0qH8WI68h1749wycstT3vc+SBqPDcQ74EDK6eAmqH00UnzS1ze2
OSS2r9hrw4JsPCcgqX6Qc/PMux2Mk57rPrfEJ9rqpCGlwZdgn4T0TkkM29HaXoLOOBP6mixM35Qy
EtYN4zHImofKrC5y+5yWEBeiR/FUVErNA1y/2+xQqdpDLqyjRAsTMUdlgqkIYHfce7QBZNiwoG9d
6eXDD3XyFKAY+JqfS5OvB1tghdvPjCNR9J84OAJSZWEq49dWn6MZlNe4UMbHwGnaIdCyTfsyWT23
6KHF9i9r7JOulZSFXdjoKyv98Kz99JlwaU8hScqfZV2eJzZATkKfbXuX7LzCSXaSYiSKlc4pLLTc
gPqBhlzYZtimxzaD7Aqv3eD8Jf/gOt8nnP6BZ3DWMQ4Nlo3Z/k6650L7Gi2qzKsnFZG3cF8o9xis
7K/BNVvnwPztndoegb1ZjGj2+NWqJ2Up8RP1+4mPyn5m+PVBYXjlReIooSklgNi10wiOsGFkt0D1
L86n+Fp3YBHOGddSQbler+XRQrAtyQOFjKnuPk7D9FHWTEaIBKyz9+uyHozsbSx/cHzvSPiqLISz
9kGtLu048+QjEKGz1c+uxR2IMHOjW59D/VLhWVGoEG0G6MFv4MP2uD6uqnVUsajG9c2BqqyVK6uW
S6ccuUG8ojgTgfBmXXrVi9myW1/7YM4aLy41b7APTvlQJ/v6LoxKysunP/c1eFJALz4uuDdV6zLE
EZtkLK/HQhZHgRO+cnnfUQLj8GdLCUt3RCyzGYvpFzbULBsvCxaEaglnVtrzpnqacsb9F9X1sNMn
zLNofd27XtLwG1XYHGpylRrfx97B9vk/js5juXnsDKJPhCrksCUCAWZS0q+wQSki54ynn4NZ2OWF
xxZJ4N4vdJ9OORYFjMaDjG2989PWcpvle1sH9uN70w//iFVyrWlxiOOhCidukZIdjTDiTQdDp8dy
0+nj1dfSV7zIjUq+JTPzeSBsRR5BItNJEXistr8J2wiLoWxkXQayzMFK++aUOaJ2JGprV8PUm7Me
C9p5ag3wu9quY2fB5IGRMWZQ3c0nzJwIn7ML8JKDMVzbkJcuj89GEwjZqcdNKy9XuDx4FYiNp4Ic
U7fN97HWHvqcYaKc2BVpdJWVeEPBRjiiHSdsCogmrkoOeK8bVcYWYC8yt/ylAiJ9DY5GLO643lnx
8HuTeCUaR2ocyFubwgbqVghRAuAIksVm6h9lXN0TsH/c1PaUoCRQkF9l12HmJAm7A2WubeGIiZSW
USVNCYvVJY+DO0Eod9zMe5HmBgkCQv0W4tm1RtiKmMTR0CtFFpM6jNCh/r7MChmy1PZs6yEl7ar4
XrT0s2PoqshMybRiLISJiZ5YhEPXJr/S/LyhJ1J02SzX2IB4JTC9rqX6M1yetJklU42kNJdIAOP/
p3xtpNQr63ynksaZEQHcNuxA8a2n4Uw7cQfqs9MViKacW2V8h2FAU+KsERllBIAjAnHEctPAML9Y
mNlXWwDwjqRBuCkCWKyfzZuAMfxcKV1gonbuMykwkY9M0quIS2aVj2P0JBgpESY1Tnz9bJnkYfe4
tbv9YzOH68utJZHdUoQXSBJspbhEzB2SsImrdt10WYeYUONUjc/tttXaZFbD5M9ofZDsTUD3qgQV
SFH4QEh2jOj3LcCuLFOLHQuTKB8O9Mh2Kp8LbAe0xPzEV+WmVWdxW92nYBo8Nhm04Np95BifeamX
7sDSdig6PFG5I8gVKhVI5DINmozejNAdttCvovCGWMvACj2U+2YJ8pL9GOBY9v9MwJ6j/jI032H3
rUyvScv87sWYxSfEal4Mvdyibe/j0BkqzPDx8qWSItbHfmv9aSNicl7TiqDduZqeW/1rEpE4Vsw+
xEfOZ1R5U+OOefpRXisiKG/ldJg6Js5aceyUK5q5jUblFuGtrdO7SXR5FR5JPnQhfjllXJ+y0NhT
2h/KxK818S3RfxJdtXs7NO9md9ERJJWGhXpthvU52abcHFKit0NWLNkCjjqm2B8aX+kZUGc2ILtD
Xb0Q44Sq0o/MHFE9IzMYm+a3Wp6lcggM6Ct6nnvSUMJUiqkD0h0oA8JLuxoLapJChO3diNctM8Kb
zHEfF8YFYth7LEPnyCzsK19Dzhx6o5ouiG7OBQNnrOiCGXtZttw7VT4IDHC0+dAS4sZkuFbQVoWX
TiUXu/oTVsVmt3TM2ze5+1VB+0TMN8dYQLzxlsulNyvT/VbgpwIKa8gg4KPN74tDuLpoKfJyTKIL
13j3MCzdkUYjULTINUwGIkgAONXNKd4v2l6UM9qft6albkJ+wICtv3Yqc40Zwdz8GmWcU+jBtu0k
9JAzzaYrmRzCRVe4TYoZsfWqvpW4x6qAQCaX5+nbasExREpA/+OJyx+tOOHo1V1uEnoQq/fKaTOV
WLwhW2oaz3f4Z4pkNUFNS5VDu75NZBupP1OISFEAtgP3DtxbBUPVWO9lad4nQqlnU3CjUPhRo+ZY
rOxWhRc06s8boJ3Fyo8gIOzSCmY/iIAnBmqAE150jI0WdmCVbQQWLPoc7sjlXAhGz6BT9fREOjWx
cIYIlZvzMTbUj5VujIoJPhHnui6eqkrGaTiRioz2K6HEp+7C9EeM7tVMo+O8ZG+oqahOIXaq1Pyq
8aw+FiSLy0K9A9oP+YiQ/uOtcGSzOVXooRS9va9xxPAzR9bNJCGUHMug/266p3DNGAtVT6BwkYUq
qAsQ68mCLUzxyVTXQ6O3exyZmkawdBxU8xJg++kVLBCrwLt/olHZL5XkCxAL02sb517uN9BVl1o7
wTF1o4KCMDSjryQVrwaTAlZUAfDRfau+9dbFirsdJLOdQbdfUWJYtcAdyApnNDUv76v9wH9Ty3yr
R8RnNX7PgrLpLCeOtu10B+BO+F43oVTKzHhgMXeU6tDJlZiYEn/VOreWmQpvhYXQsW+v/ulmZacV
MyDJC9Fh8LAohZ+PCiTOLwEXdK3Kz3lZPoE6dUWav0LFYcnjLkI10kfQZfJhVgOxstB78rekWeIb
i28S82kIg2uBuFKM53Qcn0OgQFu/KUJ/Jale1BmXQzlREa0xTd5AoEOgyjGJvAgEJCKAgf8biqep
665HWN3nb+n2p/Y3cGaslWPofQ2wN+JQyXZSROwVrUGXq1/X4bEpQqTxUzeUo7btFqOPRaH7HAg1
N+7aild7wauGzvmtLFLO8sU2meARiWj3tEsdWaTyIUz1g0LUMLa2tb9ssZuZfhsXSLWs9i3htYaV
gb3G4/hZq6MlVHvZbF87FlEqTr4OWBNWg7IuAkbubihqvgw9OOUcXoTzKoxP01w+kiykzwCFvpae
Ci43bjq/MiZviPBMMcVOwo8WG4lRDDtZRj1v8FsD3/hpoQBDyHEmsN5dkxwI47W7ab8mrSdh/zGT
d4CVp4j5HiGcw8RaUb113aNt7xv+BcKwoN4M5bLSIKFayKGwE5ArxrqbzpDjIpxALPobUSChCca6
SS44HTBApmwDtsosolBhi+n6z1LR3wxIsnKwxiIqXVGtQBIhoEsN0+eEdmeqCcq4kkqaqFV72Uhx
7PISPpssBQXpCzHvQM3ZwDDIk4lTmNJ/laTtIwUxfvwSahTlEoSRO5263e5T/XWU9mZUno0eKCuu
ffOUUapY9R0L6zR8co+mm7cAxyPezggdasMpx/fZo9aJht+WbFSRWoNPi8HzRxRmjF0gQOnVJQbR
w+xGmVe23wV653EgcDar3a6+I78NTGXboaJqm0Ai7IAW73KoCQizpvRAx+haDGSHiuShGlgbCvjF
0eYCUV5pR217k0SfdSVU+gO2lmPDTdYlhUeJA5TOZgvzRsGPXllS0Jp5EEoDPTwlm+9VnC5IDIBG
mAcqr0QLoVNgya4Lp1PfdYbDonCRcCyQTUlJaN3Y7LISliqkWUeF5PfRkCnyqFPXRyQdFIhTIpuc
hMEKY0Kvj28s3tRd2xEXiWgoFhyDT4Z6jUVz6bWhP0EDjgBXLv2DNkFudMBewSLru0Rc7LbOnuXo
BiQia9m2XCowEaH+gXcDmSCki7x+HWYUII+hItCZDRSrHrtsjp2J9RBXfZ55TYIX4jVUepp1w1YJ
hS22QkYF5Bt5LfLXoi8+QcR+zCqR0HDOytCXcf4YjepPEWRvRp91ZXySKIZuqvQt9rBGBUWMOUt1
qHBO1czSYO/0+s2CqsbzFlsxxhpelKXk7r4Y4l8tRL5QAAoN0MCUheR1FmUSZ66pP6LuKStwYtcM
lw2PHWRa/OoCMJTvLP6orGBqqyswFSdk4N+uDKgmpjzDdZQ49N3a/IwkMQAutCuAeuYdXgunInmE
UFKp3dZtps1wCuRSkLWnvveNLdO68kawgiRkongFBsc+E8pKrPsxSwJWU542ts7aSSDmx30zmGBc
iT9KludV7r0Bz12dhcM5K8eTKlCD6cTOV0A87UkdgSgN4pPS/mjjmHqQAQ6hDDdKmebGtURp9MYa
8oY1ad0F1MKOrX3vZduYRTskQCUITLBeMk0dwM+yLoamx3CGwO5Aqyd/7PmBdeKlaGRisIodfolB
SUWn3ixZhRFnJ3hWTPcvo9WhU4yVbD9H6lNWN0nQYIlOEGC4S1qUuyQzVTLr5ae57aYrusvSRc8V
MYOEbZWqEScqGk6EPBM6jp1VVqLbFcUPXIWRs7z4TJqKyZDCiEVhg5ayvQ2RK1yjJr2YSnqJxlnd
SwMTumI0mUcqaHQmp4YB6g8IVoOVdZNaKKZjWctrzgc8M7b71216gqJ1ikwg3ptFDEv8rRfEUd1Y
zfdQIeNJcF2r0RKfIWD9KyfMi73ZDEchZWgM2zVQ9c4zVto+I0/Ml5Qp5X5QU1BAVefoOj2D1Ssu
tvLrnOizD04Gz/o4ln7Ck6N1FuYG65V9w2MsgfqIkvjCOP8fgRNIoUiDgKw1VIhE++JZ0mnH+bmr
lQzccMumL43+q24mpm9hDSffeKFLGFwg1V7NCNRNklGy6y6c9wYyGlUc93KfDNfNzVDnIi4MyOpw
EfQHB/kjm4lATirgwYPImVhM6p+EKP0CNF7RQ9j4nP0hsIjeWJcLi3wpXUHHTvMv+u/hgH4xtstQ
GfbzjEFLyiXlzoj7iySje68b9XcOwhnCVqANUhGMObXNmMbskzRCsrjDq58KoK4/WTS2xZLeTGBe
k6SQRBS+txrAov3S8Fe1E1NuIg/JWwgjXwcZv+scsqB+JUNgMbVip5XjtXYhUliT8CuFuB5KPimo
XOQAcnGwGL9WEBLVa6pBTV6Fku41heBDIjVDWrm09SRKnc9YoXiZVNpzYwTwSsLJqle3IkNzu4K1
+K6yziJcWvhF6k1/yrZmZ4ThWz2l3ElwZwCu62+itnBBYuTiaLjrWsShoySMYxCTTbI42fXKdqPL
ut84trbCZ+RamRe3FmWB/HCT/c+SeJkp8BsqI4+QAEpyfTLRsm3PRTNaqr+qAOoKyWr2xL++TAIs
Li3KD2asH5NIAFXNWELSkn9owo2Diqd3SFgur03ybchv0kzJb5dcQkJ7lhZ93itrLu8WZFQjek6w
1EAx2yxQK0bQ4VYRz4C5FE1/Vq2puCyScSYJ+iBbGacfftyqlpgbQiHfjQmqHFCICHX7bPAIt1vx
43NvzrEuMXLIxp1eYvxDiTD18Sc4cA6seapOcv82QhAPlekrVxrfTLj5GjniZheOaE93StYGK0NF
Qsa9YVXOQtPsFWAiipYflmFFIwxhTUcCq1wVAvay9l5kHYmfw6FKXvrUPEhku2eIXqMx91pDgV/x
1eoKpEkJUVPqSsi2YAcYssD/7a8GcLaV64NZYiuldUsvJXwZO65AFHJB+9iOXOp1T2Xgm0ZPjG5w
SS9ezb3W5Av6e67t6gXjiIeAHBQuATOsxQWxfGjJo0qsL/rjAkyJLlb4sb5m9Zv0B6aoH+U2veDB
skjOGrt9hk57rbEvfBrmVWqRrloHEh5YShS7qBxe9TjbQ5LC19M4xvgarYsvdyCTw2+mac9ZWPlN
YhxJgoOhsbSNjZHIS7qQr5bNFkzQLMN/pSvHJBb3Vpd5IyEBunXT+34vyy/N+pfJnzN6zwksVU0T
GTI/DhlYS81iY3i+SO9FTfVwESzTVaR/KqaZGdz79jWVzFlq818nUpQN53avYYJU9uLwmTF3gcbI
GJx9a0YsQzbasEFuK0MGJaazADmYtm7M4bdi/heVP9AQyNG5nWakXPQXCY1f0qI7zrqDpD5nMSAc
5FQTXze2Oxx+1mNkbJNlbAcRiQ/lvIO2eVDSnWx+GMW+TANdc3PLTsK70v4jflDnoYo37PZPaa5B
DUmMLBualfSUM60SaNySwo2oGkrojWYy33LptA5XkCx2VJd2PTX2ogCpH+6yqt0m5cW0nMR8/n/q
a/iwMpjFsGJuKTY3PYU56LYVPkZ8KlqmoOhATLrM56xYnSQKbUN/MquLXDSIItaD2kO9ycpzCe5+
2ULTeaJm5WnwS0aMWdwAh0J4pyCcLuWAZDUW2k4eTtjQ2MHxGojpmUablgcwPO8lQxQ0ZOQNxQlD
DhLpYyFYLdQ3yMBUxeBpR34uBMA8rku1+thj2DwVTqbSmlDiF9+p+kq0CL0gmLMe/omnTxYSCZeX
adA6e8w+UnRKufKKW36v0GJ0iJR3rSCy+lGgrAMZZb449vuK7cW64OvUGLNSBhQ0N9JpHqodRbYb
qadhYaJhSo81Mz1rGn5rmvgSMVOOM+AwwOwdmSdB4SSRnv4LgeR87Ip3GAvrhCLJPCC5wFS3KfSQ
wdvMpjCJ2FWFoA76pzUw/PbUHEdn/QmsZhsdDQ9puFaoPaceOAnxLhMKr7R2TBZ3RX5G9WRq+Ati
3pHIUSt/DW9xQtpDyoPc7sJuYle0J3MFii9Dnktl3hOdjAhcWEQK7Pi2kmhPDW3MZ4mkt3B9urAf
eFTNq1E/ZGSWQChtQXlvwXu1CvYnBGZmiIg6ENLuBPieze+/lE0doCqXVTXE4J+UA3TuIEgnvFGI
XcVPgQovH3ouyg8BvVOfc3Ei35xHnPksMyyU7JV00aXPJv8oeEXEcI/MyJbliugTyW6AfJDAIkz8
7echf28kzbOoX+YKpAhDoVRG1dUAncmpuMxvMcLrwkxCzGKX9e0uzNsDIdveoGGEgRbRpluIhfSU
maTgFRVdSHts4u66LirtgHXuU+PS0y+tYnRSiye4fx73DHNnEEYJfrlaRN/6Msrjj9Q0N2DBcZcd
EmN+bnNpn8J2orvYtX34NqalrWXzRa/jn1GOX0mYJm2G+Q5fIlHwrGAU9ESLMfzN4IiTgsQisCTh
0ZgB8RKHzS2mSDt97hyyg+4hBltxvY2d4g6l+gHZ/N5vVEwquvhiRKZnSC6L84c54KALLbvsZEQq
uO3Snc58fmzm02Kl1DpT+f+qaNyiE5ERzGZNbYqPIO9fBsSNgF5eM4Q5kvw5StXXCBc57/NLWdAh
cqcW0bAx5tkvJYdY+ZClV72Obvqn1N9bzGdh95MLx1CJv9ROPHRyguXYfJ+E2ZPX7ajM3tOZsB++
GQ7w925g2ERNa/A0bzZf1iEjUPmwaBG/ZbcSFzf7W4b+LQ3NGJvYhCpCLhNniBDsWAzT69riEdaD
yFL3A7BPS6yDpmUjo26LkneRmGkALK9Tnj0PXfUQJsMXeetK5bODRqHJZPMO5nGdP6UBVI8CNaqa
ggTudgmeQDdXKpYdWd8/06nT4fTauSuP9hAWCG/rnWSY7JaTYI1BWdePFnue3KLgH+JrYcX8E31Q
x6CimqOweefw3srp/Iwm72DVg92cnieV3pEmRxyFmy6t+OUUuxZdvgLBIDbsWrAwZKeF4eJY1dpz
uLAjWr4oDCX6Y6cHOWQyVIcvxwpcXSnN2bCa7aUVRqKSEgrWfsczBHcu3siMNcoh/qVynuvo4SVu
exF3S6T+oiIosdKjwJPWa2zZSuhGDZmaB7F7z0mWFZO9tTyQgFPPJtJxbXV4upKfAuOvTjFagphj
dq2+b7xv3hK/kDvkoCQ+DrqxF4q/vpT87aUYk9e4ftJw7JRAraJC4bi/IlSFb6EtLmAjDYriuSiu
beOxAEHGZki+kUF+djCP6w1eJziRA3cnSXq9iNXGgc2LlcjgIlE8jkaQqKyzcLOSW6AAoLmn/zi8
cawLQNaxwmjMLlFAcovZhrinci1RC5NV8MRiWD/xCLTaTvgn/1iNB9zAJQhCHGyZOi97shCB7pIT
ghM20nKAHKL9SxX5JZc1QFsM/WW4IxZGeBMsySCxV65vqV76Ored0QLKawuWlJ1x7wvV/s7ZBMam
GMgSvwymWxffutgEZlzbpAcEeYWZapgYgnLXD3lAvq/HL8ScPXIkRiUWix9uFAYFU+0T75f3iZPg
R/f5PqQzrQKa0PklQz3voCbNWzsMd8VN+Ss/F/T41wo1JoAR4ZAES9A9zy8YTtfMMSmFa6d5Zypg
IWce7fforXrmddsUxzcraG6gd3dYWhZMig/kxHiy1fw5QrcwcZPzO15zOANjgYRoXEh9y5md4Fli
m0gtubA4m6WvJKwYnRvjnzA6ysfE8rZxVts6IBQYntWTxC0kY3km6My2fmk4LAjtSEyZfLAcAULy
U9yQ1GGeo/ErhVfY56x2JUJem7P+VGGEMff8bH12mGtu1l3r1lhEcZajDljPM3LgBWj7rvxb3qAS
oFPGd0EZumKHL11LeS8254rP3BftcLTDjVuaJuI3nl2KoB21As89f9q4EszDH8ifgud8WL2GFWF+
IKOuz/mbUB1ivPPC2hGqJzw1yAPwcE7RKRddS/JpSd1pPKjRUTCPRXzk9quXgKI46pkb+0J9RCWE
DmaAb3SooNXxA0KG59p8q7z+jElC3gKIfzD5Gr/kwaGYraCMTT6bE8Yo7Pcg4TXrRWKdHp0b46s1
mZzOR32AR+Q08HAC1K6SdlmUF7bKUf4sdk9K7WnNS8vdRTMaPdUflepr5mnQrlkVRNm1I9+6ntGs
w8wZrmHH7XF+0SLehFcx9QrN71EFAMagagv5oPrTwH+q5Icwnwto9ToyYOk7zD3hr+49WQTG53Yk
AT84iRBIM2bDwEcxmNgo1lGxsW3JviWUikCATPcFZUGnvtAM9EymjTOFH4qTTuPA2mtQlfdsD8zi
rKLHx4MMrWm18d8Qvc75zbUcZgQi0qF6We7h3m7kk8aWM3mRQjfNfDSdar9vck/uAqg2U/PMQcHj
HWKI4DkjKYjFBROz6AtMNoHUg8ZjT5qKVyrP5mD3aWBI++VpIvF6PU6vMiP5GGXKRRPcSSWxaUSI
7VgfGWctXgM8aMozj0hZH/l1u55/+ByO+7aCY8myi5PW1+vzyusShWcNBfW+aAMeYlRojMPv+WuM
OiEN2nb7SAoJiK8rUXemre0bjVM1/tTEsz4fjerYdb4oHEwiUfMDp7pk2qlD7bNs2sZtLlGSxrI8
8YHEmDbuspKbVQDZV/dN9L0atlRxWdT31XDMGneWoy+YXvYy8UBZUFZ/uXJQ5AOYnRCK6XptelcF
WfLHV8FvyD3ZuGZmz5qj6Be4Lfw8fTBf0P7WKJLivWpRmYGDjffMEEv5Osm3+WKLYA1ah/aLNa5Q
7gkdr9sfJtkGBLk+aCPAkG4KCoNTKGUV4I4YvVHKnSk5WciG2PpLW+H3YnPQvRL4kVKGgkBBrFex
jbTr8amjnLF+KAfVjrUbK20HWK7V7ESqoQxn1K65YjyMrjl87PGMfYuFN09A+D1+rOR/ZFCwbBKz
hnJXo9KTIaWxuECgiyvO3hhHKixP5iqHEaE6YWqSB+qtpR1CzKCVRHhhw75mT/iq5O7IPxcitqSg
37U68xQH9Y3+Kvwl3ChrACqCAt7tR4As+5wbsXrireGjk0sz7pnrl3BDc37Bf7XipR8bxu9NgSRn
HZDriVQpvY3eruA/QL9Md8TB8jMDHuTbJeemxQvLxgqlwnM/6UHPCI/DjpQvrUHd9DTP9IUibTdT
IQD68n0TlIzCwyAQAv0QPhbYAntj9OX23CA6wnwkomB+KeU9K7dkOJicwbwgOZwCYjdJrnRa6bww
SkvES88hoy5PKstMzZ0ZyauYbvy02rcdx4cD+CC7Tc67Qle4y6JjxJf1VsweB7EcBkXk5EgM5xuY
M7YpjQgO4L6ylWFr1R6YJ1qNzXyA+FJL3us6fG0oBzFv94mgWd7DBRnu7Bir2xQ4xBhM7KbT5tla
XQngLnFOlQidlRPbwzuXx/eYFgIgDhIbR0YxNe6T99myF+s8JVR4PlLOkJRO1UGp0ou2UuP+dCLD
B8lTgx8hwCLz5GEXPTNfa74louteeMco4PhmQSg2Jiepo7QnJb52PDgMtouH9Vku9lAjkcEtdyVT
KtvOA1tvGfGTbuejVhNSP0YWb116kMsYAmsbpFgTfRLlqBN0Jh9q0eejVbGbqW4Fi4Bd/u8kOfx9
Cww4VjUfETLJJ6G9qDcN+xg4FBaVxExq3O1O+5klrCYCWijErLh41DeiZ6iXuDPBBfXqW1l9i40z
tg+iZkb+K607/XRk3lCfuLxOvBb8bF3Aw0MUSf4ZX1bkZ2wiyPrrttMWrok4HTN+6vUGLWJRGUKR
QrgbTkL2pPMxB5vFCuu4qg2y8MAiQ6eH4NEPzatqHYDKM7ft3cLwOag1gguEVwb2c4Hy1kvZ4Ne7
Hr/sjl3dfOE0mBm6DNi6H8AFWYJi7TrJSAb6gwZZSghfF8NHiKcuXqf8rqQVJFi6r+MfvjzoAd9V
65j9frE+TSPoQLOrEB5av2sIRpqelPIY9yfGWKnI5BKEEtIyP0NQ0BpPTN6UF46L6crNXOD7SPzq
qvyrtO/C+Fpaf8IR3NWMuPkfHUB/If8A4gIR1QwqFF0G2nuvhY3T+np4aMz9yIKbWh2lxnrGjsnS
c+JaKHJbRT6OfWMnM85weYe4YrGXddAYsDOhC1939AIV7woKGG2rEuX1iB+LIw19agN8hSMS6yv1
sWxnb5TUw7W+GPcNAxnob8qhJ1Ypnex8RRgJo+EhGDzwLiQwOijqEgOA1y0yqT/Q/zm5eKVAHUbm
P1jCd8yKy/qXoiQxvrFWcOvw5guFQ9ZZZgVZfV070Lc0DJ6hkzkFVsWd2CGGn1hv7YFMjitRF2zP
ub4yBu1kjHvc21T0iBt76ylLX2BAxbb8BglOn5gKHsF7tNx30hm7QsTAZHTa3NHKQ4t4oZxOKlka
CDmIU5v6cx1fpfkhpOh+a851YkRwjRrUSPIpRZPyvCKDX2H2RobHY0ZdVdFCAmGu5iPWHmJseS84
7njp6guPnzHRWfqgwwDUoBODe7WP2nMsklG58SR46IwXnqxDNZesAqBJbeUrj1Vc7iloqQCSm870
/021duMhO5EcycHBvzNuoZThJZcVVmkv03QgS4OFTKBjFsS5bbjKtj5kvmwreHgiKEzk7XL6nGCK
AvWRMrdiIZB8W4MDXoBUpOhnvnA7NLe1eFommLPiTaiJS0BWA4eW5pYVsyjsEjKZ2nAOYksMojo5
DOvgR9Bp55pQZZpTtIFIbNGNNK7OWlXvxceW5rFov1zaUzohVSAUZngjJZyqzCAu/Dkx0WBNV2FC
hpcHKmMXpiSK5NvbRBtMJ61kcoa2soHSGGwJjETJwGMchpxwJneXZ64Sm92qCsiqn7uaeAwNR7BV
OqJBaLeARpsOYRhvMD6d5rY012Ue6DPOZfVFIA3HOzq7+N5yslflh9Kubrl85ti30XqWHx0n70L+
VErKgyCZqF8QyEgfWteDs649s+J7HiVXRF4wBRpDsRpUQjak/PQ5dQbsNexHmcGxwsvSXFZOf3V8
640eMpEadMRHaQ27rEk6z/mCnQXhhnaPiAVMVyZNCq7HVruZOdQgHgRjZuacG7tpIMBwPeVMfFjx
tiOTbAEgeuQNKgo4R22uycAu64cvuc84y9eXRP4uW1InIsKtm08VgktXZ3YxTsy+oPFRx/Hbdcw+
o1snvioyVqyvlzK/qRqwAhaM3516ZmIfjh9jre16i9HebQY2lTdvovJBNhZ698ca/0P04RGI+MhR
HUOc1P15fM3VhnFnpAED2WLCVdqdmAp16AkfW8hS0KpVC4aGBCnNJEJBnR6DNOt7Fm6thOPHVC3q
fbz0Yzx4kUpjIKeczpJZ+pHFxkWYu4Ld11SSbzZTB5qcif2AlGXGzS5ajpDNHDPY+hBdkVTPrsVt
GjZ3LQNado9/XcluqB9l3yg4lfQVzBW1Byq3TGA7BedDaSAFNKwoGzuSWsq40GQshvqdQO5VSLmu
QoFmfGE5SoC2nWn7WM+zgwARldV/fZp1Hr3olJjDvwSqS2RpISoQ7R4u+BW08ImEiwghsMB2Xoez
1qDu1i0TfZVsvHb/M3geC5Ik4TdUlXOlZ35o8htE4oTJkRYi6V4rpBTVULCSNSVYWtJNLXuMhoob
zoy3en10i6R+0TiViE/CxxwMlfqO622kGxo9TbGCfGkv9aB+t0J0JwnWtfRwL/UMDJKV7mczWK2L
EruAULB6/Kt63Ohh1R9FM3oupCy11QeFttpAwV0Fcng7g8HYIlq3wSr+9M74Gsk0TUvFG5f8iBk7
kJr+tw81zOS0ETWrr7I07GmJsSfItJryocvT91qMFFYvW6hgdQpHBZVNbRLkO59kCZJA+zNzZmp1
taIUyqBOytZPUwhfac3gviLFC/0G/h6rr8B1RahdTJ2wv6o/hGTXsl/YYtoes7GcNBy7Tn4u5+wh
hlPKAjw9gtnA89lRNPQkDMg1Az+Q6ao3GoI3CMDDJE3VmbcysCEIGm38VgvNnM65MrRApPCHN/Gm
8d63WXvMIKeV1K547VlD4td1kDiK6M8X4sxUUq7GcQYSxPcoyc+iGt/zynjNZiiCAz4CkA/HoSge
ijgcN3UwRXJjSiSopxEW9/ZoiawjGsmfo/gHTTqscgCBjAghrLVE3uCsObEBvJBNgtmawwWsKOnI
pjIG8XTWGLI1xFBpId9+Zeg8/cVRKPWLbA2/esv7bwhvc/holq3O7W9yClY8YtQP53zV0gMp9Yfc
RLo9D3y+3NUYg5ap/je32rGH8ysY072D4rwzZ06VcjxKJG5kyIkzfryB1W3JaHddrzXLoVRS9l1r
fAEUxMJCYA2kLhROVYadhrF+FuZfgxG+Zpy6uxgBF3+iB8X1GXD+WVoF3hu9DCACsD+sDkoXeZqU
BLVFSksMkpbBYPTQBmSswx8jz3OozudhMZ/wkSp9fwecTtaFAOItpLeU6fF5jHxXoaGj9PBNtpsi
8FuFMbOSO7Qfq3WFZvtkSoyvW3Xf9lyx23QsId+gZs7YP4b60FRsNY3i3MbaPhuP7TL6WdFdFQUn
pWa9JFJ4btI3ZUNBbmt/BbUx5q+iT/xEeW4VbNg9E4qCdm1kUJaeMmSTJrS4hWJMJ5B8C7lN0Z8N
JD6SFVVRztzHomDmmKMQepvTr2z6WNMR3vipVL7hbsKJWncdK18oT/7UE5S0MtdiQ4hPC0VqyTq9
mDW3pgBJOkSjVOIjdim5ngknMvGXhHaKIa3ZZAlcKWrzWaMd6/hepERw6jnGs8R2J2fNCAiNmEx0
Winz8bXT7UFM7VAobXE5SKS5JT9G9N522J7olDnMPAGpGdRBtjIdIBPk1VJlDxyzUVa58/TWmh+K
+QH6jKhx14yf6uyd0ANGPRN9ForMsTh1XYLQUHW6/zg6j+XIjSyKfhEi4M2W5b0vFnuDoIW3iYT7
eh1o0TPSTEtks4DMZ+49Vwb7OuKAadJNCl47aE76FGtpAifyxSrOrGUOgqyQzCpVksxqG2IsZACS
HbTWYxVMShvBrYSiLXUo1ibQHl6ApoSDMnzD5HqzHkI2x8IIlpH1L89RIwuP0e8fGEwyd8IVXMMF
USdoOI2F7pe8agjZQWP1AILEsC/7l+p6By1luZzOcA7v49HfJsa41fuWWBRJ2ltOV8dOTt+anf+p
AZdmBbEvmpHdaU5c2IBuQwUxp/TsKQGZhz5xytqedcoqJkY2wEvYSRbxXccYCayhNKyXSS2GkYBE
FrOvbyonMLvheRcMOCjADuTOgiaSQQsIlFngiZlOvVvgD5zFKdNVS51X/NNEfpXZcGx9E0yOc9ZZ
tDcN1uyOMUgn6DUkMnRfbjg1z4iQ1kESrso8ZyNBJwtq6mwy3Ixc/u3Mloe8P0fV0QIw9+ZF6iqQ
2D989VgTps0ZfdZHcigtZVex/rAy97dCEqSM7pUCxMe4r+oOkC+wawcc0QT1FWsEx2np/yl2904Y
0U4b9ZsdjlssqHsHpSVxJ1DdSWlRAMA72jmHQaoXkIXdfh2oXyI8+FWw7HzlmK+8llu4WEMsveh9
dvQyY5WM9Wm0GWmzs/E07zpENfxTeN+tvQ8x+/c9kB5Ino8c40qANCdCpmyQdANYbeNA085pensP
s3+xN8YE9Et+lF2NBvnmjVAlmu4Lqx9TDI2fLdYGHIVJE26MzmWu/COZ6trdkv3wUQ+bjZKbc8sv
/tQG2XAU3IcmXVKVnujxGjqRRkGnz5zOdtSHYWvgXcw1X5OBlPqnCvc4RMOsqQwgauraAlBigVqL
hf5ed+VLSnG0umpHHiYhwa8+QcOs63tolwSqd1yR8m5bDnFWILNClNXIv+qxfbEoojRf2c5VhMY6
6hXSJ5LDyAYasg8YOueWsZysWv9aM5e1MlRLDu5jr3yV7UfTDocxqW55O75UPTpI0pjw38PaTL5l
f25IOA36p0IbF1dMkfDyg2PODvrIExTfYn64fUCVnkVzJyyv8MxY4wQt+yOxh3sFRJc8+SZZpEDI
hHbhfV2ihjpI3A4pr6EVGt9u7zNyLOHFRF9qI96qSCyDILo0ukcuLUmPlt2dUsTrrJFphjpsb+QJ
P3SiGFAKHnslvTWj98zV4GYxBtcY1EH72WSa86dKPKROQlWVAxFmhASdu8SirEIM8m6ZNO46aCVY
wlA0mqMoWPTHZCGyly9SG0h+dGiRFWe+/HYiHnk4rnNWPA79BF91GgoBGrD6az8JmccbtOVrVztP
r47ea7daloHxUwuUOXFRvEIkA4STL/u6PkC4JJ/Y9o6WV58HS59F7ODVEm2VM+6qaYngcIf79Qci
CFV11palfYSNe6IJ40R393VR7B1z0lnUASa85uSaywZLcpba3psl8dcgJtmErC8I80pwFzSFeEKX
fXJ5rVIMG2b/gAH1XhJLV8j0oez7rj66VfIQpbbOio6nFDVZrX2X6SwM+3VSmIhBGnEr/avvyx8K
JBSN7cKcPm5S1DFP92jbihvKpq/BPCBKPHdFtbW05KXzQwLTipBwVU0dG3SqtT/6u2TgYRvUH/Cx
ayWI0PcfO1JHKsBOScsOLY52+pQSYaGULVuNtiC8Val2LKQ2Szq56ur+GIrmd5D5yUyVZW5X/0sp
kY4xHw0aZs9pb5CmNLd92v/a+YTgcjam2YJHGLXVf2iOOOVafjAHxJtw/IYB5XrxQdTcSQfpsBwT
vFNutqeuCHTj3R5LYq9cZpZKu3KLqerwd0Ug9/CR4ECks8bbk664LJhsdgoHEESGINXWNcqXmn1q
GSWTjYg3b7I3Jf+yGC6Q/ldg94PCAw/rR7ZLoew6qghRvoObBxr5TFImNbjiAqQYAsEAr6yWfhG+
QFg3BIhVwy04sZYzMOQ0gG9dKZY19hqVcWqGikFEbKjcZ8VkSsFONxgtVhsYJjBL7HQeTPiWBkqj
+CMYllLh0+2ZwVKEDX4LHgzmQYMSwgJtWULQxO7IXEIB4pIMPfliyMjUcN2BWAoJ7+sxmOOtWZcw
I3UNPUKBRPc9SpAs8M25wQdUQfJlh1UWlyQZBWvZ/pT1MO+YlpeAyBr0Wa1H7HzFNpBtk+G5s3FI
IeiTDGmek5MfUzV29Q6sx6YTAT2ZD9utwmLCutnJ0beZixFxTIWCTkPw4JAHlxTORikuEitW0j76
4qRA5aljgLbKP4epXo0+1hIWyii8pFNISI9le2hWMdfLgPO3MRGDs1ZGYuYbYIhhCGCbbHsVeSqh
8FNuKYQrN8JrRoOo5k9TODOF5VilN3OyKtgG9ig53YUdBKc4btdKxQita7aUvQv/KNF6Jhwr0xvg
w0IWcFJVjJRcI/PRzn6M4MGcCmneguq8H9h/M9eNy4vT3sqy35IPsmzqNWccfRU/hJYp4yRRJFig
xuIfk2tbCsbDerOwK0RlcCMi9hoOLE/td8CdOxJyxZFoWhfkEoZnsy+xViU7HAxkNWUu/9XJp1Ft
It3eB2a7Rdetf+BsW5rFz/Rlumlciq2kRsCfnXqYQDoYRJ8BLgHcbyFzqBxZDrzD+psr8a0Te/SN
bxm25vprQPCkBgyPrW+ZU+i1KRuQi5/xgLwn3g21xlgeQB9AeOw3E9pVT7at/S2UcyNX/E4jfkD+
99p3M1/r7S92kUr7wh+bRB8SG1wSn8jL1QWgrytwJs7EZVGSU8cNl4noQFjZIcRUgZ2z3ngBq8hK
HhO3fwBwQsZSHhgeM10MHG1HXjKqHSQKV1URa7Dm1LCfovgRiJOyrcNczJLvrjyN7vh/2Z2mn7zj
psxeAxJazbxWUQtw3UPy5eBKWDhyZo8nm1fSQ+dpIz9gAkkx3SGgyKNhriLZr4d3wf6JWoFl0aOY
aN7pH+h0lkKPEkgUwlpSZZmN06siWYagAMmU4kZjFmpVa4ApjF81RNnGEf5dAidNnxRR0ptLpGS4
OxFVrtsUpWz59DDYRdZLQbWP7Zn1O8QarpIaTVIy7kMcJiNOfgnBTWC5FqEGGoOHBk8AXBd+qzUP
Qnc5HSjErC4MdB6V2q1cxCXMVyWkAUM9hb7HdJStHwdaWOMp75w1bThZRDX96N5HpNh2/rYFzS6Z
YBdY/EZoChK4j4UiVAkHyi2U5vqezsdU7Y2oGCAw7haA8Ny+n6lMmiQavLFg6xNAtaxwXyHzHPR1
ChPGRp1j8vVyArQK9h1dlWxdWGiuBHiBHTZgMgoqa1aEmHEwJfvKs0IW2rOkvtgwX6OBBhIXLecj
YzBAbclyVFmKIsrVEFB43NUhY0Lktsg5l2EITCFiLIgpgmivAp7BACarxZVix+hyE8ByJeuB4GEm
+H99KOgiYtLmrSPB1CBZC0FkVEfESYSCoNM+Bjc9cGMsaBpXOcYS38yX+o4BGmsympFlyTJmDMY5
oHdihEv4uOZRIbcWZoWB72YYoPUBqunCZJMmxqrkj5BY7MYQL3FpXUgBPZDSVbGF8EPoZGk3nzSl
URnvoDUtLW/63yaCJxyt0lh12Ka8ztxNjl3Sr7eNhhkxIMqiyMgN6aCgqGRnIY9FUgwTk5hadm3w
JDG1LEaQ09o6R+MqtXZOzvncRNuAPmJNeApe6+qN32QN6qIJKxijypx2cgU+9AoZZBk26Iu46cMu
2sDKnla9sfMU8jdN2Bm0F2eSAnOGmvY/wYyZN79I7wJLV51N+OcZ8z9E/cPczPC/R38STGZXyaWi
/lYJ3ZdzHxgbAQZc5t81jBxesoY0Ayv/aKsLKMP/nUeoY2xAl6pJH04tSgw58nxsMvCd8b8oObvY
V8ywDp10I/4p9FjheA+Uizoi9uUGRrC0GzAMBckld59Jc7aUn8AHYooExnLIJ3vKjN8HfERhV96w
2xtxm+qXTDyj6NKFL73+JTI8rT+c5lUaz5GBrcHatVaIUoreQUG66kdBT96iqepZqWTIvzt5tuRB
i1Y99ZQXfQ1otIE3mg4ejpXanwL/DHYcA/lbhB7aRm2ovwF6724Iq4z0rMrbqL/S+Nc2oYZnsPNg
lF4knV9/D0PSZZckFQ/aQyNMtoNN4iA9LSE/aGxsW/eXps3M1kFWYIVrZl7ME4QwNmp/m2DLKbc2
ScQjjo1b+BVr2Y9FtZ/hAG5YGrnwPpz2HrVQZIZqaQw6AgAAeGm28snlGNg3DAgLspErD2tYCArG
STCPGOXBO/fkulgKQB8PojSPUlDYiIgTSrBu9lD9eoaFcKl6rGwTNolMOuikJR+Dx4hRTy7m+DUp
hAGGg3HgvdKttzp6tsOrFQDtYLJkdHMOFs68ZdKd3jOXRvY0MgvTHhjmXGXnFUu7WlTdX2T/Y6Dc
Cha1U33nML1xEfYimgGZjRQTdTmiw1GW6E7lLCuoPloL6as1n8zWcXIcQRd1+gJApDsuE5V5O8VJ
RggRV4ZPpGp3AKrJN7PPg3tffnHlKvY7CW486v/SAAjEVYt+RuOmoog321/LgAxv3vg4jfGeiUtb
/JUDRPGT625Sdy4Yv/iPvg2WiYWZmKtXrPmDpMNF1vtgik8NPTAzgPqZVSivghWaUO9x+CwWQXxz
m88McQyAog7zZtMlIKGoLraOY/JBHUp7XWpPi8V9U1xyapKUEtST7wX1QGjMCmVAu/LlssS2kWIT
YPRmWxdex06cifpERwESJ74lwEhG9VkUlNoomHD/BB1qbu9cdP86jT12tvPqk1VcRhRtbgD/g1m4
yCg5dba4OBTAhgTFJGXkLTknNqvqCqGN/WEhDi+8llxaZJLWF5H0M2ARDe9umjKPDO+u+OQbwhhu
+69cWXnZZ4UKrTbee+8nAkVRsBIJo28mUvMmPpvNsZ66x2Iv5Vk6l8DceMYxjM/8ZxIug2KbmCe0
+b2CAEcBFI6s0KRLx3DNw4Mm3plsUWbJYo+qMUbqGfcbjEDM+MaFUIeNKf2TK2lFm24dozV1OlyT
hXKcTH6j2PRO9pj+VpHJbgwrdtyoJ+lE6dXXXVhz6g4HIAxA0smeCK9dyUs6YnmFtKTFw16P3K0e
o80w7W2f7IOe2Lnhn61rqwokBMFYS9nRamkGMaMayYnaHsQz8D+VcAINDBiYFoDqlgZCMTFXri/Z
FNPtFC7yzPgMNf8IKPw7QAPqh0y6neYaRdqFXc+nmdarfrJk4YeVjb3khi1TuYmYbaoMnFwJ7M0r
dtFR1CbkpejkdKRwhALFaP+h19oVqT4uiP5dDXQyS4Yl/N91mzwiQ2dNCVGoiBlw5iuji69EdW6H
TtkaU7ho0O8SyqrcbRfJBGivi/2QTs0ax82UF9O7HwWXmh1hupPD3pEVuUrYNbr4JczgTrrppSW/
usNmJmx0Yrq/IuNznTG+SvVvBSFbRxovXIRpvqaN1trxO9xW9jYHmOXH2WpMrI1PiWPDnASQgR7d
2QK+V0J3E9fNxmBq6ejhOvBJcQE7GFLy6USNFAy1QeQYDQ5LxWT11I3r2PVvlo0Tz8geut4rb7rV
OlifN0HDgjTvusdYsZkM2PqTInZpDb6knusPe+LBhiWDO58nAOER+052uJOYi8OxX3SzoZNIRWpk
tkQ2UZdpPyVJnJY+9SjVS3RQsvRLYTTtbsp1zXymKmlQ3QzF3NuyWWlRxRZOgYxiHPkmNzFKmYKV
4axVYbCPxcHMyk+htusRbPrkuMymhdHE1+os2uHB+5IQ9QaipN4CQVSxYZ8Tal2HjAcugfFUGxQW
PrxGWnCg+nOQ6XvsjZdO62BT/bVJe0wM1ox9qP61UOooeUuwmaqS/RtzHlLT/VQo3ZQfG5zHSH5U
Beij10kinqxEGBy7/sutdskzc5W7hTjPR71W1+UJL9Nnhm2kyEjvJv+KVSBrAZwSltC+ew9Sl93y
TVcRiwVmEX5/rDXtaPK9w/U5dk53FrZ6DtkTtjF0kfKmy/GrkuEZw8dn+XKigVqUdX8+qSRAetp+
c4e6v+85x4wMuiidNfuenekOVwFl37EenRut/eY3gRZWusq7UN2zWaVXiz4QpcDCttOd5WGxtFfW
yJy+aC+jbZzgSu5tI94PLP8EHFghyQpVtxVT/jwa9349roo2u0LlsQnDzQg4V5WAYY3W36I4fPku
a1MpMdnrzIxzcO0ZrZyT6wvcKIuyrxcGsReeszJgTKeIaNLYPTRoeSMlWPWk6RI5DGTcJ3oCInVX
sBbFZcDBDmLjrDZEgZJLL7l4yNQCFt68leqfliw95ps4tEfjO/cBP+VMpiQLg0Jr1nFAIezcJbiR
OvmK2mEzotKJTbCckb0wimY59YYh0Bd3fNhMWS22uXwha9D2aliejVx7d5NxNsYPu1W2Mdt1F7LV
ECDGN97miXoxnM8YSBgYcHIDIlxO7EPBdIKgWNuZd0LE5NxKz8TZzACcwG+MR3MrgipiMl0AMGRn
h86Y9nFvEuaDK3jAu3++PWyB7aKD1BZhI9ejQEVoakwPP83x1KMfJZQIeXYI41R43cXyowuc0CNY
lTURlypipHb00bAigG4i4iBDLBmZXLoKZRSFRN++4tRDGkLmX5xioAHqaVBpxaDZETznGUMmeCg2
pMV6za2tr3PIoCEvfenq55hfhm2ffcs9pw3qfdBbeqIgYGeB/LKd4BJQ4sKe3AKt+xeTc9eU0SZj
wyCludaVcj9AE9An9KuSb1KD9swZxo0fOfui+mmQ8orSwq6RboXn4UXASq7aB7c39tYrPNtBedT5
BZLtQloC9Hbj4oY4JUr9s0LVXID761PrOQ7ae6Qq/4I+PQdiXICQc17FkBwtkaxSiQKSVC7LZkCH
sTzTgm1u1e80kmYIs2gTIfei6W8hgjl3vVjQDfG/8heAVACUkTWDSwjBUn4enc3ofvocSHmwMpsr
CcCFfsB78lWQMFjtRbfW6m0UAUzjcdyb3X3MObTXIEyjZKqKfI4U0AT+Naje4/g7BKRm8avJpml8
hHwMhcuwD7cFLYJnnvVsUyN1pX3NFoW4gooaifUzvyX2x/KuGX9DGb1F9TmOP+v+xui1f2n5acw+
WIH0FPfmtXHWzN7o+cr25XirTNtIbaO4W6XZFKB6Km/m+Ad1+Nfh32S96uQfgnGD2zwN/V3WYA4p
8PCJNMoPmCaOsx8MV8hefxIiD7rp2x2I3DF/0+q7KRGffeiAngr9xzWvGo8tCvTJWrZEtl4h18gu
YwzM6l7LD6psM7qT1o27jOIKd6Gj/iJBYF3ainQxTiMLlIMJXsQupawsn/zh22gPiY7bDE3S1lR2
Tn61HfyXh4bEvPycVFhrMd3UdEuF52Nz+sMrsRjrDQz5I4FyMwNKeCJ4c/mFGpuyFwpe87KgRSr5
SVf2MDbE+CXFrm4/nG4bUPgJjggGfwor7G6X+tt+OILOqBBysYlMDg1WWDyp+l8v+VGNNz19BzU9
IiWM9k5zKJqj5gVYY6M3w/2NXHeb4mai/vVB8PimxWZ1YrnOyDBkPU96D7L0CiZqH14hvUwfL493
oW/CAD0p6MgELVaZQb/fU9+pGFfNb8tl3/2u1Ru+s87byXpXAp52QJM8g/yncT9HyMRt964yy2ty
IsdeprKvJbuBM5Lo+JfeApZm0x+cbp15S4UcejKz5SY0roF7pKBPsXBbDrCHb6f4p9H2gbMwxVcC
YVg7+9XRHBfYNsuQZBNO8HtRMvJufi33z5D3MruS6RQWDwb2mv+T6reGKpr1Iu+Ay+TV8a+pwlJJ
/8ysQ0DbXPvg/Iavwjz0zYnZcGrBbJnBIK0tTJkPXpoxxr1x1+RB6FDuMfVO7LtrNyBx3/rjv9Da
Z+4O4VXeMFUlN+dkM7Z13+leAu0zxtJc88b1DNjzFIHOyQN9xZyLMc/JlJ8Du/msTxYupoIGJBFr
kzetT2Zm9jv129M5wTcPZJMhxXD2isPAWQ/VPWrB439l4iuCFDNdbkeF489/eqiISQ5CLRMt2uyQ
9svQ/un7d0//jfU/27lJHq+ekbvukl+DPbskczOiRf5qO8Bd5dyuEXmV77q/V6DN2PMIHTaOd2VS
RGNlDM+uCbpl3finttnI+piOO0dcGu3o2ke7fmTp2RHvMYIszzLeHKwnmncXyRngu2Kd/GTFX6Qc
jBrOjPzPD8AOuC8X6kgEfVhjlA7DCfDPIbR/q3RLRruKhFQ9J8p50O9AnmkR2Fb3OOMefPQqhhP4
BxofiV4+K/1uBocam7WWLjFtDQJd0MHuEB49w+DPM24MUGyMg5Ico/xLZ9pkYqg0mbmp7CiZKsHN
/RXi3AfYD4pnxqCUS8D1boN3LON/YjwYcGu097T6N71geEzVyfumAU/V/pgodhgsBvueMOwO8jeZ
3gJja+qHqlqO7ZFNW4/JXL9FmAZc/+oV2yw5ewPCnnkt34kCAQ+OMG6nseg09Z1D0a5tNP/E4sNn
XitxGfTHdgIXYKJsJOLvfizBoUDrSf3CnidKYBPjbD1JtH8FLiplhAznYcRWN/ivkIYg0CM0l0Qb
TbnLtKmETgvnmin2I8/DLyWpvoc0WUiKHW0Qvw6V5txrXwnuv7dSZ4bhslwU5P6OBMixpFfPvU15
3EvxbLMO3X2gQhwJwIy7jjsnRIQc7YzQK88mS7uMnUVGSGfVZAdNL0FRaYDatQARLEBtPpFKSVgg
lPEc8r2JWndCryndb1KViIjgdTtGaC0KUyBI97FRsGX5g/LBNixMJ9QBufE4kGy0+b2x1hxGPtIs
GOOaeDBiM6aViy1lzsuXreym2FDo+7uUCTJ69ZUiq7NtyHncGfP/F57EbaACrCtWn+FyzBDgOk0Y
MuGwedBG+Hi4WSGLj3JZt+o2JUaF0a59Vt2SdVQJdGYc6K3KftVY7nCE42qqEPutmIFxM6DOTxX0
62jH+WFYc1+G+pKI5nlfRM2ykRyIekQDVY7eb6Y1+jKBalboLHFjZeMOWgSORcxllEGBUG0sk2Y4
8A5f+9bYZWpIQGMqmFcryt6kiGJZmlEN0qWTl8nFwCbDoQ8jX606+aG3cnOXnBJBkqXLULetqons
E3xILN7NMHwWCn6WemLjWnneU20UOzdBK1kEHCHT5w2lf+MSzo1wifuiq0ga934chuVqDkDOAi1X
AcDl5x5tuhjokiL4bjv21zOHlq1vIC87/cD9AL2CRBPlbdAwwbC130WVOayb2vyrXTcn8unHzNKJ
0lEqM9mq4WYk+nyZdiWq75oRO4ltgGujWl8y6czVp6mB7RzRIUhL34Vaca26urxqPOCslcHF4u7q
rPLbgm1DlI/YsSUR27bgijdpOtsigW2ggO5FyToLG1wRlZ3ec1RBon6NGIJCw9JWZCNyamrGPERf
OhtEUa2INVoMuUOoVxcvWUa6CE6mqd90r5MRzRzeydWlsLW/UmfCIJ0KPyJjAb6yK/AFDxiV9Va5
WYp3AsOSY1gkdy338qObVRUJme3KL9+bEVGl44IcjTIz30jyuIbWVQ4RTAFf1bttHFH6hDiAIfvv
hYFXLHVihOQhV20qd1o9HJJJ+6C2PnrTsl6ZCh28V5LynjHyxvvCbgYiPVFQVagvfBHDw+kxZfcR
b6zJdKeo0EwYNZA7/sXUB6G9HzI3Pkk5frgizZejG61UxTTmDYBCfPFGuvFyz16FkmCqzA1Id0HL
+TYU/BZb9NREowFqGRicOVCz61l2XkdERy5KX8UX7QSvPsMHBczIQVUTq5dWjEjpx2vP1G6VliyT
Lal8mIl/ovDyd33RAWFpcI9kkcIao9GY8IE565zT4AAgGAvQWrrnONRVztYhE4saJDjDYUOYL4od
T7U6U6IEOn8yeatt80K+DN6AJD20mc0uI8ZGELZXLY/nqcmKybJjfRnVmNATpOS6iWml9E0Msyqx
LgXtU+O/lX3XzDsNHgZ63HntMe7qzFHOjN5GbKwXn7XRpW95QaiEqdS4Z1D5Q84PZiS2IDZqyeLI
GYW5ROQiN2XAq7JzzlJlHVe0SVbrQXFha5TEKOptWYNVq/ylzrgOqTQfg5nmrBPYKMvSZkcWtv1M
EMZBDGK0qFsLF4V36iUSeeEOYPKRVgHSbjftkKOjjcdXFJLRpYBJXzJZucWZ/eBJW1Gy/TF5Brg6
moxH2+4JfN/AglCcAF69rFiwPnYllYD240OYsQp8GWTwbNBWXRKfzziOB8ELFG5SXemYEgV/lY6B
SwxsJXskCKCn5Myk81Vlc0kzLMRx1kGP8y5eBtNN8bFgMbfgcEegmJIpvZCV84ybcO8byo65m+Jw
SntF+Wo78w5S6Cox0YnEn3e6pgPOr8gV5YdrS/B5QvW+U9i+K1PG28Jg8aUwm0AtFJxExi2i6edI
b7cDq0/AFo+YM3tmYwIKbGNRNGwE3CHY613IMGlA20KIPD+yGnsjq7S0Se5Q/Ekjscdv11A/San4
zLTvjjFSPNhE10N2IGW4Xuh1/ze9p107VPxNBYXZPQg7MjaRAVFAEuJSkkU3cx3r7ATc6k7aEh6d
woe3gdvWkCBxfLCO4Dh5M0zEwSI21FU95s8JOg9hGa23qvaLRCGaI2j1uRdN6yn0ZmPIZNwa2ZQi
0bhZ0Ka93qLctfSfCO4zAh8o6RM7L87MVzrW6blBitmbx25Mt14yfIeF1IlrYb7X+tM2NfXIXcgC
awk1laMXs1AyOCQRbaneqeR4FDmrfC7ph0HUWWlOmVS88cvaq/DX0SuW1W/WMqcNwtJedmLHBhcV
t3DZyCN9tCv/MuhOtkbI7nBDkm2ZLQbhNByGrL3btILfl5/tSmULSXKpF8GUim1xilD1wuY6NKYF
eF5t7n4DGymE9oXcVu49VjCNgRVk4nCCfvY7to/i1WI9YdHOrPOAgOnU0HE5zkify/tlcMl0lIVe
vfZbOneS6Ix5noE3HZG7DvEfDRl3584f2X76Bj9NRTdukaOGe61bNPjadQdXktOQKVaaeNNYSkKS
FPjlqrPZ83PUm8Z4s3r/qYzarDU4TGVIEKC0EVkXBZ4/a+CeGvBQO7zHvmF+uOp4KRRTpzdu9oNe
vCryP+K+RTMS4sZVLq4ngyWweX5kbHUH9uCudL4DzVsW4Gc3Zaym6EHvrZ9urQYrUxdmLi8PdwKq
XT4dv4Ybht5FyWzKUsxbQYw/FeINa38X4wDRdOineLty5ZblwAtMUf9UYoLstPU5G+xurlE2xoqN
zAiqWUHWV5JZq9StO4Y30Gd7DPup84ocHdQRdhjksndvjHHrMmbwmbPOhRffo8wlZysqXwLd+Fz8
jxapcRNrc7XIvgdsXEEXg04P2cJ0rvYrFe+ueslKL6g5dYfiwLRXMecuQJfwU8j4aqo8lp6Hvlta
80aXMeapm6907qxyHl4MHJScl9/BqYLN0ICRYz0+8Zl9fFEJo1GLLQg/JCU+2Yk3peABmu8dwgHY
g8SWhQejTQlm9XSPHBZjn7fis23kMY0fzHZ/w6BdR0q7If1tbaGqcdWbVmGY6ZuO5bFV4TuWv1b8
5yUGgy/JSqnAo51MUwOPVFDppK/Mth9IKHgy+CxiA6djWhS8qjF+8QT4rJ6Rn9UC22rx8IBlULdS
YVmbqAZs72GJKQFAM6uiNhy2AeWvkDTklc6nYbj1obdQq8RB87CIgyeCgNENxrp1Q5EHUabT8J2w
DmAHuWmnFOIUmspQQil0FINpsvftTP9Y3tEEjAmtfWfOi8G2cNFgiXVRmM2zNDlZPpPLOFMN/s9G
mWWWfhjNFs2OSsifmaAyKrnI45gmn3UvqTfk6prDL9gpLBKBERFuQ8eJjMQ3q5oUl0BbUe2DVzIM
kuc9dqMGhK1K4ORQyVHUTSz17vA0zeqaliuu/YVad79OClc7ODYjIJbWRofZtHKt59bOGkkKr5Jm
/v/vKKZ/zVjEZz8enk5X0DU1FZe3gXc+Q3LQ++D2QYyztVFf3eh9Bjr3bMVU/I057ejlXBUVxtyh
ExvkLzywVntIARdrpNe4JTqH2MdGrSj6TeTYaIwhp/46SwXtXSCkmGlq+QhLSruo1EksTct7JcAE
abhzSkn4oK3EpPPoOKCUBHqGQ+xnlmEqK5r4btO2osP5ygba7fDPs5xuWRsAD0O6SUG202TAglWT
21vbqXooUbm7JAd8IxTZb80yxLreouqubWaZHjKMqNtD6MZiUHZ3deRRGBsbHOzYIU03gZDYuPeK
oQW6q45Lms+RpqL79hnPByGqpYqjIFSQ+8EcznF+yeDq263LBDVeCjeL0bInbKajFhEsQA3HfjSJ
+vR6HDc5GU3CyU7dFGzjp/JdcEbxx0bzInU+SHN4RzRNhcNeFADAuVPVbzOYFOzC3idq+IhDZoN9
UCGcLjDzQ/phx9spS4Pu821oEeP4wc1MlHfFxyEeBSaCOI0tcWU631ZANYUIAylSA1iz92GfMKSY
iTSIVy4GTKWxdgH0RwYQqCtr1/PehmRy5Oj5WhUj7LTyTsryTDXGz0LQjJJZw0zH3rq5XLl9B7Qw
kdpcQolGoY7S1EV5g74xhwSQKNjioH/ftYIYTnYRDXfRS5sQacSLIVDWSU7wnYuqxHyUiYc9PgiX
MSRg1F6Ot2iLYVcKmW+zsuIQ5qzoxR5EJXwFPcKPPYTZDh8KAbD1xuQhHmImEHUCnpV0KomJwgrX
7Zj+9AYVcWBjPxjybZR2vzmxlTOv0kmTTk5Jmd40vTbmifFEa/XRROW9+Y+x81punEuv9q181cfG
eGMjbfzlb6osZlKkROXuE5RarUbOG/Hq/weascczPvEJu5UlEuENaz3rOb+jKlloNbD3pwhZk0fi
FMPK7eAhrbZ8AgTp8B4QY/1OxyjE398865rBbWavZesBm07ShQHNXYCZMny7n4VT3MjG206J81yh
35oT45fXIJ92unJXSJQWs+COXxE5kMdcoavhu1kybSX8HWxEYwz7VrvElHQIssREZWGTvK4MMi9y
qukePi2jboP1muXXm1Be3AIa7GDat3Y76tUxaaIn2nXwp2EcnULL3npVIuEGYyMILbYi8RajIMQs
0sOYZJT1fW+bOGkGR23gr008PaTDWPmL3zEtV5AljJogy06FiF36NQTWN+GW3TZYghIbHIZzRs1h
dc+dFd1ykxchUoXeY9loN7ZGSAuaKJsWoZrDaKYrFLEOcIVH0e7jHpmbD7m+yQO5N7MIjpUm8SkA
M7yI4/CSYuzRh9ZF4GpAMdF0LUMZ49Rx9MNstHcVsj7DIvSAyo3hVv4rUT0z3/q278LPQYufOVlL
pnaxBMA/SbL5yVTmE/BYWoYiwlJkovlymkvdgzpzY4zxGY6qdoQtaDgz0bFyvnYZVTURpSyjIn9v
cZxQKhsHg6BsMcISTqnnijr+2YXRK90cf0Os6TC4j2pRHmobdYxhEpAcpdz7hoXmUm5Dk5STKeRn
DSjaWEBw0DPyM9T4mOn6khjz/SLEa8OR34FmIOnS6BAbd3VFZl5ROMck7J4an/O9Vl1+S1L2qlQW
W2zPQzAzjuKmqJDdZmlMpeEDiXQKRA21OfJnkjFVp96eO+OrT9adNuzrvMS7Khk94jDEOsBtvbYa
l0tCgYdNkorgSd1S2XNiUdaSTJYh+HiUeRSj6Y/u40VrgNUoncxh5S0/ycfblvSk+QXKOHySVgYT
Kdf9ZvAfas01Qtc2IQ7i1Qu5BTnWO6lEuJ7rkx0mp3zsfnKJwbGWYspgdrDHDblHUPcRBP1tGXrh
ymv7e16LqDNefYLAHYzDLEkhMWKfBHSTL4NDSvgwGemSwgxlRnsXVnI7LbEaefU89cVVtxhMYmFh
XTXfgkjQeil+GZ1W27oenzzCjJhrc3WZOFiqsv2B4bNek4H5gfLyqdGwe6cCi0MsiTabJVVOophs
Z4O3MfoqXOvPqizvLUMdHM9AvFMS+wKt76rQ2izugHYlAhv1HJkYQ+bRbQ7Nqx3L+aglNuFiAMkA
1hUqhIgZQw9X7WV7p6oxFtZU5F2+eGJHLNmEOjgorteGFfz0bQZE/hg+GNZ+iuUTSorfBF+ozTTA
q/dacgJtdNgR2SY3DoMTI6TFDfwROlP13OHZf5rHD0+F7OwEo+F0CQ4Z2cz2OnpL7BhjU5XPDJgZ
dWtzJL+ZODGgJylTmT68514F9iL3oHMI5Ft1JadV0fnfo0lTicUwbzOhtuHGIikY8SClREWMijUB
Qx1AYTERJnUjgS5gJx+95do3Ups/hz5pkJMtRkFG77XrvJhheGWqdSY0+JTHNvdrrjEMmdcajNJo
cVtyuvp308sV0+cfrZMTEMEV3mTjnTWwupYeErU2So93mhCG3fZxKAjrw4AT37iqP0wVMqG2ZT1i
ulyDqVCXGeIKwAOkSQV2MkDxsxJGAHmQJCiC2/AW0M1kWXIXGfZwbLKFfdOvZmf6aSTFm8OcSNnO
QSnkgjPe1x41OkNT80XG3c9UeC9uHK3gB45onjgBVQ3UJ0ZTTb5DvzzFEnAG/Oh3QWwu3uLxFrnR
mpnqe4bMoUXwpLE4Sjsldrb2KaWpXOYuLNaB4jIsKvdxMOY7hxABGmiQ1O5yr7N2FHI9TJPY3hZo
clqHOISG2AFQ+MdAJz8kjT9SVpOAqYHtlO9KtVGEhfU5Etc8SHNSzuLPUabPXuv+VgHnIF17W2Do
L8rnrlNYzam+ZQ94ptNwIerMJ0tjeSDNBH5FsexE8f6x3Yc0aroYOBy5M6ss3/iV9YQfFk8CurBi
hnmAdyuRBDnFg3VMeKW3owtOMsKiqJKFVUiy4hRjftMOPM1FI0Oa2+9xxmmG+MGfYbOLAFlb5Yty
S67pMnhWciPF7zHvXtwgfyhIlpe9vIIiTi7WQOyJ4cF3LSeQqGkzP1hRwLwnXKbv8Gej4zxxiwIs
66/rPHi1x/w1SBCSTgEjwAW0l4cplMyoeasJdMo84B+4nbn8Gn6Lr4IKM0mQfMxj8g7w3Qq6H/Oc
Nej82ceQDLtQyEDVWIQ93/WclGSMvCbL6+argEwXyIjWMW8L/Wyxn3FKqOC9LhGxViT/1MyRNnaT
Tmu/Yn9S2NQ8lQPTvenKZvkFf06T+9oS6oHrK2Tzg9OCmOtml3ogta15ZkOcfndqhoKe8u77skJj
YYRyHZn7voPcmftleKlb1d5Qhct9aaHXShPc9AWyZPSTCK/JJYv3PQFjvJQcn4FVW4e2YEQ5obCG
vcl+0p0UoEsbCz3yVzhIJBJPlKpGcSNSGFXZOFlIW489gl+GlmiXE6yKDE55apt1r0CFl730b4JK
N2zMUu7o8bYu2S77vQ/BTrITtnK+3LKhVJBGMgqYHjURuWjjhbnFIDlGWQc9avpVIfgsyumnXLK5
BgO03+w+cq786idXoOTN5DpjTZoTHrhPqumplLgvuxGFmp/BnCtsjwlIxQRyXyu+g10W0QaN0Nx8
DkocHYCrZsjyxPSAeidAa4xCTUcPkpInU70Ncv0WuHm2yWwWCIVBgPzMAdpE5XcYBW9l2YOp6pgT
8KxURkQB24WLl+5eEVHAhA1rVN6Acmkk7ueZfcMqJ9Q3dNTe7y2AlApgYec8WG3mbm2P5agB9D3j
HroyM/x14jI0lrmtFBE8LhWm2zQviPgJotFPRoqToZ73jJC/Z54LLgy/mTdW8OBMVqJm8SsIhqPl
FAZFJRvxfu4uLS3CkNI6amMk188DAZXBVIGUgRkkXhMyV68So8NAqeWyWe5J5r7anftah8zATAOw
XTC5ZACb9bHpx0PnggKG71qsx995GHsrRP0BBZ2JaYsVo/FsVLM+t2RiYxUdd61l7BnM3RuTblcN
M0Rs9+QDElm2sg2g3Ramc85EcyO94cHzLShdAXpgbzK3Vjzro5UjnSxZbW3VItooOtwis83cwkka
dnqKJHOQwx7CrwWAaWUtvCZMUG1P0mjjl+RburVgwj0a64b18cnUjHZKVAl1fWwnEjOzsV/aW87O
HN1HnAzUD05OWPUACcMnaiqvS6YQULMskyXK6F0yYWGSt8kADyPxlBecphVFZOapHotsem3KwL66
erxxQvJH3RSlNLNQwnI8FL8Ed5FISjfDfq+Al+R67qbK02JtNUG6GTI8CwMgF8OS/b2D43yK74fJ
kXtHkrLoMGRkluSKvUlMMbWuj2pTO8Y1Mau9goI2YFU/RlPxYuq8P2RueesGgGcswyGpx7SIqhjF
hgANwkYm1lphbbwzyfvd5lALlVv9NCIfjFQdPCugM0wEeLLThixczaEQjxPMUulBao9/dTZ4l0i4
H70nCL9G11kNGGmQGExeALC+i6eNk8z7gUaYsCY5rAoMCLEvUFDDG7UWo08G5hbRN5YPLtVrJM0G
AXmZLd/oyH9UyTyC6USfPtdsefKBaNn3duQ+Id9sRHDEbTFjo0FU4/yWOkDrIud9TG7HidukFQ13
cHxZD4R3XWvDcPUFDrI+BGzVs9ec35yp9oiFql8IYHZXqPIeSju7DgZZMiIyf7RudSW3iikFTxi3
bOax7GgDJg6Qh4AF++my5A6Wp2eufsbO9BC1SNe1XTxMo/3oTHPP+AsWzeCaz52THSjg2Vv3OCpr
lMX82CQ405lD2Ec3QkAKrq75Wnf+Y9O/GmRauu58SzKJvGF0B9MCwFmnmO5qb+73OcvWyCHCs3Gx
n1QQI6U5HZk0hWzpyQ1mukg3ShZP55IkEjIVWwx1owRCMY9IhqtdP8PTkzeabZsV9NwxidwmK7cb
p10JIC1Bvk3uMy8IQJgGg0Q2HFpOyhkko5l/j1geBdln6DeHoksuNZfi9nfqc//2OmYdPbupxjjK
vtMM3jK4Uk25TlmW76jaWsokFBulsRGpc43j/EeQh69sAeF+9Ox2fbROwTakoe/VzL6MKRnysJAf
4Z4DIvRK/943JNdPLHWW3LjoNBvq1LG4ncvnscILKWBON+VzO7g2KmU4qj7RJBbR0YEitoQ1ubbK
HxnenZIayNEDesXxnMDcz5ErmSiPQuYwKYDWQvKvAkec1DdO/t7E91nXM6DDzIoBpqNmJ6d1HWP5
IVOPue2Hqa09kfURJzgyoLmDCB1H5kouF6ZaMbtEAcT3n8tpzbDlRoDiX2aBFuTzlqZuoDVt6KzD
2F5hYrU2MaPi3PdBDbAQruJ9QawtTF5G5W5HW8nYih0Uu2+YqCgJ7QFSJHWh/ZOEmFXPKlDQQGN2
WtelubLRuuTpyqnZElVz9KEdxsCFvxvnubuZMkZ55DT0K2qa+yHB9pWSWE4FCGsyIkQWsUJm1A75
TQ4AMmPx3O8a3+em7e5r463CJNv2HhaPeFsRSpYBtks7GvQqvSyJ7D5C2VHQPKns2OGT49p2S8Oi
eY3Dc4j8oC/ehffkMB3NlsxUlRNMFHOfQyctcIyYn2Eh4B2r+lXpzqJ8Kf2ta5XYReF5Br1Jfx2g
kvHDdLPkqi7hfi6uXwG4ZTIQ6cIDThhgAg3I6eyzfsI1U9wye8ZZXd8q5wcCtNxRLqmwaCNDLm0J
QSRWix/eT4mmxs27XLLxOQB9QCY5tW9mpb/LgMti6nh3UltvZeJDzTfpjICbVFKKVWQxWs2qmF23
kT13trV1jWKtC/2oBT2MNYEFtINFOb9zJKhJbIQ1+bj+ukpK51kShiabNvpul5hE3Q4kAstc46HN
ke2MWT/fzg5K4d51O1RLtj7mZIiCe4HHQ9o3LaTPbbi3jPcw6fonqwc00w70OOMrNxvRTc/unITX
rweU4dOpp5ILPOM5y8boIrwBGw3S/rtQgbPs8/GWLUl9mk1oTF4RFLflwK5rUn16z/bYv2m9UOyU
0TjEDkDhmD3cyyp5satmeDC0sta9NXmHsO9J8hydS+xUCjVSVRHwwKvAMCY7VhXaH06UI+6f6Yfv
ScVLaw1HL+zK5+X9hFUMFmJcN1j8wlH6K5hmccu2vz94xHxaiSrf7DZ6MFrLvpY6x+LGZ3+9e05d
l6STWm3ivmP7pauaxjOJ9rmDoLxlfPC8oFLaIicf0uq8Yyg4Qyx3Tt9cuyRvqfYudmNMW/bd5Ws0
Fw+W6al7tl318wDP8+vdTGyY81e4forWq1eWjNT3r7l+MgbFfigx6I4eBXo7IpDHFO7DV13qsalw
NvTV8Kx6Q24r1E2PZQlfvLU8zZG/icbI/iXHimGt0uoh9hGZFCMTNt3G4Z2nAaoPndXcCH9obvWM
3KchLO45HlJnpXBiPHoaxYHbmj+G1k4ujNsIKbAn91Myo9P3wnfEVaWNf5e0zb0jQaTxk1+bGNi1
CJS+1fi1mmygUQub6S2u5o/Kiep7pn/9Q51Pdz53XNtjPT2HuxYuCOSuybqdDQVrzOweMvKv1spw
3qoawW9eYI2bqybdKQu9joV6gUbIaE/QZW5iEBT7CVH5o0FWogePLDKr8tBKPXLswD0qU13tEjd8
XBYce8+O/PMUdd89S7enGmsrPKbxCKQtckI+oqVx6biSpwwXz1OaaeItx+PUZhJVVIxDKDd+ZPPA
Wy73DNhgqGfC7K7x4cs1HVEsHfCEuzQHVN5S/5KsAPD76yH3kAjNaa529L5nV3DIi0AOJzfp5204
K9D4HEH3oy0/QmBt7yOSPyCB9sVKCC5kisqSzgusS4zHauRsZR7V9hs3qDKOE2nfllWFDMQVWyUI
Ksya+vsYkBkgR6joMwzQiXtVVALmbeKRMAAh4ZcM8xYQBjxjc/jpmju7oDq8mWNvO7Pi3gjb1buh
5+UcPR98WrKLpgEzVKzf7bjj9FfpdIpcGMjwUZLVDNVN3LhV0x4sOG/esmyPGGHNYXnxTXTqlNrA
cAwoAQ278q1pL4ndklKVmdG+8iNEQl0feyjZ0LkOwkQgM8tmQ13+oIciPI8uWGyVUQLnzXTkruEe
vRQAW+Tp6TsqP/xyVQz5u5U+iLH5XWjZPBUVJqRWA/x1VcbIUcjVwKz6dpq4j5eDrk8W3EiVBzNl
oaBVkQYCsRJsBfezQz1KGq7JPHlw1vBG3fn8v1cSgZ2bwlsiuUmXnjoCkSheGY5RBaT6eweGHoEu
82ignkYTPUwd7Ke288pNxN6SlbDQq0SYkMuR+VZjbj5KC+FgyPHwIWRxlznJ2piQS9uOMZwTaCus
YRFrt5MxMs6qEdHQ5Gz5tsmxtrdW5bq3tPeYcA3pbWpejkNmxwethvZNWrA3BCYLhysEDCEnO6sF
UOMu1nbYBYVHPx32mvrEies9QxVkJpZIdu6UqH092mxre9FUlykCn2QCOQP30bDZ/XrATQERai5Q
3v1gX4Own930HRYobqnZBGFMZ0i2lodWs1E3ZpTlKF/U0ZoAWhPidy4zJJ1x15/YmdFHVklDsGMv
zraIr1012PvE69IzrE99E9VNuf160zbS9Hwz2xChLE6Smxng5KLTZGChmQ4WniS20GifsBDW98rB
9meqDP8YR+u9Z5v3RHXjX/J0c9LLg6gzSFBC7uM6d45KmcEBCUryC1IAVq4mmx4kmoPd0Fq/tHA+
0iavT77vaowkviBlp0ipSdpDRCW7Bkaknwh5H3ay0polH5Ruu3TDs4tS4aZ1DfPOlxa8qYwwlM5P
pks+SjAXatuOjvosAkSjqZyMTeNDQQ11QHLVbM1b+YKaKWYI/iFpIwejdU+uzMvL0NHP+qNFrT3g
4gK44dxq2JhxQ7PTmejk0rFgPuW3hBC74tkfFmmgC0W6pNE+Nm7cbeKoxLxjIEcsDMSABnC+rvFP
pRPaLxV5Tn3BEVgEE3SYBJ/GHDDdiiTwqm7AGVs2yJrCVly7YNGMEHYrjG3p5kyYnMREG0c6VGSm
J40T6pTW/rYrgmG5rN0UwnPZWNvpKTT69CT6jO+b0/ZI5D4vo0PMzpyb5Z7D6aeGBXMZJdNVt81B
7Kfc+JRdEj7vd4e0VN2jX5nVfeAqGsGIOj4NjzQB0cnNWDSVu7BqxaWiLXvMq4IvJbwK1eJ0owZP
nrQMxpMySJLTEL2+HlghkKrCtFYxjr8NmcVWQDKO0DgBXJPyZb7JUQdX3Zknx076xwV61EVWh8LL
CvY6OXVcZM8VsxL2g33xqGrSTIp4uOeCe5oxT55Nu5a47ZjkkMuV+a57mgMDnNTywN+DTiUqpjXx
0hY3oYRWjouMXMcWy7eyFtZtvjzoOHme8CXtOhEFHXxp3vf10WTIAXYlwZUur1gcrk8M3ID2QwO4
fD18vf/rf1rOP6aO6vtf3v/1piWWECLZEbDtNwGL37pOSHqktM/TSV1aCLS4W5N9Kc3N2A89rGGu
AGVBQ0PyrsSCIlFQBJw+SlX3sxti6Z+D6DIWBnL0OTWzjcqWBIVWRBcT7uDl6388Af7JbFvwP1w8
EkqwU2P54she2GGeHqPqa9hHbXvbgGIX9RdDMDJz2uXs+YI7LQ+sleetCvFIxH3RnTPmsXVI2dN0
DQTVIvHv5rTz7woHxXTie1wjZf1k42Lbh/1r45rD0WjS4cjcXIB8ypzvvVBUgZ0fwPRIvLOXBW+u
yfM8VEKDm4iuqMYohZdX8Ot/ennz63+NZJTDtgZUIX9ntdghyy48CFnNoKp5yNIU3/CMXy9GfxE6
ac330eLu6wFkKB7b1j5NQhysMKj2GEcdIP+hPkIarDLHum2Wh6Rump2QrLYcp/jtJ/Z4aJ0qAZkj
f9tJpU//eKhwue5VYpLi3KheLIxTpHbQBwg+4bJGG8MauWv9D1+05FhwQ8Em+nuMQ/niMSDjJrDs
F33San3MrlGFfyNqVYckx8cjZNbGczxju4wjQMf50DwuCpuORnY0gu7UT8I5fz2wXok39lxDVZnD
/Ce8YpewhI4ttoRwWBCky31pjapkwkw2Me1AJlHOrv6d0XM1LYYgVwXF1kM1cUQFo25Z3h5VTv8r
m/KuavpLgpmAc5qraTrie5qGiSGNc4fKGB6bgbrCzqLgcULFuZKa6YCVUY8Lw8mW00c9pX7BKogU
RMgd7zXz1YfQBUWU2y1Ioo5bGrANoyQkZMbVemFeQqiXcCCeGtbb3E/q1GSZjwKeTg2HJfizwCV1
zQur10RYFecNdU4DwTBHgrBlbX/UCr79iCXcoMlamwW0Xw+E15qIIFpFS5kHcRF+SV6vnYqnIUXh
0TNoCqYfNWqYFb6O+OKCyDjFjXjgC1+TXk0HOUHSD1jkoEjZZF4O+allLNVAat0EMDM3RXvLbpTQ
7oihRwWzMo9dQIqewHERmQ9MStZm5f1K/Jqepvet+zEltylI24zQjdAhjM9i2hJZ/jUpiXrIx4a2
SlhnZp9kAC0HBWSfgg1oiIm05yULTPlhJwyUBna4ST8Ge2us5bnI1GMSP8afwWwbG7/Q4xZMU/wi
+DU2xSxI5yYvbVPpxOfK4aBjCo6l80v4aknNW0xvRfQUpvKtdwq225l8KhX0qYho1OO4xAa7sjzq
DnNRLsWdF9O12QU5IlR10S5JaRnyGQPuxEpNImHZ9G0N0EOREZn4dnNWPoLsNlYCclZHM5z3T0Li
ohcNeYkAJAssYIxDIts1L0GeyUstEeXNQbBNlkuSZGjnowhH1IoxCA8R7CVZ/MgiK8Ip5qt173bj
GS1KSU2KnnSO9rgDxGaIjOowggAyYmsJTNDTW2aIrWHU5mMY9AsdqqRRwZF8QVh4BYmZ70uzgwzT
hfHT0HsoMep4PwSKcXef6e1gevGzZX4Xbi8fi6ZMnsEAn2qowzeVJuUaQef0FE02UvRw+D1bUPtR
rckjmzgkNj74fl55qrwu6HZ+F01rK4Nt5vsls4s4sp5mummATayFqkHIpzxCJVrUjKqdkv268Xuo
znYk2zudGXjnsuViQnW2i2ORPKihZHAZiQybCJQYFO7jMYq7cYcMK2Ea4IcvMoD9AOQ53LaDdzey
3niAdvE9MI3+Q4qlqaVfd5ZxwRzIV7/tGIdSB260kTnbHg0O2HhiUv3KKHHt96S79OMnAaL93+6t
X7fQysBONwx4bzPllndtkbYkJATG5uvNfMqqu/zVBAm4CYnGo/IzmVoa92RLFKAcnPCtIG1IzQFe
0M7dtXbeHiqFjRvvFQEFVCA0GDAMZaiSi1ge0IRMW7Oh1cPCCHTXhs7RsH18SHLDeSi9q0Lmxux7
xJFh12xKZC33fk5CIYRIRCioIRGUteVVNPNLNhjDE9etTzGCAemdKNwXwgofPeNmJmyaM98uPv3q
2bPwdQ22to7paFD4LUXnuHAo/ZvZgN8FUdq4D8oQleSIe9KLzNe8DNjoFvreq2FHlYUw9kaJMqWx
BHrgHA2nqStz1wfTNZk671aptyhEuiwnsn+8NiXj1B2JUKEhZi5Ijo81/ayT4R0dovc49/nWh/W6
NT072GZtlL5yST+RZej8HBvCRDwHMMXEtgQdS43wC2nga+l6OS5qAorDoZgeQqM9IB0v1jEt5K4h
Z/ApalByhcPQbnE0c3WeW6xWw0h/Ft+8KwH80YbBfGHEy6419gjhjGIcSWYv9tp1MNbFRL9CBUWH
gD1PQT412gF7MciGldeJ6Q1MUTxZzW2RRC2IOQSXdZKgYYlh2gLFlQBMpP8hWm0fVDO2Gy9T9cYI
wZEswPqzn+P/yeMfZI3tfBsYAjYgenTY4rGdnBHOkks9ynHtlC8lkj24IUQ41G0LQUhZw8Yzen8f
unQd84Rfa3TThvMc2pLNfxjG2W+/2qHOPxCAVoyJYkb9fnkvOAYOvlpshY37ICrkCugz231kRPI8
5lD33TCy79CMyLXj2AhVdPJM62sAi7Prs1FytsvGIfCoLaPbwU8+ipyF/liBw2XyC0aopSH1VPbI
E1xePLutN9/++Pe//se/f4z/L/ws72kScSG0f/0P3v7guW/iMNL/8uZfd5/l5T3/bL++6r8/65+/
5q/rx/98+uN32fxxftw+/etnLj/uv7+Qb//3H79+1+//9MamYLoxXbvPZnr4bLtMf/0QftHlM/+v
H/zj8+u7PE3V55/fPogg0Mt3C+Oy+Pb3Dx1+/fnNtNyvZ+JvT8Ty/f/+weVP/fPbqRveY/2/vuDz
vdV/frPVX2ymiY5SSrimIy372x/D59dH3L84juf4GKm5AfmmbX77oyjJPPnzmyX+wtzOt/0lhduz
XMv69kdbdsuHpPoLziNmUq4phSsc2/v2X3/4P71C/3jF/ii6/B6Ln27//AZ979sf1d9eyeUv43v7
Dj9IKEcyQ+K345eoPt4fGJXx6ea/0YDVYQ1YYe3UHV5kNJbQk9rtHLKdt0b20UPJQhtJARV41AqY
mzQBOFrjXJ5aUqVEkHAxK+r+GNKUHj1YOsd/vFl3c7AWVkIqLDtA+Duu3R2z5bP/9jaRvoQ61Zhn
2aIdi7kGmd9oMrkt3z4Y3Vvas3adUuTICKe8yTcfGJ1CXe5CPAkJienSfvLraFilM+luZRqy2C/G
daz8aD3FqItoXMGApgGwnjop93EDRN3ssk+nMNMj4anAbJ5EHvibtLbqXQiBfjTU02RRO1hx+cvF
MbLNqxlZXAh+DSFcfnVyfRZ9u29CP7t+/WKFr17G0BNMm7ieN+LYFw5mCQreddDWhFsUGTCVzGG6
18gC4XsC8HsZMFbLXYzqm7q728uwvUasqw/hhHTYmSRsQYHJNoekPGKXMEwb1F55NvM2fMnnAmRN
ba8ZdCALDXsuB3O07RnPs21lY6/RhI9RB+mjZOtfSCZFiZ2dogaoW5g2GVfowL4FKLnOnbA/ugWk
mbbHGtuS7y4T5CQsk9u7MjqAju8fUI+dEKtToPeAEAJghBeZQWD10mxce6GVXsHDhC24DAPlTJdA
OdQ7v23SWw8iwJRZ+7wzBtTZ03zsW0jkMapv9jO1D9FwGvXGzzG8GN3DBNuCW8lKmTUZqbXDtCUl
umocVHRW7PmyXn8vhEr3mKX81YC+hPxIfwmj79e6RlRgkKnGMufc6AUWKF6gKy5zUuwsgI/a1sGg
M1okCQXZM6zPVa0UsV8Ze6ceIgfjivmmrvvm4CXYwGDh3E6efJsnRy0aXYai1MEqQ79JprgCI9l+
D8ty1w5Q3sqZ0aYV2y4HWP7C9BHwOxQhnK3LX+IO+MdCBSNyaruNgDTvjzh3c+gHul4YcRmC0D7M
9jYxR9Lu5z3pE9QellimsyZYVBOFYbTTeZPta8d5xVlXrBlHBVRJzcmK0WbMLgmgoJadbTzCU+tL
Nu7FGJRrWLEAQguXBPNKkdtBXHdcAtXtSwINbZOlXubAb+ek3hlJf18oE2VsyY6ZLde44+gydrOL
uH6soLeFSs4voQ8Ec/aeeorre0eTOo7cW63sur4rtF9eg8Y2kQjjdq3JkkC2zU5ZsfBh0hd+Ulcz
x8/BQqQSf51JHFZqn51M+7dfD3QoGxuNxUWZM+7eCvG2k7v7Hsz74xCQ+YNxducAD8ICXrx4qOB2
nY18u4nBv6Osqg5O4n7UScDehA36AT4P6NeU3bjhG9iBS8WWspTzni558cMLRIQtkoahIw/UMRmr
pdlHTAY6+g9Y1/kwIT/QzRNGGJop7MArFFMpoYgcBzoJsV5hE/BTYKW6x4dudty7EUT2faVA6w5A
ixfGK9uRmzGvbfIz0abYVIg4Hvh1ZM2gQWSCwk6oc6W8hwo/08nLCdyI8H6i8LFrLlSBITHUtbSg
dkg+YWCrYmMXyW42oH3ZA4kBWFe0puEI7X5VJJgMCdeA0iw8Ruiz5ZF/ymYervyq7W21G0p0c1bW
mHAsHVgyjv85lfVjwEt+DeGCS0tYlzCuGWsE8jdynuFqgVu7NlkRH7ipsfBf3ucX6S+GCuaRw4Rw
LQdIAOLd/jok4Nkqt/juibo9CiNqUYwy6PYyVGB1PbfHrkiNmt2oe5RFWO88w2uPRYNZaWAW/z8f
xgwgTtA8eC7+rTyV7MnNudlQ11b3/CkIlbnuiKy6ZEFfXeiMnJWToR+xiRvYNC4GQMlAOVsIEb2H
/zJNItQekpzRpDM5CknpG0bD2Fa2cr7bAfcP3XNVRR+0Z+lqozkbJJ6ij9rWYC6HNL+2FIxYd8d8
51Qggc06eWyXD9aeX68rP31uxgIOuOycH6Rz9lLJd6smJIYzpYcE2T+rKEnPAS6vdTLDSKLZNq7S
iMKHdEGIhIGPi1KqE/M75zXp2jOLfpDgqFYdxvLPcFKNbRya4F5YKK28xhXXOWoI9xadfyjYFVXa
yi65IdDdlhBQekhNmyU20Q6B30x+ax5Luihmxhf+Cmh2Zo1xZIYg2gyXSOZ3OWLgx7SktO6dZLwz
WmkfylbgwzUn97aSGghxSZSFLdJPowFWM1m/kGLYyA7K+sEKR5KmQ1kcBg95nKf56Y6FFU0ChikJ
puFe4/1/9s4sO3IjzdJb0QYQBzADYMBj+zySdM7kCw4ZJDHPM/bUq+iN9YeQsjJCWakuvVWd0y9K
KWNw0gk3+4d7vyv2yjdBtVtsWXQfOkzDXMJmynfPHyzWDNUubHa5GMrqFNkjgfWEalcn4JygNpWN
Inn+z1Hn9MCXg2vfTusTjxQxZj/+9cc/DJdMNn2YPYZms6SiwvILlZFYZNeqT16PugidJTaKoGkI
ABHNyZfdZ45uZ/Pj/0pBfZ5iVDq7WOH5maSJYKQgHAQoFiErqIZGL0xOpu5BVgrLblM4TnsSrG6Q
X//4p5kN0S42h4ubTOPaaNRAfyvDE/JbX43ea5V4Vy5LJkHKzotWKPxwAz1WULbEwzV5tJc8YUuy
vaNz1ElcD0ph/9PsRy/jGAvC0VupNGUE0JHv7GiiO3cwUAp+8mlV+PtSm+Kr2AzYiwmIi/pJ5w08
NRbydZhxI5zt1jvqNRJM7OEt2wgkZiohU3gq6Ek8kws1M4xjyjqFPu/Kg9R8GeCyo+DV+HjfwMZn
hpQgoxh6f1qH2aAxjdK0lfIM+/BTWf1H9fpztWrq/1Ks0t5RGEvKVQXI4U/Fqk5nJCe0OatillO3
Ns2Bll6g+/fcW/mp4gO0CVkbcRKCVRZxtyt8Bd8xYfefJt4bh8L3XGsRy/vNLk0CUr8giSALHw68
ag95tngOgvpVGzMMrGMan3rQ1m7SpIdIUfeYtnYuGhblTV3uvDDAFdyTZugyZvR1EoLy6oaax18R
Q4YBWj1PacP20E2HxV+/EYb1r2W77eiSml0COHDl3CD8XLYjxbRYboUtAsm8OSHrbbcyt/UV2X8b
E2jB2bJCyMsxLjyNmeyutxFTmqIYIRPyeQY4cEVGHirPQYbXjY9jmCJjp6W69hIQbCoUcieyq7yt
lpQ9ESqYIs2WqORQvqK8MHe+xgchNvK3HxWMxQZ/lckq3miM9ZaKoPV9YGbuWjjRF4WYYjHpPOp6
m5zaSf+ybJltcycUh1xgW4ZxxxTIOvgyuRZlTOhCT0Zy4N63OHgRIrfZlVEGT4rh/coMs26VB2N3
Pert1qarPhZOk21K8hxwJ5rhTe2+zem58EPtd9PPLo6mih2jUR712IPo3Tk4IFprY/QQzAveoyyd
gAB12TZroNdbswjeIe9SIvbCb97u5Mjcq0M1J8bJxURnXdUEWyk0iYQhkoM+zhx9xU5FUku4IMiW
WQCUI8LXoWny3WK2DeQxrVcVaWYrA73JgJ6QoyPCNGwm13QugH9cgu1hH5DVWyxNOpJDJB6yyi72
do5iyJvKuxIP3DZPW29N2gak6sqtSccFX+h15U2Uu+OqiuMnb35vHQtvYo2Kc4VVAOGujrA6ZggP
8214KrXivUCKXKUoyDRRPFcWZ5KPIhqyrnmfaNGDibEdkJr2rpmM7AeyO1VwG9gzME0RkBX5mHX7
wbnKrDg4p4JyxwtfoPGY95mMZsKiIOzipQcKnWpwTibW50ZH1Rsr/S4eP1NwD+TMVfHjSHrMX380
LFrzPzW0jjIc07CFgZD494b3p4Y2sTHZdn1AylYDHrLyeKt0uFeGVKvRDO4FqzLsBMwbO5ygS6qE
rpmwc090C3nlHFFdP2rITadambfQhLxNnlq3bHUI4MKkxvTJqmkE4mHvtQlT6YJIVRQ5eNXuWbIf
tflGUdMMdRL1yC42exR5+gJ+4S1pqALdbmaH9cxssKvNu4tmFMg0m/SoJwP7rIKC2LDcVV26KFxL
/cPgCECYi3OQVC5TMoFPnazimmFS2DpYEGOJM1qI68gnZuHHe/n/BzqGdH96qv5loHP6P//7HYvC
rxMd/sTvEx1pf7OF4Pi1bVO3BSfz7/McaX0zdDmPdOgLbciX4p/zHPOb7QrbdpjyMI//8Ut/zHOk
/Eat7OqOkLiwqH+cvzPPMSyDr+vn558vzKX4EVTnunL5d+fXm4EmXubINBCNjsCAA3msU/QsyM7O
OOvBYhDnkWgeyxaLSUhktVBIg5jhs+N+0Mxlx8r2yZNpM4azEbYy3bBXtTc8GjirlmVpOhenTqul
MmXUrDQE0OvGrpITjSIG7ygsN0IjrhHb4leFK42AY8lNqknixfLXwOc1PP12EtMseisgLLbJF5c9
vFHD0JZ1M5IuMGouLpj4qh38fd/mBBZ14XMm5cEV+Y6VDyrTFBGakocJRfclN6wC+o/FJTwkVXKJ
WxtAu5weBp0PZycjYtVhUuz5u2uEbGQfWhG2i5xLGUVGcNO1drlL7ZZA7zYlnQIFJRf59H2I4S3V
MTiZyYGvYLsG0C2jIg2K5cZ17KricZyC5HowreSuln5yCfwZYTuSLuLZ2qs+1Wu0/shxuIlWRW/d
Mzr3Ho2gEbs0HZynGtkGEgthI7WJvXnsU9yUmvsJKuZZYYq+Jrg2mdvNs2U0Z3MisIf3Hyttj5JS
H/wLD9SnYwOAygwHxoGC86iSiUzZNqHo0Llz4349tNp7nxUXEWj3o66RhZilIOqHhL1Yn34abfB9
kOw2pwL/2uj4l6bsTr2EQD6b6EsuhcgPTrhEmILT8GPiNqmDZp/tEDV3gY4AWQdnWRcz230oJpK8
SnISR93ZK6F/70x5GDUihNwS5gzmvts+DlFVe1F9qnmv96lpfu/CieCAMrsPVO+T9WhEuzad3vOM
mUGOZDVKwoeROQySLms89flU7tjvQK0W/ZvT4VWYYj89Sw9iM27vNyMLOb9ZpEK1gb4y+TXcxZjq
2LNZ+tOb4hJwrY9sLLRTirt/oVzUjgyW4FZqKjsP0mpWuYHaPhjCah/6+tWo1afYH/e9rmvIfc0X
vOQphH+bmjKZWaiI8HSkGMI5tWzlEC1i6wUX6VjnNseHpI/kCNSlY12YxA3MLkD65+iX1omHhdwy
0hzQMqndfoTyLgqIrayN3gX5DYa3alkp9rhRD3pVy201st9t+/LeTpIjDys6zaYHghc65lHSCK2G
DmOGaxeQriwVHKMS61xg4Zm2GIJItgS+Mq7J37j2excvSzgyS2U8sKx9771pHZP7Wn62NeZOpGp4
5KyuIOsYjIQSrHLm7V5g42iAq1fBKVfkFtD0r0ON2YiQSbiXGXg1VYnPRI57fharRmfjaVnpsJxw
aN3lCLsWaCZgIMFZW7q6J3fYJGYLCpzUods4Ig2A+bE/N0WTvqBgtF40WfrU4CGOZ9AGcR5ay2JG
MlhWh2I6s2/pBV+Hmpi6LjvGNY7GJLnpGqC/ACie25A6kBAW1KabLCPq1B0eVG+x5zTdiBcFfZ2l
9o1exW91AC+mqK9b3dxJ4TwIz9N3LHhIrwjJ+ugr56JwUQP7HLa5RshVYFuMpiyyfNIaEqvIslmo
z+9vh+ze8zFv9qa2H1psulqMqaLpx4sooDWlVlXv2Mlpi95ug3WCm+9KjMkubUjpYNrGj2XosPSG
IakxTfs0zBhaVY/RTkjjHgzU8zAgHlZQtXkvSPix9GidVvZjXPYH5IaUfIXaw3i8j6b+uUahsGrL
nMIrYYBf+uLi9k2wjAP8KKDXPQzYxUdRkEfRRcZVk2s7tCvUIHr8OGPmLRHeClc8FMp9bGs1rGqs
bMBPa1ZSI5nm6F7VJs3TZNtIqjs3kf7BcKpnR8+fqs6+bu3eXbGQevfxs6JbAixCgd9G784QoSzy
cHUjL+cz6minkY+ND9i4aZEhIgBN8UyT0dEkzUOAEv1k173cxi6dn0uuqu3S6eQV52XbvGa5R/q6
F118Pd5KjfCGIcXN2I/MiauKvz9uzE3UW3eDA2Zj0sq3gcsIf2R/zlMWniOPZR31D01PWCoyWL6x
FiN2a2bFlni3EHAbyvmyy/ZFkwbQ/yW/zXKfigolOuEUxaIz0JSUo3lo4/4eTQLEksojQ6N3T72N
+C8OODEDJnYB71eov1aD/myEFRsZjTyi2EQsX78D5Th7rbubQJEDuOBdrJ7cxnoj1C9eMlWSs4v7
GBUGD2/yYg6xAthI1tnoF7uybC6icwnR6NQtFowdyfTMB0fqziH6HJz4EynnTeIXn6bicfAH/cCR
kd5arsD3gdkyHNuzX0nxYGhuCCh0ELe2iQocqgho5n5TDtk6HFD6lfq2HvRH3cMlnMfkXY62czuo
qiPF3IlXY6Bfusi/j6zi3tUs8rjDzQDJ29TVjRtku6EDAY6eYFEH/cWw0WnNtA3MhRfLhEnP4Anw
OevVPsSpioMkB3U+1a5Cc2QgPYSAJDLzK06AmE5peo6zbGtp4XNhT+ZSM7Df9BH5wlFeLzwNTQMX
79pKg+ds9PZOn8D8SOB9WfE2ZbOTM7Y0UQFX+lNDB+dryZrsp5XIm+sxcw9zc1SNqKbsdZDu0UHe
2uxKDEu7U3M8jV6PqI/LtN2BpS93Zk70qC7iVQciz6QFt8mt9vIJK2V4mQaLGGcyrNt7u3oaTaa9
qDSHGxYnDJk/Eqp4ieSK8dq595K3uEFVA01OBmqXWTR7ZLw2EIuMhigf7m2pwMcQrNQKkKTi0wIS
qlf+kcEeiz34LXjTmFeQUnjfwqGhOyHzNVhHFqoa4xT1Z9W9pfQvA6O7IbvJoYFV6VPkDcz6jz1j
bQ0/cRE/4Ycmlg8KfYoJHTd/R+fbYhkMZuNOSQ53/Z4TW5OMxcptvpz8zrFZRw/ggSJ9XeLkScz7
MQWXEAPn9aDhGEbED8lZyPLQ9P7eCZN1Rfqbil8mgWdN1XihLgmNWOc9KpZ/xbyhccjQBSvGxwWR
WbXsBnhUwO8aMmqs9FMncQt9RB+de0JQ8e/POEcU2qsJ4qRVHpvk5McP7FxxQY2n1I4RYj2ye4Ed
RSZ3ijP/Ziz3jbUDpbBwimnfz0KLwtkS4n4bW/gT8tsaZVrc61tj9PHykj6GaJy3QSfzqcsR41Qf
mHRXeY6utCbBRw+2uUGU/YiQ3004jTL50tXPI4zZvoYoNawS5z23+mXljSstUUs8Cwueo8NUcTPm
L8imrnqteGBJuGrhfnXshFgGbO384mtHL1VIbsAagGr1RLobYmPNdbFW5XcjBV3HYKMN3s3mwWmd
dU5KdsIcIMu5cMYeBxP+EsUufFwXlI76SG5jCEY5fXLGd6YfCweoOlPXZddPILrUOs7qbcaT10Ug
xUY8hnSoyYyth5eCQJesMgwAhOJgIfjuAk0BGHVl+u1Z6jMAl6914ZHSs6wxn8egRDz1rrXWgi59
YbrpIgio6cMvuwOlxPtUpWQald/zEDwt690UtAycWRgsatVnjx4pDR1RRA1/s13IOyLZngeu1DZJ
lyUnH77xbaLzRBtzTcz12d5l3JIskRYGXj7RiD1rwl1aEZXSfXXZYxA/6uIR74KrZRfT7Y8uWmFc
WvAK0++q8/CD+rMt/S1U3cJD+OI69YVx2tKZHknY3nZOBPMa92EfHkLN27J1+h4ZwXNjECPReGsC
UMg7RiWS+28+U1e6oS1P7qIEWE8xveiVvSjNG0HSdmD2V1X+DrGCU4jlJrSKwGR76zj3ut4D926W
dp8tQ9JY4/Y5BEKAUwjKe/9Cj4l3B99tdCzAbuadv6h5tEZoMI78Poz5QuiEobm7DLMQGJ48UdcM
yVc2SAI2Tx5fYs6ZqzHPz5nxY51NGJ6a2XRTpM6mm4JXZcERq9LPIL9tpwpk6XynNNs0uQ0A6Pez
xynPN24gNxZT2EFhim/4sU+fVc6ohBzJCVBPcZ/krFPGsw8pOEljPrr0WPmh9vu1bXyPPQ0oVryd
J9ijvhmCkOGe2nawEEHE3IPbZFkDEyF8alL9Rhn3Y4SthMMT+cUGUhKcGaIDrkeXvJ6xYzpD5o7J
++a9etNpsOEL4i2Px+q9MhMW/oCBLW83kmAaUczlvb0ZZPGK1WlSNrlBORKlmzCAdaaVT8Zk4H5s
tvp4aol07FnewdWCGnSvSBGS/WsDOBlNJ0+vtSZJRh+Gk8rzi9LRyUaMaZr0bUymm7gF/TRivpyK
uyYSWzm/zZP8MkIpz9moWUvdHNd+x1LAgvehWrVuEoLoE29jw6PYD77/NajsQZvsE6IqALPIoJlB
2l8IHw9li4xqTNSWfvSWJXJHeX9IamTy6cZO8WVjU/2wGF4vGq179XJ3R6u6sePmVBfWy1h9OWWw
1lmu064cha3dQSV6thWDPs4l7pYrC++vSzZaRxSLjjs4zwncjjHsaP5702sPLtLCsqtP3KkPeAzX
beBQshKWFaMjUNl97ejrSAO96HWKlWjQby3ysoNc3IjKbzalCtcp6Z9NPkIToNWb9DuGnR7pRd1N
gqvkhDv1CdXt1iVTTS/6o1+0VyPrdq8RYu3yOAyWWKeyfqAJe5eR9eT77LtKe8+Q4gOU7masCBBg
s54JDQvYSIvlPbtWeeAv3/g0pUnLZdvFZAIUK3xaK0sWR1eUq6gazvgXZ+ALtkIdV84yYUYNl5wb
yKjEA34DrhKM9twfULxRZ/Gt4H0t5txngs/mOHqA6LrNZTUX2pgwkdgJAKw4n8GAY3Du9P7sst5Y
RtEd8UNAIJinW7R271wiC7vBvxuO0HcBXnaI97BeDraFndpc5Lp2i1tjFarPztEp03ooMbBVckJq
GB6w0Gd3zxYg8pdlLnB8fCE9nsfEC3x3q7T09ujIraUXq7fOrNehB2gxqG59r+c357yWEzx1hTxP
AJLywOd/kS0AkErn9GGCF1LAoVqunnvH303BCPrepresAzSl1LuayL9bLecHJJpZEiBt7zA6BBb7
TXvxmhr83EeBbLjKFa1xDbQb8ptvsciu1hCn2enQ/ehvqs0xGoq3vrG2Lcy7AIWdR30hXcw8ffRR
Mp5oGKxMGD2HFyfXb1PQlRVG+WXu+ncesknbck4AqOcoY/PWrO0bDYhzarILORsDiBeELZBsiw9d
MakZtlDayU74SuXbXIdoAiOo1zR3afyQckoZWOCiTZmylQcBDuDy2g1NuoaORPQHH7ugAQBKdmxm
0Ih2IZrdB1m+uvaTHtwO/p1lHdvp1vThINX9YyI4aORtl9xWJCqb97L+dKwn29tYkNWN5llxZVj2
VUeuZruusPY67kPEqRfkO298MjBXNtg9NnZ1zWtEuWS+7h3CKVtLXPFlfOP4Gl6HkwAqMjS3QUnU
cvY4MT2yvV2iOUed26MoeUTwceHnRaSPI0TbGkWzkmigzHrCdRSdFbxDqHWrWgsWJtGjZeYdLCTG
fOYVKpGK6rygVDXb/noqiDV5N9svxyzJxO42vQ5JAiT8k18b7wVXZgZmW2ALgV8Kwcx59LT0sZ+H
21DbsgNuqPWgv4CfYG1erLo0QMeDvBEDzUKK+orm5G5mArnZoyNwcLtrXa5r674g5SXeB15FZg3U
NwaBQhCgwhdlHEDbmM7agLMAD4y35tp2r/3oxfXAv2LND5L7OmuPDrL0ov5eEqyVNXj7GRgZ47q3
3wjC2QNpWdSgLHwOnSJKGBHOkAiPD9yIO8WdUBD0jFmRWGsC0odXcUJ6mr5K+nSNe5ZgagtdxlF4
kBvDZNU764wNfCuKczRQBLJsijCRgvv3aUNCgpD3UxlsYdlSwXNT2flZIzjZMln0hwXc9Mh8mgx9
FdYaga5EibkQd6zw6E7VxuoNprDPoryPwNlNqAusGAJwSmxa85y0lIj4NKS+wLBNunwn1qark9hH
RkgFUdoBNJOTvdxyeJY7xWLCv1QDwXHxDZrwhcytQ+64eBkResXjdeJZ1zku4AFqrrC9F71x8Plu
g7lsRG0yRW8FWYOQ6j3XXgUk1VbltAwmcnpT3JackKwuyf6qWjIEMsR04iKi59B/cJGGsJQ6mny6
tQ6YAqV+WWsX5GcXpkVyEQKlxD+G+kLX+bfcwNAkjEyusiDZGcGsCGFBWBqMhHVR3UppvRkVI67M
YvyWaa+xPdT72g4ecqLojoaFtyiOIzJJ4n2fSY7dDgtnc6Pi6exE+apqgGyVQ/MBX9hfNjK+N1WL
BJjvKhx1tc+6lPT0kUhSlTrmWmqItuoBaRiBCGJJbsosotc/as/epEsM7MUusLkQTSvc1x5ReV5V
sNqHYxZEtncqNbNlYB9uYk+/IOQcLoNpTHs9jG/d4YqD+y0PEvzOUfVs4vVRY+ksWQycY20GeTHy
3oxBdM3s7VZNPSqzmuDTaIBIRRAI4cHaYH6yuKBDrqDFdDYzbi/0X1SIMl3NE2Unz/ZGCky8jKFl
6ehkko0VF6chY5Q75SaxgFrlrbAA5qvapIloowwgTEuYjdkj1ewVw6y/v5q6gqX8Wf5ZP/yzfPjf
ypH/G4qM0Z781U5qXydv9W93b+h4f7sJP6vq87fxt3NYEmb8q1j5x9/z+6YKLtA33TFN6UiBTgDV
MMui35dV8y+xvXJsNlaG9WOL9Yf22FTfWJzqNoHJhi0RBvNn/thVmfY3BP3KVP9Yfsm/s6sSf9Ie
W1IIxMeImBHhGAAXXBZmP4sYIEjJgH0+Vp8cwY/I+yvq9ye+Nhw5cDjDhm5FTpgtrZoGIcANE7Tn
dAyZSED0W6iKFiEayrNecDER7nK0jfF+0lx/rRXzML/nN7V6iUoOSgnw2+MUiqvJQAbV5slrmsDx
yP3uPFAoDRZe0gH2aYd5aRFiOG7hvDJ1f3SCHKWbqZiwOC32KoZAmNncYHp0jcJd5uZ4Z4CEwSW4
wpHL8n6gCi6KrRvoiJ6mj0SHuGWbkKM6qd559c80dtGfTsmVFw3ZbG5fAObXViIOtQVGpjVK8Qtv
zZU0s9eYXA1PfFSBQsus8nPkeT7AVqwPgaTzQ5Q2yPqOsAPiN3qpc1cC0J3YNuyiJD5XAzwbW8B0
8FRD5kHxmLYfuWNt9HY640aQC98qn5MifcUxoSVQcwziu9t5+U/hMHZqYwTkSKdN/B7YyYenGM15
/meKyWzdx762CqFvogZHxggjcfhSct9Zn9ALl0mXFcs84uTWcATJm2lyUHE7+Ws/2hhtWa342lfd
hB8Btr5S4smx4XY48G4mzKPsD3H69WRojH22RvsvmB+Z2goFCOMPD02LqSXEGADNE5y7FGGnwVQr
b/CjZR6/E7fBbPCH0soOBfEB6V7Y/rsyrYvTHeqaIO+QA38xpsF7jyME4kOxLD1Ja1gkMIHYT/Th
F4fzVT2l64qmQjaUACkIXc2dnqa+dpfC4rFQDIoMgP1te+nqiMsVPBdqx2XELH3pzUuytO6vOjQv
TFDSz2JAhpyX4F3yDvSAozXA6ziiJ6dfVf4Zh3S27nWXcWAcB6sqIJqlp8QyEmSbMg/fMaAzyQ0o
0hwtKdaTvBRCEVsWuMO6qsvXIC8J/qhS3nlzXJjTJ3umTaWjOw1xQB54Eh9kQ8ZbQh5QBO7lChr3
Httfs4HtLJZMbIXdHRJvPDd1DKeWKF10zvawHqcUnRzXfpJGd8Zkb8ep5vdnfKkteYKWnCsC4I3t
XCqkZTuQQs2lMPIeZ6Ws18zdtHBZjcmtzdS+tpln6MfM9A6JH78Lkax9omlQY1/lQ7HpXDKeo6S4
C1q1CTUSQgL/ptILyF+Ek2Clsgh40A7FwKngF9lN8ykjd2/wHJhG9joVRKRnJElJ4R0CkLsNJIwk
qm6UzkyqjPvHYVQbZEavP53G/4k27VfZCWeZ49q6bgr8QBBSLWP+9Z9kJ3amcw+2yt86CQ8Fitrt
GNk7oEhov83k9NcvZsxCt3+6Nv54NemgxxG8quH+6dU6ZKsg5ID7KYcIHt29sUz3XvK2mqV91Ybf
p74713p8HSnYUnH9/P94+flg/peXd5VOp4Slhe/41282Sw2Z55bwt3kcYxOeF5dz6qi13Gocz6iF
5p9FygjXS060eNiJ1eavvwT1n3wFhq5b+nxvMNialYI/vd2mtMy0tAwm2113NkV68gN7X8JTHk0m
91Sjf/1yzq/Kwx9vuBKC2w/XjbL4nn99PVQMddVx/rHx5FIJcLhV8XVTcJJUs/ZfZxqNwX1vwlRg
H9Q/qtq4ZGjBSxEcWud1rM2t1WTH/LElRdWBWZW25A91j04OJVTEO8BDV5pmYhFLOIoS0gjGGQbM
UZe18pKNjrOgdAOAHb3XBKT4jKgm/91SDOoNfVb6uc4ak9TrQBvHrNw4jSWTwXCcrrIifWjd5OQ5
IAiDoH8rpXufMhnhpGBPbvIjXIcsqpchFOVUeDcVU/iyeo5qokiYStXbojUu6Witqio5m5AqE7ci
r8mf197j9CgYf2EJeIRAcM9Jw5bqfiyZ4AK9uBKWA6gzVhS100bjCkvaijacAYjJJOTHj+hviZXO
4fcqr/Ov5i+Lwv9x9jMml4aaqyPceP/Gg/a/3tvfzm399otm6T/+3O/loGV901EncUSZLl4vxEj/
qAbnX8HxKHSpXJtjRfFaf5SDwvrmMugwHESmhm6Z9j/LQX6JbaeNdFxJSkYE3H+nHLR+PdOUVJaa
i1HhGgil+FD/+SON3duKw1CuxEQl1xX7CjsVRO5ln6U3qY2LYk7K6sftmFSrXKHoFeoQJepIx7XL
4ubYdu9Z6+wrW9F/wmFOkuvaVvd+Hp7Jldn5aro2GF+G9ec0FO8tArxxfGITRtxQ9QCu6KQl6e1U
iGsilLZ1JhEW0802hyYYqfWco2pMZNlsSNK7nljk3vMuBVucHvweZSz8tOlucAWV2ZTf/v1n+7/Q
7TwRt1V8foRvf378/zu2O7Ok+d8/z6Duorz6eMvCXx5pMf+pP2R41jdLSVc4jpylbo6BBPoPIZ75
DbMldwOPJp8bHqb/eJqlwHMpbA5ym5IdZcY/jZXS+CZRlCtHmqaiV+GX/vFp++P6/93r+m+MlX9+
nAWCv/lTa9qwxHXFgfbrjRGEisiSBDPdEKWINwntQ+FBMafPmEfYK1wahWyxBcrqCM6+UocWbd/C
CLIMhgLQgIXIiYNHis7gRGtY3R3kxDCUdQltj5GP6U01snpM5v0bjoGvoEQpOgReRDJW08OIEtba
HT2fUEyjCR4JMPa2Bhk+j2HVDGxc2g6lW+zbIxEhcBsx/fnohiz7DlghKQMSiGdqw3LQiZqRDdLV
HI5WVxcviZ2Cs/eh5Sj0v6zQnSdvaj4CvX8jGecAPnU11PYB28LVmPvbURe3CvYTeJO7gNjniFKQ
lcZmVpcEE67S0tg1rX4MgumBLfa9KMXWAo2nl/JEWbUyAgJXCUhtI1iW0/Rkl8GBPdupqwQ+hoyE
46B6LfsMUUvWPGNeeWKRnM1ZTa++1G7SpHzu9eBcwmepgvQ50qLnomkIfdA3MM72hRjIwnBPeirP
giyy1rTJsmirGdcKhckousdu8hF3uM0uC4HZqlCdSyCU+N1egr6hR3B3g4luK+u0C071O91oTnQB
V47L15SE1Aijox0UywrALNBWAx0Rn7dORUqzWC29Wh82pit3CfOhImm3IjMuSQlQLpveIwH1RGLx
iMqHLvbOsQNVJxzAmzU24OKxv42k9Rxnw95smfE2puCYJCO69ZEldHCEQpFvpRy+PADxZGzVxDGN
eznFM697Gzf1Xa+HPH/6hbf+SJTPWff758pP31x72hljc3at8aJG5yxc7xgyLZu3DDInmN3rok+v
8p97VKJtpZ7CAasdGS/WyiyQHmjTjxGtSTK6/5RFSG9Q4xAjhpfMc9vnoE9AxmkIP91bvwrAWdvi
agT7hl3BBdNUfE9z4xJOLRm6VPxamty5MBgWIk12Q9O8FaZ+b6f2XmjqHJFeAyUbNUEXss3QIxID
qrE/mD2AjTY4lZXx5kNLZsntbwnwuK8Kwg1iA8dq91XUdb4g9fVILspdHhd71s/b0cuOLqsCfExP
WpbfagR4LmmMH2rbPkyl+qzTAkI0eQxKC/ZtYd1NdowMoCpPydjQB1WP0CUvbufd4U/6ju6K/UA8
4RnM47c0C8/VrINIpGTrb+BnElZw61YtEcxo7GVtfzS1dzOlOaZ/r93FIngOdfdst/KkpR0L+2RZ
DNShnQPv2ne141CGN64mW1T+2K8jwg6nKq9WRTldV1W5y3yxTYv2ieClvZPk6Dume6hG7Bg9Yg2j
SDcuPrKYtRmGxdGS7GXdEfOy4YbQtd36Cj8PvGE3606lom0PPFYUGmIaTJCcMk+VHUynROvQ/nAy
tIP+6sQsc52m0U/TFB/q2VRBJtyjGNEUlJPXsi7A+ixS2ARd1epsAAbypEYohkjfgkhdN3paXhiI
AO/Og+sOcdRWuok61WF1NUnGiSaJwZ9QS+5S3qFtGPAJFX2+0w1rF4XFwEh+LPH+MWpuGw+p4Wj1
d5NJ2IIhkm0A/nYZmtr71LAgt5sgQj+ZnpDtfQ6auusmTHVkObJSH9V56nRmNwNm0iHu3obcvW5G
9SUS8SkMAjc7ecgjZjET7CnY9tclDjScMfjHIs28ruzyi95Bg02IRiOQDKPi9hK5LHxgrsYrjVns
MlDgJ+jpYJnG8MydBGewpmc71af3EvfO2jKr6tbAo0vUbD3sLVs/tQbAWjNO63XmMpK1LUE+fVZd
xXq3K8m8Bv4SrFMDB3Coynwhe/uGMfW1raP/FjVsziirL2xU77q2wELboxWa/HOijJdcNVem4aHj
y892Hu3Grv9A1CXQFI9Mq+qjNvgzbNhyw6NHF0iEX4/g2FIhzls7PemkuCwaWe/MZoh3PQPss1YZ
/sppsMPWCU+sUwHq/b/knVly7Ep2ZaeiCeAZAAcc8M+KQPQMksE2yB8YW/R9j9loLDWxWnjKTGVK
JpVlfZZ+ntl9l5cMonE/fs7ea7sGnXPmlPWhz3txsocghz2jaPmFvbvNgDBS6HUjVV0XruuBAy2W
xjNEllsNxs2xT6xuPzVNu7MsiR4gtzkrhZ3igZt+Ve2kayhkzdruYsC9oQ4yDl0i2fC0qGNdLfEL
fXAQ+mCdnMJ5DWKr2PoDwRYZYFgW0GiTqHinI92QKPyI7sKTWV2b0j+rEiUdl+JRpeQ+MZ01pvpN
QyOyMqDhrO2aKyIYHYgcxaxhRusK+CVti+a5ioEQY/sZCY5BN0SKzKGaEnxkiFZS/oGJDqtNBdai
nNxO3kHduvgTrmsLyhO2m76CIU9SlkXLbRyr35FNMS37fYuiCdwrqCs6UjymVk6Sjc0zrYsRBykU
BKduvtKAF6DvXxJ/vJq99hpLvJ9xcjtl9O+RPO8DTZ6sltaQK8dvUVd3yC7u0dsho8weGpiPjaFt
6Ln+BHJ+Ryz5ybgdOnzEOd83Ja/wlL0Yrd0/kNrMmCr6VH8Ky7J83NidQZZY1J0B3flrSdLl3UDE
CaVMdFtqCWoofLbosCDMnwQOSq/ltTjA1JCfQTla70hp5jUGWvMAgsZ8LsoxPEW9uPpZ3O5cQJrn
TA9YNMH4aaustckm0RMlNnkeaJveIrI7Qp7Ke5GEOxudBvqsY4fyfp36Tr36H1+rW6a+TAH+62r9
f5FH1/zL90/6L7si/d//+g/wlL/8478V7a6yBdW6YXKiVctp8m/uGSpldnvy5NWf9fe/F+3iDyEs
xhE6n+Mvlf5f3TPmH9Jd6mzOswzlOMD+M0W7YXHO/bvGFj8Ww4zCPYN/zLBt211sl3/XVipbpCX4
d/S1AL2/yifJ0Fi36d8PAzisejdGiz4ttWCIgzyzS3lr41+nmW16UiL/KJvnSc7Yu6puWE222nej
9SoT+eFXIlsBI9tjUdyDnzoIg5I6r+pb7CcYOzTyesIAvCM0b98jxBa9LdAYursiU+MH5UK2jYQJ
q7OR+SnIjeylEeSSJ26krtYYVrezpTx0pb+1m2x7Wq0k7dnzhhofK+wsMEQCISjh7w4UB6Wu2ch2
mh7luDvkzwJtqh9UFvpzYrJWhguXLiCo8urODciJRuobcidXRSEGZgSlJskEWww0io5QkzvJxmaW
6vF6ERSquZdcVSMCLy5jgg+n6ch8RSqbXLQ+xaVDt7489qMTXURpHpPFzKNbmC5x99SpeUQkcaW5
1POrtRyZCMvwGwG4LHA9IudssCNc3zBw3qKpRNU3XIYsEcwJooH71dwTVZW91WQDE4+noyNhojIW
X42YbS9DKwsebKzxpjrpSxICztSZBjDMbuqtbo7vfpR0z5MYnggl1vdcKe2mye115w6PANBvrU54
JMIQcFDfyxFbxSIdbwP70bApngApY7wIeufqMxvxBhIe14SSLPxN9Dl+j0FUI1mgSTWEew2BK7gh
tqbul6cJi+nDPMKVoDcWnTGTWKgDrJm0xcYhgDS4C3tkv4mVlQzElNj9j1+x6If/d6sV7r5/7Cvw
9f+2QJnGH0xFObLaNpszXSj+5t8WKEP9YUr6DUrIpfG9nOf/OjFlEaJfYNC0Yo5n0cj628RUqD/4
X2JpVBj81zLNf2Z9Mpfl59/77ksXTtL0loxlaVQIenL/uDwt9dAgmcCtBZlVphX96HnLgcM9z1O2
B3ByI0R2r+m0g6H8JC3Z9V0CvLFqbpiXfrZWQ57zBEwhuMBtIMxz9N01HoAbFb0MQl7pmJlrKWyU
OuP8f5mPsDb9x8WVMS99Gcox3JOLbZVL+/eL6wy1Amwt8UV5mL1Zgbgp1UzyNj3oeNqjsjgHg0Ge
e9B3HKWXzjppY4iiA6QzPxrpsseq5wAo2c3HmfTGLrg4OfxbffjxS4UAylnH5Lmg1M19wtNsjPuS
aLmkSV7IgLOOreOvbCdo1zWm/Ep3vbzInzGQJARz5XCtev1r4S7vmsqBsG84t5Muz5ZSnxYhk2ty
9vxVmTCBGnpCj/GivIcyi9ZUgiX8Pg1xy2OdIq2uBChdzW3XKk0eUJUUG5UQFF36WN4DzOdtJZl+
TvedC4+mCkdq4hjZmkE7shtGc1Pa0OIIy8ATQ5ALIXUHkMsosUtaHlKV73pxk4Hz2bZBTk/E4exU
JgzM4DLdTgHXplrkR35cnPsZg0pSBu2G4S8urU8zWTTzODu5qJqX9PyaYY8yHPDdo5UWt+lUlw9F
XhDPXD8QGOaVeojCr6el6UyxB9ScSrJEKBeHy6DFhh2VpPUjpV6412zjJiDS69ibfrpJXIYDemfs
itw/p41BTzRnqk4qWtww1Fdgo4mc7fjPIQ/wHSrZqWWSv5XmW+kX1O5DzGQcph3HOGz0yVbZ80Nb
EYY6VzRVWIxPPjYUxrh0epa/K816b2nVrl4wRb0GPaluTvS+zn6u/yQ2R50OWTierrZpPvUkk/z+
FjgoCRuKsI9ScjggTvVFtzrO3vATVYAmiqjpIOmIIVHak7t4I/rh1WdEHWkH0+cpwmwk9qbKEN+i
Dtj4solOcsag4XzmouVI1ZNNC+w9WUs3u2rJCAvbvJQVyikSSY+S89tq+NB059uoETFH/lcuYM0p
9TAEBGs76jU7k2bFs1VrwAzUXdo0r4Apn+P+2CYD3cI5ep3EEksdvoAdhGqzhBUT+HQqLHj0mP3S
2Ccop+gxTZXIeYYaFRQ82sLXdm5g3JmZ8SBGulIItxOSd+8JYjvFQ/ViligW5pqWgjZPt2NL5ktU
vsMF6Nf4mH/LqTpH5hLbWYunkKac6jqknVNDehOcN2yvo5Z92HV4M6GGRI1y6g0QpTBycFcMN75U
N+Cmccu+9I3/C4qff1yG3p/fJq8vE0ffVUywRqm9U0q9a6WPE6RAmTRp4KIDNwJb2byMbnbqy/hS
Grc5lIm1OemPdsqcS9b3Q3CnDTkLXmbfZHXxpQWAHifHngihOrv0TMVIAEEvh3I9UouRZ0V3Uww6
F8s/2WVyUkP+UPjBawpQeNNlVHlmfxFZmq9F1F5R1WP9WGKPcLVgx5E3NIHxE6kgXcke31jPaMAx
u7M2D89uwnMgW9cTcvqVIVnInYCYBRWorcuBF5gnZChf9FDtKro30Hlxa44bdzJOA+YUfTB5BApO
hVkE7zc/u2Y6rOZ24MQ/4cvteDKpYQRNIcVAzz9buXnsJ8S9ARBjUpfAd3TTHemXr9rEnMSpdsDo
qDUXI1HYWb8kxQ9F8DwhYV3HQ7xg6HYKXvqqnaZ7CN1kbGafjZYd/T58slPqJnBMvNDROa+11yo3
3+ZE8PGQcmKbnr3YyQrEOtYxa6OMoAWX1FHfIaBCVrjCWIRkHO9to38tBU22STs0MzipYALiZUP+
hXvxQQfpmlgRyr7QfK5KZoZxiDnC5MZqGWQrCc6zBt3WzdNHKXT4vvbWLso9WZNYw4KtbNUXV4cn
XpyoCSGANhlC3IxhbWg0O5QUx9nU070+grzXHB+zthCLX1x+uwSCg/EjaFIh+O3TAOA3pZ6Xxskh
baryIdLousYACkFsmbi6kUuyZ9HTftfy/gnUh9iMtoE/G6F4mz+0MXrbrgKzhLUeOaV2HGvrq4Xk
Sp57BI/Cs8t1EqXH3iouBQL9HJCvF04Bzf3KLjy99wlKSyDemHCYvYHICx3CH5yW31xWH3mMl63N
pSANMCF0TX9NA/WkSEk4GhmCkkSbT1U7fTvosteiyCy2TOtGi1Mcebb8oP1hHaCNYh/D8liH0cLy
DwGINSmrLehZrCYGEW4ac4TbqN9wq77FwHISgzz2necyzgjNHAHAZCM5WCZZKW4FSbaNo9lrXOdU
d0O65oDHVlKZj5bdP1Kdbyd0VYuwNj62NctjiL0tSaAZatoGFPCQkPBZ4DeTef8e9HextWWuU1P9
logxI6AAxWK3yoHQNA4BN4XpfqoFRjDEIaAWUkFDAqfjGG/kxBsQVmaDi43qeSZksSrh9VdPgJss
jjrOquzNS7Lwqc3NaKQNipHhR1MgbMivX4uBf5brFRF4tpOtZ7VrZbCvxEcsBoKT/PJZ87E8d794
xdPFL/VWFs5Xx0nN1ot3pwm+S5d+SGMcrD7+hB9VbwF18PYW9dvAI7keIL2jopUhTUbdubP06TxA
wO1Ev42KJMcVl6YbfraP1GnTWjQ0IR78mRvfeEoXv2IaIVRfVEKW64DAlh4jRq+Cz4qY/WrF5HRi
1oxYCuwzmAGxNup023S1DdaaOLEkxYfSLoFqVQQD2HIeairSjZ7jALAG981o63tLJyu0FirZlARF
ug7ulmzKiAxVjA2IOitalExzhSjAVtqugBLpuBOWIoknOdH2JbkoMjCfQ6N4ZBSBBdvqtr2v+ssU
N5dO4JGf1Q1tm4fQT757UX/TiLuAV2IdrDo82tmDNolrZDnPBmYL8l4fVJcFxLZEKHqC197Mdd7s
wFmXy9eD2Rx1VH+ocdTKNLEOWkiCinGxss1zxVm+e3Ks6JeJIs4iVF9QfAYvydKn+uokCPnbMCQ9
xu4kOxDYF8lQpB308wQwkdGCWmG9bb26D09pj3EgllAf5AdPObI0pT+TKvKLUqxdTyUNeFvbmkMr
V2ZXfGeBAGZhE6BIo3nXOd3SiSUvtaqg+cfs99Mj/FWM2E7jsq/6Xpyh7CAWysE0Hj03FdGM9oDk
qkgXVE9Trs1np0lha/sU9qk7LPzS57SoPyhwNgmN5g2EaxIKB8JOFIhXCF17AF+/dYckMSecGWKX
Qc4I9m0Llj822YppZY3ueqyzbRw0wRqMgoVHM9lBM88IPi9RwzfmF0OUzVx004prhyvPKh8TI7uO
lEPrepQ4+mLcaUDNOgSmpwjfMdZ/zfVCrfbMqhLryLZOtaIVbROSvrXJEGuFjUezweWbdOTNKe5j
rto7HdYymHXYCqSyhI6W7JsY6bdBxGeSkCg8tjZDd7qyssrOsn2LdbyQZZ+8sgpfNULRwYmMSw75
xl347lGs5Wt5b6dpc+JiHcL0mjXxb2RBr6PNHKAcIuloMc9p7h5kEKymEiZ60tm3tTvfJrlprUu8
nqVNpFWkziXssyYmnEA9ItB7j/Hr67r5mZudjtem+rZo8tMgLlyvsvR9CpkVuT1Xw9r0kR95iT/8
+uV0N/nOU82OvE70fPAoez1J3UnPpdlpDcpUTTEtaf0tUej8HO1RlnG1H1x1QSu5tqhi0UyEFS4O
9ZNYxRMrHfJ5Dh0GKqmlGb3Y6hvErsmJiET2CIWxt//TbDDizhKvktiNVYY5h6b6ScQcN/qs+kw7
HavmcopMkv6IcRvq3nguAWMHw2jcGE3/GqA7WqdGtsuiBMdKkf5oeXU/2TDlmZz5zZ1MiS+MQH2m
ql2Wd1zyKlVrJmZPC3QsNCvCvwMwBjSrPkzGu9vSSD5GDHOk4n3Cf0BSFenrqQWo9ha/2qmPR6Br
j4ipYHy0/aPZG1+kp3/oFhDgrn3kOHHLkOSxtXJMx9NXm8jvvqQ4Hd2o3czSupdmYiC+rFoPrSUD
mPIQ0/UBwberwHIFkrWyMbXf1H+zkpZ4xcx89e16BaYTM/F4sfxVqxN41tqnTKQGa4q8yY0nl9Qq
p+9+khxSd7R8E6Mjn91xvksfUmV/go62SSCM2dJ69YVoNziLP2OrFPsmwdOER4FElvcCQtcaXj6e
jtyltAvj45DOj02TExpLMBBUKl5Ai/VH9dAv5DkvGNWaTJ+rKoXz4ZyGODpX0NAHeAIbfj62SSN/
G2b0BIP1FQtsZmYf3RlZe4gi+6SHFgMYjUQzbn3CQ2rFBO34sVEdHQtifzU/E9h6S+rwZzDN57Au
98uHAVb16kp1WyYJjscnvaFCrUV+HdISZ3nEuHPSFtNq9UxiHMWtREDqdPZ3APHD7jgdKmHcuXH9
jbizXteG8xLx6mlRCi/FIdVWa7ZthZvZoUU3BvleWUR7pcVvEbjavm7M4rBQUSrrxZoYhroyPwox
XxefWZ1xNbNw3A5Ne6YGftUW081YEOdEElzs38aslgcfue/KzWY2IkfsdPy5WB3c09h2EIpYWWOy
tbwlJk+5YJjT17GMv8ahl17MEdvmOdjWyvapJ3Cfa0sIYVifSV7zVGB/dJ37EBpCW2v+hpUGSqbA
dWEKBsSWD1u7tamdneolRNjXE1ZQZjpXiE1lxZtPTxjFhhj8wXPqz56vsnssvaZ8QDxcbpmFv3XG
PK9atwbtmjEpnAz4DlkmEUt1JpVcT8Iydg+ct/GKoDWD/FX9OYlmqAowQXpbsRuRgUG5/TjBh+Z/
EqoiIBaEKgAxlmVvksiHyo2eIY+8K+2xIj12Y6bpIyFQ5Z7CuznbOZDhtoMkiFqSiO0m91/YIF5r
Tl8nfCMcJZHo34zVREITL4+Txf1bAircY5BXnaaYTbCQ1Mpz/Oaq3VSnj25YXgurOplNQ7vbfdMi
TnpO7x5NHWCRSAd8fUH0UPvXCiiMAmDOEYvMzKZJ8QaSNRhgPAllAeQRmM5c+JRT6iaweU3iEdzb
rMc/MusvHMnvg3H2KqgAXMD4mocO8zkuX5mKAz71Z7vuT7RigBuogTAk0IDcGP0RFqukQEpv+xbM
R9PRb9Ly+JmDULtSYY/hN3iNai5m41v2pgnJpCScCNEDb64EUVFWu1jPnwlNX0cVoWzoenAlkXtS
CuT8nSzP0YitbA62ZW2tmzC/ZMuIs1QvuubsuwhMuGutFP78svNaPzrVIrvpq/h7nvVgNafjDwrP
4RCTX9MN8p1oomOn5fXRJAsAA9BdWlj5TWZY+8gFvxINeXSfcIrB+oCWzjKHXUwiy6GkQ8NH0/pz
SK/LsOAijNlUrulIvrfW8ILomFikzPwRrIJ0gg5pjUocrYTPNOC7Tl756hd4kddyJrDcnt8d1niM
XMl2jqz9HFMCjaUeM323EPj1eyKpMBX2HGFQOwHZyQMcWiMHrQDDIODYZj0vBL/pZNldvckLSuc6
tG4RhfxYqTvvBAPkzOSjYkGqaX+QElfaJVur1lAHas8VQD/wIIjA3cJ+NRTI9Epv7sgWv4bE4EBe
98YwczBX0wZUX26LZr0zomCrzQ1zHCILEzt4HFuCNbkEt3EMlRbTHJskeIe41TgdVZ4flBbyWOeM
Hm0l6oEb0HIUtvll65TP1vnDYeqmTYYRioZrRGCFzvEnmGMUP7u8dCmv9fbOH5DnEEHe9H61YpFe
han4DHwHMIJGPpW8GKFsqBGKyKvLwlr5evja0o9TA8+pNCAFzJxWQKPJh2Siv1tZyVoffAL/DPg+
RGExIw6u2YLX6QyzWHepdshaLLi8w9e54D5RjNSez68QF0jJo8iryuiSy+hCchX8r2Br9dpdTewo
cGcTWAcLipMJHtpRvKQBp/u6p8QJ8Jh2jn0I5m6TyOGlD5stJPNDjz016cZrMwcfrclSkqon6eRI
9YeXKhqvDN+I/ePmYTP40U0Lo5n5PJjBKXSjH9XDCSow9NERpFJEq9aNyeNY1WfBEQZQzH5suKbR
DNthaO/Gwn6oFRB8x3rtyP1ujNAz9W7TurqBCG/4kkgHFEMoJUC1EIDX0ePaqNG8URZwdMvdlw1U
XYZ+dDIMhNwMIA9//mzNWURbVZ2BR6DxIjI29sK410q2GSZjlQe/dtcXznNiTe/dvLVDwLKd/kQr
FokagAns+vmtk7MnEWBf9oLI1ro+AptuRYyAml+FOsxZ+n/zI+Mxr6ynJzvSb1U6vlgGg8W5bJ9i
xCngY7T5CQrdj4oNuGFjESBV8HJ3jG5Q/24TxVggFyDoS/obiYQ2TUwhvlmgqeTH5+H8hFTYZVAJ
hCPOTd4H3wkxT9GVdBLLS50OSRhPK0ljmN8Zh0C6Ga9p0u6oCivSDLlW9m+c25gzKwz+SqOhq91X
ms1rUxNwyJq5g9hCHCMByFOP9bdJcdhYvMokSKZemXRf9cKmN010AXb8BD+YboDP38cl3nRFh32Q
y9s42rTzsM4XXQ115XNw5SNJ2DylFiCZwa6B0iViPaU9EStioMfcBroXKB/SREWDGX3BlinjnV0M
w0bNNPSTaHzVmeJ5w0irjQy5W8B1wY3rzNu6s4JN7iME0VBkmrG8XWLkzePympk6eUfWobHqmzlr
efxplsAY4/yl4eChZQJneuciEexVc2Om49WVkbgJ7iKOvo28yNji/qthRzxb45kImIjaAIIX67du
aD13AbATAvZ+aIgffZ27t3Rc/F2PxWxZISDX3jPTsHW6kMDgDsuKoSsGyH2i7eKYH+2E/dkUML2M
KL5kGK1XFfTqVTo7jyb4ZmJZPTdQF40mAu9vAPk8nx8aYzqwOZ9EleXr0VoWM/DlmQgWkBLuOHo/
MqYm1dJPuOZ0kgDiGwNLsROXp1L1JGg+9x3LOyhI1urmbgiJUcjcM1SsC6ObVVczuADssEoavQO0
NB1i+3bOw4sEIoABmCrVFNyddror6Y6aWm95vj1ee4WToHA0okmLbW/21wk+NsFLdy39jSFEjdmU
qtomguLZRawGbsvxIrpG0U9nNTchurOOwp+XCv1hPfCojEhHZt6aQomDYU7XOg9OUenQSgpOsL4p
2+VOWUI/lirdE1T2ltZ+u0mGhB5/br+T87x8446YztVK6t1Vz0da2MO+0viKKb7Nk6HdBWO2DQAu
olu55HW5NcAUD2p4kUAWvULvdbYYjniEGpUyoCkc41+XC1l6ZVcsFvzAIK8es/6J1KrPYRz2gmTW
kkAs3bQ/ESR8khbx3kdYourmLsjvsiG+Ov2b1Oz7kWQSS3femWkF6zJmqyIPOVohhLtAMakttTHw
RyuXCsjvmq0j+aHLkxSwvA1tiqKTBTznCJ+7OWaVkhYAmgGOJ8stT4NNkBAaaQ5XvDA/Ool/DQU/
2LLw0pTNzoBKmWoDUibojqN5MIx6ixpuobut2cJwCsbze9vof/l0U3HQUamBMAwoxrYlcDuEeky0
VGiLFTKGxLaIRuWvtDx6o4v6q0k8yZh07JUEvoihcOTsbQOwCPZGIMNdtOhMo1yioGbEkrP1xstK
yilTB08hABvTjoxJTy71dzlwzh/t7GtKeFsJxGMbnN/HhHFZ+lz4+P6qy+Que21MFUBKK+d3G55T
rH/5cNH0mO9uBPGxjyEqYZO+SmBtQ4exJWcrYJHLW+aw97nBPAJBkqHCn0xZLvYgc6tJpBfu8lD2
jm6vxil4dE3znCr+0Cci8jSEt4W9Ji/lR/kzbiEuXj/j0ZbGdMzJMNBoqlKEP8xy9tp2ZIjaaAhC
w582ILdMCgY5qHH96qXlcUShNSef7FtnIevb5c70g8M3J6wjHh/YHm2B3bs/VAD1DdKjMrxDCU7U
suMd0sjUDPpNz/NbSKYw+fSVIPEujeiH5I4nlTcvheufy05++j6PWtDIh3Yc6s2Qy8+6ta79QnvS
bZIEwzOa+DttfmvbYmMK66GO21dZB/uBxRKw6d7xuVsQ5/ZdN70MRvTV9tbZ7ujnOzI4R1IkBy2m
3cFB6Z543pNOEg3M/wBkq5lvO706ypKL6owp9Q7b67ovtxVwnlUi3KdUpOBsl2tu9iCO8nyzbJ+W
Gbd7Om6X0G4+k0UNXxjhT2yML7VuPwRWu8l4oi1fPyeMo/V+ONCm6A/LpSHw5gZYDrv63L/o3COi
AbL7uA8e0pDZkrCLp7ov14amP+WRv7Qj9Cen6DZdbrxLJyKtx9x1QbcpJj7U6HDtllUoTqI3uvA9
CNMQcgq86HCS55R8HygH89NouGeODj9RJw6qth8YJq5DOLiStZL5Nh9VCSYw9bNwFRAjkEwhvEc3
HV4UU66AIyLsz22++At0RgrLIjCl5kHZT4UNM9CXtAfQ2cUlwHREuGuNYBk3a+/qHF04C0VsU/SR
EveUy+AJPI/RhBfCT1dl2/1GfGesXtmmi62H5TdLZ/0d4N0noe07mAnwhxoStfnqmXdO2f1+FKxQ
y7e3GaZ7UzC/o5+8GW1G7ASdoam3K7SPgBr3FAYPNoOD0P5Y2PP2GF3sJr5wGH5ybA2UDP2fYHih
2eVN1WfTjmgte4soCvuzrbPCE8RPgKs9+2ggkSpSKVVwtgcwJktpWlU8tCViUn16F+P4slzhruGK
Ml5go1onHMCTkTeeepupfBicfL/wvcQleaogOzDIzqT7zJ5uF+2WCE+1iS2viSg6+0xdQzK2btPx
OLRdQuyCG3h63O1Af3fbhnk9sHHZnA1k61s7gMU25A0Uf7+6c/L/B3Hi/5cRbYtU5r9W/ICGRPCj
7X/q+ScoUIv/B1PRX9U/aHxgriuEpRaOHdtVOIf+ov6x/3CELixls3kiXrGQ3vxV/mP/YTqL00jH
Joq0xUbX8ldgAnYjHHLoHS0HQxsioH9K/mNY/0kA5NiofpD+mEqXWO4Wic3f6RMdc0pHVEoxYylN
u+jZrx915YXq/NlAP73H5HFlyDBvK9n5hzJNyb4choe+rsVZ94mFChg4ZU2jTh0HJygIQAODBOQN
dZM3d/pXGxaxFy/RiWoC4mo58x6eXsxJiqNsush1VBbodyQH/cwD6SMTS+TABHUFuQykiVnfhSjO
g9ItXhyZfNUqY1Kh+7AR6UdN9iPNgs+q7CecqQk5POl91CT9Y1MExtYPS0SUoO1JuepfrKXHYheM
togpwBI4lPdjVcynOc4X7/roE9VlUNtDyxxjvX+UqA62dhzFGzh3XkEIC9pq6RzrqVa07LuDHUHl
4lB8Gg1justU9DMmcLRcDmE3qNM5YRi0mezCJgaV5g8jmtw/kJNVqzH8sEvxQ7jc61wO/WuYcRZm
mQR08svyfk5mUtyhcNAtmBOKnaA6NlH1geXQRL2C3ggNva51tPLTKV4lWU26TnEfuQteKdCfM/0A
tJPI6iKP9xoRvLpbWPdExjFWVt0OvjVaBzMEszUn09ZMEYrAN1goVUBcmugZRRpkYRdPryJegp14
RDh6kQUx8pmuDiS5we0xZhrp8BO1XiVATUlsivxho4PPgf1DbAxASFJfen87uPsmJLo0CaLRg10U
cwolCZ7x8CVxYhipdUIVx0RpEynmtmOJJDEOXSScBHuuMrdpjmYwEBUnf2goQD5rvvxB0FHKJ9jq
foe7oYpi1nO80djIki23sd6So2ZtUjmS19JAl3TKKoFr9WBUsPyMst44AvhX1sO+rQb9CXRjeAqC
Um0IWii93CK1r+8LvKBatgkKRkQjJk6LSSNC2g5tuyO3biPRutKtZoqKfL5g8rwVIo335Bwvzcpo
2geR3RwWlAL+F8J00Zhv+94xdiomrbRXUGarED8NbTEgbu0v4Z0MyTVrXoS0KAs6sqYat8xvYpRZ
N0Ur023e00g1usS9N/xxw4vdHaUk8tUnALAmzgRMQP7BISv0/MifTiTqwM/pynuw9MMt7DsyEGWY
TRRqZHWmXacduypDHFVn3ZZr1JzcrAHGNe7KSuxJINq6IIo/wgk3hpuYb9IhmgfFnJrJmobVIHac
7AOvAhXHH5K7DAHarJNPVYp6JpRkeErB923bwXwNS1c/1HNIb6DE+zAsW7EY7WeXUHsvbUbSw0Id
S7pSyYGQtlcVTB9W33NCTOYFfibfU9KLgqxBk+ZAjkpgNLitl4WpPNK09vqq+rQxj53G4T5v9fm+
Kxgc2sSn203B79Y5q5i57yrS4gta3PjDGPLjrMlxK7KKeDfdfekogktEQy9W5zCpFZjeyBOm99kE
9xNQ4w0cyRZx801mFqbXZo52cdP8rRb9IXf8+dvO4K4Bw/808vRHkjMvCAB8YJTUbEhefrHDvIBY
DMco9JuDleZgwXWSx6I8e3dF9IVdKXHnxzIEDjd15dkGEJID418hPGPQEwDRnHtCFJAe0v7sEK2N
WMhYu/PVNDs3Kk504O9LKInWinU6cL6NxvbIcHszAknG9xUEG9gZF4nlYRPVxk8jxEtnZxNJbUlx
JPbnONtDcUivotaoe32c+aUBG2TuMN51v2M30CrV4YIXalkTYhcxXVyWnt/ODNiXgyr+i2kjw5Ji
eE5eEseh1cVdXg+u3m/hQepFChUb3yMUx3NcMqIGJkVhVhfPYRVd6oDTpPLjOzfv9l07/U7+9OiQ
EK/7c75P0h7AaoIQz/22RlqJgd9ezYGmsCEfY2U8AG2cB85lPnzcUAKkmRBsw6Di6aijB+k/VOVg
oRbLLYydzMrrwnaBLNRP2FrECvavcZMGaONaPTI9Y8B9ZYxe0GJ9i5riyN62NovS62rFGd3WPcos
PzJzj+h4ZiYVCcICASLhF28+eWiryZzEZt7LGVdq7CwQeMP4YCZBNVaxtPv6VrBm7HLdgKaaydu4
SZN11om9aqMHZKecQCoBuWVItuQYZ+U2naOjptNsXAIbU1Jhppp4eS3g8SVodGQxNl6tDggdkXcz
kwTjo5ncj0hIwCj4kLSK/MpBkBJcVxGbXWCv9Ix4q07R6tLLkDFowbR8RloVgFFf7I+1V0O85vBc
3fflAmupHcRpw2c4kHEwjka5jHdJBpPWycqs+4GUwD50bUag0XwI4vknRFUGQOhbMF5HbI9IYBbR
msRiBkT2+FpqgnJ1foxtDSKwm/1WrfouxujT/D/cncdy5ciWZb8IZQAccnoBXE3NoJrAKILQ0iH9
62shWlnXoM1q2pNn+TJEkpeA+xF7r12axIj4yamtEZeyMf50VXdjeyRPYlXN2GPHJDqjA3Tw+pDz
3b9qFmR63R7O5buXWT/OULJqdG6yho/I46wGhiTfyTTydpaLQ08t/+r19mHSO5PUEh7wqdNVtFr9
aenHjEUofokqNXmAHfcw2H59wsqBUrCRZ80ZqJCmMz7bZpcb6jBXGbHh5AFW1dk0WVc667dp92+j
j+3Pc8f11LFd0K30Pl7ENe+64kl6JkWIeW5ABJwM3tbQ0Ad5naO8z9GKLvBL41j7o5hnBiSJvWRq
3fey33Z7Yx41ZY4SpR6OxZrVYFPhZyt9WwkmCopoE1/zXOjUCnxNDexUu+9e+CTuoHbgoGBpi8vB
3BmipCvx2iN93WaDRV3hr4DXS1v8XXws5orlejDW63HBiG3o3nHyod32w/CLmZjtrGE/9TTILorH
yBCoQlFp74yVnW1c3wu9vSWyfFtdpy8eWtegoVkCrUjGaD8ikhhidHMsOse4YRrEMw0EkwmTovUj
cQK7xjIUf+KUearWpvLguchCZP87tDTfEk0jKaJJIBsGEdIkn08WB/zbgSsyGMqoDA+aDTGaBNDQ
KnU+Vo9Daahs54Qk+pBN3b63xeuQs/lnwnKZ+iY/C4/FnG2KE2XVAV8hVlWc4Dg6mg+9NiPo83A5
jf5vmqfz3tH/ziIRDCdX5rvMC88Vo5Z2Ec1lVknLdh5UYlwPH+X2u301fvsrTZgkg0JV7zEF2WKy
UIn1LnD6HOzUwgzKqGugUAX3eI88MIZBwW7L1Y9aMRH7xcAlTc3bruo+hPKOwl9upnj+KaYeZ1EB
z16rycGdl+ee146g2K/Oth+hzODfr51nL13KPZgf8Ih2hphKH37iqfnJNwFjY3AA9rL7Y3VVf17V
Js8T+x7i2YBm0s6YUeHz9ZZXW+RP8VXq9XSUrmTwYv4Wnu4d2Hwa8HZZwscPIOJC1ZZ6SIYh/uO4
P0yUNIsL/zdOblJUO37v5WdnKslRtLLAMm3mD4xlsDZdJju/x/wa1Rvc2Unx549wHdcKMZ7rRZNa
EJLlv+MQJhKFt5YGzcbHZ0l6LQ2WXrDRmdRX9n3f+neCghup6HqogWRjJRj3lqYe6gI+K7h8pwAE
yimaxST1tD1UzS43PiSYq4xpvzt0QUdwAJHMEcNx9pYD0wEiC4T/XU4yIibzax6Ku07XwCY6t4wI
8SgaDEFtrLAYjH48weTJV/6XSnFiTaTR9ZVgroil0ynSl0KqB61D/0CkSuBlGghR86KbA5Hwrp+x
Xh3umNBBQsa7QGM1oXZ0EF9WOolGa67+tJV5U1Ro7ij+dm1NWB9q7GROWHY0vFDbHN2LPxO+vHQm
cofa3lKTAWuAX4SJcpiyZ+RQ7n7241Pu45lY2vih8dXHFNM2dfUn4vUvXOAo2/qDXdkEJduMLjWZ
8sOs9A9OyYe16ZCfaJVLu0BtFDv2CT7nx+jK7KzHHyTGLpdyICl6Is5kZ/T+l72SncrBTf0ehyip
GGR2Phx+hCEM4Sv4pEOY4WDZTVZK4JrIfwe1XMu5ng9rcSD3BI1uy0lAY/aoc89HeMrOICVpLXWc
/qWThfiWWeawqOz1BGUSlfdirJ8lWwciWdSTNW2aJTIWq1aGxmiax7XPU1xY6a7t+ZtnUtXArXGB
JgKBcePs+278gyWMyquWx8pgncSs04ni534dbttMGhfLsRroynfJwi2au0RWTPJQCQwYWXtbsxri
pgibuXoi/3xHVm8c6T2PAefE7bwqvqWmZsnkkfHGMOA2jlmg6ilqq1FwtIkpx18u1UtRyHuG5l9i
SVH0TO5zg0Trkpj+n35lNT0kI+jxuNGiVuMbH2iJdb86yBhbv7WMyx7Be5MDhbJQeBszLCbJcXi7
uqwovPkVMZt6atiaq6L3b9bldrUSJtUEPQclCtgZEwumwsQ5SkFooKKCEXImC8LyssNU1elxBokc
uGR1hJOfDOwl/b+1mVgMXf36XCkEocVNr7Tl0KNQxye7pBESY4rXHgBFyZrbUf0D8y10+E1/VMnM
TN2wD7rLez54xmWoMUoIxsD4gu1fJuTpONxiCM/3s0BEyDXDQqMc9gbnPl8ZkvH4xgOPEebNcFMt
iM5qezytelYdW4a24Uq35SEcTPs/mJQp8gqPFUFCFqq+aNfYdMnnQ1yASlcLhhxXr+r6R3ukHi1Y
whf5EWbhe+xOgsWYe1zUMASG4/+kNQPfAR1YrnG1koyN8Iqpn7FUGt6b5cfI0tfZozshR4TRnYvz
kXeafVuqvkTPBTRSH+N2tj7M1a/2KWMbeuj6HiGMpPJLzcjz2zcNFP/Y0W4RiZy3+GlwNqMPoPTf
9+uWPVS9iozzw+5NdkX4/or+WEIHGIYU3KRR/8YJG1p+eHt7WinVqqgqso7ebsJ+oK2/zZZ7gMsd
3S8iUFS+gWiRVXlm/uHCB+Gea7dULObizXrEsHTSyXzn4JVbIIF9MjBe79putEJNGZGJBP8mreBC
EKSb82CmjftRWy7kLks2z7ND5Mdk0pQ0FRCxpWwInADszxUlf5IUeZRCsaDPtEJ81bhNihbNQrP9
k4Us3KvXCyx9ONho8rLl4hMCtsuZ/e9K13+aOLjMAiz1qHunWPU3LncPm8T4V+/Fg1HRPXdL80Z/
eHS7UWDzIjcTixhyxvK5LshY6pZNaxN3b6x2sdNXDIgGG1uKsuLbRbU/GAcOapotFPOo/ZxMXvkU
ULhq1zFPuZ+WjHvWfUYkbOGqcXEEsO6R9FYNf6buVvSUWfHdVdgUaIqpkPv1DOHn7GGpLysmHWhf
btwtfkP65bm12Q5WyFPLvNo5WFeRpIjXsX+YAHUQT7GmoawXnnCPJ2xFQM7x/cbXjAIvA2ed1wDU
QU9evdhtTmolR66Y8iPP/r7R1k2uwWZELV8LDtWbdqtP62669Gl/nGojcDIdo8ZSEETtpmHlkePR
pYUXdQPhX9P07TjMIeqJ5y1R0574TnM/1Fthl37AlRuYZsxLCNIBkypBD8Pyazl2Sx4CFZ0g2CTX
teekdNsjhpfCVCelDQeoLuTZi0FGQPTOQ6v0SBpI0IB5tL2uX2LbZazlQedMavjrDLqDMS4s4ue1
sxLGR8N/MsC5QuoLu35lwK7245m4y5YteQKWNliawd4q9ja8JgsWqynZPCsoa/FCmZhXkuLgqNSO
vFIMuxzcXL6y0W+W+tdT3/pkLlFRyuIxgQpu2d+d1s0HIhiS0NEr7sQC64ebq6iY4mdP9CbNf/Yu
0vSx8gu1d1onO+UoUc3FQdWK4n03dG0cbNHqfUxtzOewhU9FtUSLFF8ZJPmMWjK1mxmUgntBclpR
PCYmgObFz1gxlp/4k+Ett/1J12hDN2tqOKZo35vS/1wNniWzfDFW22a6qJjE8FXmhv9KC0bxXZ3g
QqFQGAUXIKMqM9X7UC9ki/ypvBYo81x0GTt90l4MzOf4u6wDvg7Q6et19tOfznCm23r8O85sXlsn
fxJDDEPSMvcpr3qUzXMalpCmeAYRz2cJzo27sijKsGRPElCN2Ha99+cUqSRgwcSHiU2YD2+I92eU
fMc9u5FdapVv+sx3XFftp+zNyMAC4k3SPnQ+HBjAFjrnclBtZkNQ3D/11McwXx+VDzlbgYdAVh/f
VoogEM3lLjXVvdf1xE849XuWuD8ZiV+ZwnqJgGcrxxhZzviyXehVdBSICjKf7mmWOmovvNYrKqh4
cATTGlZEaDWDih8QdoaYacn863CH+DRRTlIdRQ7p1GWoaE34dlxvGxnyH0ugWB3dqt5rPCGhJxbJ
eCkORc3FywXsBVT4hMEmbx5PTyir9WPoxCvPLR9I5aqgVSjKrYXh22qcAaUaeNTl20hR5zJdgudT
hQUVHXRtOHfYw3LdfNcRhnC2oZBzqeYEastKhL1KXolHpBh+pANVPO70mVKELpHmgaCu3sGGuYt9
+vdc58JdCW1qB0yBGQWQt8o5xE3Mpr9Oc+7M8VNOB9qHllnISLenQFAZvf3WJPVrHeN7aCkovTwl
CSsR76ZG8UE5bQXTtL73nXbre90dGrKQRShmDg8SDUwSSnhwZ0OOlxIN5qRThrXyLBv/V2wEe28w
xsitxtNsZSPls9rnmrviERMJCYCkRbdJHM2m/Y2vB+qKvkb2mtDuex0xaLr9nRXPQCMgjvoUDAvL
9RZXdBDXmhml1CFJMp///Q/EfOBQvP4hEmfkdNnfcpvAgHf/iXsZo4t41Vr+4nyihIOhFiYuY09r
Ti0AtzwwJufj4kfjhI+oaknH1Nwk3nWbwWWj1y8+poSh2TdWwYXcER+Ukdk+cNaHVW2+uat4Goiz
SLj4dsQ2biom39+l3itK+fIwO9iCZ1FTPbgXuxHfxWAugYhbj8OxvXTc5zu/GJ4zd36KVwY+lVXl
4QS30Jro4XRRRZ03IvHvf/Uc9f3Y8j1M1LbNAJqwoZZAEfa99IgcsbCHCXRiVij1F+nWVhADXURq
c4dJuQvR/WF/kf59OuVPGfGMId0+MvPiXhTJA1qcA3sl5BkNigLH52EMRBUD0UeWROwXYkF74MPP
m0CfYJGVpgH5bJ+xy8B0hFkjMZkZD1N89mpiysou63aTRyoCo/kuA3cw9K63i8rVJZNo0jGrte5x
cPwHc8ON8YDz/hjai+/zlitOM+Xyw2prHB0gUK9r0l9bVcNn29RdFfav0pUvCn1DorU/ODQIrQUI
VEj2Vi0QwACV6JNTp0+qNcgeKp6IRyDf0damwGoP7mT9HZvx4Be82dgz+RurifN6vf2nnLL66QdW
QDRIatLV7HFdvWqLjiDEGj4dB9K42bwaEn8Vw57PubBMgkOa0+RRuc7HYhmZOpGQCXxjZ4LTCHJ6
nZ1VZw9jQYZj4mcHD5NCUgwLrmC1T2B1Y4qr3/OW79YlWmgbHVgMTHckHW55DtY/rZZHPxrbh7b3
P/UqV8E0FI/4pIk4Kt4ltVONAHlni2rk+aWXY2kWWRuniOTznwVb0/068+NN4vw7VvhYadm2lIO/
DRHkjHWGz7hkwWfxqccJkmPkyXtH8qHJpUAYJFDldsOzHT/qVDE4H3lSByYjOy8ed1M2/Vbedhak
IMB8x76C+Rp3Lehgxv5pJB1+LVmz59lIt3jPj65S+2JsufYEFu8VMRkW0vfVJ6/T7bxtx59gQLsr
/ZHpccqpSkEZTiBSQOh5X16pjpbDmLLl3kBdiH1Gyxhvr2jUbLStsbQRJCdsgkBtN/tVXTQy10Nq
5UenjO8pxkUAh/pKqKgwSviKbnFxZhBbWWbynCJeDVHTXIwW06kSPzobZaaAsYbUPD7PHqlftuZA
W8lQDFjuAzCECa+XNIJe2QdnwlaaxtUaeqp50vT8M0mTOw8ZWDhs0Q1GLotd76J3MQLDqv80Iz9g
aVdE0PAPacuvmjltuF7e2Ak/jLHlh7ZO8xFv9F8U07wUMxeqnms37pB/Ds49P1qTU9goI63HBaVE
emSS+coq/P5/vD+CxFV6j85N2Bl09U9ZIQRENJkF0hV/loU7aooX/NrGPk95qhdJWSQLQGa/fZL9
LVZMSjEOFtFlX2tbnLXRfQJB+E5cPcm6G+IeusmJ2mLcBhJoLMkF0pqYN21BLkvdM6R8yn7NKCPZ
mmTtE3b83cjjA5a45IDSylsfYOh2c42UV+Zt5jh3WMHCYiNjrWWKEZTZo0BuTawefyFr7Xe91d5W
wxIhhDEoLw61HQG5FNoNhjqwlkrDIls2QF3RtIt2e649WGl6qt3MXnfVlf+e+ZzWK7sGeMYZiWbi
di7tw1QCYET4XMC4IzZv0rh8/DQik5DgjXaF7KwzewIK2GkNclqWa5BrUMfpH3Mjc0pisYTW9jQY
3XJiWRDy8rx3M2usHmBoszVwM274RvG9pVqOY8eoHisbnx6+EnfvPsfpcBkkb1IzDF6EEe5TX7A/
6C6BMnHJ5zxzWjGZeUplgeieWWXbcRlteP9RR3xd8m94hkslvmiaaeYLvMEOeNJlcJhc8Q+ZY3+b
sc92V3LCGysfTo29rJyfJ8xC/15XttbA9d16DF1ZPfmsUJ0U/55jPwwpAqvCLdK9kPLIgl7bK73W
aNIIHaFpspVvMMBkBTbP2k9T8r4sANi0udegxvPS+xLcr4GqzfaJmjV829hvRsc4bYqT/w4dlLmD
SF87pYB9bx/kPEE48suHdvQO63jf1JzypC/9qWIcW6nzQyzCE3kS91CGdLog1hsNXzx5OSqq0yTK
Gr5/y6VFLrTk0xGY5JoMY1mTaYFKtM9ctnsXcis84uHkrjGSPQtnZeJZL46OU8TGrwevrcVquOWB
dfH0PS5OoLN32Nfe+rqgZ9Wyk96xQ+OWpJvKxSGfM4Kv/IvlznuzdwvUX/qx1/Jnd2J5apCIUWvf
TCqOasrvZpqWAdwFLKfu2sZhtcb30qfGBtm/X6huQzu7MydG8pWFwnXyb7Lev4KlI4LJu9Q912Gx
3EoCKvIMyIZHgmCqXXscjRfuMFxT1t/StzFD6yQXGe+lpzHHTe2AGvV9zFQfpD4YFao6xexHl/h3
zJW3GO/M3q0fvbInF7twjkbvIGJ1B37G9My12dIwlpnCPuoxe98NWlrt4cKBh5LiltHVV89eKrTs
/EmhFUfsyUhiVO6HMUXa0N4ZZq/oF9iHalhgGVqP3dk0RHdwSm9v5cP7pL/M9Pc7bWzvVM/LaCnn
UwDFq31s4bVV3i+z6SCuZ9xhuQtvJ5Vabo7EteELhVJ2b1RfaDEo5HhMeQ+o9l111nziXUdwMDuX
V2Ye5IrpjLbHwezvbOARy8uf2Fu/9ckqgxJJyRH2xyM6givk3qusKg5KuZJvJKsgHbn1tzNXdyYO
38x5btEuNOlAq2wvEyp1lHV93jE6oHeU3dfiU6xsWdmh68OJjcshImwYXmhW/2P1sqh01qAx/+jQ
iCK/0WnIvSkNB4PglHUOMvtYCk68LiWhzeqNGemofmcn40mbtvVmujzmSXtuFUMzkoqDOtE/6hG0
9YSmjyFHgrWEmtNqtE+pRk7WGT05owWkqQlh9fhmpW+95jkTfKH1NPQJ/xrVIs/Kn6yEIpCZZb3X
6R8sH6il1W38Gov0qXmkVjdjsV8dBx3lEiXahE2halXoEjoiGnL8fLJFstrjDQDnYlVFSYtf9sTo
/WbzVu7GbK46tLXc4f4FHnK9r5i7kHVNvK7LYShkHTqzRgiHSyRIxg1S4Ii22+UlWzOoWzqQgnSo
gn96sv8Wff7/T2Hd/xP8t6NRanr84v83TsvkD/1P4J/5H66ru77rmnDzTBqM/6WoM8V/GMC2+deO
67rCEv+H0k02keEa6O10i/GvYGb6vxV1tvEfpu0QZmRaqOBQwP23gH+uIf4LdV5nfyw8mPg++3xh
GNZ/oc53eP9TvGjg8CgTq4Vd7RNLf5f07fXOc8GRitlKjp6utlDo+sEtzW+VzQSouYolgl1cqAWN
w0JyJJr+3ryUuJpBF0DKIV2HrfmwbzO6nOVJg1YC5VQ7ep72NMTDfbk6IIn8R5N3N4jFiliKnJdY
ZZdVYpB1pGXslK19jQJGb1J/maNxXhTTYmLnD4C9yTeW+EX1xX2SimzrrsErNLcZewMTmpHfzvjM
BfyeHAGeYzINsVmLajP55a4hX00/T/fYqXcx5tvGc+l9qqGLBiDaQMLWGJ+ZdSeSj7pDODEgAC/d
6ad7wFva47lE8mpm5pG82IPwZmCxoT3nkeHKPa4pIC/O8NPZ+Z+1l/dz/TU7I0wAAezZRillmxIm
TBMRN8CYQRgkffpnMXOlyE0qPs7iqMZtR15RcJrLWViMBabqZXAcJE5SXJsOEoZugTvAK7AUKO79
WZ2lzpUJSuycNAbCb/Vd4BXIfe8v0mswwx15nIzHdmCNB3YsWZyc5rZ53X4iZRn/WjXbJApzXKZW
du4TJiB4lT8s74LoE2D39FIb6vdN18iP15OBada0I/U7Gpv518BFECxjf9e08r4Hn7przfs5HVg7
M7qOcEVdGz1yh7g7dCnpMDXAIDgyy+WlmhiV1sYkgT7Q07jaM+gFumFqepPTf7SNYJ0Z2LC0f8W7
87jAJkpdCJGWrtiHyOWZxhHgMbr8hd+4qzXxvPTsYgXCfcQ9+mh/AtUYj1bfnbOVYc+IudX3WJaz
E9j2jto9SxoYZc5muV9o6pKAHSPrT8EooMTCE8fyHp3CrdAy/7DcNQq6rNaj51kyersMLuNBZvl3
G3v8QFm9xpn60rzkDsvlGo6z7V6HpvpqbYfKL72vZ6QFQ0dRl3Qz2j17YnrSp3guLPeKETOh1B3Y
HBJj6zKPGStyR2N/u/ssVHcCCuKsUUok4wtcZD1KM967MrXfRey9AeKVB6y1LvJCNI0GOw8d3VWf
f4/GaV3zn6VPJiZvyR8YmSPD9ezZSAd/52V4tSflXRkUoghywD0lMwrudLIW5mIpGdJjxqIKGX1O
l/kg0+FIVjdDbG9ugnZ9MewZqlxGhpHa/NYE2qYWb30JrieS2+08pbYKAa1/d/aQ7u0xk1ylOjaQ
1fmGue5dfF+ZF+djdTPrOiE/PSN4imJjQj4gSRwzlebvm1UPmaOKO72BON3qB2EaK+GrzJh0t6PK
3Q+QcYhvWRsGlnjRG3YAYoDUoIz6YRK1BFgKVi0vWbIOcwrMebAfrLljV8YxkGoNeolVPOvOOh+0
mhk6A/cnHWSoI+5GxosZ4TYXBz5PY7PZbn9xf8Z37M+uS45Fjh4byb71SsWuR5McL5q2JpeGTfOq
1vnZqb0/67Blizb2V6aUffbsIhIWINLCnN8APDkXXcU2Pl/iZV0Plb2RztplEKN35IE9IYwYrt3s
L+c1N0J7oH0uhAViZYR6pNP1hnaC4qrQHlq/bc5sz6s7v+/2zBvyg1kh9c2TPoRGoO3oKfRgUL92
R4pii2qsYg5EZFU+7rv5pm9Q7NlNl0flUOSBlqJwQZvcsZQqXrvt0a2z7oVtOEx5WjukD5u/Fqv9
PF5h4rc7A49a3avxmFdobJ2y33c2dXcBqzgz+ufU2ksqwYPWVNdmJFCNzCt+IAJLeJXHf2ef0eFU
4tljmrY1QD0BjGm8N/gd4eC2t6aRukc4CBe52m1I9DkEPGOhm23Fm+ezv+lzFR/2Hj3JhVUhcjmj
2xv92fU5uUubMR+FOlHc6XfPQG6nL+p1znsOQEwSXsb7NienZrGp25BmRWmvTsJqCD9nFozjfpTA
J0lmNvuPLO9oVhOxHixvfFXN8rp2UINGW984s2Uwon9aTARbJtRfdDnkUA5r/6rPLZ8Brr0uT7Bk
4EDiwtKj1hAvSefAFCf8t8SKfsPld9uAKXlcy6/amymk3XK+BQf8OGfaueJHi7AFBVxloLXod+Kr
dUVykMpGnZp3fA2aNgdJZ44nQoOPaPphRsbOPfkzP1mJS3RxTx4/alcbq5sq9ql1CZsBn+bD/AWM
lDJM9yyzvasyyoCsK146yRIh8emvOiGOssEOisOWeOivyRyLgBg8hDDTevFz/l8FQS1nZznVb6W7
uPt89C8SKU1k4+MF+QYMQtE7jPmMVLUqbkyzdg+23dyPbjscm1jAhfTWva8ZnIDrGi3SXr6qg8rL
4avwe4JGCbk5FHX1VDFoPFDtHgAEbWo2Aop7cgYYPUoVCjO5tlPfnpoPjQfgMhtTkIiyukOXaged
qR+XZjWDERqTFSfVPauIg+uXgA8RyIbWmn7P05TgYfL+Op4dw8IYz6JtzcOE6NOMc/fA+uGdvNIp
NNvlgftt2XWwD6N6ZOLt66NGz1wMEZrSIJGpDGNH33Mjy7MyuIUZZ1wlAy0d+lToFt1pMea/7Tbs
h68wPKtOPM7bN2TrcXVIkn5BBirv9Mw2bmrX7nasNd5ynLRN6uxLrhSEDGzlkIf8soVGKFF+TKax
0U/pW2qCIVu7Ofvt1NwQGxAuXu6dIUGjxEM7GsmCsXoPWjXszPjbI8psX47udIlrUDISQN6+ZsVu
JOYP5917H+tWJDenHEHMMMfQLLqDE8ZYorq6fGn6xsJV1LUXF36c0c7jLTuMAeEP5iV9ABIqLSxC
YyLfjI2m0wDQCSp2VqFWP7aeN4WLUN0JqMTByABOe0vJCFhVMZ9CLkJ/Ms2ggwa7AWzKqK3NYZc2
VR74ZGqSxs3z1/QYQLPbeRLY35yOgbem38UmituBnQBWdUViu7Vbi6XjOR8hRpHV5Yz3xFSAiZJ+
aEwUdtX2y6Nl/i4F4gV/1Y9jLveatSWOuBVDaNNe9kPaAUEQyIuUlsqzofnmPl8d6gaFQKPTnbAr
z7SkSK3s9XkCTw0ZZ900hsGajSv3vfmLPRMtmOpgUegP9eKvkekRPow8TcHqLD5HsWhwpXSctfkm
HXDaKXIXluReAl9Ezuo4VTPJyizBOI/EaWnvShrvO4ozfO2FxBDI5hyFyXUR5b4lJeVKCkPU2Qp5
7ZTf6AKr8VRm6T1LMWbMTBMzK5WXhoQ2ryrABa56eYDc50Zjh9C0S90x0Mdy2qN1BEiwckFOw7dM
QIaVGuthnTDG3CqZWgBQYdJtkgQ4MHG3OZoQTSAkUOt0Uu3zyj0f1O6R6U2xFzXF4NIvzKRZujvb
DVMu1m+nzfdzUV+T3tnYFTt7Km6Bz33NI3l35GE5I1sGV0W84mAJN8epa59ivwIckr95+Y3K4viY
6dDDCBjiAUia0M84WNkWlmybuRLY9HLoDX180mzGnePyqeKlIsFQOyrThaXv8w1YuEbQ0n2URjZd
lmdr7eIQFlUaeaP94EDDar20O3gKR9CQrQ+zi/uXsbZMsvyM0uQxWYd1L1PbOrfj6ETwzb76pk0D
YZbzXgw+CE4dlZizlAHG6j7KiHEFZWcgWvf6sJsGLIikaiLFNvdzjoW1wfxLSh6zAx9VjyRHefFO
Woa02VxHnMqp498Uh3pKYmwLLdHZSXdf1012b0jmFDhQBtTm3bnSvPq8NChzhsRYoWRQh2b4Mc3G
M2/wMUSaLCH94FQWKFOJPRzwmkstu1aonrUUHl+Vov7sS/LDHRMyhiLVe0zru5H1wF6fkMgoMG4G
6IBDm6C8702ZQJOnOrUxWmLlDnSx+qGObgexWLYGcZXeKm+5ZgsbAdIO2X1Nw3iTbObtWu1XoZMn
wiAd2Uz30cfIS1jO4FH3/FsTX2nQmy2LQh612nXVdfJIvimM6ttmuLVUCH8ZPkI1PYgSFK/y4god
CqS1oTXCCZfULrG0p8xuXuONQ6b70KPUWHzlcglXnBEcu8juCrApYqANy6cOH2v/p7L1ep94QPG8
hUSejr4gVI2Lzi2YCjz28XTMTfOutorkEMuV6g+hmMukulPd/KiUH5j2wAi1M40g75cSx9nwCsKA
cbaTfo49kVQWj2NVd9pxsNFILEVqQfQYnqtGX05+fe/0EtyO64QyZdlRmhqek2cyora5oE3tCbEK
AMBDC7Zul6LP3k3adJtp+ynz56iip2cnT1B6yXtfV2d7SV7NvsmCgsi8iKlwVCZgGisdw1ehl3f6
xpJBQ+qZCjenR3ErfAxHkrA5IybRtmCmNVbZH79N+Ykjfp5N90fDWUZ5ie7OQNknyuLdnQYIMuop
nda3IWZWZrQ3BMjuNbO42p7OwYlL2Y9fvBx135gOj57u093h4O0Jn1kd0XL1MpuO61u2uBDM/onn
uleZiIU5hXZwZgTSo1HC5N987WyA2wIlGWV2MT5lnu0Gkz7r4TqmPgvdPEHBRv+VVZdCpCBDJpiE
WulHHndhXopz6SUp7ynW4iTRwKJiYkm99Y39cx6acqa+Lm1eeS9aF9gGhsXO3npBJvfiuKypiSlW
ZwrGUzOi3Ok8sHSawcqq8VHw583nkDOYLevFCSE0WEs17rxcA6tfcaUYy59WwXoSjckHOlWvjgdj
uzXe5umazj5mK/x5Lh0G313mH/XJJZ2++uYVouFCQMqoABUBBf3x3+9u8hmRGrE4u0wfR6aWKFtY
crc3qFN86CcAJeQ48ic4z2jOa/a0kPVO0+gTaSpnYIk6kAg8dTSGKOiMJaUxIQYrMOec0lB5Por3
Z0unIU89F29FLOG19Qh4puo2zjRmmKX1phOhe6oa+WN4nbWrcoZAcgZkWwP5lkNtHhEVPHGwHGyS
TA6kHuyKWNnwFobiIHvmUj4z63/SPO6C6favWU23OKHXe6bhRckS0PaKqJ6T5Qo988J6AfQm3NmG
4GJcU/i6Jr5NV2vQQVl3ukM7mJa4Qtpk6vnz1oPu1wdch1M4jNWPC4AmMLLs3CB9GTT2WESgUfXG
NRqY7qHpZH1O/eFBxlMd6VXxIObq3vcK7P4DnwCrUcbPRhbNo4G9qeUQ06Imq8tj0q1hzaCdBBvh
7TxdvLeFXx01Kre9bv8nR2e23KqSBdEvIoJ5eJUEaLYlW55eCA/3MENRzHx9L/qhIzr69vE9thG1
K3fmyqKnftv7T9hkpRZNYhKestino0o7esNfmnvudVG0vZWziM7MSztwApJd+YrAR/Jn4nPRV5ec
qPmkpymPT/ZacsPbjDGXpzm5aFp2jSz9geOBtUfuPQgphD1cLd4wPYMQc3QvghzJZmtjcyO97Xgs
NzLquCdgRcTCVHbJgUk5JZ8ReL+8HOeCki6leqWr499AgCEi42/mdcggCbmLU6sfPvl0lP5iNseR
f5CXWFMKCbm/XjR0tG/2TKhReRPEWmc/5flJgJHIB832Zea8uRDPJVHERDNwEs4QUcQOMoZPPTS7
XjL6NUTCyhuAweoD9wnTr63hZkSRyeKEVFjuHqDPUK0EL3YDSgtlDJyyqA61KuQOVqJVl2tqBDyB
CyRn3LZ6e8+wamDv4+Fc5G5IqjPsZuBaJGXR6ybMxPFIi7jSaLBt3HpfG1zEU/MtKsXRRXjcQ4x6
bzsPpthIDiCuRLYtY3ifpQfYP0MCw8lnbecYRAdw5mq9RlOp4ayHjVbliCnujQtscjVNJBRz7IiO
1vGzm6b1VdWdU9GXxdOoyFshOn+2NfuyRPhwdSbok20tB1UXy0mTXHtY+sfjxUixFTR9vgc9dNRw
kGz4cqycCdbh9/ASYtIej3I5hF3v4T0EpL+1FhzYSyp/6NtbgsnlUCoc/duJyunFmuDRZcuyI5Ng
7jTbhBWXE2qU5uSPLRnQLmML2gtjOJbz/JStzZB6WjrbpYjqC4ItC0Yt0Xh1YO9YYzxg1Z6HKiOI
griLJFzC3xhShnJmE6e1v5OGTraiO7kT9hv9TQgw5a09PY09XE0PpwePw1DuMlvnmjK7FG47b8jb
IIKs5AP7Lt4endJCLlc4DcpnjWORvycxO7TpINP54fcmOSMDvSTvud7Oi417pY13ZskTwTro4qoE
QZb6BIj8DUWZ1M6A+FYIBUp6mRxSXbvUNhgec22u5BzcGI5I8eVjgSvaa2k6jp8ulM7nhr1u+7ZL
H7NRlHFDTirlal3Bw6+Fd/TmZZ8Oar/R8S/6C6cEJkSOK711uX6Y46lo8Ptm+OsDmVGYWGF9It/b
7jFmIhHGoC6qiRpqyUp2Y1v8Sm1aX3Y2jxMVVCDGIHbxgmY+Y9n/XQ80SvPX2fGIvfCHiQOaMTeM
cQZ3alokmABSkco0Qrvsli+lLa+qLF8a9ocXBedMSaUhncy9GiyZeR+SARXYG7Dkr73RlheoSwP5
rW96QOHlyXFEe7XM8rXpHqqKTUV1lFM9KOk+hau6Uwx9X5XRaU7raqel2Bgi3GP5SoATcRn7S/49
Dx2Z7ZQoSEql2FbnBN4kmHXdxSUzr8UB31B7UVUGbB2lF+/uRHrO6UfEV3Dshkegw+wsf9GPhqLN
BN804hzokHY0HSHo0Q66kH+idmfe2oCOvTSCdjwQFdM6lhP1dBiLtn+OamBYc2dt26p+JpNGXJas
CAV7FqtTfKo024Q9eQBwJPSfkk6Co5iy/Vis6KZP6q25SbMfDwpaIaFrdttqtewWwm9AB+KjULQ/
PCmvLnfiYjT+KQw7ZbSMF8vUv3THhpTGHjEavJNcL62gEds9aO0LgZPhOMvpR5mae4aJmaSgwlDq
eXYoTeU+d6wvO6nBjULzCVr9o6oy4iwTnixMosA1M6QQmeIOiGTespZ/hTjtHVTjOdYnRgxDP1Sm
wqt4QmGTs7ct0m65FJq5V9MlJ7heuf6Uver0Vx2erZkxmGvWUyLTe1HGNLTh8sIGe9W49G6FcD5K
MfzDO6ZtoIc2O8R0DjHUAXNO24MRgzmrFIparCUjLDl0SGdpku41kcSQPxduj4uaHCXUvt2IL8nn
Fr1Vckh1YKMfkwP4beR+S7rpIsf+DoZYD/TcuuoSsypWBBjwJi2M3PTUgGYRLdD1dznlNwniPjKE
fXSLmgT0yDgmEBs59wjUee5RFFG6N4DUNHWmgMaxUJBGGj3qpdsulQwZ5QZefZ25t8g2Y5qR9D1W
d7kCnUbd8DWPtZBoGxbp5X/EkE6DeUxtHcgEEWN/SZjcIAYN9CotjISW+4EIxQWQ6oqycZ0wHdWO
dRe21YTIfsO3SyFVN9u+lUNM6DFVuiWtHYZvVgYWce8oCxYc5orA4aJY7S0zlvtmzL5irRhOgyOO
NgMNZ6L3m7VOsWfmuQxlJ8LSrlPuI4Lpr+BJL9LxKkhDrFiXKPCEnfiYsxpwEmyu4Rgkgag4CFlq
XSpMO3AVxCEePWKEnRqYWq6B5fnr1dLjwhvJnRFDDMUO6kI69iEJfadr6IrVezrVm1VRc0zMIzpF
E3yHKrMMdxRMaf+m5S/Tftv6x3EJxX0yL+Xl1Y7fm64iH+WiwlWt4PyU/N09JQ/z4t3J028ZUasF
OTdjbuUSO+mZdVbV5Z1WlhtmOo3YpfxrqQ/dWKWn7GorXgAo2I/a4/NN35U/DxSXFexa+Nb5SNeE
I3YE1QNZAlIc1Dx0uT/E3Sl2pr1W0TbQDr/Cqr4mi/ozp9c/VgBc8B/Mgad+nuUl8wy2F/T2EZRI
bFSxQeylFJ9auoww7j/E6i5VtBhNSBTTXqd3e44V5whUE2KgRlTL1n/wWliEB2IjJKcaMtZ/Yb2S
QTo6XDymP7djaC5tSgwoRxEsQ0lODkIYsCg4dkvs7JcpFX4/6+88cZxYEms2sevP7BuZB9+SdYOW
9ot0x8/B/Jr7jE4W/CXZRBE4Zx4UtGU3kHTD0+gcFn4icV0XZ14nRPEX96WHJF056Uull9kZ2kZ8
7GWC6zxWrgjo7F7i+KEX+WmmAowFSvKvSQitWC3I3Klt+AsO2BiURQ2dpvuvlu3dyM1rZdW0wkCa
L9pZsHf0/NLQ3CNEv3tRNSv7Iv6HPv7KaGwENbmSE+BCH5ust297TKyDIS58jzeFAXnX60ZQgj4g
XkJMWKV/pwX3cepsFl8ovnFuVr8x60bqcs/TFDVHixTC4mLm1JqnQVgI+LntGwrOLEau/ThAlfFM
7H4dxpYSaaFXx0fnUa6qm3ZF4qhj1FNreRlSoA+LEllkRxvun9ZPUSwDyxxMdUXOGrcqea15ynSH
9LqtR3DsNmiGwGtLwi9ZMqMG+mPpEgZCY32dWqhOurdfwS9ovDiIFKSUFXNIVE5aLwrKxcnRvLCo
Zgw1mKjMCaZB3XKMTSl+fbMhn5E7twioCUs1rmbSLoqrU6hUpb5Wjhlf2jKXx26pnnLFVQ91QvFS
z7CdEQiEtdcPu2jAuPZ/2jQ5wOoLsQXGWhmaJLpqvmpv5ucxfcPQtOm5WthVFxSJoKCkJLhPW94U
HzDcLIKl0XRx2hb5J/Kd7KMo3kpU4ka/J9QCszPY1cbdRBS22cMpuEJhORIrTvAYjTABGFlIZhCG
YVH5lsc/rcHniIF3PQkFm1iNLX0JvUY+RdDCAZGTu4ir/IqHg+h2/jLxS6UcZb9ItGUO0v2S6EdF
Ux6lMa7Ug22jZHrQq+ztZIQ8qs0RKy/W5YROFEJ1Vwenz4A9XUXo4pNGsHq2dpzRn5Vr/6NauMYw
GK7/m8ZufURWbOsbVCcSLvQpq80lmdqr45HzRckJZwIvsfFfR4DJLUwcxgSphz8PY/uAjUmya2D1
uzFs/NGuemvph1VaykQ6IGfGM7T7UOS8Ps34d57/NQY43vhfW30VCFqw8QNArWE9fGTDWQUmpMKy
TGPqcjyO7wJRVle+qjr6sPRi10L0YVmNVPamIU9jp/An+o7rwzgQLaVGShGGn7i4SPDAO8g3eQUx
bExA4ai8SKHORiA2LSNsHXYTrp/kv3p/FCX4aJckcPoMGfBtJrPpuak/19m1BUhRK0iRKJKxD5CE
/onLIt9N1pVd9VFRCtyxfGm06qC2FBAJmtorNjbNvx4feN/tdX14mxOe8Ww30wvQavaRlVJgzfob
67iM2yzrE/Y8ROmDodd3cw61zZmCmiKDupleEz1/17AdI6jR9azh55ypkFiZjUv0PKs3oxKE0fdJ
bHRgafoN2tOuppoIfOAN9u7GbD8lm4yErJ0wnmbSNmUcnQxzDhlAeKMVaIBaYMbXSOd3xwVAe9gd
TQYFtnBdhFRDVTd0+2dD0EqNb4F9pWhO3vBq4GfV6DWgRrIyPq1RgFH7cJtb6WR+78hdgZ1MbZaw
t+8jNlOVaYQI4QbaVGiJ0V9S2IjuMzUg6yUCQGa5Ucxop2qVX/cIus2CA64+aPkvuQaUzCYwrW9r
XLPeLIQdFbsz3wIqYXccNM9XNKgjW/xICP/0ro863RFiSwfW2Sa5AHeGKooHq481YwWOGKW/hADR
/VtXBTYKd2y1uCyHBwMwm0h+Hca2ldbe9vITeSwumdAEI+p07+mQ/PZcSPhDr2NPhFnJT3lVnfCc
JPonYdJNzibDhVB85xI3EjHMcSglwHWTpLsJg8sj+UQ6gM2XljPxtYqUV7XJ5VXQuLFb8OgCd9Yv
gmekNzTv0JI42+VtJfyy8eSh6If5hgA28HPvIHoBlMrsMb2auZceGrAPy/CDsV63vqL4e4EGtooE
C0WkpneYgUv0AkOCCFU4KUIrTrpkkmhAVm9RvPnrTk0SJot6ZmJio2BpcNU18yudSHUDzf+okZog
HjNjWzHOQqXDWWsm7k3xYmT2Ba+RXU8+jXIIHCuLnQcGZus/Z8FPi4AexA3XcSjCO9GAOGh4m/RY
apI6PrWPYhr+8mKBL/JtVDzpngsQt/ntSeVDu2Q9L5WYg0l/VFI7pWUrNn2mu7tijAKb1y2HDAeE
sUyAMqlvnvJvRbCSNSzEwWX2k8xEm20+CnpBo5Kus7w6kG49jHpvbpLUQlEtT6XDBSp7NpIeHQYT
fPUo3t0FrvVs0+yoDWcPxCho25wbirMxbW5vCssKchtQvPg6XJlKJ2zpOo/TxdixMAFnaNzY5h1G
w9hO6EK2oYb41w8pdR2TE+M3SBV2xvpFKU+UaO9HNcE/bv4IIM2uR51WrvEoUSsdiaBP5mPvWTtb
jD8tQvGUtafZLZ9bOf03HFnEvgmZv9llG6Lk1ZsRG8KELYDJoEx+BnyeG6D20B7gPlL/u4mlQ4VI
/5hcN7TqeI8PAxXZ8jvC2NQb0i/owU6u6RnLWOqwKFj9T0x4sI16PSwc2jYSfcevdYX6BJ1473Hs
OvN0EArZQL24MZdfNS4PlvgxO0wbs/PdwBvbTCXRg35kgksW9KjqswM/nrISsV3t2sbZjc7uoGxm
6A09rBkbuExidA/SzMFi8WjxQTepdVAzgiDld53W3/pi/6jrfRTKarp00GYmcnKw5YIkUj8mEwuI
Ayy9jEmiuMrZ4gw2vOjkJHwimqgHLzxoF+wT7L076BaiMN8rxX1pGu3SkKM/rWQfq4ael89euEgu
0U7Lm1LhV0nxTJNq76Wk/7BIEnvbWP6co3/Sn2ANRhyoLSkLVcs/rBgqmK0/lUWhvVWAS7XkVfcU
+zgUzIt6zxIpWVjSFR5cL5eLmDJk9FbULZcBcufLgGuqQDkIoJBS/cJZNlb3tofGf0CDhFEdEvmD
voavzbtNKICwwV4zteVr2O3dVIw3I9KTYzOm3bmqxKUwiLRn1CNslIiPicwg3JieSYCU+EhM12TK
W7U4l+g3rUmTfYpDaJwPo+aw+Te3Iw3EaokljH93M75bpgDKl4dRmt2M+ceA/NSaSjAVDuFloOIO
gDKnHAMqTzfTZB8a+dF+pGAq5KWgEjBWKELdWvVC0xyrNW/LTmcWR9ARgd69g0VsB2/XTQ2etyx0
sRnF/WUePrOeei8GsMJRA91izZwt4aB9utOAm4sJ4mtmNJSmPeJBn+6GSiR3UWn7gO5Q0GXnTuGI
9MslMmL03KWlsM99CdEUvtoeSqvHgp7MhA3azIvK356NRCFhwWAHKY6NAL2wZIyENGgouvNWROrK
/d3ImblV6XB8T6zBfXOOr1URb+xqOsYt1JyKtOqSX2DqKqhzhXus5/xXw5DpG43Ks2Kn16ppP0U0
29DCravN5+0oHcXd6g3o9HLydmWvnWlwv7qO8TxL605+4zWOllDO+sXBAVTVC4vvLj3pUWOHfUbQ
G15fmX1CQN82XmibLehVF7jMxqIJsFUxndvLK/nxbUIUJCmedSL/GLAu6+Uzuub1T92Cid1q4FYx
DaClcfZ8FAmzPvnCOSUd4HbBOHX3mj0ZhzmxhRezgyrYcZYCRmHUa0daY9NXuRrjqn9qHz3lMWkD
m25UW9+WOZdXbd7VaHcUivqEMLaduYSzqHy7eVEVefHY73Wa+RCcqnNaXnLUsq0YGb3q3ymFuF+0
gec+18NJGdynFDCMl6HN9z+CRQJTRrBAyNKo4Mo6ge31Y00lF/HdVp6rYQpVqwtUQqo0SiMIJ5yr
3V4MLPIenqr4aSO3Iwq5Dp6/TySMpJmD820Bvqt2oST+IrF/kmDUxcvKXZBgimq8a2pMfJ4/Gveh
qcShQxERG0TccMl+ZqiQhLAZ8fka1Bzh9RqANfITIGaJiAKTpVuU3dpw6sh9PjbEd1Kf5edW4jPg
7uUEUy6xWvqy9xtcgDioRgogF0Z06Tzi5tywWFqHL3zLFa3elZofsjX44o3bJJPPYiieYjqNAN6B
Hzi7qtzjfvaTxQ5j1pWiOAym8zI4zRZXpm+zro2Q3sqEsuNBCbvmM53ZC2IPbez/ylQLCMRtu4qN
Gd3cXJzz5cjmzCfBfmFTZLOlZjglVkUIjPSLMh3b6Yn5GJWqOpuEMJm8AIPQQekuZFfaiKsl/0oh
7hRDBv0ornWm4QzOyCvwZly0lxzuMZ6Nodm5I47KasUDJfIpI2G0pISV8UfQD9E2eB28S7Y8x3gu
N6Z16ezZb6ucT3cB2QPyUrWKEUbo1KO/ytI5GTXXC/JhAMzf7duxuzSS8DBbnwFfbdKsQmdy1Jbc
HyO59zLw6SPYqJ0e96esx0guonGjGlI7KzX+XQ7OvyJnZBC0Hljua2QoZ24axE28J8fz2wITgh4f
mVQncjAK3rgich4eizSISEARpMZf87vUMR0Zbv2ck7dTXZwkDWXENJt7eCwz+uv6ON6J6hnle8+H
y9W0cy6ZLqrxXyrxV9dceSMnU8/Qe/m4SeaAKmNdN8d+2xKUUl35n6knvyJf7orHk7ZorKqFw8Zj
b2XuP5KQZ2hdXpAoyVtEkBVf8geRu6chyj+WtTi5neizQzBQMus4Tq3cm21zSwb1LBJW7Dz68WCz
8xnae4v3xo/TB9lM+kscSjqg8TW7RSPKSMhTV7HapiZxK+rl0fU8KBULK0+wgK6Xv9DfQWatfPeG
L6/4cIiea3hNcg/xj6bMSAmAzNiNy7nebi0YvEAiP/LM8RvWk3ry1oIBwQB8wYO2Wskc5bln77DX
E134hYrPdO41fNhwcVCao1aeyrh9LVx0BVXWctc1v0bfl8d2ZGwkupe1FPetAnWWLT+DafLGS01w
81Z2yynvTLo3axEkFm3lvuQl4IhvoZ6bGtekxuZq/sPUzxNvrnc3ZSedJtQM/U1vEaFd8QWMyc/N
Zk8x9gYSGpu438kxHkWZh9ZSsHEYs6D2/htJl/HW7xgwtasTA2Wg9yrKWdWRFB6wy7LouyCux3hm
vL2W5/6sTaE2Oi+5Fv/MwynPInWPR+wIdBUCP7fKYipCcvjFnD6xB2IhjNfRHeMzdFNnn3rzs6Lm
RIOiPj4pGk9qlx9J+HK1V3mF0aHgDmbotNFDeoq5y/nKZsX1bA17GphqesUuw5pXBGtN/ZX37UdM
qTKjvoZiOirPouNWZuHC6jpzy0iEUpKcxro7VdUC9GOUt4Qg9iYT4sIV40DPyr0B7AruY9q0bbkv
XfVTMUyuzdovmNUK8Dolv6n8UFf9pABsamknN2mf0tyAdAahbDzEsf4y9fM+UefQaAR9oDgCFh2P
EwUu+BIg4OwcPDb4pT6ruXkfm8IHuaOS7qZTdhKv/VIdDINnzNB+ZUc5SGc8+A+TT18FFCb4LBt3
7PSOLZudjaZjbqntGu+l0/zo41CcsMTeO0/1XcF4EyUHV02/4HJYgIEsKmZ5uJc/106jnavIJzI9
T1oemRsiN8/8WkM7U3fpMpwXDKDUNYLIJLW9MoU4jg12SuNUq09szk+aRRNk5p1lIj4hKxHcs0Dy
VcwQSYE46jxR/0cQxX4SYgCP2WJ3WOVX8BIRmzmvyRmWDyPtm+RXvdsC2wpV5p7mP/gBIEtNyJZx
/rdZ9C6sTLyf4ArQhAKm7Cu2YJxarXGKXd6uFnVh2MOVkz0Yt7Ksz7rlhVn6lwMhrlkVSPVtxiY9
0Kfu6Pz6uTCq9AqZtt+b4qVW5X0R43VixWxyce686G438KVsRjzuR3EfUEu4M+k3yDyITZq2LZro
bjCMTYLQofzBJDUMryu3cbHHQOrwLwna4+r5dklod1wUjbnbGgs/QOvdQAEqEYQNJWa3327EcDH6
c0YfnkGrCMV6G8dIT7WSHFuTDyR/5IiHAmioGT2GmD4hoF0tx0eu03rDEm+bKzAtUuvQstQVxnRg
nnk2ZuPcmTyv1M+AckDSQ1HKpN+XInRJBgsnfaIZfqtQ7t5B2pOj8SoMF0uBeU9wkieTekiTR4Yj
bsvboHOOKZOIUHEkEHiKqn9NRxMMatC8jpG2ea/Qq3xtqQ/p/Fak5gHylRPOlbU3tR9q6yyQ5mhx
ltses4q3VRLEsWkHlWGdwFW/DkW72kpZUVZUVReYzokBpze6R+ZddlPd/DNjLhiS+kUfuw+tT8+a
vdSB6JfitszEIKboPrNuidVl70bea5wru8hBVpixzCam6scv0YRBKWP1Ys7ybWbl62cs9iPlJPtf
tVOCaPjAcBR4bA60hDrcyA3saYTMyflk05KctmEvSTXh/l2W7tspG5KaQ3fkU43Ik9KvmJgnOxsC
rGgwNdz4VKHoObF+nE0rOkUAzje0XHx4nR0QjgcwY4VoCnQy8X8ZqEgnWBqMXk9RU+8e+y5aH0YY
6u3E3AaE+iBUO0KkLY/K9FhWybT99Qi4eNyEbDc7RwXWP/rPy9K6N15yHNrinrwlQ3ryoncx1dzP
SLjEhK2mFYBpziNX6lH/7TzsC0Sz4EYDN6tGcCmEP4XOf2e6Jl21WP1mjHikiDzTogv1Wvhimi+M
mQ3Gasxo7P2coOoVBf6K++AZyaNnU2M6EHi2/LUuu4cFuXF0pKnOQZC09EOnaWGVVmuAAvLLsMS+
5zQvTrJqYXRTusPfSMTVjIrlNFvesc0GHuDeOJIy/pnd+LcU2c5QQMI6nHidbgNHxX6Cf5bJEecf
HJHSmHyvSChkYaHkWibiLS931znzM2G/Eb1MlClt6ZfYmTh48jz50HQciotdtMzKWNmLhey/yLkt
5z2Vs/aVmQ5Pmb3FbrutNLkvy3QVQ3gMwXsYIJYN3YSLo8WT71AvpxNN8Q2D2x7LX+LRa/2pPd1d
0TycdHrkLvaIdPGZEGBTlrjhI/o2dqpYGj8yl9cIY6VjTzuddmtutdYP74/HAPrLEl+TDaYz4vJV
tkGaUaBD/9Qaka6JB25npfjBBr8C+gLDVXynhwrqZoJDpmUT7SZ/Eicg27bPqq6fLAsIcBRjz074
mMwM495TxaoZdj9CGXOKMPWzYXv3SInBJ4VT/JIcyzI/Ugh7aU0CToyTkd7dZgv1DGodMsxD2Pp1
zl9bB/RNh9gvCW3XjPoDnQKjCOZOPWmsgecmfYjxIZ2dsGnmda3n0YoDr8reXGUG/QAN11Tasyy0
p37SnnJmjdZIHFa/TeCuANf4xzIvSa1xSf2PvqRtWshw0v/Ly+OMg9um8ncyWZ2MDwWbgGTtNBbD
1gY4xDW94WZvg+qFCooohDxVLSl4/NykoVrizTVeQaQ+ch2ObOmddXYzag0NdK1W7BvWFEkDRyLr
rw39MlUUvcXF3R6dg0MfOgfmIWmjvzrD6uBoO6NnP2bkL9z+MeRkr+ScwSalxbRVBlIS7FzCspF4
ndSL1tphTlBouMFwPTbZ9N/GfSIwig9stt8V5KFR1uBEsDbkg3UGCDOiltVPrWrsI+5hNe01qimO
c5vup8Z6sbUcFD5OTdhMJCSaBUO3ve86B92CgPfqpCl3BQE6UzNOa0PDptJ+XMPA9VxgJkrAI3Ua
vM+y3C2Wedbc7BSXGtGp8i0eESiAtFzZ77+jmVIub32DHF498H7XqXea0PwxQULlxs0LZ0+JD7tU
u8WsUsS7EsWHM9XHGh5w1b3EkeToxFFmOL+JxvVyqvIXNYrCQp8OpIv2YA60Vvl2Up4mXkw88E+j
0x57G4l3ZFXBR0Or3lAZefCL17SJGfvpWDW4TsTczCZrCLTWQer9LJL5J5ehvmi85ZrkF+Hm0BrF
hfH/n4y4A6S0RZDbR5TtotdWq29D020V0f4bsuViWMZ9xjyIKSMUuvIKgmfXZ0qoUtIG8O+kT8u2
1D6NmMBQ44Ke06pjnIGWdeNhH+muhkmz+cER/I1RI7Akyz2LOAAtug1inXFHOdGlOMZp8QUfedn0
efMy5Rxm0F02+Vj9F/f5RySK/0y3/udO8tOMiC22rUMEg1d5G1+zkTVIe0+Shb0SC66U2GEZo94T
99DJJK3SealRToowm9TvJRi/tBjxz/J7Qu4tK4tLAN0BY6bsFfIElAhqoWKnGBxaPjWUFF67eAQc
b/8YrJLaYTVS07Wq4L+QHcJLHp1NR/+IzL5FFp8/07w+zywAx1TCyscNhyWS9XZoZB1kDGOTctwQ
8t6OnDAZwhsEi8l7L+vpSMaPjC6X32LhCpvDItQt3G6aQ3JMT27OauDFeyn5GRsG7hNsLXFMxStg
kYR1Qk2EcX4tmPiS+hANnD3xn+6wHa6PkrfDmH6vlbNAbZIAT168UUuQyrVLDagujT/HRla31BI0
wYunCXU3GuCo6HEh6r0BhLLD939GF3hDFtxKaoaJbREd07eDizyo1MGott8N3IfO25exQhFfsVcR
TWqh3JzR3WUu7dXF7LM+uudO+cC/8ZLXKo0nxMzGCt96FdTs2qTZcZV24JLXzV3m+U1T5ncqHKTo
tn3bXLIpO6TOL+nKozCjuzCTwtfXlVLNaR0rLzhg9ktNhCxJhsSfrQabvAydSP9sEp4pFIY9zGAa
CwmZa6V1apy9VYtfUitXcmu4VQrxzb3qBWxn7XfxOlRb7VZ60a+kBYzKx9vS/7XYC3Zj5WkM1ihX
XsMnk2SXV3mPNh0uc1Jsp6EuIc/CyezS6A8v8Vbrl08nj75bZDVLsPrBNX4jmyzJekOr8k1KsaRh
XAg1ndPZ/c9BtiCniXGW1vSTU71VTMMNXRqN5cFQcZu31s5Q8LKt7j6E+klN+roJ48PJoxw79b71
9A/dtvCqs7pV8srvrOmWjNYTAflj7mGDmeksgM20MVEs4i6BvjY/oh6Shc4amdDLYtaPycJW1+pg
XqkfwYLbEN9ZIhZTk/uqM/mQU3c+GhYXEC4xgKb/f5v+dfNvBW0WSNEz5Y8HDqtvPXOCJC8YQuur
m1Y+RokD6HGShvGe0Q1wGma1/kHC7C4c9BqjmI9u6z5i4xEp2ROVmNS34HPu2BJa9Y8r2IFh/yx1
CDssZB20HCbpMZias1eML+babOXWYUVBp12Mu1I2257VXqVHryl3DaLFL27WXYi0E1Fp+RgYeLGk
EsSdEuHhwu6rqefFiK+ywOuopAxHhK2NW6ozmpkCRTgCWlhvYxN7Pvnafankx8rODGIl+ZeqfKVI
141VhqnxzW7vNI3jzkX3wHxE1zwp1NjkBy5vtsT2ZDhP6xhmUmuNU9xzlneEZSkRuJfsAPjkmRjn
EZjqSagu4q9FNQdvttSpriJhT+f27U8KvDwxHHYp7WvKb7ZVk60t7BfH5SukMy0jb1QjkIfYqqwR
pYUNQoGPqvNNW+Yf+0t4d8INiNISPSyhkwwz240CQzawTWmCCnI3xEwIxnVYywuVzXfKapu3UtNn
tBJoL4rxAUz/tebNhilm15B/KQqkW33ODsmyyqMY9GiGmQv3s4OYHlf9nXR4UIPnjDKFXtg426UF
kZ/uWlQFikzGYpK9z+KBa4MKfFN74Y/kuROU54jGDZBYOazFAjLNK/3b9GVyt69pfuu7n64CdIxx
N5vSp0XrbnV85MxFqS+fVdQe2wTg0wJ4sVzsPx4qOr44DT6FlxwaAokRVgNraXmWYAUTA1aDvCzf
LMIjrP6QeqKLQj6hTUsy0WS0zfY41t590G7t8mxa+n5tAdDxUSmX3oNWpmwlhG4JKdZZEQUQG03M
FYbE4FsQWJ5dFqMytLWGQLHzLXWDA+OWCvmwDPWjX1CI6ZwNG/GZFNFmXs2ppujRP8czBIEj8wk9
C5mzz6bi1UDG7u3h3kdHrX62Sv1udYbvqs5OrhbxhEi9jodS5/fsLkFf9tdJ4nqwrophHwCQ/LJm
DsoOiZ2R3MQ4YpbFMW2G5+Z/7J3Xbu7I2aVvxehjl1HM5GA8B1/OQVk6IbQVmDOL6ernYf+Dgee/
hgEMG+3u3pI+kVVvWOtZJe3QBOECMnxe/8B+xsvAIiMrx1NslBtz3qGmwVNuoqvv8XPTlBuDDtSb
8dpylM6WJd1nIW3SytE+O/JEhfAYYYqc6UifLgW0xqKzid4mELaqZN6rhsCbhcSfCCA1OrVl33YX
ZLnhMo1tJqb4LEaxqsIcmFG40SRLiLFb52mxmp1lTROeRmnLrWnBBC/NiJFZ8DAp55wO2VMxincN
GKeoe7LytCdBC+oFlwhobQJNPh2/VG2+NZZ1gly2igOIPyqxXiqdYz+twWiwE8Hdt+Xa2SkXYbzt
Hwn2DMrnkqtC+YTWdBAAHZbcunHsYNS3jcDEaO5AartgM7xno404bYmbp9QIC2ON3WNni00kkYP4
Y7wJEKroGRCs6rcyxatnsIVJKFSghtrmtFO0XkmQzbhUiCZ1feawXrZkY2DAaYGSjc8tqGQzG28l
8wvBSxPq2TXlQiSzdJ94Jfuzbh/6HUNo6qeyh3vv+vZdZ5jpB8xWAdpxnEGjRrUh2rXppj5DDDQy
AxkNAaz7AccKvS4udm3Y9Qgb0si+99091zB7JI3HgDQ91RyMRoNFfk5vQQ5r9jyG+XgLRfqJm/Jt
GkPAAfOPxqxozCeeKNv8sFWGnXmbFSNwOjZuLeRV42UsNebhQX5uhDi5ZkDqyHsdvHmkPhVx9unp
MwVCHWvwy5HUtxUjas6o6U9ua9ex8TZDBng5WBbaye+7DdHkZgojPLLd71riicXRFi5yV7tHzYSQ
vmGsUqudT1SW7qTh0ok1nAWVd+ERIcyiaNjRGx+AYo2lX6IiiMOdL0Gz5YnFotiK1iQyLoNHuoZN
nVLnFv4N1PEupHVNAo2CUXMf0zDbQtDzUfJyrc+4EDEypWqYJb1mQ3xvfRzzqI0wN5S40/Xmi5nn
zAMGl8Pmdz6Awa2eXbFVDIBFaJ7LoT1gPzmgL925yAfCVPEIVzff/UG3xgA8XWHaoagkPIviym0X
kcLAZq5Yr7bs8kb5q42o+v3oVLcmL4NH3x/spPbqmgNGG/RT8ZZRLsoixFHp0g/ZxiezIDO4DYzZ
K6QDCwL5XuLKXlGBWfVLyB89Fac4/cr8Zyfesd74iSiZ8qR4lNS90Rzwk+XbeMiucrrFY3NIuvBb
CGOJ4HTZq/YtMOsDDk99RBGT5xZYEklNMgsMc/kCEuSWFN4lSeLVYJbPbjUuKy5BIZCWB/pHQCQ7
7/xJGeXajt6D5jDg8/S54nKcw9hwwthaZuOTQ6mUMT9iit9tWZNQAnaLEQdHV4jlQ4TfHZ3bkgHH
2uuSgw1BL8rMYxuwUmiaw4hqmsyXfQTQrGTd5fs/aQaiVWXIpb7npKsseHDq34HRqZVGixgzvaUd
iOm6u153k/Vat4td4P96SnHNAgebuHubjQGhNf50vGRd81oxcwlsuOK8SXqs8ec9mt27GMUyqJtd
xQlTFx9GKgH/PGhh9Qzym3qTcPIEI1+yixvymGBIalrKG2paHs2dtzdQkyzCXl6aSCJlzta55Owy
U6e/xQNeaSPMDp2Tr9hmnRqo1w4x0bLGwhZd+BABOaA58j5YYFyy4UUm54ArWcyWYN4MO3kUCIR6
s6czYYIFMjK2ujWIgl3cP82nIPQ8KJLj0iBMzUm/ueAxUQzg0vrfrMi3glVvR5iTPqAPKFdDkTwZ
5c2JcbT+Ruw7dWNArXIs8oeW1juWf1x7B+pgGZqPrZVvNajf3I0UME+2f48RmHM7wTAtVnb43JvM
hcYrNbfOJrauAOJxCyGL1WvGA2gZjTpLNmkvqY7I0eVTaf4gLnwPlM0/WbtbPbIfuW+W7b2x2J9H
Mb75tBxf47z71W3dWWBbUSvwJ+nSZWqxM9IvOi9iVUAMZkwj0LWyZ2vbD72Lred+cC9QC7YdlraT
02Me7JW8hEVxr1RhL7ygequ7OdHNytyXrhq/tSoYkBnjEvMjj1xFvGygbfaudU2U5T/iyFD4MPhs
dWm+T+n0EwOaCUXLH0gSjN/gUmLyGG7rXEfW4eQFIRogoF1AdHK00n2ua/Z+YEDGQKX7kpjMgW/K
ZucUD/CEyluWPrFtHzesKBHMVrUkD63JYCs8Wxyuo/+n5wCEWlE4X8ymC9Jzu52ofvTkqcj2PfLr
zHvWESmOOe2wnxFaA1KW8YXvOYtc/qb6mxrzDdOyWtIw5Uvb29c22LBkA3XEKj8nDn6iDyGgAqRn
zU602toBpTNtEFCxEoY+uihMhI187IF9DKw33IluvNNjSBzV1YYv4TOELO49T7MwxH603I2mb+FP
8t4f0nIJDGUZtmicig1mXgqle90zHbw2NPaV9YOm2IxZ3WMLt7tnlKIeOlcQE3oyLSc0EuZzjsHP
9vd1DlgpgATRwxJGf17/xMhDAFduMY8uLTi1Qm0qsAcJmrmsZJXV8Nz+DHmwmhlm9s4Mecvlpnao
cdHB1Siz54424DhG5jN4P3F/1sPnlgysMjqU4Xdb30Tlrkxydwis6h4TpsF4Sg6MjGIPEaAGFMD1
+d6e/PpYkYbiszksJnLvDAQKkgHMMej3LucvIU64V1Z9c44x2SiCHdqLmoBw/1Ta0fvpRhpe7cCb
shTxvijfsrJGghWdcjZ58GSPbX2B6wjK+5XAQamTFhV3nKIgjSoyKHm3GEXSqwPn7wiyewWIt3DK
9xovpxhXWXryKLvNqNq0zO2tsFsxbFnOWgKNTbVNq1vYD2XFfAPpeL2QzPz14JL6F1V6AIHfQR4A
hVkEvPFsyvAYugqRNk2LHqMJKpft599PDsMMv8dZKIutllE1uLOhfGdXHdouY1G0a7KOVhg6e0ad
bYFxXnuwrY+gcVe9ufVgj83xpzYXkjddaSTA5JXGyda2pn1PHk3ciFWNQIcCZIoPAI7wJsCbd5ex
iveCW5rloYf5GPMVO3JoOewY0XVZ6PwOcsLszUeTYa0ZcW83E9oDIPx6rK8cPpqkeLNnA6//5A0M
fxmkBdSjcfFa6APy84+UkCSPMrEO76FzymVzchp6uIqzUizD7r3lUza5pHQOqZL/7fHqKeceWDhd
C0hfzkLJZu8iJsrLV2R+zFzc9tKhIM+sT5QCvuSGqKg6e0hiES5fDB4JDIi+2upM9KN+E9lbnyqy
MndNycIJDQxNIug1LHZkIFDk9M8+YIIajlpWfueF2qfYDHrrA6Yxupddb8W7YCIkBRTwgHB0Rl47
rGoN2pGc7ef8wJgrl6j5hIBNVkzYapeR9enwqZVE9pXjp6z5oaYHEnQW4AzqhkRI87njTh5inpnu
F5kmShMkuCyZ2AOBul0TgclLjdaaTaXOGtVQCTgWEIgjiKL24HQgF9njTwPCqjmba1y7Fu01J0nE
OzyH1aUsmEeqNExFOkPpkGwCD3WbVzwVYf5Ua/Nzja3UyilCtEQuuxz5H9sa3mvSIMxEPOUhSCFC
Q1iwuyHDK139aYUNEGScbr3OwLBYTcwvS5Y7pSqAuD9a8LxYR2wo76Ka+MsSH0rlw6DHr7QkEJLE
gBirTg6qt/DqeRLJwNUPkRiQU6s2MQkbjIYyY1vFCZYoflC2BCuR7vs8EtsqCG5mlJPkSCbRwMgn
DMipR4/dv5JYjeGz+SrSkrpdVOWqSKzoEin54j/6paFYbcTyJYB17iPpf1K0WUfL6R4N1Mg9yMEZ
phLbTC5tNryoZhEHWHVPwfqaWCGKYIDzFtkl2JQy9NzdJAD7nbT4mncmonxna/CLVezg6PkYFZXL
0R3WUKv2EwsrDhOkkN0xBMHcvSmMjL5+MYpvnHGL4Kz8F5ToB0lokDM1e58pjoE2jKtuTeDJtNCw
DUqLECQNMkjmhMnp7/8idAD1ekdiFw2cxpbcM/Afy8L8TYq+WeU2CuFA1iFkQ+0PYWrdxqpYIQU+
BCSr9x6kbVHdR/W3R8u3UGRTDpre3efyjPXANg46uTRayBmCDOBK9xC8gp7fGFV4cwyiiVX8ntjo
LEoToyPmOxzMyljzGKtz5jFBcmphfsTQq+qIigcW+YAdJCim8rEmTYR4i2xw8D21YHaD20iAlS1r
XsCW6aYz4hYgTLAhggvd1Mhh0WTjsi8swIYddscpfw0n/61vxxM5S989j++LwLsJRS7YjnYaHUVZ
3uKkMV+dqs/WpkhO0JGoBrY9z1OMwAfPP1jCGWk5TilS54NS2IIkzq1m1SDV4h32jPGYmERVGJzI
RXhup4pUsfFWUZdbJr87ddIkkDaUpDJ034DfaNh0NMjpmVr6lvX4y2rrIqeHOk/OeRa4sB2bP6N/
BJL80Y7dpkr9e2ioc27xu6xSlo0Eruau94Nyp10EiO2KxDhVRmjPmJNrapkvGEbvFY3dHG7RE3/n
aOeOiqHlhyJcitXQzhxQYOMlkZDfQtm/D13zR7dipLItYQxyaWL1wBiNXIFNDA9rkPVHvbMe89CA
+vjZIKqsKv7vjoufSWEjfmpT3Tt67AGveIvjPefG4J5mavyTxZ+ieBjlQ9Re/DrapNLmIgv2WvmU
O38UCsPKJYWXxNwx3+NzMILHClMDjr+VFcbgBfVlk521hN0EOuoyQIhVsCRCtlmuSiMGdW7tKiu5
R1zSOKcgXjynzBaJn1yVkv1UiCSRfLZ+S41XcMjPoneX0M6G6X+rXgzxM5ivU8A3BQDJlm8tcsw4
N2luvnnLD0VoIFfLty+kPWPm0bY1bhKrjp6zsSaZsN90/neeVGsSW5h8Ec821/1A5IMG0r+1r7jt
8nS8GCATiMAyNmZqfZLmZ2j0oNyPAQpIvUTBkDAeV8m0G7hW+xFT7QiICEJJNRLyKuW65pOdBmer
UrZpk7TeI2d4IEN7p5korCrL/yra/EBm61PsWIuqPrPQXHVol0o3fin0o1YxBaVPMCO5Gtg5Voj5
qvfRfyeN772Tw5Kcnsfah1TjsuTD3MOUaJXfM9zyqUHsRBItJwahpWk/dLTj7Exh0N6nBlpc0lYH
HwNqrb1Ecf0WWfC5bFjlHN4OWIzqD5n3q0LPr1VhH+a4t4IU24CCVTD2MiJcxK5iotBRNDgomAO8
wogQeoehe7cJon0oumucwMEbSUamudDNS80wy2Qtb+LwdIOL3XB0af06T3DVqlUdiBefzYdelbuC
hjgEQOXZzspBT6GIkAHq20umdyilUxg7qg3PkXm38gZmPjsntUr5jwivPRFTrF1VLnhUwN02ePqa
loJKe+9wzBVNj7dja7UMm0BqNtztutV9dOa4jLfwKbi2u1XqORB86Ut0H6cw8t3cNl8SfgE5baxF
bvjEft0U3lJMI9JeEoRkfDZowmmTyB9cZRlZiXXzQonviZCP5JjpDY9Ve5j373HHElJn/Ex+O35q
H3cCYUoCH8z0PY4/bDMPxAih/DhLrdtFv79hbPAvcxM0zzAI1mHGgr0wThlS0tI8huT+5BoPGzKS
tCvXYfBtqX495kzGoFKN8TPn/6JxgzNK8fc2fuzJcbDRMeL9uPn0LLY+3BTTATOx7/Be1yLEdmf7
mNOp18eCpSuKjJrbUZH1QeozhLDkfZY9KantbcdfD6I8+XF+m+2TiX8vITwWnGV9re2R0BL4AepJ
fubJyNdFpCvF9BR1HAdTfwDN96ZRCsUCzQRRYZN0NpWebSHZYylvHgYIc9wpFUlMjJsYkzQsuIyQ
mZ08zippGf4ZoAjYHb1NWN0JO193I7Ae407a0AKPwn4LgHDlDeorzOvHubTSEJwsQ1/tK/w3nlCo
w8tggep+pQPNHzD/56AARHzUkeu2gbvncOG5AZgofP7tjPe/O8LQOTe8wzksQic8FhbiIMgohWvu
s8oiFcBb0mPWqv4VCAbjtjkmuvbY0AuM/jnIry4k10Gmn4T3bMzvIbyaTbt3B3XJc1iH2JMwkva8
cXA12NmgC9PHvbTEg9kNR/ZspwZzRdpUEMXA4PuEFuZVsc+JA/fl1dHMaytpaMkKlMOjMYFHSDr3
J6SJjdSrbZEPB3QPNtQzPopdhFCibTYDg1GLJpJ8SGGW8J7YXIoHZnq5Z2zINHiO+3HXfxWGs3Uw
AGHD3du6x0edjLvGBhPp1O/KYxYzsa15GeTOoyfJzOoYagU0DmMT1fd4cF/jsThXBuE98+8HLrLp
Hiz3xaesHLTp6sxOmXmnw+vhMt9ia5KL9ircfpW6b2GxNaefdMw2HdsKOwTCEGc/scqfDB5+gbuB
F49SfS8llBS00SGIm2RstqMkFcdRB61FoNWKL5iqN4BKJDM8klu8s83+oCk0NGAwtS7adSai2i69
tCnhDiyjA2SrGEDOBXNKu0CVy9Y75vOpNkYonsIeAJHVbTtTxw6GJchMkeWHSy2/ZeT2Vk26wYLE
ngs+wkHjEjB+gn7GSywMWnNywtdJ/IyH0DWcXVJCKMKjQqbJk9d726arLl355dZMskJefdqDCt5O
l+x15l8BFa3RPrRldQXeTDeq1nYDE0XTyN0br5kWv3XTtWZQX+g/tXpOQhteTTLrEDhTt3pYHlqz
hRtXolEYEMhyX6PnlQmpoPQlSRl8B6QV+hQ/Xja9BtOFILYfq94Avt6ScIE67MUi5cPTUSz/QaAB
QMi/TakC9+x/x9BPivo9J2uC7Rv25BA9Yhfl1xA+6ZEJ/a4NsmVcobvf0EjleKCjkizWO3ApAKus
a1Af6cG7M84NV7C2/4ik3SqgPxJdWZCqrRXxtbUPSr6Pihod4yMGH+jheB9zRp0Z81Dm2Oz8uIou
xcTQl3wMlHuZ2TLc/kgIPjWzD73AVxo7r9KBpDm+1f5Pk2sr8lzBpO285k9SDluhKKqlfKBK1Vg0
weHeO/YrQq1NXbDm99AQU/YWyamo75OTPgj7sXfFp7Bv6aDWLO4XgUIY4/wmuXWCVLPAXVlWwWeO
TFYnLV2WApgwYG3RL0YOKX/61bnmh3RvDWh3gPZQbm8r83cMBa5Tsbex0WX6s1E8AayE4idQwvrg
GVnWgnaESYS8kOwt+lC4a6jP4828nu9wgnjVZba52Zq2NjjMQrTLKbl+7giProk/Qx0afdY/ZIQG
kfsMfDHciXLj96wURux19mPzdxLwzUit++xbyklvj9i5DyAhZNFsrKjagYE5DD9+CahSAd6IhmYV
YElQVr2SyOgWLCPhzpgbpFz7JJCM+vqvCFAGvR5e5NpLUBaCKIcouIu7szT39TOLFkEBmu66O9+p
P8njcBlwBTvxLUrvCMGRn4rKYhzz4ofXuAOE9y2ZuAUbZra99xR212na9skpCvG7rZwPr5hhXO8F
wjxVs/fUq7WoOekO0Av3BieN/asP3sZkv25C8G+4sdzx1GlqaYNY7hqerWsYzct6j0g1BlJDcmJ7
OdbxsTK9Lfi9o9swT7K+kQPw8KC/9ygPhLHoaoaSjX3nnaI+7nivwi3pAgxomqvZ/eakw9XG2eRO
g4lF72E8h1rYLfr6SqRCGzRHhwu9GrDK9ktdXNuw3AytuLjHuH22gXgk+nPAXHPMnD1afSc7AFxc
EeHJ6uhYs3LMWIm6l5avPtTDF1F6xNiEenMtho8sgHMmhuCCTCIn/ixe2qomVLCPjx3hbYcoVGRB
A+LlWvAz6F1U7Q6ChDG11hIFSzeO7UvAd4K3lvE8ZKiRhDJGQ3CC0HEkcabvtD5/IuNFHGUVrYhy
zq9T0Mg7qroV6bewN7DcrK2YuJgg0SAlmi7xViPzkUaDdpXgEid/0izQryyFl6+9BgV3llr4/WFj
jYC3nmW5xfNKzvIM2mlcRz8MWnBRNvixAUobR7Ywo1UYVJ8E4s6s2exN1/xp01h72DrRxg+NX3ZC
n0rl8TmHSs2BHxwkePSTD0mR5Z1H1whwHXXDIQLwdWzBpyERL8tzKKyMHIomZa1Dm2v4XfBqmR0s
QLhE27//snFAjkVeiTJ0/rt4A3ZaPBoPZDdkT+jabSr7BvHMV1ygBdC6eLyCfrKPSWuiiRY574/F
HMyaIzucNr8n9Cl7fDHSPYRaaV/dBBpX207xJrfIqDftQltN7eRui9FjgpG71pER8HdkjtDjDPdD
I6WB8qp319KQ4tiUIRDEhGy6ijQK+GJaDAulsv70dSqPhBpNR69QvzmgzE2jZLZSWox4dOpxeUJr
wv3lDbu6pIsY9anZ9SO7vMHrrJ3nZDdvGCu+qAWj1A38TWeB5FcVipQ5J9iboQBdV1aobmvC55q4
xOlQOkxeDHFIlRL8gN29NoZiM+c4RyGAx3CezUkXtGrajvohSHN7V4OjSzJhHx28C6OCnFw41jFD
Jstj2NyqPCww++KfpB4FPRP1V6DD7qGtmX77pIpRe+jmNguD6BRGF6uftGOhXiICrE8gGHUVoZox
DIW/lTmZlgPFdrSIuYM/IX1TVbXPgx00OdxAmI02Zt58eFEHXpUL147BRpJbTlK1zYMt2UXeJnXn
g7OOsl4OUVTvJx5gCJ0Q9XUyq3RUT+RnWmdL/sI34RAryndk5hMKGHFrgG9SAgZs9pTu7iaHawhz
0HnCtDOJTaL5X4Ms4WC29JJh2R9CM+EoL4uPCKnVuRb+TpvqjKDh4qcfmcij14YY5EfHZhAH28Hk
Z/tVsY51c02ilrGmVWWsJtJk22bdgavtsYWII3yYGaFkdRZ2SXhksQfzBgyOR2wr2XO4ORNFX1vO
Rhs1eqiitpOv/F0rqNgL81hNFmx7XG9s4i1UWJlPZTAghADXN0zJLCuEahDW6T7EI4Ptqz/jk8bw
RM9Q7euUOZiZz+P2CLNh72DsSD2JRYRN/FgQPQjWScrRx/pyDdhV7hwd/E7mvLczxdudLYzmVD1Z
oppROp2xHarm2TUws8VZeYXux9qgGEjt1HPzZOXPDXTsfWcj3GTAuC1SxmsF+MWqAKMXmOdUyXFX
WkyQjA5SLBx4chO4RUm44KzKTPavAkDqNFEV2QpIxADglPThDbs3cKhjODC105CBRmjJK1SZvunX
rzYFzU6G1qqfjbCRotlLsmgO9WB1GwzFRU9nEQxHsgxVuHF6XV27sOmuyIq/zDpO9hNojiDXz1kN
xyXrxggrFSqviCvLTW8TD8MCnZZHkigy3iaCK+gV7pelc6InoTZ3jgGlUkaYTuZAqwY+xErWnk+H
9KlW2QvYNjab2OarsB02rt7jv3dCwjtE/6qHsQ2zPZEbTz2VkawuRhj9mIkZbSXeUlStwlk1ygLI
ljCokAUQAEVs/Yhx5TnBfOg5/bTSRYHbNLIfPMESzZhHFq33EjW1vdZN9V2lHfvoThKms0P8SiJw
olkriXQsz/DvgyqLNgOpH9ROHq9vpsRapuKbxAbGBTpeQmAVEcp6BCnNKAHC+hDZRsN901WLXQjI
+N638cYy6lvEBwGU68QgfVUrFjheDuTQbPVnsvdwZXj9sLDk8K1FBsS4KLdRc+fPE01YyqAWqhG/
qzyot2I6axntWl8i1YPShAub3B9DedjwS+ikfzPtc1Udy3D4dBsnxTROe1IbyFez2Rw6Ff13r4Li
zK65OMfa7xAM7sHXBntbTs5NG5Lk4NigbIWKT6KumANpxnoEHk6kLCzfjgUclTEubjX2e2iQx5Gh
16lCjOCjDvEb+Rgy+t57bbKsSwzuJaCehfkH85K7mJ/xyu+/E6F9kRJ7MALwwm5jl/uJHXWCVihI
rEekH1YCnzx0MAPZYnxAVGbevepjDPQdczwT8yfMt2CgZ1OhRiakXq9xYvVQHwnGrmbzejBwNals
qxmtDexOHvidybUn83TlMmdvq+LilxWqdS6XtcP6XDfoXcJMEXMFjznqkQVDPTNpBOruENqwLzJE
aySfe5sg9WDDmwJHOeAYg3hUchIIzo2SfhHaxWF+yC+TBbZLMNhClUZ8svtAumSwEyjanBK4f0Ho
pJOKE2rQd9cpGS2nHjmKZXpmFNkRTX2NPCs9VprPQnKsKgwLpHvUElaCeLUH85DlhYvdyuEuCFqC
EnEvj0KtPfJpQc5lJV1t7WIQUVA2HZ02vEDb5Dmy3aceWsH2oy0d82wW5NQ0KNZ8p7xULvGthkth
xv1UrFhAZczjg2CdilIcMnLeLa3D6ZtyckZitosVOnw8Vjn10H6EbfubWg4VdG4CBM6bnRypLAQO
pDXI9UQHR9Z4zSELUGlrQROtPfp9Mw/DjTTsnzJwXmOiz/nb4ZIz3936EtVbmmm4OFnP4iJ9T2u3
P06t+4AAj+TuDt6o7Xog1i3eJdXZ+BBRAHoV/3/L+nJ0Sy5PnIymb9mLKhnAVUDjwKeCW951G/q/
sPpmoHRP0hmgNATWTmVY1xJRmjAXnJKZIg7XEALp1wh7a/bU1BkSyTDpb50q222Y6E9NmVjnnEgF
EDcIYeFlS0ZC7Bhv6PLPoK2NZz9g89pbAJBVY/6BSaXtiwZ3+TAF3nmaZdg9zYPV6bu09I2jhUon
5mucSpQnS5N/nriWsSW9FvsdySQvQAmzTQXzF0dacJUV5McpmfjVlPB09eaP9MRbEHeUNRAA7aKq
0UMwh6yrYVMZ+DfiFlEkcwsg06TP+m4EVZieuems9oGtw14jEAsLk3cIYwD8ZP0WW9p90LO0jqsq
s3v4yoPY1K41w9uMk0QTwqa1XUCNoZN2tD0fIeKzljW5E0VAIjPC1e3Bx/Ga8PQA+8UAaF415ieL
KCWXFYJsttHSa12V5nPtwmQrAKxGuojXxJnjBZcfoTUM74zuBakCK1kgP6vTrjq0OWoJU9dfMAU8
VtSV1ymJDha9wwUw/oXNT7ehVHtGLU+Sm44Oq2j4jsrR2Uw2agDA3EDzbKfh1bLZATTnzihOk4Wd
YgS/unSkrdGLpgaqaME81p+MD5iqn8P42rWDfW5jp11Ru5eV/p0PmTyPiBg0i/WlJYMz9IjmaEHk
0uwKuXVhA/2gMYiG6Oy4LB+t1DtqUrz7A6o9mkxmidpsSPCeR0W+c+H20BXH5IExD4NNWZ0c24eL
CC8O2Lp3KAO57wR9CzpktdZTbqI+MY7D0CZXNq3LSvjvJWR19DgkYsLS66FTLTpPoHOOUMvBYfM6
j2kFqXg3ZyIRE5/de9/72ckb7yQTBuhI5mAUh0lTRkMeJ56+MusW56wIu31EzrQJEgud1wmzABwf
rXvHAL8fo9TYNP74nUthbZ3o2JFylZssclrXWCjLZq2eq1/iVfC0REyZOnS+uY1kJ1Iof/n1AYfQ
q1MGcxXvpN8vE6P+6F2TBqPwAZ0FH7o7PnN3bhua8Z09cnb1CiSa0RL+pucR4vMWfqneYXDtm1Kc
a7aG+ZAMMK7tfVqPnFiIeqU7Pdpa4V2zQV+BS3S4wEdAvC3DfIAlRD5RtQR5jYgJrhUC33RPYvOs
jYjeQxUYVweBUylCgG21Nu7wrkEoMfqXssWUSWQ7WsxZ5+hqw96NAe/mbtbv2El8t5KBPgIRMNWx
Zq8SzD1a2DywAQSaBChy1/OLxoOfNU57cny1MSK+XcIHzqbS1XZSVoza10NCE5fjTmS+hq3TYGFi
UfPxKBO+Jo1truJNqT+idkdBggZ2kVTJH4TibOiFR8Rc5l1rK3kMa2SqBofMKrRTogtqCTJwgACo
O7Xaup71rVs1Y8wwh99eeae8jRzy65JVNejTarCJe2CaeQyMtnyP0OQlXlXTBKQFIgDvpguBF34/
CEwObQsOZiKTaahRFDKJXUW8z4ssn8lVSfhLyhHskhiR0uTA7B1w4/Z9s3XQ3VXkp5dD8yIDQbpP
Gd5tE21iEpgsnNHsts7Qv7qQ9ls4sH3APoUmiFwLrRmwW4X9Bq009t68PjUK/YpuN3ttsn9rCG6r
YMLVzmCHpNmuI8uSVmUY1GLwKn1NP4OMMz72I3nIVlhcgEL6QBa2ZHpjcsGzidP9i+wuD5ZhceQ5
MTb/lGQWkPHTBetQe9CEcyqxJ2KdW9UYjFbO1KKLiQ5mrfpNzym5K5CXNVDaV8GIkBLeTLtChzws
08nb/bNIYx2ojjmRzUoV3ngUFaUDxNoCU26jv8WR2jqopUmYzcVD6SNMKaKGAEL9yfPtfvf/k1zH
/fe//zKsvz+Ir+F/BD/F6rP9/McPD3I7Xj6zn3//tWDx+ln/vzGu87/xXzGuuvsvW7qS+FbH0nRd
Ov83xVX/l+FomuWS0u5aMCqIaiXCog3//Zdp/kvXHNt0LAYEngSV+9c/moJlJH9L+5du6tL2dNOk
5HJs+6//9T//6xu7IS8Iirz5b3/9j1xlN4Ig2ubff/FdUTDO/9T8Yzn8SZ6UhoOYlh2I6ZhzxOvX
5wMnPP+w9s+sL1WudwqroW18uNJ7SCID/xcHy398IP/n6/7n1zH4if77lzL4iTCtStPSDcO2ybn9
zy8FA24sVY/YbGzgiAma2P47iFicaZ6JFq/8irLhV40+AkSZ/6DoATqEFi+OLUThXnUTdXwO5zCy
GGPqUss0Bp5Q2waGDhWoU9TpY40CTZRY41HU28xuihidBsMIll/2g92QxmpzrPUz3dDiLZG99tZE
rMfgfbfc3/nBB+NUdfDnEwdwnl8br0NxhzeKt5EGdgKyNg3obTL5xM7+Dq39WArtAja43dsIPPiO
1TfXFEwC19yUKft8DNFPhEB+Gd3A9sNAHJYXAN5KYe8CDc2ZnhJ1WyJB0H37mTAE4Av/m6PzWI4c
14LoFzGCBEiQ2Ja3kkotv2HI0nvPr5/DWTzXb9SSqljANZknO7r5VFlPgwgmDD/DW171+8hjcziQ
8ZhU1PttOh7bUh2KLnkvTecv8Z37RuPriKGFIAh4yz0YbQ6LpjWcGEhylnHMY7tYq8K8dPH0WDTl
pwyy00Az5DErx12NXkhF99DtniP3DB/8B0hTPw9f5P/KtTSZ4OEqrGzcjFOKuPH/rxjrCeSb9cKy
MiMNgwYhsqKPsNgVM3mp2UIkDuvFQ17fz1PNtkF+goECPAyx0WBYYsr0o0zBEqhrgn5sH6UxB3GR
/dKJQP41zIe2z5adLZoqNb4NWRHs4TG+1yGlV5EW3zU9buNNxCwAqetrZsOOqhiGaLm/KnKlgC5S
UrL13hgDOAojUcm6CZH7xYstvbTQ31kXrQBwhRodPQa715raQGaOXPN5pDXOkG4uPwMqnGEzTc+G
bt/qbMa72GOPzDKNnA0LdRmf6N5yGDqID+x5+LNa4j3AgtJ/svKOwevXPj1hhOu/M9qvmnF4kZGj
IpF8UyXipGXpKCzMbmAa2aVw2uMWshCOsFmpU3evm/kZNjsXpUHL3s53jC8AwC0TZYZPGCVcpqeN
JOpLl6fYmmkPLQ3nJzoJlQAyr5OfxoTw+GDjhqBjTH5EA4facZ7Lkgm6Jtp33br5hXcRqVTqdoRo
3k9Tgzkxz8muMkYCHMfo6KbsBrEEJo0imDl/63Xw3PDmiDY9GiYpzjHJqvCGnJA0sCYhScfrzD+3
9u6sqvlz3OYfK3h0LBOZaTEmbDZLAPuQ5epwBI8QhiebPxQIQ5AlFP9s4pCLkQ92knsns+G/iMxZ
5szYvklp9vMWcQ2mtX5wuNgbBx9xgiS9umfwUq59s/0RbXOXY2UaqzS6ZqiE+5jxYexIjB8YClYj
OaoNWmXdlilTXFLnmalVIZyMmGSzYcCk1u8kO/dcuw6MmZ6JdD181lNTIrotp6Mx4acZ3PJZxvhT
GLWmOsnQ2hHmge8GZThuC4HfZiUHJAIBs6Ip+sdi/BqAlhpGgKRAoZHjo4TU5LUNVvPl9dZzwTgc
lVG979z8xpl3K/ryKG3zLPV3JmJixZBNIy33DyUps4Oj2Fb8883hQ3cQwGQz34YhpRvds3q5SW1f
p5LdX6khtBjMpqfIH5dax+Rsi9dzSehAYO+bMWKehSipUbQSOInx5S8hAAVWGCeo/oGZancCoq2q
6GXTmGZIQRAps0VSatXjlj07AuS8szfDWJ5bQ+NW0RiVcqzWCifwhtw7FCmAhJSxqsaaiBkt8sPs
o3REvBvodex/OLLDDO88AMFV4XjrxurVhtRd2v1zHsJkosEerGlLctfW7LszziYACduGXqSeRzjC
wYZFx8bxO6w3/meEI57Zxm4SNrow/92BrzcSNZibimnu+FW1eEbizDlYVKpmrMnM1a9VGG1a+4Al
iTPcwC6I01JkkDxaB3ePE2BYdGECWgAUlVbtXrv8MDbC/Zyzn6M3PHdhdh5o0/CrujupFroMc/3Q
TU9GLL9yg9gw5NShNg6yA+JAfsZ1YovVFIAiWv/UZFh8JL1ncMWRs6e7u/h8KEFcPVFE7AsEnMJE
RVC04zIIMb9Hz8A9ZaFKaSpq9p/GmEB7V8aPN3MQ4sq6p8qGGn5nkOY4IU4zG1ihHNR3hUnfa5T1
j+jZ/ST6I2s/zSk9hyUO7uEgk/G+y5lhiHwmiTr/bAFBQE7qAQ+Vd8rPfzqYiaah6RrLd1WLl8oY
H6uhfhM96/6yPHIP2dJ971stD/9fJOW+IT6pFK/ijnhC+iSXTXYXvQoy+1ZOwyRyFqyZ0TW44rmW
5GPzo7vzkQ3iNUqAr7XFfV5aX5bV3dLweazlKdLdfa2dC+OvW6jrU4uXvBXI0bP0IbSrayNYyqSL
SEiYp9xOf0Ios3NFtpXyH+v5TlTpXWNrkP8Kn4bzQnrvQ9VtCniTDRi7iFZV/UVDeXJU3MJm1O9W
1/7rxV3sVruksGFiF+2bmJ1zP9ZgOx38KmTjgCya0SLWTrm3QSaVbvBZuc6ncEzedpLNJTiVtjpM
YbxrlLerG/1Ee3slSBSjgj28oFRjtis+my64xF774YUcJONsveTzW5GLD2PMf+VoXcxsXG6fddrW
j04NGiWOprestgnSJLHOI+zPjpPnsFFP7XDQtfUou+aBMeTTYJc3z70rZPCE1foLmkqLGgdlbpLe
3NzErmof/Xw+EzfNm5xbN67LfdrYu8B2L8Ivv52cZYMq9JdF//ej7QzVqqGgb8lDHO8iY/5ohXlV
gsaNEpB7M946NNm+N/2EfnhBj/RL3B8GGRxyvmffBEVQPwXeBmk5Y4fJ3hfI+ifPfWb6ba6ipsBF
gG+7zA5p3h9Q22BxeypKc+UkrMfNEZBKUILCtHBfBvanbZQ3ZrX7aehzAhIIPzLyZzSu7/+v6Ead
n1PI2WOSn1C2nqOgYQAT3jc0y52pXnEmZMFHT6JDzdvXT/4/7QbnqPHKNTYxxyzfGBjt2SC+D0l3
iWrWctR7b1irGG5QjkhxV0TeQY3oAPEJ7BVnTKKXqq/GDApGwpPQPYdnRF1bZTHjlyT+JFX0wWOO
tj83Xy0mDWxK4NVbzbCxWHkyaE9L72oL992a8eGK4RBbSL3N/jjY85Kfy1fWchsMOCchVuRd9wgM
7wqNYNsTQOdoNoZ9cLInqC1y2MdldNFQWNjFxYvx3ls4MJt4DrhVGAFydz+KhdSQfdqdfxT2eO/I
BoSC3LFyPy0fz1y16xy9TTiChEGz6YqB6wD1Fiu/OlXPGbLeOvDv+nx8d8kgGkrj2w+Zu9WF/WAP
5b5D6b/8iz0+SdxLOTJdp4oeXTl7E/N9Yzi3sJmuJbTdipO2Ht+mci94MUGRnPJEv1ljvu6FfBjw
ewPG27GJBlWYPHT2sLXHfu1q8WS5YHoNpBce5L+muBAPdgxMFyz3cDPOMxOL2fqep26nre3oMswW
0x15r1sfQghqkVS+45o8wJe5ER6EKQHyF3Bw78MmjC/V010tBU6y4qUr+fV9/EySpT+xR1Gj9qZ0
7uuRr07jSyratRvUd2LI0ORlW3b4TmuewORtZ5x9NVi3gem1CR8twMhaJASShdtOT6eaA9AX+tiZ
1yYZ9pGJYKJeQC/eSo6Ya/lPoab7YcxJdEKU6Yhdgl2ZCBJ2rOY1Y0w6TfIYe8XFq3Gb88PBvuHl
B+9n5WuIyUBrstPy5xNLfgDjIx57gLAPXuGca9m/LO/CorgzknCvGcuVFaI6gPDAPw6u/SOykMG3
3C1IQL/wWYeN+xpeW8jIZ5DTwbfdOz9UzM6j22ikeK581FlUEeVjzRjSUOieWcQFpx51larcl9RY
8BverqIyCbAaW2W5H5z6pIkY85AQVijHvDEiHDQ8YEbqSA5Z4GEhs1T+liZtPkjv+OORYga+B88N
fpr8PURyYcSW2GMpDjKf/GvWcbr8crFfVDZSu1oRUwJKu/pMdoEY4Ckdzdl/XMLBy3IBkpC9EvT3
A6oNTANrQ+lNzYsueLoakrcam5SDNroTCWpB+Ke8ybJnE0+9uXzPGZvqanmP9RBs+0ZxRNKANQGz
npHHJdK3BvJZiDQ1F7yDw7xvSjzRPDZyxHzey01FFfo/zRG/JKHnxqwWgOM6zbFG1xYXkn9s/R93
LI6ODM85juaZZoLXUILK8x5avt6XxS5BWEMSHnmjw47dJPYXPodLF1x4d/6UvoTueNadeQhDREvL
DixKdwxNIX/M9OnjpaXeoje8uoG1ScKIERyxlAZLptG+74S6Cj1tLNve5Wl0tFS9tQeyWuR4NnBN
jDMaaexgYevsa1NsHQPtaD1dTB+YX7Vjbg76SlNtNtdCc7MhN0snQr344IcoqC2enAw+/Yw30ole
7HleW+NbS3621b7nLp+LFdf1Rvguxuno3Dn5gRDJNQFxD45NqQ0bsWPI3mIcXp5nlxhvk59Qdw1h
T8FBFhFrI72da4TbWGTrYDcFgDEw3wjkGqKfrprA5EwQ9tEAT4Aa0heHxB+uDB4hUbiP3qSuigNz
UdGK2t2bzrALO/e+Q4PtaCgkyZFZ6y2H4A7nymf/h87NqbdVlN28KD32cHjzYgKjRgxzA7A7lUcG
RhgM3L3fyaOC0fH/2K+DjF0qniNSd2AuzSbAEJ6t5TwjnpM9P/Il39pZcb3z6y/kRQSPYGN33e3y
QjCtYXVHvAkanEx7u1wDcRzM9LUsrOs0f6g+O7GMO4ReAqsJprw7EXyPz58Z6/IiysTcl6TYhCoA
WQvhWb6koblfzsLKXvA57WmCNiRIRons6Mok5SbL+c1TLq1wc/aT9tln4L4ZMpeMtXRL/O2daIzH
1mB9A20E1jGbmfjSehSKwpZwIVJNdwH1ZZqgUuQ1UH/7o8zB45XqJWeQsyJ85rfWE3aNyLo4nfqx
B/J/ywpRMRnyKENJ0piWitZHGdfES6BG//H//+dak4DeB32jAAaRjE98ugTeU9mte26EakDYpTKD
hXbgvbK4g5A+yJfA+CsXQEPq2YyHLJMGVuYEIWXI56PaeMyH+SU1l7H5SM/X6EcGNH8sGyG1XKIC
ZmLhQYa1ZhfiAa0U0e6YRGZ+Ujy4en6BAb+QIdq9VS0uYtqT2FkW3aFxRt9jYFVmale1ndgmE3/P
2Pf3teFtIXmxRGDReGBNvTe1/EACU7NqJNqkNv9ZTfFnG8s3n9mlFNOCrUnFr8V8nO4QRRtpF1D2
+WiiPuZoM4PHIORkaqy/csp+Z+Z0+GOMDN87K9zJxV5gtJ9gqidGQpG1AC/yVHCRYttD1Rvg/1xW
fDmcdAU+1iUeqVCi5ywpZ8CsOBGqbcDkfeUXU3rvZO15eU9dEXKXyfQ3FLz/zuA+gvr+LZD6r8TM
zChV2Z/s2TmG/CYzoackxIfHuh//qgrhSsIbUhiqXbHt6pbzIuKb6+euN+6pAYHV8PIGQQBPoYre
iKrxWY3xow6tfLGRSo+II+NBfuipvzddfho7+e30eI/23EGChIjOnfJNEMb7wmw/W80LaTBfYTDk
PwU27qOCM56Is7Up2dg6VnSXJXfo48rzyKpqZxSfud88lg4bhCQOvls1A+Azs8c8vlcUTOh9CTqo
eLUboz2YZvKtNZeAiqMTE90c15LLKz/wsxBRGu3Hrt0rUF7r2ODKib3NSIdQjvR6Lr8cU8LV0IPi
MhGhMTDjhbKDnTXTkTkdW1ljCHeIG33Wanj5edctlRcrUU7B+uZPDDLqMm22VRz8DYEtCcJQgNiq
/NYbz1NiLPk2yUttOPnJqK4Fn6B9IScmC30u8XOQrBtY6s0IoHMUma7Oc8deIvycZFRC6uI3KDNM
rsgNzkZX7ce2/vKi+Vs2vPu6rvZDECAa21t1OO2wNMB958cOAhKUqDCeCvVgB6o6mz54/1Ra51ot
idPYBSefmA05RX/TXKJyd29GRo3TaPtouyy7CJnH9dghHvKGHA9h/FNFtM194DxnPgHA9cj4rQri
LaPhr8kxPrxm5yE9xRHlY0dbXlKTzUoUzoIpHaV9y0vWUieBwNqFERQdt0V17wSuufH9qNr0S/9b
Q11TqKs2pNNW7mPr8L9TsxXbuePLB7RV1O7TIQ9pAmdlodpHaMRYvnpTonRP1n0+WqQQjcO0mVO2
1FMJKgxHHHfqsnnvcwqpirlahtb5/7e2QXgNRM89qpC+pqrKX6PMf0vR35eF32Jm4WVo4wBTQWcd
ZW1kq95M/HODQEDNi+FmZFQZxMNJ1PE3yQNuRp0zBpyly6mUibLZ8WH6lTZCDfb3b4ljuXe4lYAJ
2B+jAGiFiW0NpOGatri9EEn2aT3f+4TvnEQ3PsJN/8xyq9rPE3dp4LUZnDp21qOJB9AQQJvVLQzt
D8dh6Fp7yVnyOQ5AQCFkQDS3fBcMGQ6HmPqI6/JA3vSdMfAz2hRYa4l/Yo7yq9Il+HpJ2VDVzdb/
8+MSl6Bt9ZumiP85mra9bDGjRLqHRaTyQ/XdYuZHWYr1CiiJiPjLYoejb2DdkC9Xia7dfjPZaEO5
hz7gFEHisDiIRMDDZVvL41GABgdrgRIDYQojVgz/PaGEmccsM227Qw8BIqg5oawE9wfOnJ7gemOG
RS06CPVh9tuZ5a9v46k2ug7U9LxNcz7Fk13vROjhPynMdRfZ+aFocWSny1RQ+f8Yc3CRtXRFY5fs
B+3dm0nm3LlNigABWlwxx2rjeaR8LGuTiXHMMFXrOdH2hkRItXL18qQ2ZI10GpQKtYPMx18kA/bG
MM1Dt6i3E4nXEcrrymGjzuWvDmQTLRRGvjWkjssEhsKqeJkqC2JC1aKF6ft/fepx4vHxsWfzbkyT
KxzLe7dAvZMo7gxIJmul+DfgwTfej2Q3R66i2g1e6O2pO3LeexhUEAnGoLzDRT3pKdx3LV4Pv+pf
I2b7x7phSjcgT4DiZmZOiw3K/dUA4/pmIpWthlFsJOPXsvaaS8al8Nb1oXZwEwEqyJE4KZRPmMYN
7LWrgHt+5WH6NNlKIUqw33U/PBE98DZIkkubYKJ4JY0FyPyTDswSDn4fnTLXpMBxjIZpRvOZgDTd
xPWTtVjU3QEh3axYP1fzd4tjbeWr/LcpIcBUk9xPNg+KWkyd1eS+zhn7n7Enua50KVkKxl/uAjQj
NPEVjuwutpxjN3BIL4+JDZXREQpiesaDLCRvPxTYYB2UIX6NBBCni7rJJElbC5J7J0B+/djsg0Tc
Q84yD1mcPc7Gl4O1eGvZcMUd2x5PjkMQAHEkxTbt7IrFWR9sWgJe7DmN4ck9IWCsLx4UU7tN7H09
W2+GhC0SsmJemzMWkKrv3lKPiBe1GF3AAX1hBzT2FivTQ2e4txa9yoWXyLxEkftqB/LfMDBdJfwq
2s+L8krLLNuCLEcVEDDUi0PIR0l/nBiObJ2M9MkQ5ywwBbznOEfGmx4ywjhYzG2iZSyKlfiuE1F3
w8ZSEgvMGCCn1BQh9pVep9jvgsU5m3VrEtF4NKbkJw07i+lIci269M1kd/+QZ0/uPCZMnIyazFq9
QfXPZaZc+1Sb3w56j4vU+LkGG5poFILmDgi3Hb0WFYGBLAvdBj0C/lKvIXG8/z9BmjlQm8c3Owpx
fjQ28G60y8Lp4Nt1wxORUgPE3uozS6arHbEkcEgfX1cVFEQ6s5ex4PIMW8g1ltk+hhNtstHjdA2B
mJFlRQdf+OGOZwcETDDc4hyPUjh7ODFc59uT9B0zgge7R+reM23yC9fiQgLbM8ItSLKAbwX7JDFG
iOrKhh8wBA/Cse9VZb+NiWGtYo0rzKrl05AXWA0plurZ7Jlf+aR3uYdyQgDeg1eaVFucOAZIeL+U
KdQrIVFKdBYcxHI+9kRHtCWt2JA+tz2zsalsj1lKPDy5ae1etp/xTAKK7Fgl2gYy5qi/m8cFpu1r
b20SQoSKl30IirqXmkwTJpAuGuc+Ke3D2HBhCMc4Gy8h45518FyM6EAfAzwxm46aA4YbJl9Br4Dg
HblRUCyfhG0gRpIQ36ah+jDSaEEQUMiRE721RmPVF+2zowfrGPbPCMqxxBjmq2xqEqEortd+Mr/p
0VI72dl4K8lOhRTSbgemqYaTflqCzVDo43ex3U/fmcW60yUzgrB9k/UgsOcx/fCRR8/kqIDHxmeN
QG9jN1CIzKojdFwzeEpIiXEHkDoDER+MUJJim5GxRNez7LIpSmfmqEPN1QmEFuq5qDD4cxYxAgf3
Z1owSagUTOSQISTETdQuKmV/7eYCLUqONsoHLLIzjfENOwLi84V1BZrmarBLL1AMsb+u3s1QSUIQ
WXxioeZiKDFjeDRm+HFI6WkufVvMFwanyNIRykMpcTZW95MoCaCljMONxyPIw1QfGhV+Oryyyk6S
A9HA4P6c7LOPMVhX9Xjl6gkPZXbspKZixadLI2XIo8z67WiCLxnixiYAQBxLcy7OBkCYnVuw/5sQ
kU/KIj3BHd/KRTwWBHx25pjctIJgtKmkGigZo5pxtU1rSaic/p2tlCsW2yJEhq+gT+edVyx7rsA4
SgE1qlNUS6o/i5IarTHbcyqaG5uX4jhmf1bcvrOdJleQ220tcvGv7AiRZ4dIk94WX5MmO5yNzahR
T1dV/GChm74Ex6TxgHH40wW8AWzdAIIpsoRtW5rBzjec19YrrU0sTkPdmTtpQzELuji5qNpbg9kv
EzwY9Hak20J5ByNcUPdsQuw3RK5HR22Hj3UFnIGW7QBSqL2NZfyFq2QC6VcRoqXkvggSJMizxE0N
ziAYVb2qJfN2d+AfCIDas53OsYprhMdOOr9GE+QUQ22qAupJXrk4tftozz700ahyqP8ixamaEDPN
VMN28bZM0yg3cWWyo/QhT6MgdJ0Emq6dko7h48GL6GwEiAWVlu4ZTujW5ebbctRTBTXQMEuIWgvH
wpd4I+C0PAauvNfutPi523orB310KvcpDBk6D8kI/k8bl6gkMSCy+SxA6d4iOig3fmpCDxHpyRxT
pKvCIYIp+I6TGa4OmfVr7KhcozgBvP1oVh4DiapC4P06tZY+RsbgvlQmRgQQ7FuJQm9V5Ql5mAOA
iayd5p0S2XuPXPgwzRzqXlJtAJ706wS3bNwXmK073NjMx6666s9dQPExejWaLdD/yoStlgvnSM98
53ns6RpjodOmNckNJm1lKsjPQwFx8cnFWGWei1fWC6pNq7ynKkdK6/QEXyZhe+8r5IRAu0J63ohV
RD2emxiftYXno3bZIbJQuFgYU3TWXOyxYdReMuuvCWTbNDEehQzSNhRfzQxjC8ZmAyHlWTTQhKKW
FsOs+W9VWD8bkGb2LsOCahzGDSsWXj8vNED+8LclFVeWXSckEBv2ThPxW3sZ7vgZyFNSs9FgntTs
0hhnTQrdftuaWCQ9kNO1URNUwiYH8TDj2alx5k2pudFHb9p6ZAZGhi3gNsbhtlYkFRHci82Au4LP
+TLn8jehi5KZ7hlDa44vqBb7HqQ6gYiLG2B8YK02bQN3OJImfvCN9hiPVYBkOcMw3kKxrltKPph+
KNvHh9QJnphGIihqUtR6RC9uXYUtfEApVM+YDSjhroOzpOvW0OFdM74IUR78BtJ/pIEwj+C1luq4
iE3YMS2+ByAK3W4oPPapLVzVZCo/iJDBjxHGX/gCN0QjoRk3xA8UF+7yHAUwYxrewBHoCbQcYGyi
cBhTkPo8Ml6N7OHq6OJZN/IyWAEoWsSJIATlP6eM6SzIllj63sJnb2GCR1hP5TUS8/iI5PdJLPiF
BBCQZUPo71Y6KDzcLsnBifOLUs0TRbPcOR9urTiC5juPnCFSspJXYMrrMRXlxbYKQnIU4qN8Vviz
ut8oMAgEjcfPHqlRb0O0Dxw6uwyltE6QAEkORc3+a2PqKNrm02ONY28rG+c7lNYDboo9lblDIpjb
jPjABSIZC3QVvcz7SFwj9n7IE667mEnwnPDZeJRIqPBkgzFSBIRqVFuIUENW+Dh2Ror1fToCBOHC
+yc0xY5Fdse6t/GlW1l+SqMSfvLA1+RFfl8GUDl0kKChomrPClxKDY32epoZL9gUQW59ToLxmJmO
vg86yqyk17umx3qjvfgbCBzwokncR1ny1OGH2k6GORKki59DMVlbEa3CJBkDZW6XoNb02czxd0kj
8dYdsgFoBt7dGJMHHxtU24FzrFL3p4ir6lDnbHXCnuCEWUbflcBCXFLVkHey4/hkwlRgeREymngl
dL0vNUMTg+8RusQrgFNCkNXULKB8/6tJ9Vswo9kSbn+DllydzLT9BSacbnVowxJppyPTE3B6zWPg
8UxC5G1Iv8K7Pr2aXbqtLYmBuCG7RKkBH8qEaQxN/YwHzDZcfyM5fKCVIERWIVi20t1ZJlIthB1H
Bem2zsB8ATBZqvDneQj3zB18aF6LiQsXYaORkcPTUScLw20HFkb21bYH2buaAom7H6W5wziaElAe
/GIhMTUUTzO6WOR88VbV+d8g9Knwqm+IiG99y8pgUbZweuW+Wey8VCEGmIL6gAbwEIIu3tX5SxnV
bC+74Yis9jhrdmNDMV2xCHkOa3obqRQ185CxD0j9fV8ZFj7uzNtOtnecZpPtBP6yVT1eBjVx1LPa
oPcn9l1yVgPTRoNbtdukIDdFet4uHcF7oLQQDIl9Romh/BgzYkjtMnhJ+/CctsK5DFny66LYhPvs
O5uoCJ5lG4l14sXkx3rqn6h+UV7mJw5P4g2rQxkPj5hvOTVDPyctOV6Hth1vCfPGr6ZpPzifVxYi
s23KoqtMAgg8iX52bPUgodetzJoLOdE16ZBQz6Yg6/d1az633tdIWPcpsEASOWxDlfvXxdD3yYRn
Hz2HR7PF9BanpK5Jaz47bMckONmuVuiwPCo+t8htRi+Qrvinb4T5DDipUm89VGHMCBXXiwMoETKi
jQVnw6YNNnHwnhnhu0kZmIalfVE2kExea7Uj4GkXi0/mg0RmuqZctSmAnCnWb+UAjVvTrvNd63fC
CdfSRyAn1FBv4dNDX9XvCf3pXkUdYSEagoaHVD/nxltZ/uJBls4fC9MH5bCsQusHxhAUn8SpSXhX
BQ7awaRhJLhacJiUTJYiggeb0OYTw5CHycUywxip/bjHIw8/V4HqxHGRLjAtXycmrsTOcwCr5A+S
5VSlxA95YiSTdw77nvLG/DcCs2bKnaxoPPCApJDYbcwQq1yPTwoNIO3qvcUoTgYe2fPRvdP4v4oL
URTvo4EyCBjNP7JCcFDOLEOtzjsXRA7rmiKUyoMJQFDscNk+ciL1x1QUMDD6o+Qv8SFhB868rc2J
24Dea3bvXO1QIVJx4gnlvIbr53eNPPRk77CyM87CIrUdC8dSTGJJt1PimCxCRQf+pMWoMGHSNLU/
7tBPwR/w2K2HgH35blPvfmc11reUhUQXUUcG7bfjgZuQrVzNlAWtL652G7DR0Rkp5BbXoOBKxK3V
0Wsh5gtYXmYES4Uqd+mJK/KafL4lT+rWXNh0pKa85WQDGNX02C/mjxotPtuGeQWXPUBNgvnLN5F3
sGLY5/FCCCoiY+1TGq5k3b7SE0FXZ5gfZ4jiQAmgLaHrLwPGsyNsAW19etJh7Bb3Zzzi3OBB1QCd
rh/T1kQ6UfHbJkD7Bh/9WORDQkCgRKJShCjB0pvZgG3nGf4XW3co6/S5u7KB6O9RWljRd2Y4NnEx
7iMzCtD5rLtTXEDkz7xyXB3Qgv1RaFaUheoONyUrq3Y79rztJp6THfDDxsg3ng8k1JsvktyxlR5s
erzSJ1kv3Y/jGG46DzqCEwV4oLCXrgciFGcL1SGP1rmt6JhkVJFk7XOSgUzf92Q60SQwdYwDslty
KKUmhwLapdWkmTYx5ICZkT5TaP5LtPsRNgio3Lh6axXCUIUvixXaZm5DCLMYwRGpjg/ggmd65WPi
salI+2JhtqAgChqsTxamHTX7Rysbn02YOzFLl1XiNLzGXXoIEujQucNvWdEKtlN+Yzq0kF3I33DR
PAc/tWL+Ura2AdEqem8cpj7TzEeXZnE/lgMQnMB7aFLL3bpFNZEybLw46C0zB4x64zcOG4LpvlDy
ZbG1rvLbtLAMMpx8YG4LMqSZCHSt/Gtn/dbFGkAHpFHfY07Y5sQhSgt27/8RTbMUdKLuoR88jsyy
u4iy5mb0E6TFcf5jTwgS0eo8AQoh6XkzEIWEACorEU1oVOgJwxPFrJfpg4EBincltG/gxqyNm0yf
qk+eERitRZ9sy7q65p5LCEY7v4kEpd0ILtBR3mdoUBv5s3X0O0USltxmyr1iBPxxrKuR4gvXH0aI
3I4wN3R1P1PKzpMh0Ss6phBFOvq5mEdo3Wavbs+4kb6JnLh2Jo1Rfw1ztZsy6eG/0QpszsAO6q9E
Yro1S/99whK95NSpLn4UQMcWtpC9HbzqXCFTDWYsrmyR7zwEIJkFP1ACTvEN6yJMoqgy5V1oCVuY
btZrMhRvZW++DSYRs1b75ZTOzYMPUypqjGn5w5LOdq7BhziIeNivn/0K1Zko+XR4JRT0mcEwH2Nu
WxOwoCnrH09ZR4Iwbz6y1LCEg1AsP4MZh+cJRkA/+si64mYHPg+ZAuN6mJ2zR/xAW6HbqEn0GTtW
6og/grVldlx69ITQwV/ZNj3hyzk7MTQkxhUH2lQqyhByjEEZjiEBAYt68Po5Rk6f3LmGuHZ2fvTt
4FuC+JqCH9XhTICe/5Q1MShpdl9ZJL/cqUIOaQYvA0ThVWNPd9E4vuYBT0DjMOOZtDjaog83jSUh
FT2oRWCT9PxS+MLp7SvxT5nFpsG3FipM5kpGr7VRvblzrlZHLsSvTHRwjyHKwKB2NkHev4sBxIaW
LDqM2QOMpIkXqaMXUurO1dBjMo9cnBLNBXJLjzz8ZOUaU9Q8HVLHPGKzfQgjojYySVNCI2yVLRDl
6bssSNfg9oRrwaU5H5upeyDd+iiq4TPvqB8bcnX8PKLhPBM/BiXGxks99/5HG7AtrJpzYbKhZook
vAgJuvGdEJPLoYGKSqnyy3p3KIrhGT4WALuDgIovMenmh8o59u701Jrq6jkk/tUtPhABcAiV1yXU
AcFAxWM2J+eBrkSbTzYqQ3Zf18Gt6ap98lDKb8NuHm3EHCMDcoCITGZfi55lnxrHPY2PNVX3tuNd
ak88q3y4D9v4iwFRZblIctx/ldXe5Vb/H3tnth0ntnbZJ+IUsIENt9EQjUKtJVnSDcOSbXrY9M3T
1wTXqd/p9LDrAeoi8yLttEMEbL5mrbkOZJpwPzYPc5I0/Lg9pq2O6ZgRUYH2352gP4UShHgWFBz8
tflpQo6tGfktihKKyMJ5YW16gwbzXsYQ8D3tJsY6PzTuEnVmI2BCKupUzpe+61DWhuxZPd5KBvl5
dnBt2tc8M6CEll9M8Caw3aJ1OFIePSNihe5acNInAyYAbGwki4fHOYu/zbBb69i59PH3rjBuegP+
cpxwS0/2/KqlyQF2GUteXpisp28qu0U2TjhWTdXYDOwxm/GLEumCm+ZHHggSn+n2uyY+5S2mbtzv
T3lsEr/3XbOmaz1syW/QDy0G2oBibu5i5P8l1oVYZZ+wwpqz/BLTlvBNE4HBImy7bAiyEt7q4HIz
EmWUbMUZQ+ISS5C/R7XyTTK3aCERPY6tdxREFVEfMqgK6WYoGfhjxRuCWmTLnBuuyR27tGRTy0sQ
XQLzkIDrZZnfWWUxB9CTc8nbiKR3biKkIm8Bw0PIsdEX1w6Zr7rtV72NroLYuHHHZ5mBIgwU+/Sp
t05FZz94Ev13SQ7UYjli6TaWD30GocDPI/fNBhWD15KJWTR/E+QIIMuYz8T7fJ4i52tjGewaZnbU
kqHyHIXcjhlvSoXLMmdx6wqmX+VUb5Q2vrMZcTcNqsqBUQHdCH0HWe2PJKOchnFZU6lbzzMeJ1O9
x3XK08qQQ2/D74GV3Oau9dqyByIQZ9cUHRYRjDscQvY1Ztc7yK0NQAEgrzXZnwuGrQNIVw3FrSBQ
fEpI2kobWIOG1u9Vl7IdNKuHHBtvGxrckRRZKNUTxJLEQmqShoFiV8HHyL4HdrExgYnAOb024xh/
xwzIjZ8PZDN8k6axwa51yXcYJ4gcnocq/aoQ5eZW8gn2xQdrOX/QF4+lM9LFtl8Vb5NC5QRc6nTM
M9Jz1Fv7UmBgAiBrvEjGuIAgDiqvT27rnCyvPxtzhGRzgR6kDLHhJB20uvzs5fV1SHSSkzlkuS+M
JRb0SIpMKtekvU3cDikwnrqNHHmShC4RI6aH3qkBrC/7+sJl8x5/DiL5RK90L/hjM0sixJHRI+F/
c9Dulh2R7VhnGc2PfSSeWwAGxvw0oIlGfn/tuvkDPmiIPLn5re3HZ/ws+Kc0TFRw5O4H7TZy52u7
ConYSmBU8KeE9lblgFPt8a2TZIQBR2I3ZJu3er1wZ0h8tPQFN0sXh2K2LDaqQamX2QwaLOqyIs6u
0NAazE80z/3qsbE9jWCq8BUYiKLbrXIGwpYnlhddZmFyh9tehk3qD5Z14xkcO0CsfKNsH2MLAj+w
yyfPtL9EuNAdj2+cfR73twMgkY72xuqlxA4WUFqSlDmXiIcEn9ku9Z3NEGhbyOZr16QsXqPuGDXj
s1svZw5yzU0bZU8D6DoLQi1PKi4XB8qzFo37JYQqbyNfAFqh/1S84mARgV1JvkK4eIyrZNeyHa4r
z9vSdHApm4i6cX5umlcvwVpddo9MoT4rodCIleWblSeUfFOy11L7Dk/ZSxHeCj3+xtgmMcnEkeOX
opAXiqhLIyymyqiz8yq9iD64wXStAQAPnuzRkvBfMsp13u8e8XrQ0SdizWagg/NZMnjYlH32iXKY
4OgAxT3d+aYvZmDZLWnFJCU1NkMVpd0NZfQq7YDE00p77DquyBjkIKHsoNx3ni8cIHDY1sDxEjtd
D4eRlxMai/sq5N3VEpGMox2oTNKMT1ZrXTIEKL40m+fIQSRgs0/iKpcMdmhHjakxmV7HJ2fuvy4f
b1QhfILxm6GgD06qu4mXwq3rKD3QFdUiwjqdNsqvqzdUSOWVZfISqlvsLbrO88tgHnX7rJ3c/FRK
lseIB5Y4CGj2FfaGcHEpaVl/k+tox6ysJ4CA4RzhnjjTHVFchZkkMmN0mac441OIWZ7LiR2Aka3r
611igFR9KkYw/WNHJETnYA2J0pteEChMoE+kuzzfdYceZLw1NeCzZUz8r/sQ4ujbMUt/aPryvZeM
T52GaUFPX8Xic1ctXZpn2WAvHSQDrynW4R1DWBAdUf1Fq9O7mnF/4nT3qGntIBl9BBLeXieYLYlO
Y9PT3UcDOTApV1hUc0cFN0xg8Rt7H1qYvWHZEJKYvFcWlEYgDO9jj2GN6ZG2i0wFH6DV571kh+hW
bAoYQBPIWfLZFdWjroarhIvr9YSehlFw8VIMpjOUOESH+kUF4CshXRBy2QFvSJZXhUoeUDDdpiZq
tgYjFOTzwdnNg91vDUvei4SWWDgjBMoLIkAdRGlw1ZvUh/o0Tj5rUIYEjEkwDyCEkdl3u+iY4wqH
cBT7xSn5gWjC3W0lhR8ZlnnIi/zi8Esjah0KnfZ7tKQO8s9M/sBm9lg1hKVeHKArMBXTt8WiGanN
SyYJHmor94H3yjU9CR0qMQdIqFE+jM5bZlAcWq4CHZgTwdZavtMOBrSkpbAxsVsIUnC9+ZCQm5ab
k49aCzWxyRlfKedUJ9MN25/z0OgvFl0abNYLilm9S79ORHlvOgUTu81DFER03vRKu5Rd+pgb42Yw
+RbsUYB75WWQDopsKQwrZvjuBgQa5uaZlurDYWSeqeQx74GjxRECGTJg1Eii40JaNeZLl8pLEvW+
GWT3y1+LTvu9bGnd8vYWkxnqqAZuR873A4HgYFfutjEOw9zl7DdJ3Ssn6yMsmFSp7L2Mz+jwsq1V
U6qZGajzEHDOErBqftfm6EnG1YcXslEjhzxAL7p8xlozvxFmrrEqu1cMsI9t8iQt9qxMmI6x3bO+
g40AiR+NoEhxyMUQdpmu40sAVBIEpO6ETEP0p4QJbKimxyhpPkwCZ5PCBIXoMoExcA3C+IqRBpFb
ZZqXeRR3FYo74n7feYS3UQYAcdCvWZ/ehuTVaY36ZOZLlVWjl+/G+XpkolQSF636+yCnDYu4Hcgc
pKsm70SYxBTXbnWjwvL7UA6XjvyKAcl9wdJhY8jMnw2gSm05vWGweGcTuW8745nqyCdk/JPHQKBu
GR8oXq25gXuqWwIAn2qzvuHpPjYlc0PyPE59B+U8mLn/5oXfLpqXQXkbHcXLZja0TyHbViTfknA7
q9mEWAG3uhVzG7n5jq3VQyHzETV+DczQz0BMLj9DXQPqo98t65dGoguasu62lf2z5XIU2eBViNL5
oPLEbJtBDO5B2llePmwoO4DYZ/YDHcp7lTsPZsnLj9KO8Ao33IVav2lDWGq5e06oP0pe98QE2EfC
OJHP6ZyktSd2BAkc9eU6e93obDLybWkp8ksQmQ+CEKzYNR9R7DwJLKuaUd90VX2bjSONRJDcLz9R
7xBhNwDwi+aPzpwPgf2UFOrC+ue9SZxPqP5PZa5d9/291U2n3tVem4l0x/q21Qg2dNm225V1V0bu
cUFPNQz6Aam5yJg8NNhd8Gp5hHLYFh7zwIER1KUPDkcms4+eUAnvMHVgyh30eKjzNxOzmslA9NLA
zqgceiIgugXUaOc61pXfCQee5hcpcRWU08VmJ+gu93SkFZ/HOj96xM/O0rkzDNzgSXOyZ+/ce931
QDsRUEY5enPLvuWk2gzlHnsfOd6wVzfwwaUNk8zIqB8Hdkotw/s2Ku8g2PL2jHnDLq16LKJmDxYM
nSy+yoi6Ka+0izGiSyl7ZuaIFG5z/mkqArsqgikLlw1rSp+5C2LzTrXGOZuTzz0Qb0ez8UnG+l08
IEJis0Xfnl/bLgWAhx6e1zZpUH2hXjjRTmP6MDcDe+7kdUC9A8yREg7SSrIgNe9d5JGIhR7NYF+O
9q3qkWxLd4S/og0oHsYBmYhDiF75RVGwZzH3yGBmnP/CI7/KI/uPdafvonDEAf4d19W7XrB3ruo6
303vMaKSbRgT2oXKKMOA7mWMsILyYAYtoFYv0uE7VZ9zxpadLZhuSrTsCfNZX+uwxrNnZ94Fjq97
hm4IXhn8dQDLhVBoiLrIqh+LnGw/NZ2tosBbhW2hMKmr4yzSNq6Oe12IbwkNOsEFZO+ZJcRQNF9d
GuIxSXcW6XDbbnQBJqmGsiBGqyOwFwy4IgpR3M99uhwnC2lxZkRi8GYoa22bhOccKtRedBm7J6c+
pLeulofnuOSkAaqB0JHNpxTvQRoxqBfaUW9TgFtLExAJtr+EWPg0XU+lZ/x/LAurR/glDriS//Vf
2snuVyzLLi6+5F/qjy+QWFZay3//lx9cFsP+D/gTIT3ILMxbbM/9L5jF/Y8umSzqhuXSfEjXEP8X
zGLL/0jbxMttUkk4lmXzSw2FEWAW2/qPbbum4Xm65zjSA3Dy34/2/wBmcRccyv+QWZwFCWPgw7Qd
g8+B4Zy/6GdcirDSwEJ6qRMOMU/nqmyfhyQTR47CYOsVvUGe4vyFVzpquMA4JwO1v2k8wnWRx7pF
8Zg5ARvB8rZp2yXRldCJIe8uxKSCCJLpVVcQxpGx3PLHrrq2oQ/vHYb9Jp1B7oeinI5d5Q6MXA9F
/x55GMWr1OXcQ1mO3DjfB+Fn4RCk1WAWY9KBilRN9aGf4g9RPGMtcCYIaqbLstP0wCn0XnmVUuZt
msYBEybCeJf1RCCnNWqsuHYnwj/kDKUXn+RYBWcbGtPJHCXVGkUaIvzJr2TXf+sCQbqMoktN2pfU
Za/F8NOLhUHYkkaDiaY1z4BzzHPX7vvE+sDUMtyl813hPZspUcwi0AkeEOg/YyAC0wwKWkvAMwzi
FAtcPZDS6gWWnu87lukQje90HUmKQ5vWtObdT/fjb6g4lvmPL1nqsHBgTDtCdz06FlPCBvr5S9aa
eqqnmdidTrlXYR1Hpw6Fb2vJQ5gB93BRkt+0Jcq+zrnKIwuCSkrSjJeGi/EYMURJlqQYqytGjcl+
YGtOzjjb8HgSb0kRvFQiD/dzS5/bZ+a0L5rgoVPExeEjvwdcwKQpR5bYpsnF0YvvWFotbMDaWxt1
JQWcfefMHICT0zjXietuFez0AB1WWcqbWGafPQf11J8viNR/uSCGDu6IfaLl0A/YugX36OcLQiFm
aJnOqlGSuI1YJ2t3tkZLkg3au+vOfFmi/+YSkLv1otxmRM5QZoqBes9Q2Sq3xa6a8gaDNsa2ZcYw
mCcZvonSYxnJ1rMfzX1LwgvrJ1Y9BbO5HPVC54L3FUa3zLbsdNd52cW28mrv8t5mV7H+C1YnCmgr
5QFJe3bkyLKBpe1tiKm8BMxwZ1pTflnUIqzE0IDF4G4GBxSNNctqm1p6vHPlAX17u+96bOAi4ktN
CBCXkdzHYTKTDsRqc84G36qsS+npKYsbAYCvrL52IO4gseHJH+Jpqw3IC3Ba4cbT68MQjPdNKOtT
SAbMq7PAi5wKv8yfvxhzOW7+5ziS+vLFGB4aJc91sTbZsKp+/mIsLeTzRQzmZgTK/iBjQBjVY9QM
M7JMsItt3hhna8wiiNbUSGwPEsmOTtqRdwhRtsnC82CoDR2U4/B60JnHGlpwZ5WAUk08K+yluLUR
9jGoAG+x//PHN/55mv74+AzeXFuixmbJv9x3P3GumO0GxgzveImxY2IcmrhsGvSQY0GRYegetiag
8cAJuZUcbR5vBsNPSqoZqPicb0F+h1STsQCJGVOy2OQt5KZhC/ZJ709//qz28tD/81LbOhJ9He+k
7TLqWQ6Nnz5r0giqj65HNJENPP06EQYdExBR0s3qmXwegK1uw6ZBvk5TLgACSrN6DZQc0ZIS5BBV
9Hr67HuxyjGLaGKnxZzUZMDsXHPKd8KOGjSLLsEMNnW9HaURtvcEtVRO9MS+nKpsP87qNQsU3CnK
axZwFuW6EhtNK/sDec6Uk9wEOsfzQPuUtql36Pt3xn5vYeU4fuSpB2M5SFGZfOpH9vpJioBHZMO1
bkftRXPlMyUSI23TwbpcFl+1MCK1Su8Ohpuyy1VNvvnzVTV4m/96VYWUTDKFrrsWGpV/XlV3tucu
DKCrTyMfDKcBaLHZ3E92ykrB6epzQyryIszDHYrqVKSMHNmvv2VgodbP6goeUlfOV/MSKlTYu798
wN987cLV8ZRw9MHPXIqOn7/22ILUBUofPdry2aqAlJoB8wUULMxchtwgeGSQoRifBs60jSJSVmzo
EmfPIwfEDXKxaWrvUboFyc7xq8rEXx+i5Rn/5caUwiRfALqb4ZrWQnj76cbsh6ZTWZwNaBnRqE1U
9phhaUbYmAbdfSoyAXqH6bZTgB+hTcWKwSJkq7IgPJC1FuhIdeSICtAcpr98veavb1JD59FmoysF
WDzPs375ejEbBU2OxmKLQuSaT4kzq3CbvY5kjN0+dFGuYrXU/qXQX2LGIOzmk2kvghYqp2agmhpW
wE9yo5vc4FMmBYE2juc7yVMYdVe9ANhpMgX+y7e+APZ+uaauCfyPctHg9tR/feGh1m8CNu6MGdVC
7vGYswMHHjyvogJDbaow6aHM19RReN13eCJkD/35M5i/ufNcKPegCHXXAc33y/daZXOp+m4xL5SP
o+3lB0R+s49s/RGPAmKFzjy33Q3GkvpSleKgXNsf+NzbZBQ16w7YGsSBZJCCoxeZteOdlAP4Im7G
0suNcyWbK8PqSJMZiH3h/dcKEFuRxbg1/ctP4v37alIuuxY3KFfUZLf1zzt0NuSA7II71E3wZhQe
AZoF4wCrkzdDV35QbZ6cgP8AIZkKp2gP6TTz6W2z3a//vU8DTA4hoc5dxIiMNLsCHNKh7OyvGkci
Dk+qalPBozcCKicXMyNxkeMms2qoHQt03eiRL2qsZ0b10dI/MBwsHAhg8qMuY8rlkkMRk/hFX8Cw
Tku40jhQGVCggKBAOMoKFlWzL8fE2/Z6ziijmh+DqQnvowBTweoRqkv1rcMhUcQkvsVpipmo0B/X
I8AJtA18NgyabrS44Cs+Hx4Hel/kJ9qYwgM11cxoZn5GN4nTmFWcsMLZn5bXeqZCqMdkp/RaeQ++
bPal3RLVl+OI0kyNIst+gz1hPMTGHLw2rMFLq0quQ6I6DpnNt5oE0Hy7zq4OWssAhi+7Hgn6UzM/
rCdqxohIyRaT6F8ef+s3X7zJESBMwfFEw/bL4cmlTxITIRnbOYbUeq6VF2hEVxrt1SX/hvf8oZKV
dZMX7rs9WNHZHMF3k2U4CtFDD2ravc1AJuid+VTo86NIvdlP5bTtSffcxGZwbxveC6hs5PY6XyN7
+A0l0bCrJv2r0acxGh7oXVbNm8VmllOhmd30bBc3ozORwcdGfl5emb2S1cZd8M0QYLd9wEReTdbw
l6vxm2rHsVxpmJwspgSs9cvV8FDDl15ZkiSSTuMNYmTiBkV1E8wop5afYRyWzLMh/EKsckfGFwHJ
zgg+UE75u5sTZKtG+8XOGmqhpX6Lc3nQAElpZSz/8tazf1PtOJzcKAQ9vH6G4/5y+GBosKxgTJmj
tiR7oNNmnbvcOJ5L1KpjW18iK7ydl3gRTBJXyaD2gwcGrVAoxKeku83C4suPt7lFaEym5V+b7Lh2
cUJ01ODzNcOi+lCkiy9bK5nvyOkDNwLq/hk0JFuo0G8suWejL3fAL0tkU36p6c5GjeGn9RGcyTwn
GXb+Gtq0YCUS+w2ZfaIurFstbjEbO7ZCo0ZoWovdjPBRAMpfkJ2pw4Tia5PoIA0L7RDSMBySJGTP
k09+kGkYtvB45UjSC8JZMwRO0EgpyjSEO+5wr5PgCeiGv6wohpPRRdV+vQPRdhr4BCbtOkytd0n+
DNsM83YYoIBNJSFx03bE/nahWicWYonjsbJTa7jGBYXXsZ7y4UYVwDw9CUSmeAfGDGwvJTHURRBf
OiPcngKbgsXpvS37wD5nTfkpXUKxZicbDk0IF6lyJz+lTCnJRtoZZvoeJZRzmDG5xzOLzVquveUQ
R6/Q2YLJxtO3b1J72kO+Ime3+G40Nu5ONU47huUPEbZAwstJi83SD5PqVq9h9oNrnHykYQnpVuga
0VJ/pgh/GlLUKCO2kLMd1/Ue1sRTb07EtpUI7iy36HZCtscQRew50ga/ig18aW0dXjloUemP9Ucd
DAzmcRLrgsVksZROhUn8JgjrmrH+ee0vxxm8iWTWgqZZaOzWY5JJe1LN0kiVVBiI1HJOVw1fLssM
66VnYXwwPV4Ia7VYsmTbtwsKcVw09wWx63CXNNAAjl9jiKdoJuglnEjd7moSN5dbfj1atAKBH1EP
d/NyeMvAuq9aTuq5QereRWa5zeOk8rskuDIGKkS4VLCxiGfuNSYe3vJCmpb+iY39tjVq67A+wbWJ
Ct9wecBR3bAetUkNei8jPgGG1WZHZ7lvnfhrONNYGylDJ1dXRwQzLJUt50HPoBnkY7Uvlh4grct3
dvukR4FARyLCWeaNd15DPVrYmJUcHYEjhQx/IZvUbajrzS6tEWtXxcXrE/1U9SnXoIPrsD5K7iye
qB1RabP2vwXj/dE58s1QaAViDT7XVPd71qjMgjmtcBg6qPI6uKl2K57M0byQbqXt6pwPHfN1PuCP
KG+rJSN8cG9TJ8wfbG2o7pLxAyzyhR6QptNizZzaMzNurxy2iJZs3+nvw2lheenYHyyRIiApvIM7
Vzdp3xnHEUk6dcIAYZfYV3CNpFnExMquJylhYMhXDXvbmm1/pUUwIJecZI3YqUk4CO8mep/pdh1s
SdymByghkEvDwbgENam25Ci+TzGTBty+3AUu2iGCz5iVLd8rSsHooiXAhdfbUoLwxoqFP99MyalA
hOHAatIEHvroURKLAMxN+cZI4zC2IRvXuOHvm9RSTYTTrhttGkAGKcxP0NSs90seLY+Kik92gDwi
C2xtF5KdVej2R6hrOMmXt0WnEo+opc9x47n7Lg6v08C8w6kGPbdTwHA6Hn94wyxnivlezvPXbjJh
HS+/gYmUthcjzofQOwQB8dhmAyBHkMG1Rc1LEJyYuwNZ33BAcORi4GqWp3AwOu5qoR9tJ0Iem5UH
nbfeVvbNO0Ugd2bJ77S0K7AmvjLq4Ky59bnDqnr2FDCvdQzTL1DExBya23yhoFs5KjlIszbwC1pS
CbKJaCa7bWYiSZjvaD0ntOjZ8SowMI2bH+EtsNQqCf/pS7SNnWftRy/2DtJBJu1kes2qRnwSnXHm
N6JWqD+tkx+5fEBN4wWc40BXvVffCJcRpY6Eb5n15JyCmo5tQJUmV9uc3jC5u4e2cPlXHDygALti
3yyPaM3x2Ebk0tTwox09HHceC1MfacA3t5AP8cDHMEj4jBcLQ+K0hh90+efYid+ajCC15UKWzYIK
zPj5l3d/PBun0DT8yXLAKi0P9HoE/Jh8WLfFHCH7lqHa9hHco/WJhhDO0KkZ/Cbi+S6MjqWWnn+s
k6CiLomGJ9MI/MwuOTBsR2qPjvIdl1F7GGdmt7wu18NuPRxV7zymSx7RkMIoWsoTcL7xIcvESxYV
12VlPJSdy7sh5aswiAgrs+BmtC0CBZYBzXpiIMnipimG+hQb2ASWTiPEwp3R3/mNkYQIhNwPCMjB
q55GrNfp3Fp+j95yw60nCYI5sn0CHJRlHgDGrCDUVOhBBoxlgF7kgce92+VsdWyHmzsT/Iwdu9fR
6VHNLk/ljy94eVzXM7MHAqYrsOTrBW11fFHYLKCXZahQeTLWw5kNP+8f4yGoPSS3ko13RQN1Sglk
0HN2j8QJYadn2znOYGu05mp0CZLFZve2XuS1mNeXtmNMwoUGRUo8Zp7lxbF2JOPEllAf0kM+ZDl/
NVlgpqkfXfzaaJkTnrqoYpqreKoSxStUc+gQVMMpJ9ha6osVIgHdw+G8CUXS+TIDujEyGUHpvwka
GG+Zh8Y7c/NLBj2Qs1nema1xFKhXYts6ZgPXbL2UTFgmDrUp3zuDPA5mjnxHi31EjEjqKLhwpTTx
j+Fy31aw0oDe/KWuNJa++Z99NWUlUwqDhB+L5e4yL/hpVpGiIgGT1bdbLcjMR+UYL8vmOLW43zsn
AgNQLe4FKL77MMc7nCXJq5ZEyRa/Do56vP17SZL4nxtt49/TbYd5P7shg5HD8vH++aGiRgRgU9gj
94x+twazqpOgWSLoHFVsw0wap7DxPLgpfngZ7wktGv0/f4TfzEkcB22RybiEka5Y104/XRehQttO
cqvdBj1NepIFV6OcvlvEaA0T0YfzAAJm2Z2s5wHnxHic++dWcZ8iukYh3WrfO1Jj5gBwptU9t/Af
NsVMUBiMKuCUTvIg5+7lzx/a+Pdwhw9tMRTzHD43cvx/XrcuLdupCjlOwxL3Y07KkIm9ixldpCCo
DagLFlGnXn6lqyOUyqYP7FhzpMgNtn/5KP8eIzquwRDcICtBZ+L0S2uFCAHx5TR08FNRzPKSg4SD
93PPWh6JYQ6co1E6SGi3uAu0ID/y5NeXWleXvIuvY9ml127cunuitYgelrmP2w9ypz4+/PlzrkPi
X+5/17IM0/YE37I0f2mryri1cLdFzMMkqPS5pgSpywqPWdb8aMzNoLniRvmkhQmTnMUOMBAkz4Q3
aHy9Vt0BoDnJPIzWWUZwhI8RQxI5Ui12ldia7tz5TcZ0wJmdH6deUxFGHtjDQwvnZ2Mp6wOaLkx8
ynd0t/v19K0wUZJDZPyYnJCitxdmFu3HgJdvgX7Y6iZy/UqOobQksKdwH1Fw4BbqXWwOTdAdRGyf
ZQagiDZ6Dl9mDTkUaDJxHmZxZdEiLT5dRt+EFTeJtnfS+nl9s6NjgnMZ0eO7brnDXE55UUTH3rZJ
PeAEVQY5FIoQLQNyfb90Uut/Rm1Q0Osf/vzl/O5wcm2LDTPDVNsQ3jJo/ekhDLohLiKPL2fd6cFP
6LfrEU7ODvUztekcNreDPI35e2t3V0bHMTVU9Dhp2ryZSXz3l8+z3Ay/3CwcSQatNhtx3fq1B2fX
lqcMVdmijbO988oRRrJFzCONip/0CBRqs2DX3LXHDraHY9ffGlwI163s9lHJsNIySFSIXPWXQ/w3
SyemooKpDo89G9Jfn/tKOtWInG1gPdpYew1pVRiWJKh1+ugz6YLOVord2ovq6GMPoZd+gVKbsBzJ
cjI/LeLyQvFU1m67/Am9D7Bxee16NTO3eEIv3yD8uAr7+SpXFBJ/uarS+PdgVQqBT9NCFWAyjlle
Uj99z45KqEtcwCtFqT8bNPG4+OZdOMAbUsAsL/Qr47Z3PRYqXosshrwhmxjfm2edfOgbGb/pQUpY
Wm+XrAjbIz7L5LbFWr5WZQStjFtWNp5D4Trq7X7d8iR68gasCFHiFEKFInjLrtpTnLLSWLf9CO7s
Vqn9+mCjMTPQs4GaulrnFhBGYmfOdmQPUoknR1IaOfeXyWChzUQrKQbq60ixY/DI4XpqrNw9DG16
TgpG2KLRGS2FxWmoje9lgNcgLy12Anb/bS3JRZ/3u7AD+wlh8a4IaczX8kVhePGTcIBFMN+uM9XC
ItndxbYWdeOF1SP159JgxC7kHrMJH0jHXFdQGH9vYrI3aIr5ROtlQe9JLDVahgt+j9OQdMO+CwkO
GyaE1sq8MePy2NJ0eYST+ElrvHql+ZpLMj4hZ8A6Wk+DhLaiMbI9wmWYHXTyLnx6IAOwo9YLsL48
Z7aCI5UUHF9mjjXxbGAa6s9NbRyHGHZx0mp+JEl6o3a+DIh/RmCvSWTvoSFsWkXHos/zXqk8gEVK
r4+NgFXUUq2J6JbqC6Y7y+tcVYHP7LfZqpRyErZ3sxu8+BzP5oVKHHyx0pjFoF5Fub3JxTQcUR00
n9fPadlwJlHqbkuiB3xMC2LnkT6692JknOE4xEsyHEKLSqv33aAstLZw6qSt1M5W7Ztd2eHOsElI
Nayx2jljPfthPXdge2C+CUO+9RbNdwm8Z1eG8R4awuRzGQcMs6Y/qCrdYUYqrlLcpbsZwYBqbuL7
0E7q01hGT7qsg6uMF3VJAjCWPNolpI6nIgU1KMbwftHObkO8lgeo+sjOe8Spq2LB1Ubaeyg3lTHq
PnlprGExSBaRcQP2wyR8ri8+zZHaK+Dog6U/mCJsPg1EC1ctvT72z+Pa1BKHrjYbbCKZXwvmb7HV
5wciiZAZ1+6VbU3eJfTm42wmC0grvTBYqfdRi7oYEBvGDNjJ1M+YnDhU7J7U26nA1aN09J0p29Ht
Wg1rXT7uOph8Ofm/YH8aA3AvZVY8M4+HFNByLpXkNK5PZNeO6FuQdC/oFJa7vJFcjeBTolf6GfBT
zgNJX8m2X0WnXMG104chPa73wFraL81Q4al0S80m4RdViNsapLJrk69BNm+nVO1j/AfYOwTMZiZZ
+/VihCOFQJim0/8RVLhgq7jfszp+XW9PtPEvqUyynViGMRJnbD/jD6QLP6ZWQiu1VAlmUftZr3u8
1++I+fV2rQnYOa7FIRUlPCVl+TpO4z7H/8KmpIYzzI6jXfQ9jHePBvSqg9XyyQdLO+GpGjCf7+xG
Nfd9eeayNcAxpUdocTX7cxLcM/4wkLMYB3QtYICM6GjPCR9K4SPTlvbMdPLgXAETjKqY+sUNmIH0
lAmJZntMZj1a2aTlbYfngKmnv5a9wR3vfChxy/9flsC8Q7va1Hq041VeYPKJr9YZQKnc6Squ35tJ
toQ5u1trqY7sgmPZq1mPMfewDlBa0ZizICqKu3U8uo5cEpJ/iLJv8+PM9shMxnHXw7Rat34IFNhL
OESsUEMhIiYDs8u/I8MFPCV1pn3FFBwThtUpvktUzvDGmjjKIT5x/bt0AfXlpLvZWnPRYjXvNQBL
THTdz47C76o1RuH3EWGkvHSZWswkIy0vj/UgrpYV1TDT3xZF81SK3mSGVwKujot0A9S9PkXTjT1Z
xTkc5WNShR/2vGCi2mXsZ5L0k+K3F6w3eClKBC1onXMWY2ocqYPdx1SXyxeyBGFV9QabbVMSVJnq
71kOzDhtInmeO7o0Mkzz3bDMU1XQPaSZ5/gDU9Ed+nF6e5SxuoCfwbIGfJcT7yLlnB0zVkzvMQh4
RWpszfbWyDF5J4iy90VUHyks65M1tNmnEoHV+o5RhgmPXQS3YqKnthD77QEm3ATuPk55nlPXfG0Y
nv5440UjGWOeSXFvMV1PtZK3OCG0NlgizOnlncLRJ++gBrZxjWN5csa7ToJNCYanFJX6NjdZ9SQ4
bbbr4jAdg3OfGyTrqtfQ0fvjet/1AXPCsv9aZMDOIrMXV47XAIBd+jHFSW4OOMraZQaTxJj4uIZ4
L7IYsCEGGvxDABLWMtJbxQDG8DwIs/wxZF2P7pZtxdbriQHz6N6WmbtyZkTT8FxxkoOZsvE5NgrA
SmXW/CVR/CVAtkvWUrBdvw5Nc7aNLsRJxlhappckg5tswpLYhg58gUScJbzODdq/r+tOddCmx7BS
T0nOHba+ne0oGbaNAyC1qMrqfxN2Xst5G+kWfSJUIYdb/jkxUxR9g5IoGRmN2AhPf1Y3p07N2FPj
C7nG9sgi+QPdX9h77a0X9TDDg+LN1xhqXEx3JrvkmxumN4w19aaW5tmdqhbEZ9mcGKAFO6exocj6
XJrO0l+i7l8vOtiNPxffBj2nJmnWSM1UpSgj7NhZUB9sm8lhDFHG3dMY/Slrk2cioUIhffp7G9v3
/cLJmkcKd2CjWp5iNhldWIKDctUaiRXNkwsvp0gW8rTEm56N6ztcf1vNHNATebhsPHBQu0ow36tw
72xzo0y2uoKS89yc6oGOovV7Y2/1iCSNIXmMWaUfnCDxj/ESwpyAD8yZ5JowfYgi8I2A1ZJd/sFn
LC9rgClUTLtwltM+o40CCBVeVG47zDFxL0vr3Yic+FxSKe5zKog7/bGl2VQdh4TmD/9/pqZQsQch
LhyCu6DzG/ZLaB2K4dCpsRi0G8j0mBv0eRJEfHL6tJucAvamwj1iRphi6hVdOrQo9q76TJtKUrBA
szV3OQb4Q3fUb1n00CHvOogcgXlulR9B8GaAZPwEFkZSpkq2Bp3vM47VXaNuhfRgvKnx7cmJQ7Pz
8VMm5m/PBjGBk9JGBIfO+2uavvxcgpbBu2Bwt7h8CDPGpYPJF4u9nymHZ7nd1qniU15zD61RjdmO
ia5eGJoNY3vPQdM2CghMntUvFHvxa1qjE6uFgBgn5Xc5wlQIAuY1bsVmQX/Tfo25Oq+xPi7xB+KJ
dOeqM0SPrQUhJrNjszruIE7qB180Ry+wwS98zSHDkFg8ytcjHFAl5OI9RED4Q6TGZ1ZjlO0rRphY
/IiNI3djJ6cU0MdINMNC8tb8gIOBxAylQSARcd0za8TgB26kNcfpa3UqloKgwu+uL36KCiAKgW48
E6qwBev00ALT3SbSMrf0LgcbTkIaXZWSI8/McZNuSTdh8VERe1MDmilFxaxRlo+0hzNJJMgj1H9N
b0cyET06NkAB/TZUvXEIEAfAw3ExmsX174EJ9CBC61gzBd9hIXudFutsk1t/cF3x6hvinDGKBFTJ
z4x0AbAlBYRqjpI0E9M+rEB4tqACR8RYe/1oRJ34FWRESv/rU2TOb05v+Vplm0JtEpCm8jEYzWsh
/sSGRJizEjHM1vLnCBz1NHtc5IE5/apVhlfEzXJoWLVt6qF5IfvrvhgyDl4DPJK58k2GCaNyX5j7
vjjW7cBzpcr0AiMOeNX5OKsFhR5rfHUxgYElZWrv8zbd9aqimSwPv5aNvQbNlhJ16cqpUOt2dZI2
RTjs9e+P1vEyhGSz+kqPmwTyZ+tbP74GzT3ijMDDwZNLXHvuDHuiKjrU0Gl11GcPwcu/vKr/gPeM
PjgorG1nj7/1K+kYzU9clNWmmeChdKPvKLfzoUfTR2uX3OJqPtNio0Tg1DgM4bSTVrGvhqZ/dyJF
dR7tt4XKn34t/NSjYmSCxR0kkL3LjtHwqMLamONWnxDOGF5bJjJnzmSY2Gt+0l9fkWJpDw2ZQ1bD
gdrGMCZ0obEMBZLklaz0IH7VJWamagddjMIjB+1AvVzB8x63SwhJUqgyowe7mzSkDi13ngpWwUMI
VgUeWSMEhI7i2zSSAie76ZduCf2geYhhOd15fRifIYq5266Hy5ok9dZjuh4zG9iJLFqZ56kVNY9M
qNRLxOw8QxhjBuv3e1aK3WmM2++5CREAdABViApD9lnOarFqVmF8Ju6isYZwq5cnWbMrZxR4/dRT
d/TpPgNbsCmQ7n4JKTv1UytXsAfUGpdkClEq1MO8yQdx6gJ7P4bQ/AH3DNu0J+1ptWEWNOO4zaXd
P4Cm+CR/imnYZGznLOtP40AqO9E54JWhBsTt9BLESU/bj0aCJPKlQmCALZOPzIxfbKuRp7mL3rKR
sZrnNgdeuekianAL/AZjmsli94YLgJzcRnveMNlsua6AFoWHMUUeQYyB2KPyQsUFEVT/h62KjijJ
5nBrIaDbOiB997oGGDOcrDYx8HckmL2FC+qrOByZKOTKkuNMDHckoNbcyb/rd4SMdtzUhvWmC6XG
GD+znMiPUB7thaGpMaiepM7zY1tUL7psWr1+pf0eYD5zjoCcphlbqvt6kg/TSH9opxn3QGg9uwP0
pTX8UWaiPhhhZV2TQySQVd6ZFFtQX7DltYZboYPzS+S/BqiP2LiKBNWy4xkkjAdDcDMbXrHFF3G3
g0+o0AFcQJZcw630ZwP+HPzidqR8WIyGRjJsnnrpheybu2YLKzG/eAMfdFe8ZjGg175FjmWkAjDP
zM54YMZlh6T/hSMs6nZBWZR34Kb0eZvjcbgmnjwWYzefCg4/gaTyUf+YpT1QzXb+5yJ89Yyxu+u7
lQqVb2+3OvJV142iqV5YwSfM+HuUIkBE91IW53JyX10yTN9FGGH/KqtdC2Rhv8hZnknoxqPZCm+v
25fGXvg4Oba3XYFZOqjLWPXkFn8QagCsDkhnmZsfoCoZW19Up3BsERaJmV1uWGTk+2BNqTuuDLoV
AP3Dbo2hv1lVChgzrAluiHJnN7rKe52usEKY+XzzOuyr5ZQ+5153LRtzvPmLi1qSk4kU1vaQizZ8
WHrvhyehqTKYcm9ewL+v8pTsegvUT8ZtWkx2D8aBDjIMT0Ksv3p49EAYCLHnidibRWtteXbtnRHk
/iVt5nOH5i2WpTyvlX0VTNSO8F0tWt7st98SIJzDyNy2qyDFca2vuUlfPpyWxW23tl9nB6NoH1tH
8E/Aak+xTa5siHMaYzncMLk8hLVHipqDdbQkel3JioEHu6eIvdyyLK+F1eJ+QK96rvC2+dPNsTpA
CuHkHes4ohOoeJ7dnuzKpBbTgwFfA8MH/DXAVBc+YLkd8OBgZ/J2zmqUF4UDmR2ClDyiJwiQFS90
/BOJ8NxXVspDbIRNTns5PE0uIS5R1018GhFWxqIe4Q75XHn9dAqWqPsGqR5VJMglO17Do0fftQSl
984CoYIKGhXD97UF3aQvRjs293Ds630EjNkdDBP9wjgfBgf5lWUwl2fkeTSMttgHTf2H9gyhNtiN
C/mZ1mgA+J4ZQ7noyA9mLq6DSL/HbHefKjX4DKvuLbCevNJNdvY6sdGPh/XFhNWKsvtaUNbf0nio
3oYW0VQABrwszORYjav7usILwCgNybHLTuVQei/cvuk2KyEH+zL4MRtD+iRhkOzZ0ocb9EfZ42Rt
3R5xcQnV/uimHMZFwcGeM+RhvyLjSx05n7W9khkm6/wi4V3GqRTdZprvk2i0LgWc5D5h6ZrnTAeh
DR8gvRmvpTWgyXH449ehfFxETcxeLa6J7LtDWceQXUBdHxomt3dz4vHe2Ut7zFnI3gGPglBTwGB2
0wGJV/oswCizxp1u+agCCIB6Pk/IhYL8BL8vu1ZWlG9Nn+U4p/6VRorwL2Ec7XpIH8p4hWCKb2Br
SdfYTz1QFbfIZ8JshwrPqCKWTz2y/gkHaeVCWUSfkc3CvzZOoxCy9vKyeLhBickLUHMNR6YV/X4A
LXz2xPAR9GUIyiogMKr1lmNY2ekmwTN9kb5/LQ1ibBeGRg9rE18HSblc+aN1oy2R3yaZXpOsDB9x
v6YZg7mlEdFVTrBPqziDLMYg6CAK6jg1JIcYA5J5TCPALF0RnPVffNHuQTjJY1nYwbl1bWjJBTuu
bM6zi2GS8yHzvtzyM4gvaw5kBrlsebBFwWHSJ1eeIOeoP6wVqsmxTOBMFW1fnRwjmEDKAIdYcQWQ
Apnta1FWL2Qos2WfA3msVsUcW+z15BtsvsOcF7orIC3SsD7Fqxtf9LMj3faPziaIrU08aw9z8xc4
J7S7Jjty9ov+vgqwu4J+nO7DIZ/vyzGVW6038ZNR7meeARKbjMewN8RmNaP1Ps8Bbthx/FLlofm9
YV8TFahO8riy7tcufZxaPzlJvGfs7pR2gi89dUF8hePgHYnfgbUpmPJnef/I8Oh1WPhMkiS3n8ms
Xhb7x4pSgFBD9CEj4Ohj2zUTMqUg/lYgat/k1UuOhP6ld006k8nKD6s/cDaCwiPauqquyEFhnNKh
MKWzNq0JKGvOBcyLdj4mMiLgd+4Il4qbvSA2aFOggXxg6rxR7qgzc/HdlFGUj7ZizlfQZIjvvs2B
SRh8XG47rzMepZkhXeo+mRE7qNktCBVBdvOF8VIK/zdsVHFbZO0/KdQlQkogEvF6q2qZMelpp503
oiBYQ96H1jUvQV3YZ8YB3l7Q7z0msNemHlxYzfbgqv+XqGk8uzIlr81XigctdphMJJ9h21s3T2TW
za5eR0Qhl9zzq6uEx7A1angzIdwP9y5NE6IQFhJpVD9wpaXes91laeo35iFihHEx2o5mAHXHUXbU
4jmwx6Sc5kdoLP3gJieiE+KdD/iIzdn9WEC2hnfxJsbOvVpoAvYprk4CqX4Ays8fShnYqJMruUlV
YI8VQVd3uzbYBGMMv9f0XF7BYL6OJ2sK+2fKgOF5bYptQIY1iKCXeUbPYiTLCWGFzyYOMWwvqgAw
EdkNeAYLgLkN8ZvZRPijkSgtFwmEnRfLAw1G8cBTjd3BVQMF0vkq5sD3LMXje0ditk4LMZ/adQBu
3paP1jysWPH8giBaNqdSEKbnBCmy11W8N0X2s1K0kQmFOdtKAgeiGJOkcqhOM+6+DBZ6B94PIHTI
nmAu7gfIALKgye+kqDYII+kME/TbupqakgZMwnjBqxLREuRNNWyFxfyzspiEZn69LWd/Zv1PRYxH
B1WVDwGmy5n+XmulJvcl5bCuTi2lOmIR+Aowx7u5y3C/RkzNEB8ZyMTNn8RYOO8Tnk2j2GWtaT+n
PrTpOgvHncFIfsfM7yrIA7mHUPgY0Mn0o5X/4mZmJkHEIUKVVmkf9cSuaZYfbijDa9mu4ddqZ+SA
33TRgwt0/1zUTB6UjmpfDACu4675cF3o6HmVsaGjQRULaYV2Vf9gTZn6TJ+7Hk4EFuJNNUQIASC8
Y53MKdn7+hgZ5onroKV/Y3qge9vFVLYFZifYVtrvrKnwheXVSWZIsIwVIahVeRB+0+M4K+JuMicn
Rr9bvXRbDf8Vcgs7hMjsj0WzPAqcwJs6fHSe4sEyiJP87YUvjnjLRTg+5MNMUQXoZgE18gp4YWfL
6TR6TnVOS7Z5NHXshhtGW8PiEuex+EgGpfGOnBJwZEy0mutlzyxU0ockZLmk3F2NwfdWegLw08Jj
i5vTojUAsRCnRI8MPsnLMUfwCao3UoJDiBnPme2avOB5R98xH2xzus1hfYBiZT61poKEliUMBWmG
d5FIkqsB7hrN/oMTkaHp9MVDS4z8wTTl72K1VmoMF0U6exi2fpsyNq3LjCqLbDdSEdJG5htGhN+r
sCAwYSRMcEyz+WAZ9aUmweyq/+IZ3IPWTN8gC9ZsqP32o4GWtINHcV/E2B670rwkvkOMvOtShzbe
b9Zaw3lk/EJIV3uecf/sggEVMvTT5qx4KKFVkvtSN6hDZ1To40xeWlUv6y4zCIFPjMl4NCidy7di
qIqdHbX18R926ebfJQpYlEzMp1bkOrxMSpfzb6v0thcNSAYAY1UOKs6E6bMoaTybn7BlRG0I57u2
+uAfyGHYuj+oSvC3lPmzHoH2vssZVg9/MBkcNhm82KYpl1u8sA+vZJYcSofNn4cikLA88V44SLX5
Az7KxDG3fk+jNqzhuq1zFT4n/PeO0MZ7XD8gSHm9udCZYnndnyN+k82Xzj/pnqtyeS9z9USraZ3M
Ko7IhUMiqlfi0/vnyrDPIAOZ8vZI5iuwrYbSf7bM3kX7pviJB0/PFZXi0DboKFz33fKcNz10ralM
gLWJ17QLfq8W6XhDPo3wOhGresaApESp8d2sJaa9Wq+hQwAvnjd4AUUPr38WexEynKgswBxTvb6V
v7X+fI5z4wCcnwspe2yFHbAamULIR/NROOTcKoksjnlnDwr2IyP3TYsTuT8JERzQwheGAVkmbL53
S/EM6bF6CNEWb1PP+dHiYOPkKX7pmVGbBrAF1nA/FPOHU1f1P0m1/L/LL7gaTRflmBX9F61bbjOe
NdHEAkVjCmgRUQrMfATeiBZ2UVTSWNx3/L8e+8K5BYIAI46SZ4OQUpYVa3BKYsBMbjmhJZIpn4mU
iPboT6gH61erw00DRL17diCbntYSbJSePcSddPfr3Lzo24dcsR9lKD9qwFCbzDXDo2X1aLnT1rgT
CBuIASfVJCzKP7vYYifvjsO5tnp4ZknMDBnQy6a0kIhlkpgKODwPxvidEhftKNwhooTJYQ2lYxwK
UYNUSK2PDsLPmUHTtWQ/B6uaIX/TsQ2tLKs86UGttkbQ+NnSt9/Qpcve+sNy02SrH2McqPQYtfco
evDlyoxRBI3z9FGmN2wu8blxwovTeMBAW7c/lISyYGjKvqVhie4Dj83SEQG4Rinf7UqjgVxrhM5Q
TBQEaYAsS9oMni1nPGS2/OhU2BPtwLTz8bPhRl4xHCQUjDN5I37pPgR1z+K8K89opKElK14FQFok
xmCIl50LR/yiBbZ9CKuqXL7rv4m69bsj3N/6zScO9nVU/hAlW0TjyFlhzPFWF62xem/RZKOv6r4W
c0nBuM4f3bsyV2MkX3x4bfRYLF16JLL8aM3BGzWchXcIolMBzx9RWYegg17SZ/tTNyPRxZRilZIM
Z0VNfMjCnkfNpEI+y3MhyF1yrHnH8PglVcPvFnyNgni9y9x6nhabDJ7Y/kxy/FZafiOD5jsLuD2j
ubO+Jw3wYNgaefXpKQuvfp2c4UtpYNeucYTQ9csDXfcPJ7DzN+2q7zuhjTsU7aMZONFfrJV+6g9p
6pL67OTd2XKyeV8V5G1YdUDyJEBiDsH13bHI3p2L5MVWREW1hmQ9ER/L3OwOwoG/psTQfGq7Sna/
Uok801Og8zBC/28mp8kAG8xISKvuta+A2pW5cQXfynP5j7nrq5ZA/O/bxfmbvtRnce6EjmNHPsfF
X0WdbcrSLnOSaZMF8tY06UKTPWdPWZH/ign0PprOH3rvo1diepSoS7uMEeMGFoXKrJvwivjYR6xP
BzF3HnR/zkRszAGcwkawJYDXb1sC6q5aGjTNj7KWZ7FaHbsR1H9lR43aRVBQ2Uo3/yA3tP9mjuTb
cwI+O6TQjh/qu/Xf7k6ASqmV9gOL12b5VrS+2NrdRDjPvCYHt5HEOfXFvCGEWw8j9dpB3ztB1XHw
JB3hVGrgWiTFC0S3CfPtQXufhkDhrG0M1Gv6+b8/kr9LJPma3QAPGo4BvMnBXySSfVVF1D9I/1LD
I1R7PYH/fMW34W6MqOyOzRrj3WBdvTiM3I2M1HdS98SlNEYqFtjy+LL+0VaptL3/IZP0YZIAwVBQ
BqTlf9WUt3Y55x1378Y0K/9ugFfesJMOAdhnSR/tSrwFxy62scGSNXtsTDWqcOJXI6FOydfu8g8/
InAK/+UL8m0bpoUV8ezq5/rfPlgrGPo+Z1Wl1I02/prB25WcBmfD9s+8PqD8vCG7oFWCaOhZtspE
Mn9qAoaW+6XI5HDwklyTeChQphRlflfLb/oxYDZzKy3UEX3wXVg1SB3MalsPOQ64nXSXT8AnrJZo
z57JwKmbjadCqQKd+Gdi0jKNWXMpOpjoQ72iBgpX8wGo2okIsd95lzAbVUciv+KzHisHFXtjxUXR
RVwuFL4Qo/4ytA+N08YPM3mXvYMipDbo7WJaoDsrrdy7RU7hln0p0BTsvr0ofhReal4m0EB3hV0b
r0sUvLHiwzS2xvLY5lP/XqfTh6im4az3DaNdmTuLWTm8GI6e3GsOufcMXmh8m9vkl9cNNXuhXFx8
Li1GJMFZ/+ww6dd3owSHn/iNe+5/R0npbBxnkt/tsf/GLJy7qnxpww6GUurfaNH/nCnGOzcYLiJy
aspyRhZmVLSXjm18VRKAPVeyvrbResKSZuyDJSedYA0Soo1xxbSIgMXIJlJ1YsA8SNybnV3dAW2V
IvEOi0AQQ6Xz6fafXRiVty5R8kEzyS8hDj1gEUMF3dJAkz64rHpM5lqTTfCHgoT4EX0sKX4E/vYP
VYcOxZLpPYT2xxQF+x1/g5QrScJtmrkEAbV2dtbL0LUm3EgxltuBFhVDtD2Ey9eu2ewczCHhiTJ9
k3bjYbZB8LkJLZWd59NOSc2Zlyu9mrCZh03sls8+PohKmQj5k5lJrIA6fS+7Fci97rQAelY2uTGX
8suZhGPjhDSQu6YyXqVTfQABBg+vFKtaWk2KgmTwJm7T4P4koor5JZu2mX6KiaNxdW3JMTiwT47s
q9PvQPvfoTtwqfJYitasT++k+yVlURIwrQUbTQnygksbd6KzlZPfv7dcGCNK0I1nRMPF/lZUrfUl
h8ti/Cb6Udftsa7vGR5Gh642bkVXf3YWtjqfX12ElKgfQCx7mf0k11TuGqNV7Gie5CVBy4PeaBOU
7b2+hIyVmF6RTWfOo30+pfY1tOWhiLx4r4UU2J35bpzxruvW9TExz5GNHYvd6IcnfB9r59jekWw3
zNL8JKIJsYj9iNcpv/ea9jEZR/NspViqMsPbmywDN+QcMcRf19taUPXVs+/tls55bUmOKRi9Pzqd
uHY9ip5mKOw9tkt3P3btcfIIE/UxMZ/ol49yhGVDjHd9JHqr2KE80SLezHYBgCZIcokxIRTU/cjd
CDgNSphDawj0M+P4LW2Y9Thu/Fk59yNxIYcO5OHeKxjTNlFpMH9kYhR0y6lXw0Ub2yErVIPpAuFh
efrsBIKNQDwf2Llll9xI3hSjrHOnkysQMXbT+BlnVXUZ1/oGQv4kJiM75eWN0v7gtu78WBXuuKvW
5IWl93RSn/7Su1ffaZ2ThQuCLE+9QQBQ8O6safog2E8ljWo0sOezgEvXl5YI08LBaBX2tbu3cxfH
ZIBKO3Tj9w71IyONq9/BGslEzFIbjPE5QENzJy3jUGLRvRJ1Q9RkkjxJx2mJFzb2LpiFKrUwRVvL
dBVW+s1csW5a8Y7xORCtBiGIW1nM18efup7SHjSpxE0OPu5nyjA2Ecoppw/voZl+ytFhlMIiXe9u
2qb9va7NHw7h3HdjXSenvMmIhKOMa2Pv0zR6HxG+Fx6O9YqklD3ED12ktkwamUZ626VwxXnC8ZJV
ikm8nheLfGRdY8SZUulU5CNq/tUc8q5kVvgKFo9JU8NaCbKtWY0G7miSLS2V3jUfTJJQR4J/Tm4y
nFKl1KvCEoR5KzGaSuyEMzoPmbyNA36V0Rl9XF5Eaaf5uiualcNd3VL/L63SV0A4BU/5xOZSuuzi
Rt4GYr82ukP4lyDFOnYGEsVenUoIB5xJZbmgKNTfh26qxoFtlhmjCggjJgM5Um49UdOFIrNmUozr
fJfWPZ9n+9uo5v4olduzUn1GbvtQyDgBT7Uj/ohbc95afns/Rrl1ptHYeiFvVu4DHNUb+rGZr0pU
3xJwf2zyX9BXyZYnuNJKklu1hP2Z3J7bMNTymKJemaiODoYddpu+LS+xQrokEVJv2Gl3Q9Rt8wFR
rx57anF1RpLyBhYmu29warkcP/T4oo2Wm4/nZqvN9sk8vhQ25V+a0Ir1yl6uUQm5nVYPMqIuNh2s
WuUKRyPPyOs21Y9L7yoMRORoi1nghOtJn402DKaz74rgZtsA/4iPerAQxdVqAFIznOKeVTUEyLMv
z709UI3QWFO31h+Vi2S8NJiiALtj26xIV7lwN5lgF7GG2a91JMt7WBtFVA9dAvTyn4tZRJvURlCX
zeszQWpHg7ecIx+4CNu+SGWZDn21tSvnguk8Opi1fDQNJ7uUeRehWkCPaBJwtcSltcGJBu9/joEu
BEQqKbO0W5J0TdzqaZgszPwDa73Rle2xR2TnYJNhxfKnUpox+cBZ3YPkdxMif8aI5TZifv3MeEuD
sGpNfg8+A9TgtYjr5sA84FelAtuclsVVy3QKORMAWa8Z30BlmDMhxeNKSFeGQkjVOlWFQSqal/ZS
O59dO1eP7lP0sppk67TK+smq8hWkPOQCNaLSF2fZknHl5AZhall+aHqzQ5KzXholCRXo27dVWL07
LdGccmrOVfgAjHgEMzs/UJRMZ8tybShFfnWwli7Z1zYpv96A2A+d453V5OW5sa37mtnYtkn7oyo4
tlo4F4fle99Y9W5GoogAazi2dTbeNcyvhOm0T+YkPkk2OKlfarRK0+yEMFf7nwW/WrOYH824vi+5
1ro1sdFHcjaAIfgw4qbea2VVzvgCDMmxmkBszNMJVXZ0mBcEJzkL07surmPCbxGneLn5MNXhyg9z
lwWckUg2ftfNctUjskEwS04Hh1bdFflpSvLXaU7GEwJQkjIppSbA90xGf42VZR+YXJCQZIVq2LxD
8DrfLw2iJ4BVF982meEwEzzBr1oQq3VCO9L1mA6BjM/0P9hrKVc/GTV5rxRliZed5bK+6t838uSd
UUc5J0BvtywO7WNax0ddVqZJm94NRMVv1pK5f5nCImAcDYCJ+CFVnkY7xBXpvlO5r0GA6VS4+VMc
5lQObbdzIUTu8ybNbhFN5YEs3R/JQsJQOw4AgryS/HUv53YPUGRqoZePx4EBOPKZ2PCPCkWcu49V
tR6/nA5aLavbaLciN8tHzEMeCVl4hveULqm4J5hhV81Lvscezl0OGv8Ae/mgZV+zYt6NPLMkTHEI
sbpR0pFkRpINt0AY/6JAFoT1yNkyvrT7UQNEdI3bA+nC7HK4zi05khKlIH82uK8/5kEc9V2GqeVA
8BQKMAQ9IOykiowAIKo06EvIXs7pQQcX2DTJJWgpVIc2cbaeRK+sP50aSWaWzv3XqzuMnCJ5nt30
28yRxrZWsARbuYZY9Srpl+gKDEeUmxN8kZ0sEcMEvX9agXBvXM/Yax95lxIDYo5WtQFmjyUw2fDw
DgdMVzf97wk9Xu/WBq3x6uLaYsmmRtXJAf1/vZUL7w5suPPIaTY0nnPQitnMrZ9SmFSPKEEHLxpg
DpBVVnjuH31qd2dsvVQC9IFl7m6CjHJT11LIk9oJx08h0xfGY3cDX/qNMKXdPLIicxcHTH8SzPZm
wo07ChKF6j4gboMh5p3vguq24krQJ4g9yvf0Wx6xPJGkDdQpIZqxG9/0e6Xnj9LsVvSt/J46cJMb
RMPkaKsiW5Vl+rrQrpoZywZtW3+E+KdQJURZOMapnMfoaMb2lxVsXjDYyCqar0Fnbry2ce/9KcFa
0LI1q9z2B8yM7GykbFHZIT8V4DjnMeFczaxf7lp5RN0jsRJB/24VnOpBhEYD8PivoUDkELsXffsn
7rRs67F9zqQ/XrvVYHWrtOT6lWi5Lg4WyfQQvmjVmAn6YfTYusFVs6Ksqkzu3Ci+yTZ51lLBcPHe
u9IjM0ipOVFUwmEFaec4Zw3omhldnsGZvEx4Kk5ZM98biEBQc6Q/8mw45uZy6PrZvC8CliSKdEmg
10DKSl4e84iVvXry9UzKZWDS98V9yiadzzp/AeNWXgpr3mPHJOdmdJ5Y/r73RB1Tn6IXTaKFZA2r
pEXM6mdtNfKV7SnzFjBCJlD1NuYzc1ZSx5wCkIoJmmHTNLXyBoTtmYlEDVK15lbcS6xx+45pzWC3
8z3qjtfZz5LL6NHQz0KeLKMZ94SpzCdNayjcGAZXkb5pE8PsWs0hHgIiONwuYi0zRRvUFqR6T8LZ
M3gmHrfzGIRovfOYiuMaOU9oBAXNQDrxFXjlxmgYMPfxshucBQlNTkQ48x72hWRQ3lVcPcTy1iig
cG7pOzG1E0SjEwP12kAEg7Ppp4SFeeykeZC08NeWFqZgHQSDAjudAw/ZCkg5SEeF5E3lL5lA51BI
C32umOSX16Z7SYrSoBvlBe/d0dkyG7gsMbAPAA7vBvD7Tb0sN8020TVmHdJ1Z6Dw9b0lg/WxVKCm
MWPFBPf3dXFlSe0fXzToo+iw5sziW6vYKOMyvmSjnHehzMS2MhrGeZnzi5bvrer4GQ0WRzk5aBCn
bLe40d9ZAB3a5ybuaVQn++sY8OeILQ+l530V41sqcq7ZIqz8g9Xwoj+puu+QJkQFVUMpLmPGasDn
5UZVwDGQI6aZg+mhRH666U3LByeXuEc/VlNk5WyxUFjt1+yxkNxHWUGjbrO3yBocQeCX2an082uU
286hpg8aR6/7UsEPI2D4VL3l9UgLPp31q6Nn63XeopzKPkVM87iI/ILjUNzTXv0DsvW/DZAdkC8+
mybbhK/wF/pkWXZjNA8mt2Hd7zD5U5akn5Za0xTgHc9iMyusjb78NVaP9a+6+PF8KGqrk0UflaJI
VQCF6/ybERjJEev6EX2eeUcGS4pLyv7IKu5GM5H+LoWPysi/pMdaCzLV7Jh1iNc9luQuXV3zH53M
Gp/318knSEXASKFlu3jE/3P76g6lb02ePcPdCr7jRMSgUq4ncwpfc4uuDZipvbdMxrHhqmNiC2I8
TfemJRMqYH4LbeBs1H7H8q1wz0ZI3RN0Bh73vDjNbr+fETM+ETVDQMUIgrZLYf0j3xiCsy9RVy6D
d1pSOIdtlpx0DRH681PFBaX+DCg6VXg1u0vmkZzpMCPaqmYnoTGw2+qZ2aN1Gqr6wqUpdoSxcTjQ
8ZgoKLZj4RvAtf371R0RyeAr95QywZQV5dxjGcRMG5a83hmGmW8QeN6VVT8eWklmzpCM7aWonSOs
JwxCgsNdgOOCaimrC7yUaz0jt2CAxx3kj8XT3BvEhAcqexIACEzBc9v7ryTmHm0sGMcoIbC9d0bi
BJRDJ0QA68VolaPxD0cxDUkNmIlvWaw7U/bxdQYGmj3gKybJ6ZnEpzeErN22ibAdJIW42ulU7BxV
7TiUPY1tV0RgYJ+VHQI/tjQSC29GwGm43NIp85GECu8exyjaKnRXxzH0fuLTxgGg6tUyb3Cug5ay
kCsRujXk28UaIdLmM7eee7CdRiCGrOM9edjTIeesDJqKqBxJwZ24MVuDst+JyfkaDGYKFzksEBgK
d9uK+TsynuIflr/2f1npBBiC2Hm4Do9f+NcntuIYypibfgF/GD1XjNjWdDcbI4W+G5MHRDRMoPCG
hQLRp0qCr79bCxFVr0anAj3vnRn0AM5G65rP8lCa5K1mnRnfDXn0q6RV2ALraXf/e7DvWGq58Z+v
W8iWgXbh/yg7s+U2smU9v0rHvq/jmocT3ifCmAiSIAmSgAbcVFASUfM819P7y2Lb3VLb3faNQhIB
ECisWivzz38Q0wNMT37xDeD8z+n2MU9brNVCp7O3/tRTU3vTY4OgLG3c6jUzqW46hT6QA2Rc003v
5gIGKP5srH18n1hoyn1dt8E6HYMfypziBmYhNHaZtCFjRKGYQtzDPt5Bf1S9+HHs7EPndpkPuA2W
3J0b2SgYsJgyzJGs64Zbab6LSnggVYQfmloivvvQLtjpRZnpbukeoBbb6lMrfmEQ/6TsQtedxiNn
rbKfCD45mOZFV8qjG2Rf9IGoFL0KzrHuXtwG6uFiUNm17AQpxdCGtX6TlJ62Lhss9Fqshq42hSrK
Qe0VAe2DeLtVHmJasuB2ZJMt5XiZ2yYGRMExoMJHqYmlkTnZKRD5p8JmeDs1A8oP+50BKwju9Ibg
Ngcvw5w6+RxXA23P7SJ8W0CRAG9K8tr1laDQu7b0Qgjiz7Y37pchbyx+Xkb5OeVO3lp17qCEv9M9
qiBx1gMtRVsqflVzjgoMmutHizBWyR0oH3orGb3FLezxAYWEED2CSIPAH9fZamgNqhGxb10gyFJY
YOLu2HhsP3k8gB2UZDjNrfLDGAyHiO/QIeHrvQicr3Hg3/YpHCEKxPFxpm3QEE5/gOuJjsHsBP/W
tOrPYYI76FJXW0IRcyqgqiQBQxVHhQG+7soso5dlgh6Tq1eBKK21gVw+nCogRgzgs4xAaU0W68H8
DDgV3aWuC70girZML0KYQcZ0384MtAGndkZoP3fY3++XBrYxdrpeoEiVp+eln+9gi9dhPx5DDkAV
y1ZfZXYhNJiEnL3tnMqcSL+48VDfwO3guC3Cu+XZlVOBONX9KSzv8pZXwGN3NbWqfUvWI6mqw3pG
ZXDDCApgJfQzwgxIOm6jSKM/wPGffC8cW3CVJAEIdjAnrwijyxq5FuPbZ4OhCtYh6UswA28t6RWY
Uhhr28iwNCjR1jQHzUm8HTfQw5JYEYP1UH7M2HnWkITY7j8CAGIhBzga+o2P2xBiQkCyqjWXLtUV
nIAkRlegduOm8rAlWRSCdWuEeAH6X4OZqTq8Y1h9qoPiza9RBtZa+EhsHIEP3gm3kN+N7H0xYxtb
S1mbAaLSpfq3TVKNOaJ2St7DxAYMgGbx0agui2CBOMmhGzdlKtG2YmeqAnAXZiQET3lBH9TGCkg2
EMTMVImfHPz20W/ZSn07b1eJ4h3HgLBk3Rn6fWNkL9UMO3rO/bMa0Bo2KbKTxvYfghZ+GbMcdPh9
Qa5i800ZJ4iXroPwMJ4A9F3k5+seVOg4h+B9RqUqJ6dvfoT1mNw3aEmWWsBTUdV2uNE8hkHzNfKm
6KNqL8k1VUdNf8mt/IzXJ6lqyCE3tnA9awPFrdWyesO0hurXg3UGKsJCwqee5swubsK4aDdOhf9x
1rcPQR7eFmNtvaJ33ZWxgI8l0YQu08N/8o1ZbGF+3v49g6Qk07IM01It9Re7q7nUBzx5Wa8tZiqo
XYFvk8nUHjU1q4gEbUf6Cq/ZZTLlKOP5EiL7ONkAbfi8DXdDRVMVRABXFqd+gBztpOHWqTSYO85Z
RmTWHKv3iWF+d5RxS/9e3DUwq7lLoQnn5h7nKDwmEpoHz4z8jYW4ZuMOKAkUsjT2it3BYMyts6Jc
AuJYN4AJDgSzMN7lwCw3pRNIvOpjTwbDU6tTriSzc9cWdC3O5Gr7iNjx5cZPQtPEkcSp12XQmds4
YwojyMjyQ1P4v0Gf1Hdll70MA6TdUNa9YZzLQUk/FGSoRu9SBfSzCZVY/CzTmyEuPpszbdqCETgZ
WiYl5e0aylqL7MtingKtIN9IxFxjvTBtnrcLT6VMLX9bwyR0imC6WfaTQcw2FhC/0yVCyntqaIXX
cSRxNiNTgsYhsY/yvsKWEjFMQ6JuUm8WmGWYHJ/GM91kELj8OXrULbDMZX838iYjBNKbV3rRnT2C
6+4d/3unnauEw4NcPQN+3arHEQIOE067T7kUdaawjBeuSIFRYUnWNAzxeFs38+cx6Ku1VhM45yrB
jjyTpYBcvBVxWe/uJzN8XsaPywRVKfthqyvJLW5r30q0quu8Ik0UR0omXX76YE2g+h3Tcoxp2Yqm
LmnWOtGiSIdaeMPMJwMLMT+UHMKOu5vArLn3OqayC0QXDOh13W641dnqH327nFdF6Kc3tVrs5tA6
Mv8FeowAfgH2IZdEA4kioqqFAQcUaxiHSjUIAhUNcjP2P8Y6gssRaB8S1Fkf7bUx18KPDnkzEXCE
n1Q/qHaYRPgQaQajI1wt283DaOx93QmgVeaYHpd2cvj7Ks39CxvEQciGm5/ueKaue79WmIOKlek4
At4bozXf2S1prssfGNOkwHpJiKbJ+v3/lh+0jt3uTA3in8XtZeD+zlOsUDcf/P7bH89f/rY89Y9X
+uOnI3cM8xCz3eWEIDSrPIcFi6ok3mopDjURAlDyYfEGwBBIzdPDx/+2xmWIIsRR8l8fT/x45B+P
GaPx90fbTrFXcxigiZc0Ry1CNN+Vmnsbu1EeI6pz9qldKQ8ZrIrnKW+tY6AfEXJaz8v/6K2eHxrD
fPl4eBBnPTeCSrfg3CtFdUNQcvcQFQ0BeqkHWBYUU3uHYvwmkP9bfrA8BNWENUqscvdgQBfB9/3Q
5zr/yBW6l+XBih48TAUB6R+Pkod+PKtT0uvybf+37+N/Bu/F8WP3bZa8ru9FOdVEnbe//PO/bt6L
x7fsvfnv8qz//aifn/Nfm9f/cfrtWtS/PbzuTr8+8qcn8vK//3pJLvvpH9slruy5e6+nl/emS9v/
FSQmj/x//eFv78urnKby/d//+l50eSuvFqBt/XMemnhQ/t8j1G6b9K35bfdeF++/PukjRE2x/0O3
LNji4DWGbgvN9l+/De9N++9/Kc5/2J4Owkwag2RbacLZlnEdWWm2/h8GeRf8ULcdCzIVz/o9Rs3W
5EcuRvBYv6n8af7/xKjZP9+lFG2aaek2RynAKllvv/pd2r2Z2CDQiO4qOt8QT5gGsgvzzRaEDdRS
1QMPBK3aGk77rKOI3vQ5h5bJyLIoddy/fNPeKEOwGS1uaxDKhM652LmcZ2qdHsKsPJaqhRNkOL7F
WGS3elBuAxN8o2Iu6IwlHsVmF+Pypu5mO3j0CWiouvfJLJ8lQIW28+CMqMNqL3tQDJ5mONXRAPtb
GZzAYluLW51KF+BMCNV6Jl/pBUHLXaaanzsPQhWq0kjD7RqF/MaxCFaBarYbnfBrq3IO+kF+0ZLi
ok12spFXi6bvRlM//GlR/H5z/JZ32bGI8rb5979AuX7qWJfLbLMHEoqn8t051i90vbyOjLR0c2M9
8wbh06YHwyX/ZRmv+7aWbDyfRC4HVyQj5AxFlIvhR341fYOkT9M7ybWIPS5u5HDRxQFSrfTPuceV
VSLibmKm/6BNToWTdG09tIBBTMoQtGZlcIYseIDaxpfAiIUriYsahT7+MFW0qd2nuiJFnbEsJZvL
FcmwMV3epXCl0vkz2RynvgqXgWwXOWfNvZkGCiYtJCesaL/obXDGyy5dI6fGOYt6AtLtObGOnQqa
jntHuq7GcuV5RrLJGe2hrmp2mgUXSpsB16FnAIujgNnlvvJYY3m/7gL9QbMudZEdUTNgkuS6b56S
bYMk9HBY5YMwISM6osvuPaWdbnRkwKa5D0f3U1JCFMX0+1R3fLEz3C35iymBO0M1bBB6JLfGaBPS
yZC26+DKMcjBqt0eU4Y8xCvldrjCEAqZLYcHLeSdXxUvrcV7R7T7dbDcS1cED4VePHWYr1hcm7BR
3sWJE3R1pY/FqRlYj6yIZjWDZZJZzTsa4GBgjCXO6datPJhK5zGY8dld5uF94ZxGtCdKGB2Xuwru
3qVyw5tYGb8HDSYvdnxVK/9UlJ4JLQc6j+d1qwC3e3wQMC02g6vd8916WOGscjHhUtqDAamtNFll
sq4ZrhwJMsC+vuWGtvtNng7fmE00tD0eHgWUnrNZXO3G4EKowXXKC8y9jXMtn6ZL2Alw24nc+nND
rCFKMOcGWh+Yvv+SNcklcivmjrUP8xO6s6LxuQnD+DJZ2gMAGbEDQXSttOTQ4Z2O9ualV8Mviv/a
2FgfY350lQ+gRB7hE/Gg0k2q156J1GCSF6r6qroi3+WKEQCphG33mgb6xpnI1gOJLXb4aN+nkS5J
VeMxQURQWrzjhAIBFdbwUAXF67L2e51Lw1ienq3YTUZ574ba2/LpRiu5/P39vtQ2f3Qocrtb6AFV
0/YIU/sr8dSEutdEXYHHQAJUMozkcRDD4bkZad2KcR4L/eBE9jEJITOoKh58KiP2EXVKhJyLYBLM
puf4zTFgYXgSlY1ii06WuJQCJxRIYS/WC+0IhUxC3lqLHwzBt7AkVegoxksZpVj/atiqaO+tya9U
a/coj8Kd7jbNDX0Vptqmi6KvlgdfDLxmYJKKNHCecL/KnnCdM2b7ptOh7wXjIQMz68oMex7QJ8Ww
N7Gr3NkQmfLEGlbJ+O5gRjFjIo1/NsHLyAUm2sZV6/YKvpt5CDly77PqYGLknyrQ3nkuctqV+G3m
fSmwXZlkRrfya/TBJ2Kw+WHK560djYh3e/zhomBahY18ervv/qmb/EU59fFdwTHTCPTQNc46UVb9
iSTMZdOjOXLRJZX62ROCFpephQBS+kW4ddzzEKb7rtAuqdlCVomzXdXMoF3FhNXFeJJHezNf0igZ
314a3mIJBXivXyJM2cjm1c+z+BRo6rviJG+2w+BfMd/ol3MkT6aOHICrpdVEAE7Oc5NUb7Q1ZwAy
smjY2KMq/4bQ3lkVCnt58aZZPiacSvhqOembgy3xWnOyNxwBb8Hrv6Y2a8iruHoj29KqgGwAB2Bb
wJ5pQBFXjs8FpNDw17GJGoVLqvsTJna0tk1I2LXTH5ljHHWXT7r8ZI6KZytvjkiSDwU9KBqqAILq
OK0Gm+li5vGZg2TKEImxT0v8cqEdR/EPJwahwr7BMuOcfY2HdYN9xBzjlp5n7ybOzdwAO+JrXazV
2JnW2Mpv7KBJdmF1boK0hxsVAS8n5Yp6Y4LOqn9zBpY8OUaY6qggd7rnJ/s51Nn8uw7yWvK1TpPH
v7+THdHN/XonmyaLQyPUzVR/1QaonRIFSqVqa8PhgM6jQ2W5x2xwjzOwItFfxTfXYH2rWHW1Afmt
fTVC7OOmwwQDDzk6A58cK107Sw5PkaiH5YdaxF24yNHs4ty6wdZSnYOaFG/yyC7XWBVTJv4A7HjI
t1a6eRMIAJp06VvZmudo0s94okMrdY6Fhd4FktMx1lyuJZ3NulP4ruUNAMacERQdaG8VCBTcwGPu
FOvCUOgAq+048Jva/pxUIPktwdorJYcypH/iedO61FR1Q3jdPhe7/ja6hdLNy3pYYYcTtB4MmCX5
wBm4G1qNP9CGc4maDj9LZbdsAopBxIfdwblxj4zzjhObH4rA899/SZJE/JcvybFgTkl97TCB+/kW
nnKl4ZPUOj7dvbtVfIA5Q3tstfzYO/lb4xDDrbPOELqCvWMeppmsx0i/zxgWoGxloyI8G5TbOMvj
tZnEoFbNd1mV0o+lHI/R4H7D/nIzK1QslspGm/MEwifwXFDu1OBzU2gvns/oRG5LO4tY7vIdKH7y
taiYAvFdyYYfhHjsjRZjYwtBOm4UfbP3czjEXF1ysFk1NoaInnXuZPdsNfPY+vkM1rdiyjdV7QNd
6R6HarYgOVNguys9nHI2jHBgwyhkafCyecUPh/gsdFONXMdVDo6XC0YPjIOrQjO8540yrbMUFZU1
EJDCToNfNDtx1F8Ukk5xUegf2roJGaxgCB6pydehgLIJii7fX5PbR9mwYQ1jatMBiLjqmXBubGvZ
zgvyDzat3pODYJ1r5J7r5wq3t3/YuU3nr0W1Zblk4VrkGWLK/WtcABcwGDxNwbTALI5zW1zUKrs0
c3nEaudI43KuQ+LUeqWgmssOZY/feQkNcL7rjfzgd+VxCsuj4bsPMRRSlaphrMltrKr27Ee3upde
Sz0rt05k3Wpd+0rNkoEwgX7hdLMNwjvmX28S2qPYKQrJmArMewH3nKllCowpmfBStFS8A7eIr3kd
XAmTp4rWV2A8bJoo+ExgO18Ddo0jmOxmfUxcoibacPDYMiU3KYMeYuAH63XFaYqRhfhutFdd2JMf
dZlefkpGyIlN+aQ46XMbmFj4Nk9GSzdEJKkSq9uceO/lJAG8ynCGwg0XycOqMzG5rqbuoltkVRDb
slSspsdVKIe6X8HawJga7VBhAagABqz6kPK+pahYu91pjihXR7O+MZPgjE3j9075DCliL2oksy5c
7nrOrKlTiUy1UZsn9EboUJiW6DlEBL+z7ybsqFaVE2yHUcpFJydkWTmH3U1t5UfqDLb6KjoFiX1Y
Kmq/p5sw8uSuKsfvhECtexVh4KQaa3Pko7gh4tumDm58sSJUDIgBJkUzR1lJ2Rfyaq00P1XBa4c+
7gz+ycHLflW44dXIqDOXvqLMCoZQzgGjFgpjhT9QBb8qjQ7fsqTT0veybGQlVVJljjprjrXn4stj
Y57HlYmxrjbGPSl3yFlo9fQEYl7cnPrAuYs7+FoKzBKFuIOI5myK7ws3uQR+csEf7NqO0oWk2l2d
hJ81ec9j0HzJbOu2i3MmwtF33L1AnWmJPHEMiCbCg5r4EvX8ImlDlk57TlzeO2HLGCXcTFcPD4aV
ktTIgGxq+2kbNdNXEYwR8/fEFO1qk1VN+43xYB6/0IeBZEorr4baQ9KyUmbDFjk25pLLWypC6zQS
MRTjoTLk2bCJaz6JbmLgTSnOtw0NbrAv2Jdcats5mYq5l+re5/sFp6bbUB7y6Afz5iOuluw16SEl
LKriksZdzJyruxKPcC3k8qjal7jNPodQd5b1EM3At+Jc3HXQI4L52LnZZZC6PnJoauSrMYbsE1YP
xprUXsQd3nDftk6yIfaO1tS6D8zgkvONR0Vgk8FmvQxd/BmWIB2afNmtCS9j0r5IS7OsN2m9cVx5
HafkG0oRVhK928TsAdnNOiPlJUyiC9NmaB7uSU+5Mtau0/OXyIz3heJuXcEmLJ+vta7CF/CoNX4F
KvUuV3OWJrotPzkqyrMhCzjE7W99o10NBkhBzBOrjP5Vdhen5fGL9aapHfEVWOOVw4f2apBM+95o
cPLOmcMYyScG4idx4q5p+ZctYqFnNWl+GeUDjtCtJqHN1hxqowHnyTEo4Lzgmgd4waZTdLA0muyl
mUyi5LVl0sz3ytQsSi8EM9Jcx/zcKKx9MX0vm+aT1hdHpVDBgJzPRXAf5c0X+XXQD48Dyo7RFdTZ
ckkgEm0LbLJM4Uap+Y4HXjroLG1V6AQNewjoY5+OlaEhfQOfzw06bjFVOcbW8GSX8o+W/065h7kx
ru6knFDK3Wk1MiRM4t0VcnQOcOVVMKCKtr9yq31mT+fl43uscmfkLFKN7D5OIrbAlkA+ltnIabyu
5Nut5/AqiFBCAh4N0pNnIlG0p5ck415MNTCTDBFSxT6IFuxSRsWxq6ujNd2ZTXbERXybGtbKIZuu
6YGdCASUFSvLUqnzoxulV9gIGF1oJFKn1hohOb+J12AVk2hx1Jz0LCBOq0EsCXP1c1+Rtq4pngPJ
0TiGevo2ltBKcBuT6bFytezpCRoRAeEGh3/A3G9ctfLuGkFe3Ai6Qsx2h8Xm9sdoRvTxfk2Yauo+
2gh66Sjovg0DDl/obNOWim9WuUhurX4vHONhaMSZnDE9ZKveR9Zo1vl9O1hruxTUgK/Ul016EahB
ucrKh1jji5G9I9KSy9ABtPelufd0Lm8XeSdZkxNnhKyYJodisAx0B+Ca5KJ/swZiCmSnWL5kXZsb
rAqD3d9Xiro0c7+W8x6eB4YF6qnTn/9cKeZGWWPhhflf7/mc4WqyIfkB67tki5nO2vBwUpKjG2+0
C1FRlyyrEIPY+Y014F+43JQdft+V332qAxjKHvrRbUkkscA9ljFDJ2CZLqSzoLqZENX8wwdYEnp/
+QC2Co7omCYqW0iXP38Ahj8BMFtMeCE35XIYpZO+dklMWDAm+sYf9ejc6px9C37bm8OD29uPga4+
uZ3+cZYOQ5Zs7P6+bKgN9Cg9LNe8+Bwh7lnNnXOX6NY+ljPQ7O11NCZXkwcZxL6sGefWsrrki8SP
6FD4LnESBoEBHhRpbvy//8IMV5DRXz8wjjYSAG3YRML8QlTCZB1BR4htSCbHBIrzPsQ6XU5Vi5vO
kW1hAQnrEJcb3nYzmfvSyHFFja5yCsstKMXXHBDCggpaf+1digMpAODaHOVCTWRlmp51W6fVkerh
WAXBuQJWE9zUi7xdq2x0QnUCjcGjA+f0Tk6sBSyWA8naWlX34AWcS2nmn4yYo6GvMZKZ+TWe6n6y
SvV7YKUHqToZ03DFQ3cTe9VLamfHkLFqEhAiOGNkV1OHTK5/YoyE2h5ymQUiUwDj6b35ELfWkz3F
w4aSC8N8isui5C/xt4AoAN3LkakL+p7a1n0f65flh4oL4lnmVHzcg5OaHuRqyMdicBfiBZ3eFDYt
XGX13Oojm0Nd2JAEin7ZCqE0DKs6yW+6AN9SH5szhCsvYyC1RM3sE+d9MqRlBcV3kC9v5LZfDu6g
49c1xGJ4Tgx2VNy6CC42GLnhLeXZm8wjTV5wxYzqHgJaQ/gIXmG+El0bmnq43c12dFIXzKLnFMTV
u0yJaJCzF7DZW1WGWDEFLAGnLF+dcXyITbb/TuNQV7BjJiD2LmqD22ACWLcbpvyurt3LzSJnqJQX
pBqGU/mgsxPBPkYt8E3ueKnTIXEec8qp0WMDWgoemHK4pvLe5paXEzg5BqBcaas5eba72eaWx+4n
qtNbj/MmlaMiQHGz0uSrLpwc76sMpAQbqWq2rrGNWRNalgUW9nTWKpUPorDLArlDoMX6Om5RbWUw
bjiSpKCevPiZBnUPrDBsZuzRV8tOJGcFCSnJRtTBfvjdF/DX7oObwCczEdPEpZpfClXvpcQfHw41
WpNg56YK2qXi7De8zUKPryz6x5gxNvdC49sYpxWrsOfX+PpwZjz5x+toGZpOu/7qu+4+8KSy5jsx
ZtYTt43jWO9Btta78U4r+5M1HkgJOxnclx+VNA8VA0tWyRe22Flg5wXs7quSsJv0KK8lVSzuY8DP
FnN3+wkhJ7pKG0JR7aP3KvGgsAfrtrSVO/SZAPesZbRrUPWQlOb5A04LF3DsY6pIP8b1k+MJrnOy
W04tQqFJN3ALc5d6xmOaAi2rxvig5873uHWosQIc5hB6dcxtieusbtSA+3CSS75UU4ra72bD/SFl
q/xqJeYKImwA50kQE9k6BrcyTlLRtxejQRQC26TsFKXNA4mHPJL0TL4vH32qmy+52m2WQxRF+XWp
rpZKA+NLz4LLC1LR1+y1y9JYtmNbEmbY8Ll8E7aaVRIiy2GZSRMSc9abFUSjSNtkXfytd755YHpu
UO+l+EZodsUvWV09AxHxjDQ/CM6fULzKNRrIxaHrucgJjIOotyrYQ6MqfNLm9CGlSgmM6JqwYeVT
/g0Cy2tB3viqUV8gIETcjH60X2ZoUnuhDTkU94OglkuBpWX6V7LHbpdTBrr+/YxZjgwkpGxS3OLN
waRvuZSd74ZbCyfx5dPONYVOIPepMbzqQ/Vu+rD+5LOqc/Pq5S9VxIa3NF65lj7NOg5OtRs8MHOn
lHDKnbfcDUpZY4ONLoPlsHyVVkhNCkXpvp/8o9R8BZDkCEmlZGv4+/NLV+VA/vX8gmLLBN8Vj5El
3/tP8PJs6YjoauBlVZ8PNgkdEGtyIkDVM5ZQb5hsZSslheCd1KdqfJ5h+pORAHYrvNFV0eiUgjIY
EPSosNVtpaB0BeLxM+/oq29YmKL1RK+06kbswo15PAkAlKL+xK0Ty0PQbcpuxV5RIEMmBueZNQIu
KCqPxohqrXuc1ekh9oCMtQGpiGkD4CzAYw6+I/OUymqfrQpEs8xx4XILKh8wcg1UaUGuBf+OyJzC
DY0/4qjamGTW0RobuJ1pn3zom96Q1Tt0WG9zBHJmxbwJV6NVhKXBrKB6Vd3wNRjAmnREKNboXDBq
LdYJgF3lPjotCyeJmNqBp81xB2tTvQal9gqnrVWCemcY3TW9QdkEMdNmvjsp9ZepB+CzoHytHccj
iVre/tByfjGshsN/DB3MP0bFPAucP/n9q2J8kinJMmPRrDhaa90PKmk+lc2vXSBC1x13M/4eK87I
aV2gcGOS5D4WfgMqQ44IEqY7L08ZeUZ8lIIk7tx60NuXNBnv5SKJGsjK7GOPj6pVhxTt2Y8FYcRY
pu+dWz/Crn0ksGJr9sBIkHehhHlMaANrL7Bwywxm0rKdYL6yGpTROEeBdobVEUz5OSj8r7g8N2AS
IisCytPKjR4qnLJ264nw7CEdxxNxA912sJUfdnKq+CItvXiL2uSmcfInQfQUI8D7GTMRfBPk38Po
PrpkOHH7MTbKAaYF4euTx9L6XGTW59Ri7YHkYKiKJ5Zn1K+ham+qnguOquqQFPXzMmdQBF30cXmn
cuG7qUr1TFbdIQF3B51igduGR5cA1r1AyWN/6sWKcrK51jl+U0GRvjPLLCD0sG8AshYLoiuwc2Rp
2wmaPR4o9wPLLrVplnqaxOW+iE3r1qyG9d/f19b/qSx16dQ8uaWZrP1SlqK6j9QgmzT4PhyFIf6b
MyUIWer0ATgOrtTqu9Mp69yc11F9tb3sMJ6EEFE7SHoEa7QXMNA/1QrRAylizY5AKx19ppRpC9wh
JehS78j/YBd+i5vgI7akjFPV7t5Ou9sqd/Z2lR3k4F5KvNaLD4pOqxLp7oyPb4S9jPYkJxKyrE3t
VE/IFKx14FonOSWXPteRd5NVzo2SGbdLI7OcRLHhCOn/2fOU98zjl/79BTQFk/9lX3Tgv5iOqdsa
HdkvY7cI37i5azgNW908W/XWKWF5dAV7iExXfD/94mVfXXQXayWmbQFbtmV4RbbCvsDWdxmjCN2h
DAiJkA1w0l8nW3ntg/ms1Mw1MrhOCBdJSJZbVZEJpID2NiOmZTsTpF5GLqwNzOl+CAQfdYxAm5Hc
8FjMcDQkoth1nBnm6asiScyVGWImI2MzFx7wPywp4y8nhWnZtnhQYSPrMkKWJffnk2Lo6shRem3t
+1N6a1g36IKpQvTiAH0QqAj7Oyq3k59MEEf67rV0xucPaFRQJm2SAALzIFUU22K3dn3MWU1nSwTY
XpRI6hSlq9KFOTzDxqiiA3PCR+q1ZeQ+BJaFaOm1bvvHObKwxZYmCfWptR4QpyLbmWXerI+MYhnE
/MNiWAY0Py0G03JUOFJMzV1m578OcLpa/tfgsIGpTJ1EZWU70wvmiPjPh9cZ7wnsArSzGu4jG713
/RzgCGuQ1gajkykqq3MB4KQ5kGKmzuInP5hXo4OcsX4Ii+TqZek/tKbaX7AEedN8TVxET2fY/8vU
KVJrSysmT127Q/xNU6oTM1CAnWKDRQu5qDQ7vcPoxfKODXbuaR++JAGVohX60Xq2wx2hov+whLBt
/PWu4j3peIDCioZVBnT48xqKO4pht8N1Ieqzi4fQaakdBVF3DaI0G05dQVaFgJRRIi/t24JTj3bw
5AUvfdl+KdD7OwKzFpN9Qv95jCLcUgfzIIiIgJ2zbj8V7mF22fFyAzCognJMwJi//eiC0+iKIRKu
+/M6nkMo5gvlxZdVKk+f3Om5s78tzdXSnSzEph6zT5DYjV8qJ+mJSEG4eAI4yo4p/+F2FjNfvyWw
vmGRLG2ZDZcpLai8IxO3iBZgUXObB09xHrMBKGtMwD2z/DB2O2uCKb/gHWk8vDG5oARiVclHkj5q
2VajqLttmROaYJcL5Lq0J10u+6PR6NvlVy7zFOmuCIgINBOqNK2hqpmXGRFLyJ276gWVVmwk+q76
tlCHUqU9zoX3VYYNAUkIMHOAUaz4mdbnKRfASfOGr7HIv+msmNZp99iG7LzB3mMY8qWrlduyx+oX
TY0F5dRs3K0R+YjxGTvIF7WAl4jpDkJliaf0GIbqbZATsyww2jRQqXejccHYiBHoXmttB2V5tFkw
VR3KX+ebQMky0WCcKBCvg/8AbLchvRpBcbVICgjp7ZHbPHVYI7Qwv5ZFE8rgITXCT1PY3AucnyTU
ZU3yEKjZNdeHF901N7L3wHZmHqOmNzmKeVT3Jxn3LJ3LZCTvZmR+gNVDmuNWD5/WbjMuFC4jYXg1
kaSvkRe+jbkO537pWeUQrHz/ISxR3WdBtStnquUFmMoQv3QYIeLHxualCVusmlIIibd9+DsNDuuE
K8GjAAkomWGj/cM42lR/NlZlUsZIUjU1TUfxiuR1yb39004OUpqaJqD4WjbvGMuCBazj10v3LaCD
tPcye7ESwIrhjuyUvU7ikaUYpzTMD1OaHCUxYyQUMeHfMsnq2rcq8J6Rvl1GQe9ln680xn8IfmoZ
HMnQQuBkuVdkMCXgV6n6TwReMA6VGZOpofPCom89qrq5adXn0McrXV6IfMO4fJeVQ3wkoYevAtza
RniVwam8A7fRTzA65QxY7ltCH33ubXm56weeZoffOhzV1iGmHYJXNwRHMh3y+2QzhaDWDXY12zZq
35LYZMrFeMhvcozJiEYp23nPmsgRni+cxZ7CcPlLMD0pWvB1iuqLCba3LvFnEQhBVnEm7O4AcEqb
mrsFEhMMwo9IPuwcZVno5YJtUUUlMBs8v3oZLDaO5ZvHCrRZ2eWrx4ganxiwpk/vIMAUnDInEBxP
bnHXKI8Ne+eUQrHCXzUXruBQxBfZnIKwwAdF2y6blHxrXU5jFRHAVz1UVXfS7Gifzulz70z6VlAQ
hQW4rAgH2IdF/ap1xBNo2kkdyJiTcd8CGS1b4kRcY+wmBgrH9OKUxDHr8WuCW9talQcqbnfX55hY
UwS7XD/Wc/KYeGSj1e5jzK0qTfKyGWdMNFHRHDKp+6jEQSSS2yAFln9lXMekhcmEYF96Fr+56MEE
AyMD4bKMEgmMJBsmTF+58XLK4LUjkIp8eLzqzFVNe8VH8Z2ewkJIvrZqPpkGu5jAcY4bXGA98yOM
IJonxWNr/BhGV6Cm3Bh5AJmUsFi5drEiAwm2Na6THDsL7VibtKeIYI0PmGi5Qst4QQAi4kHetd6i
ZaywdJZ5IOtClnKv+i+19yq1trw5iQtxMJKin4rJkWo+uYxn5BYxoCTao7opc+17OfDZhDzQMqTD
xabGY3chDCdNpq8JSsDvo+cjpfK5VB5LgMwHdKUDCVZBqrzImx5a51yjZPMK66vpqpeJYxbeEAck
FkA0TuaLoIcqBgyZ+v2Pys1BJuv6yvcPbNMKSEJ+kLeferLk5briJqzBstgtaAqMsMMYcANM1gmq
9UKzTmb8rEzl5mNiyDxF5i2Jmz6bdb8lYnjLIJ5Og4JQtdYW9NbZVe6rEV90QNRlRWkM02dqJRnM
ygSrlVNvmVy2GKxranxbVpRcMgYW8EvYEX6Hf16ZV1shJy9YjW20zy6wsnMn4JgcCDImkserJTUB
bcjMeTvEp5pMo5UQQmPQbh0p9zIMXQ4EWcwyXnT58vLcx6cCkHwAuWbCWto4rQEuLVhc0MYXOWpR
zFP8Rzcz+XQNfhRRSISQBlAld06Tv5pZR4bFfKZaQkVF8GnNqLSFLsyLSqUpLxzX/FIcuiP2ajm7
ZHJtj3kLK/5/sndmy20jzbZ+lfMC6MA83HIWB1GkZMnmDcKWbcxToTA+/fmK7n12293bHf/ljjgR
bbYkkkChhsysrJVrjVD4supVx4VqCt8zSPfUYmeZe8vkW3cU92jWH93m2be/kh3+XFZK4SY4fHUc
hIPu+6xytnY99KAmZbELQyHph7T/Mo5cWNpgI1jbY+m+1FywmliANedLrksCnLmRL1Urk9KgHBdG
C7KTSxmEiEIOmFiVY0y9mLXjU2LCdLkf0dZ9/FVpJddcUnn2luBI9WXG6oOs78XQ/B8UyP+/BiQA
ePT7GpD/s6UWpfzWfpv+WgaivvdnGYj5B7Y7AEJoASIMbNMCwvZnGYj5h+vZPtsfg42fDoUub/1Z
BmIHf3iWpQee7rk4Z2pI/l8ZCG9ZlIcQ40OT4Ru8/Z+UgfztXNSzPU8FLDoxCwg655djxV5QUAaY
c1zEqFCnCEd55js4YgRNn2Zmf2k0kLe/ZsOxs54idESCEPKfL31vLhtQCFZyYQVRQ/40l4pADuU/
RBn0V4opJOihv/Tu049d4V+LKX4F+/3SVPeXzEvUIjuV1YrSsL+14tjOtx79l9SyOYg5wmH6L7cz
nX+8oQ0HLDs9JzB/hYDmU1jUUx6PC9UvchA729PuPyOAyLb4WB51OGPFLhHoDUBZWl9GSVkn1dLx
sc3fZHWZmveiBq/jLWY4QGh0AUwIweYJLO/rkLwNA/GJeQwTDhO4SGm+mlIs6XsN6bFxfJ3gqpzi
Ny85FsN7xicM530Q7250aUCJkVVbAW1ecDsoIxYz1Y7qKl39inoU1rLJOdgVYJMy2CJ3+fg+FpdU
nQApKPYqfqaEV1AR7L73I5SY5rvZvfpOtHbNd1B+w6jAoOra0OYtGtRdxnDYyPCd1mUUJ4RPNEQU
7TKm2Dqptpp2og9y67XojlZ2hFcIbjDOMeJ4XffviIgCLIJRya6xaAgtaYcaVH9evbr+q5lcyG9A
cYZIAlCnCIbSV5Ps4HD09MfwuyNfK7KewNiT95yac38YV2n9GlMGLt1DOIEXS959HZ1WMDUuoPlk
rRfHnF0Q89KmZHQaXqORmFEV4GbUEWFZXaa1Uq46wi8KzREdq71q7aYD4z0YuF2iPf+LIdOt+mTB
4U4+ywUko4pC6H2oj2ptqH7sgRYhrZ6sPYLSQLyK/E19ww5fQ8oc6RkL0P5CmsbRRiwXvlHgGACW
3NfJeOKwrq+PFLRXXkEdBoke91DCnm8UO55X9ZhFO+oK8Z6BOtYw3VogXUdgG+wFFx7/Gp2oBlPv
H4R8d+KLWoGq/eCJygC21Ii97pPSSeeGbBnkeNfuWBjphds7rs6F6S74D+0ntfxrPlJdGHvRvatb
xygAZ/ZrwuxX7eJTQ8QlG8YM2qLkSOt5BmYmE0fWR919x0gkubHIncUA3JE/Zwi/DQi+wLgG0Li6
AIgz7zOGtcCo8ReTU7f2AMv8wnbNf0mL/C29pEwGNXScSBmQnvyozvrLfszSEqRoWokrd4tVQkg3
AbA/huYNYnQU92hCyfrC2qVHSdYdFi+yfAn4qxsQ9oUpwh2k9StGIrWYFWBH/VvGMRd8fr83bb9m
AFU7QadAaYK2uv43vvKYILyXPaatB0VXtTf+G+VVmTYJnVd/s2PnX+5IqvWXjNH9nkgqAzZFv+Bv
ZbpSNskwMJsWPpzGPifdyM/qMDLKYRvWpB/TYhdwCGVIh/oDJeHBHsZGssGnKupqoFFaTPeeaENn
EbIb51wS8DWpXEn0tRUpNMzTVX2L35L2kEc7T8LnpT6dsP2LSmpOrtqQr6TMV4MsVjOHltZkrdS1
G+hgJw1MVefcixkIb0CFOoDMb4kFU+xQAjN4nuFwy6lPgBzaq29DyOXn27galcQlFClleJXyZkAJ
xdf4QB6yL8lVszSd5/RJ4Pk8oGsT7yJLDj99zOZmihyUQ2Br8KEXjD6rR1L9EVlXGdFAtq5R+sx9
POMq8s8Omoe9jwAGjXaco8PUSJHtMhpj6fLWpN/6Gq4deZyr+CGMYfSiSAR6IEZY9a6Y7+NNV6Y8
lk8H6V2+wvINEmmz/sYbQLlWendTf1DNov8NHrtojo535W2h8eAm4rJXNsuMHYOjqj/8+lYBBlft
0aW+Uc0mFNmEaBb0gpGMv/rGuiswjnq+qicejHYZqEzPDGMyykU9XblaP9+HurSvjKLbblVvUCVa
K9lJ2BEzZ6E6hebRqQ3PwqcC9wQzAnmnYvljxVXstB0mcJ6rZD9XRy0myugFZOxJid6fKgYS3MFA
qHoUV6DN5IOmm+p3C+FsAarZRGmW6n/aTmPuE1TnktRnZPDgqt/vyq4aK4YGqb+r30fOCWTebcvp
hkrSSwx2SPvMLm2BDlxY70W8Lb8OOvUQ0Wc1aoJTCfq+iU31v07TN6r/1JMw3uo+agoOHFes1A/q
0zOThUotqM2chZoCbSFJf0DWA+l0exMYQn6iExk1RDOI7xnEcmmA4VVvGAIVxZvqGxW+QInDWDHP
S2M58JzMEgYBhkuISPDSVxaWmhwFMGdJkzLDWoWcQ2Uo41rKme/EY5iCQDj2zbauqSenT3o+g1pZ
dBqZI+rCdxPHoL7Z7U01uG/V4HSLWC+XTCh4tdHxBkkBxM2wwQI4YC+xgPKqWkhjJT3MvmvJh0za
yl9Us6PgWpqw+jGyJQXCajh05El5TGAwynipmZazhtVVoFhfK9oLLQqRV03VylJiNswumM1XyvCq
T9WwMau52CUU09GrwLmRdGQdMnMEFMQ0NgfuS8cKeBl5am3gCwzHlDP78aYW+52h0DcsC82/RSYD
hlFRT1UKwOm+tWKt61gKxQVkhwgSn2lJFk4LUFBWd1UNUNes9Xynrmcnt5AsWMLIO4BIhR/uOuLP
WND9sD9QurQa6baSxdc7nBglNzqHlaEeAmV3AsitcjcZHORqFahn6Ziq6u0CMnM1lHzHEEuXQ/uB
XI+6kjJKLV2uGdjB6VpxcM7u9G6vwuhLLmGUN5aqM1Vrab4yZEI/+eZ3nb2jekP5NaaRpdvK7MzF
M62Km2LVNeVSCKgDmANYKCZXSzJDI6hgAJhHqis18xZwpIAP6vgIScqVWjvdfB0xGn4vOE8m+MJL
lZ7OXte4z5kwAJQPw4jqezU0WCITExzVz+pR1XixKgL8grqD8rSAYJlCasyp9Yb6lvElumcT7JnN
Wt+4GVgZOj47Dh50m4yjhZs28CFOs2UW8HC1bYP0ard+8DnVoFwQa7KeK9Uo9cVu2IJvvnd0mlgr
9kMceL04GpBAQ3mGgAdRfa0cmB25i5kTMT23VuohZxxiMxUrujb3zZXqbeUv1BxT/kPBfnhLWcXZ
fbLDVakxS71540akrucTKP6moQsgG1fzWM1dNQEZAtUXEzdSRjDArKueT8D3i/aqZodPP1d43abI
V/f1k8Gqm0Bxi/vkhvfhoKOUQ8BLCPuHHVau64fT6AhXlVN2QG4qP3O3r/xNucpxxMeydpU3isWN
daf8NcaMr2o5VLUOnW4o1xmi7xmzJljKGL+phUKNhU3vq0vzRjTeeGVeeiwItSjU32smHZedWOWR
RRPhAx5cWAWJTUkCLV+ZPg43qo5qLuG91J1VmECSY6mmuXLR6kGUXcs6imWwY8qHczM1OgyYSXcr
w/H7GOwfdnu+js6RR+GubVnBL6ewGdRCfQhbgfJhLFv+U5NHDQY9oZzK72/3T7Gpr1suin0UOOkE
qT+f2NlwOsI5+uN+yrlHbG3oTcyEGjAiBmWeJQgMK49XTbu3pl0l6BbWil+dsVFYCxVFMR0YrYmV
9Z2++X0j/2kL7LvEzqbPwSL4nV8O60cq3YYAbppFGcqF7eCUcJMqOKOlOhGDKuWkp1SLVeiq1hkB
iPqRXmQWFGQHpuh5to/KpSsbd7d3U64CFmzOjxAj4CiqZQ6rr1v9fFPGTNnTJvocOIcCAgdMlz/U
a4cJgKlXK1O5wKYQaxWDwLzKkQ63x44KfMVQ3hyC+/GqZor6Y4PJYWVFkuXLxAHyv/p9R1k/Kw45
oBk833WBhTieoVuGrmbXX3YaZszBAnK2A7QG0UY9P06f9aQCEZkm2158olgOX+7MRxwSsYGKLJRt
dgljlE1QP+tEwHd7TQfjgQLOY9EnBpKJN8ZIKUegwi761ZvNFQvp9w9huP+0BlxknNQigBPkV2yG
2Y9W17v2QKXaTY02TU2MT6W/9bx7LMuoU6elepQgTD2lpsywd1OoSRXKEe6qSIiPEb3VXzXv2kUE
bXyQaFnFAJ4gMMOnqSCP/RS3MSekGc2bshpOa90NLmIiZRtvrL7dEnepj1NXpMZ5QNBGTT71T3kR
tWy4EXnklTexNcH6EFWp6EO9o6IG5pdyMzDR32Mv3AV1+/cwQfneu1/CoeQZNWHrUf+irlASGVTo
+KpoSQXGXavDUIHNd68qPr8/NR9TATYRHrOOnwj52DQJtAd5ClywihdUXHHvqR8GS4VuJicCEKYu
sf8q6LPcRxNiO+y4CiLUxFWBgyygc2SklW9VTlH5UtJ0AFK+CiPGPd9Y7morheNM6HO1h1HlWmoN
aikbBP4F3jpFU80ld6DqHdhoqStjc5X1CCnWxuthfZUr86CipD3UoKyQzSy8J7VOrKuKC5RPqnHJ
vE0AWKU2p+FH5dn4epuidAwIVBzVM3I4qf6oJc8qOlFjOSBxrJ5KRRPcHhOqhl/5D77y+2n7T5PW
013IdkjdKGDWz0sv5jjCzkLIsZiTKk6X0UYFPyqC4FG58/12/1G2+5S8i6qtvstfiYx+IkD630Z5
pMqr/+d091Z8e08+/5Tm5vM/0txm8IeLASRTiuaa72AO/yvLbZCuxr1ZOulVg+oVA8P5X0lu4w8o
jhRzMpyRPtYGHM2fXEeW/Qf5EFA28DM4SMs57n+U5P7ZOHsmzDu+47kmaFyLTJD7ixezrR78ekRq
MGqmRZ6g4Tw7lrjaSKSFAcCzUo7ZOg5BPxpTQc6vt4nnp/JFOCOzN8QHc86OqoIVnxuIKVZCm+Jl
XiI1HtfmSq/fvHny/oWAwFDT9r+hUT8aTWeSE8IkqY74eVqXud4KY6oharMs6m+L4WyVM2EQuGE7
+tYKzQIC51gr+ITIzAfDoqLID7bhbveXUf6HtLsaob81xPdh3PWpeiQE+GV9WdAlBeg4kPrOZlTB
oglOXQfxE8pcElJC9g5q1O/BAIhVCyIY8DhAXDnB/P33zVDh16/dAcuoCs5s2/V+jUTCOBxawOZw
9tbUEoqmXg+hdhLODHS5iOx/yRwa3s8wRSIeEN0INgZovzNzdOeX7u9Diz0E1BnL1rC6R1hM4z60
P2u9OAsNwLVhZvaynCP3JQVLyE5u+mLqaXicW1kcyK5WSDPti2F4g3kWrv30EMbmabANqK9yAhlO
/5UO+aTvsqGeFk3afq1UDSS4SFj+HXPnFjP7xHkC4qFYc5r8QSDbchjr4FXvRm1fNk20y1JCc4mg
xrPesOE1C/eQ1MZm0trHKA83Q990m45K1Y3R+t6xzE6igoK7EsWyfkZ/ZHrh4HoNOZW/bv04PDp5
8Cq7wV7lnKI6kBJYRR7AKDgorvUCqWLXRYDOiJx1G/bfOxiq92YLnV0wPDUDImqIAZwgSza2Zjls
p3Esl3pitMvWi59lqpW0awaYE4fZXlNUjfNA+Y7pnKh0eAhzUz4Mzgg1YJcvB68YdjlUn+RBSDuF
0/xY2FMNu2sWwDVtPcphHDaOkUBrl+lreBa1MT600BCNJSXshlNS62LqHiek0UvWVy+5vR18O0bK
r7nNAoWezHPeQiRlg7zNb3U/suse3GhFPF2y+QBbGEQdVL+RRtkH1aRsRJrsQTcb+2R7UPZaQbn3
omheeW1anp2RQk+0freystt9UHe70Z+mQ6OV84PlyQ+jq4WHQISPYaXFG2OS+l44BFlW7xSPbtB0
7J19c4+aRj11rzXaFl1sTnAnB9Oz9CDSiaveUGkm6oqleKnYoD2OfW0eKs08IO2WbiMLeZGsDZDE
6MJkY+mUbgLbiLd2irs2E22AfLf2t1oUfSzMfuL+zvcwKPq9H3Cm5flVvxsQNwHrwElzGIiLVC/2
oH20jY7DCoQqdMusl4aGWpnugVbWpipY/H6Jmz+nwX+sOfy3ASePbzr23ST+JYiuSs8skprqFzsx
1naePnSm7A82Sh9T328hV7MPlg/oS3i3pIYXh2qb8LHPzcsAKWM3F8MLnLAPaR8kT+FLDRQaTDX1
4rxUQu8PIsmLdfOit22H1dQsClBnfRfN9ckvp+TQ+ZvfP48i6/vJZpkcPOgc7Lqua1NpdmeL+svz
6DoMo0ObcQrWiJJ9fBmctCuRKlmtxu6Wsu29lQnLhDb0hJ09CY6Zg7QgDNdVne1/3xj7740xDQSK
gVw7UGbQVz/7k7yt8sQgIbrQnXyiPMKGx0H6xcPURfV5Kix4izPDPsJbYB9j259A5+vGWmpOp0D4
m0xf1oNJYqCo934p4hO1qPFaWKzrwT8SAIOmsXqAXCBQngBxLSnlJk8ADrnqK+CoqW6RirOpDuqm
U98AwRJDox0l6cyFSFLrA3zfKJQZ+nfPgnahs4bwzYwKe62VsbvN6zB8K+v2UzFX4smGo/9f5h6s
Pn8bLIYLVV0KbE2Yu34dLOYzJetxjJsDO7lJdfMh9PL2qEkqKSID4SUZ2hH8/ZX+AdTyezL62bcg
dcgkVgN+ga1lIR3vHDbN9DATN+RFn2zrpszPtluEKyP1QdJN3psGYPtRSI3srl9S1RHOz9GsL8sM
NEctS4/lNVLhFHJHHx6ObW4Y07MfPnWIskzfastxzxoUPBcBpcejFQeb+29ZKD87QTGdhITIfYpd
7I/qVTcJjYURWecyTvujg8rywqQYbI1cBuQDAHmLVRO7zzknQas2ndYwcXHa5wv/sxXXl9K25m+R
ABkwKIlUL7mMQ3EWRCw7fRzKbW160zGpBiQhdSr0GoGOXON2NUttQkhP75qVPjju0hi1Gikjgxe/
TdaYZn2j9/b3ilS57mse+qemWaJM1poUDQ1w9HTgzRJAepcQfTfqTIL6i6HB9NfJpzqvwqeo9tLl
HExQmMPa6NaJOGn4Ry0sjIdA2M3JxDiuWoMUse3O3q4hmS8bhSiDh6sww25Tq+4xEEpfz4mNgG1h
mh9kZ1+00nafgzltVpbeLRoN69x0DpO8MV6eUdCDoAomg2uFjAzbMHBY6IJTgis7MrZtetVkIp5D
qsZ3vQ+fejVM4oIcw/SYh0jDx04EmLIWJ9P2/YtpY8OtyPgQJyiwmO3Bs2R7MNVPydB6D7+3AP6v
EaVpgiUhCnchPNNdQ9GO/jVHAUdYOzVaES5Sx3mJmxiNuRJkLPDBXRU1GaWj9hPIaUoKaqcGeRsx
UkEbnObA/Dbodr2GS7XfyNQBwjrXBzeucZZFQgTsOrW16DtoqRWCDkHh+c3yu2vVTfqFnI12KZL2
yUzH4qOlu1QlDy3+NkQyIZH5xssGDmN7jpKFg67ChNTZ9f5SZNnGB2JwRt11Oba1PDh+7x/zDsWA
vvChc2rVCc/81ZpGh2qAvLz2sQNbfsEWsJ0+tR3wxVyp2I7EIJsBRt1bC+20lyX164Q+9GKoVRmE
6T80ozYcDGEOhyD1X70U5+LmQftQ+kZxyly72NiU2aMBVzjLasqdVT4NzhrmvvwhikJbEep0gNJM
9sSF9RpapfVAjoiEgPq707W7pDXcD1Hh1vtY9t2/Rau/BseMrI+Cqg2Xpu3BhvVLiJ71XcH5t0G1
FrIBA9X8b27nnsIRjEAO5ec6jIfyWkQetVmo0j0JdB6X1RDaD4B0bCGcrV2W+dKckogNv2k+/37i
sf9TU+uv0TttI7eqUwmsu/9gXC2QyzFaQ9piMBMkWG3/WGpmvi8zzggIk4jZKIBcDlYRblMTwExr
R28yhXVNk/OHxoMXpays/f1FxKO1L/GUq0afzhDahAdkHAFm+BQphjAkora7Hssw/uCZWOAkqIrj
nEfFyc1BgxNJkzEhLg7qJvtgZu64LQqPCOs8dUV9SEwHur3IbF4nr7SXUVVRkWqJYyiDbFsHibOx
yzldmqK0PjTpQxRKcQjNKgbcMODczALV0Li10bfkt/uLcKJi43QEcCHWlIJZCDfTOtdfQops4DPg
0KAKMm9D6gj4TjOCD3fc4tiFnlx1ZlFcS29cRebY7SnfhPIO8ay2c8s3LWuAQ0P7HQ11ve8Mrz/G
ejtsRnjSLybB85LS1OCtHP33xEvGr4kLo0muWW+x5YyHOkOgOzdH6w01sJKwEtkEqosvwtG1dQAf
+nIY9PxD6X3RemfnId4kvXq+NrD+rrMgCB/cLnQPrmZCANBUXx2jzrZaFRo7mPHLVR4rxrGQL3Rt
YWyNhDDaLdDfjWFUX+mNsUwnfwRIDrPBVNvbBB7lA0gh43D/Sa/e9LgTByCMyabyG3sLrk6jNzp/
B1EFxIBWi9KMiGDzcKjucK0ufg7dDsmjByMqE8i6ZPpQRG1PZX7brzjMMZdQrCanZog5OPWkgScp
vlMquDTqkbLGIDT3Gmw0yxHSIHg2rXkz5LO587K0ObU1MO0YZY9TXhjxwSjlwW708YzzBM8+pp9b
lShj2vdvWW2/w0J3qTTwSQHKfl0hxEMoQ8R2U984SJGbh/tPNTpRi7nQYVt+DMIxOjMEw1qLfIZB
tm9xOjrHiYCFs8HGvAIf2YzVGKDVlZzbSZYHpW43VZmCWAtrBL2O5ItVVMNWK8U3VPUkNC5duG/L
Ood12Z8pg43eKZbL5sb6mkTNLTpYMuq3UzcKSNlH+5FqGnOboOlAeQjUvXhj3R+fiHLY3S3tyFpH
ZGyeif/LM1HEyiqni9VO1RcvrGDJamfxVKd6DCNpO6/ub5iciHnVZoxd62III1hpEia5OKntdVRE
HFc/+OUQrMaqFGfUrINNHkpIcnoOU0MjQSulTEYEQuZp0zi5t0OKkmIwLTSe0UMj1dzM1trgyGbd
+LO+RSO42GjaENIBuZ9RZV8a2zxyENUTZbiyHfhrbDFFZ43NnQQW/G2O4CfWh/Al7HX9QA15tHQ7
Tazdqu5YAv5wltYj6STj8f5L3ps26I+kXsYwwD72SeY8DHF6nDNqNQaC5MdshD7BFIG3bG30kn2z
0Hd6X08HXfOmfSfdRatX7g5iZpLD4djvexFT2Swn40EzKXccdL/aIf3aEzpH+eNoBijIhMxMWwme
Fqa8lJFFVhVGDEx2t9PrBjFmEg3s00sqYSoO4AbXyL9PO3Y4/nqk4vABZZmPwOa9E7sioAvRFln7
dltnovm04XGzY1aaH3qJni/n/H++oEg7APbvEDjR8zM0987VSksJwr985cyq+AzfBMVCeRdyykO9
l0it5tD6LLnA1xC1c6pn26grMgcLDG1TO9O6CcFdObkMKAz2bmj1mQTO07SRmaweEs85z5nBaWfU
w+QAi+LSRCrx5JqI53kugeXst86hjvHyIOM13ev2o9cc4sZKFKPo9/sY1A7ZCSpwkM8VRXTpwmKX
KVlNz/+o13AeRqJBlnMwv/tVNh3aKFpB7/ZKdYm/H9WLzEHmZTkSY/oQBbuknJxtM8aQMw+e/Zhn
xdcpd71H36cilXVqrGtG4cGuOV5mgDifmtplaZXj6xCAPfLQ5H4YZN1CecHGZ/KvKVW4izGtrTfA
+89522EXbOvNShlmwDfoi1I5h4TcsjcH/bVsvEcXWatz63gJEff4JFvNeYms6DGqp3AFX1jzIQ7m
feDH1bpqdXMze2j4GerFyUZodOs3PezNt3AWJ7Y9KLUZ8wHixxoaQ3feZL39ztFq+VmvurOHRz4P
9y0/GjyIxAYUUAX9McnTZq11FTrRyCpRvhYv4NXLLviCZmEZMOWY4bj1gkJbMW9fILHU4WM15AN1
6uSS2n5tVIZ4Rm7slGpZeHEtKiomsmYbz6jrA26jPox56yBPKYstVJYPk0PZ5OTGJ7gqYjhP5vlY
QL657NnGb0Wdw18ZH3O06SFxIvkZ5o08dEP2ZmqNwAiPeXqMpil5kKP86Cbzu5X01scE1iMDKsWN
I4C5IHQZX8KIqsUwrsNVSt8tpzYFziEokrXQkd8VTmWc5NShbdm5NfDW9OAXjbmKAggrjNLLT8gw
7om6hgev9DBQNdzpgZ98Dh1EG0zfLa9lKs+6SL1HE828dT9OgF3yXm6k0+CW6tc6cepbojWXUUi5
K2Hr23tS85d9Na6tVusOwTjA8CADd1vBGnvJXVRc24mkr4ibpcZxbCmb5nlSbtp1tEM6vsWR53/O
LPnBTJqa/WFLVov1kjtee5g60Z4sqqPJVk6bNpH+JhBCP5JnpCylBWhLiQvZLQEcdhrBc9tFuHYa
2EPz0t80TV7uZWFQsXCnCInj7klWXrCH59VgJMxtJ2zxatWfEz+1ntu+SzdaFbgXPQmahet1605q
ZI9sjucSMfuPsRNIqtFq7Yvo6yX0v5jKYR7IJ5QkbcoUTdPQeJIe+llWPqRQnyQpPVKPC+RL0Rcf
G/voh/IlSSZMCnsQqLycaloZbTavxiLZg64nIWFTkO9xAjW67bDXIXg5uO20QbmlOXLcHj31wtbO
rX1hDpofSdbUqxyWXBdJZxgNJu1s11d48vZ1Gehb15wXXt+V67pDAH0G34ToN9iVpnswZNKvzCl0
N1E31/sAVbncmmMI+sZiJzp2XPo8pecqBQFlYwdOsRGNz54PS7nvsmeowDaxc0GGU6CXLJIqRzDQ
nReuL/1He2KEdBMtdji1x1MBYo1qFKqjtGZhd6gv6gZcRNKQGq7OQwJ7rsaz1CghS+024FA1n9gJ
sE914iJ/JM0wvrmfmtmr33xSLo9z5q79sEN0kDI1pLqsHn0ZuEUASHyjxrR6zKuA6SCuEWJ/h/9+
8dok3EkMVOrH2Hco/Xe13n2Asas8VjZM9VUxBPB/l18Rzw0JnRBYyfzmVvQzWnWx1j9asv/kOmSD
G5vjOolW7RbiQOvp/uJr/h7uMZ/9WGaem/Em4BJ6jMs0OKdd/D7CE7fxhiwkdjR2MnbsvcW8ggCj
e9SMkiphlvEl0z3/IQm7L1oh2p3Tat9DO5uewiL7SgEv0GUtEfuqEmLXoaCyDGAVXARTXbzoQjTo
/Oj9sak5I71zjBQNJZF+EtknzQC1EUMU9SgdDbgY50UnqRXd0kyh7YL7uqwq9+jNZXopdGB34ptv
gEelTWGBs4uiJzL81VbvXW2L+7UOaa/bnDqVt9hgG66R+lL5DdSlFMgsmnygs3ZGXeCQQaQsaI+Z
dSdvlvLaGzDGq86EYtPdO572ZMAqfcafgR4fUoqFnOI9BgiaJnO1HospoLlCPHVidA6xcE+TRShl
2cZHf0SUlfqFfp/10tqkaG/C0GeBiPdmUhsUFsinsUpNEuDo3KVf53lKkNppm6Xe2agryKLa6/Uc
f+oOVIPOj3FDmdI8Vj15KLrB+25OTXC2A3iDs2oeQa/649GCrMNwJyTvLOleQRu6O7P/Chun8wjk
Z5Mqqr3UDEARWSa+xIvdz2lPsNsuQw6JPiWVoa+sejBWLSSNC7g9xdP9RR2+hEYhj3ZbBQfXsY7Q
JrdncGLVuX+AeSjcsEt77pAWeHXmhykHaTY0hDKNE5l7Q7OMPUpupOTrnNoJ4SEQNhXbLoUnrgYV
/+MlbtJDKmN5huPY5xQw7dbCcCHY7gvKavunmopLODTr7sEa3c8Jut8fg+F1jkoLwiiHInIIrdZd
jizKaFtKlVJkuybghp1Laj1xw/KrZZ+tBBFI0fTTyoTd+ZKkULFUbYOOQ49OvWeQaUilD/PKaOTs
Tcp80zZ6sRlb4zlTOZhZtz/FFVUG0vaTDaQ68SkoO+Yq3qFJR+vYNCkcJPbcvxKIw8vKZnAlkMd+
K6a23shRz7b3XwdHA7/hhM6j7Bv/UFXRS+QJPEIEZ0/XmGgYuALYa56DsK2XSDyID3XWp5xY1qAn
akSykMVgGZhZ2UIbF12RTWzPgefm5+k89pl/SHIPoee4+ObBhrNtNapnoBRo45B9SpbFhz7wuqUK
/FeNSbnhWA2nisyCS8kR8aFd2XtWtUkgo1tQeMJYkdbsV9m/BRSWAEoZyIWs5rp0XgxT+6y7uBoX
OG6n5yineUW0NjNcwD2E8mX81QR6vfOKFOnJyS43zlwEzw2pq2GuxWsTpggUj+7Zg4D8teDc6dSM
bAjvb3K4AwOetYpGR3+zp+Y5b9zkrUijnZal/j4NdR9tuaCA/w6tUtdFONqZqJjo2vi9bzP9cchR
aE3TgowF9UGIpxtnTtBiRAGlXKVdMn20FFnonAzOXtYeegPpPG2LLN9zS6HE7/oXAcHAwhGBpeTL
2nMez+0udTtQEaSmD4k1Reuk0LOPsp3gFo6vMiXdTfIbyV1v9L42APogx3TQy+rSF3uAjqufy2TT
lr6GdofjPfVW7z85VZnu3ZrPa1OvLfpSNGe7QovS7z2qf1Db9JhXJ62hcjc8xG5q3vXiL2Gf1ItK
T9mgxZm1v7+0EvYVz48fhsoPLzNq1qX6Dof6e0b4Y8xp4m4eSQA4vZ5Oi26clwNZxUU69Q1H8Q3R
k5NX54F04f0QizQLDLEizY5mF2LtNfIWMAKv5pS8XVa3CTyFcf8cxV3/LCDTy7PuoeTc6dUUnQU6
NrKWBnSi8Hp4xUujuavAEe1bnYYdamw+ZUTGuh+E8y3N1n7WJd/IJsP+GuXuszaj8FFGGTt62eNI
5IH6WmM3ZcVlrMNvXuhr5952iuukaEyKcWNkaFwGHTAC15YXTH5NjT3z9SLL/0vSeS23jWxR9ItQ
hRxemTOVJesFpQg0cupuAF8/i5qqezmWx2PLJNA4Ye+1dbqqJL/xpExnMYHmO5q3l9DRNDUq8vd+
MgLIIEn6DVsvRUH4zlIhvY5ZkW1JdwILC5x3qWTQHbQxj5uwxXFlFhYQZDG/lkNJ/d21IO3xlC9h
jZFK5w1UZSTBXokQRHI8lOkuM6Zna+7cLWRRI1mVDljlVHruMfJUiqErmahyomgVk8a+Lm41dqqG
R8OOz85UNSckQs1pzJuKUrBwn602mN5CbjwGHHN1N1Y0FHVrT+8iy749lK8Ov8UicoQ8danRnQtR
nSzYnYcWTuahNetf0+rqrRPxVOzqjSuH9jx485oBnwL3kVrbIPa8o6/SbN2I6btkHLWNa1Pfg+2g
KymavZ118oI0RF78wCAiUzTzytNucR4jeNRVMoxPU1Q/GMp96gg+uvMjSz4heFzZpTG/kkHnbeuO
lL7BESee6tkpG0x6kEpyRY8X0SvzWKY8kanH3rUBXNwzSJQVofmPd8B6jMoFaZXAuQZuZNfS6TVt
gvQqE/B+lVme26jcgZTWL67ujh2D5N/8NpBPwxBmnv08jt9MOj+JqiRlHpQU/iS7rC9sUOsLM3ve
q4h2i8GYrijGWGeRChu0+SbDDLo1PWNY5ZwAhzZ1prdGIOrHV/yUTheSX+pL1hXqnDgfvW7Lr3gC
qjGYs7gzrft8KLxHdEDkG5Mf24bW1okhTzq3zXWHLgbTF9sWXVbBtU+igKRLlR1C2uPbBd1x+78N
XjlvemLP7dArLp2v2Se2+YdpZf19m/hyQ7Btzv3wPsjaex6TnGAQyzuSobJMeWPXSAedVxQiT02h
g7sMvQ+obN6TgCnwEdmDWjBgIxR3JJ5ZVIV/yzQHHDnZzFmTkIlky+OtJvru9hWkk6++ItD3pmki
SWgOX1N+6cI3xo76kpSENK/R1PUGgUZGMII92+cC0Z05d+AH4n6TCqZPbsfYILelWDFXsLa8ux5K
OLs6dlVHRgIxkCiLENqlhjHvY19npz6uuHSsEWvaTT7XlV++MgjjrFzv7JbFW2qzlQFFimpUtNgK
po6BCtgvebZLBbi0meqDkNNOKBlSjM7Dsu4nBPlsdBdlXjs3InWyv717DXGEjEp4C4cp/DCMMX8y
dDW8xoF7P9QZU9y/G+X2AoiOR0Gi/QM1zDIf6/rHDsFnOSRyPdvhWGxSN/3CEmDtKnuud6MOv0oL
Co9OZfgWQhkkadPID8GN1RL64uIVlXWpLHATmYsDKSY/eROMLqqYFhp6xOPhTCTh+OrgjOeJu+6S
91hqsrzR45B7NLpHkz+QSGN98VhxrDGxsEeQ6TLxw+RQRsTch67eFMFEvSjojdVrYLEGZJk0HP9+
lI1VdpTl2uI05wICijiWKseubBj3uonzczulF+PGMgKDa1Ah+taKBr89j6LChWDHm7KynJeh7J5C
U5gP/ij8M0voGMmPKNc+o9ZtaVPB2iafvgWr4slh7cJqdb4zPUgNAfajvAKuUyNBe+QDBJzumi8q
pjbEmZmgw/yuutylwk6dy1xEhymPYkQoABedkYXMkBTy9oDtcV5ip6yVuYSW+U1JZzx5qJA2SdhX
hzqDzOIFFRML2yk3Nr0iVwQ8Bm+U19wOjScLNCacj87UFPtlGW463+ES017/as5vQ0SDjAXx7IxD
jGEzGe4EzM0qyI37KEk+7TJND346xVegfC+lq6n2M+ZhiwaqE8Q/yBUkY1ImpAY07SDekkSXPkUZ
m92Ev04aKb2fZslPafVq2PJFicw8pYxn4Fbma5IxyLvlBH7rgioiDFCYT0WBAjaS0Cr+vrRE6a+6
rsy3IqjuU1uYZ8+Q9qZL0mnL8bkEBxhc/l7Adex84fhrPhj8RVNfuujJRbouuBp24eySlNN27wUT
s61bF8lzEjP5kU7NY7zFVFJ7PZ3KbeYc9cFChopWHDbynS57mDxcV6vOBIRrZbrexGG06zNvetB2
ukM1466Hucz/zUqxg5ssODhufsiF0ts0K8SyaN3wLjFNqEQjA6nMjRLYtQHGjhJo51yXDzqIsN0a
ZrQDzX4eWOysE9W0x4EaJSbOxS6y+tSDGVnonMELC9jprmcmurCt6SlPcvuR6mbtUYrO2kWe203N
NsjZ6k94oR/aIhxOPQe/o+e9H2TGpRQyhx9lE34QDKdcTwyL9PvfF1GrX+eRmFLlWMe/F8NFeNy0
ZntgNXWuQdv/c1MX2Gd1JzFHN0Yt762RIeg4rZssDJ/jMr2BqFKHy60D0AHoWO2yCCsKjww2uIYR
HYqpF7uYGqau/PIFwpuztBuifDQ1wln7xlsVm/BgHPGdpPN1GhHPOyki7cz7rRlKnOiU3GUE9unF
CW/pAFw2xijFfvRvIWSF6LaEYfoPyJ0sVkf2ePBhdiwHUuv3rRuQeT523iO9kL/q1aQ3Uf0chXXx
YM5m9zh3Xkj5NbebvA/bRzN3TaQwNQHHutpUWquTcyuuhU0rk9xeCP/aJElIYstNitBDEd3qEYO5
d5MohDVDVT94yOHBXqdE1eyv+fV17UQLCRIFKmqT7IYh9g7j1M3H1KkiBikRaHneeAoZJAtBN7CU
rPsDSWosDgIePFlYv8KDjtbC4UIh4M1C9uySDAeyZlc1LfoIpPDUE5TB3SH26bj6siguTvuuMkAB
vgzeW9cnW+xWMHR+SMkq7fzg6TxalQ0zxDZM/MPfizfkmC/auFv9/Rcq5mKsh6UecUeNPPrzsk5O
fVJGKx48b6AU2+0wFrR42P8OMrlV2/krM8XiEhQIfmgVPfJM0voCX98+G8H/Y+wiskjULpwz5GLj
3jbNlqsh8/clu7ZsWYJHp/9vlpQZzT3J2XvWQvOnUeX0QYHrXyvHE6dkxiTRsqhf0KSPjOZc8wE5
HcBWeqJNIH+Y2k+HTANMWebNtPWqai8lOdWTmxHXEmTH1JjunN6a11Ka/s4oQ/lPmue414IKx0lW
oosKEoEpjzIkPHCsnfnUlubZSUWyLWMkw31sybs0LHd/G2g1Aky3AibmbfDolMrcdiV5LTN98Yks
Z44xG4GoW9ecgAPsthyO+XsnXCIo7afSsIIP7EvHuA+5rhu5ojpr/wEkPQ0Vd2XHhXEY7KEsdhS1
AwCIgPTlYIrWpoaF0Ic6Yc7fUeca48lnALmp6TwOjWp6dgttvhytZtjKap6B33T9dcjp8/7yY3pJ
+IjQYmOYQ7xTufcc/C2So5Zx8tSGB96jH6L/ds5oudfEbHbS897crNc7u0bCyp3AsWlODYDLSvEQ
r+sLTM+zmdVyQYDr49+jI6T3XqaJt7LopQ4OflJmSEQcGOivd9kI1LJkBHuZXOvJSga5//sq7uzX
jKP+lGiXSVyb5G///wgqkzV29l0U3siqA6DbOQliTETtVqURoG+nSb8lWUxWOIwHtjLVio1NdceZ
LZdqYu/t9PDvbzsqKFWarD2kanxWUsRqD7jpJNmbvwCxTU9R7sDPC1g9tqXDNj9AXgji2d9FGfdE
nvfrHoPoWjPBZxTVfHZygvwWA+pqrcPfeNMJyGJKB5eNd+29xJHzgrnX2/U2GqCW9xUiXKAj/6LG
2rxW1MfXJg/8Y+GJQ5BxJ8qhMo9FQSJ4l5vFS+EBXJgzEf+ztUApKSaq4Rl7JP3PduSvCR97nq+V
K0EqKuuh0q59V7Rd/Jw1JJTl3rppUoQYTiYulPS4DvUIaPP2ZZ0gbBrM0N1a02w9cjz9jhUivchK
55UM3RutMVP/Yj6tKS7mz3b25yWVV3Vx+taFi4GRb7YtYy/JdthlEsZazNNhJVo7vfTJcO2kYpiJ
vXoV+ANk+Wkk5RUmWl7bybob7Xilk9g5/b14eK5O0Hg7/N3tRz7KeDc2Do0rHdNWjVb26iU94mDB
IPDvy3bMd1HFWMhQj4PIS6gh1quOTE3sMUmE4a0cF7AB33VTUWh1+V5lIVisePzH8j0+lCTQnIkP
PfpzP90PuTvduwxigdIvrSjqLyD5mkNRBOW2QLK04pAkEDKY81N0exFlaa7jzhjQeszxeWjOfsaa
Vydy70cBX/29NB2Vb5dxww5BexcxnoGbDGg9VfoSF8HatQK9DSdHbuzJI1a5tewHMHXOEta7ZoQX
qcVcmdY7IVnP7RzJq2XHXyRxkZWA3mNl1WQ2FbJ5cvPgFJtDe/37SjYVYgojg7zohtMB0OciGGzJ
StwlO0qgc9u48+Qf/l6KZHgj3S09KC0QvNnTvE2CFD2r1/docErCZiWRVreICfEAhSt7iIf5qJ3m
GOjyeagU81pm6Fcl2LwZRRVv4CelB23SItSmqTu6HTxezfRYRXP4SGyLsXDpuffIGMJHNnukGQyj
5LpqdlkaOidrttWjM6MucCv/Zx6UtVPCMNguF5xcuVWzEh6KF6MAEoO4RX6yZdrXWMSmimz34laD
5VOVnv9+9PcCDzw506k845uKNpWnNiYZVvx+GK1y8wH6LDOPKqm3Q5YmPzLPHx1JiRFa2CNJsmZ7
lzUK9AnQXVIguMv56u/nizgwMVqpcCnQNz2k9Jg7o4NSr7zqnNgZK3yjMh/GifAqQ3rNUxEITUam
C8SgsiPGioF+iHlXYCtYpyTV+kFx+/lzfq7aClS0rXjCKPZYqvkJsI6ZRAmvKOrCE/M5RHpm4t7n
/hzv5pBBwDyw/Jaa6I+bE9Np8aM3ZXKtBdK+vp8VmvfwpPkIz7bvi0M/wKye5sk4kTXcbxq/kMsk
bhrCnVhabFiKfcftpIg/DNNdYRXtkZE+O5WBzDDlZeNGBgMRWs0sT+7thSgHc+2MyCfjzt2UqhZ7
vw6x7xnMtiwccYRtOHXHyeBiQXULbxP2cXsprPgJHUJzdTQnnUva11mn41tH9Ozh78piP78vU77h
KeU2q8g/QyJz+yHtGsBTM4iqTdY7XN6NePO5WHdTmcfnMjDsLZGJEGlu1yfDcrn1Httj7QomIBbD
pKVDusPu7+s5YiOuXTbt2jQ499xmeskH9wl4uHdI1MRKaxrys2czXu0VYuiW6qCs/G3ahFjveqI1
MYAsA2vhk72pvWjXsvzPZbImL2ZaNJ56iHgiIgZeGsOWJQQjhHyfV+lDPpbXBMNFmLCZ/T/SaFGi
VGsnawtzYZ3PwSXHzVBPwVoR3DwySDixlr8bTeOzRF2RlSatnfJOVv+Ws5CZJnJ5x2GPhENFzsFX
IWGxJlQ8ATq3ntZloN7Q5hy6Ya3I27AUYqwb/IVMnMbbF66xDNUxDMEBvImeZh8Rd2hZWHMPjYwu
wyx32ir43Icf/oor4bqXMD4m8z6FOWy9O4N9xwqQAyddW8wvpyo5RvU/t8oxODEzgRwUkzAc6EMp
9EFmOZOJz/g8d7u8mTcWIENJjgKl4LlgKNzFLx5qWjaRE+9Eaq3b5LHeBjcuLO1HC40JaRWdt8bJ
Ga7VHDz27WcPhBKDBmMBILyR3Pbqy+umQ7AXVrkNLY7fMtlkMxo+gHpmlK4MO7oLv4k3W+YzU7Ln
WTyb1j/cC7u+OFjRPjaJxC6NLTK5pdD39OyBnA+h+1V9lJOLvP8sywrOC4SH6RAO77kznCIf7CAf
P4/pdZf1X2Z3MtEC+A+TLVeBO6yEHFYRGAV7WqUGvSoiVYd19eA158S4kTfm7aANKla8oVQNoy8P
AeTXKM+WIxqx2ZyW6cBmu2AEDLJ1YTbkKLbBbrbaDQ+OpeD4H/L86IEqyImRbroNiM7lEL/Gls0m
CPVmTxN/TDPOPf7qDsyoORX7Ipq3qB6XXUngjsNYM86zdeYxmm2eBNFgdUkEQJ7Feza5odWfZ+bM
8BLwg2Z1tsxSJp8+Wrux2KNgMiJM0ml5cnBMOMpOABqwqiHdtQUL3IbxKjIYz2X+0qdPufmPT7Cj
fpK4JJUBc9K4qbhLDWfnSwpCT4XP9ljvpya/Kw17HWYCnx93mOaRn//k3CxIoS5M3ja2sGnLjEXn
2Xrp7OX0OQmki1FynSvSG9v+Q5vZNhfJ82SyaUnOyTxsCxwqmFwh7u7KIiMyg76SOLZ9LlGci2ST
8I7WU/bP55k2zj+oxJ7IvDgW0nnowJeh7/moFA+Wenwi6Mi+8GmsZ/szxcuKWgmMOdm6Wl7Q6qzE
6N6FQ1Gijc3X3rjxuWdlblx4PpCFzoO9Mup90xnrekKkiixAO9kKbNsGKQskd6+4D1V8SAPcWQQT
04Ez0sUkNKWHprZWUSzWWUiDNvTLKSb30G/2QteLEr1OFueLnAFdnpzbNIXHnqz8NEdMmh36MVsq
hSMxqqMD6sJy5MRCJH7AHbE1WUAw8ZxfEnbprFeOZZXO0NvaWwoj5IvIea8ag89jPAuRQIKdD30a
7QKT0bQ337uoyQMfAK7kiKyiZMsmc9eUKdnGsA/0jq3eAZ/JxuoqBFjTC0tjzIEDmRkNKVvGgf8Z
PjkrTyrS26q176wV1QGQjRvWKYbXAgPXIwKmj5FdeXdjGSChgzlQSU5q74zGsFsgdHxkXpEYxboT
1PbWyLxp6DeJFxwKp3xqZiQfKbJRbi30wovCwCXaZsQb8rtSj70KgAUS0J2PY32yDbh7XFyFywqG
AWePf5Ko0Me4sN5UkmwFqyyTTENzVkdnCr4L01iF47/R+6i76lPPBE2V3Jb2zNmi/N8knjYKDKg0
jCO34JUV51I0PwyLUKVZ26htsO29TrPhQvFTG9nVX7nzngMQsJXLOqi5ChEaFFrREQXqxrUTQCwm
PAmfk4ksnmWe9huVtUT6yphlF/M6kLspl62oNlbE6FtFq8Du1k3VfUYMaXdq7k6aOJZAVtDZbaa8
LF96NDjtZNwALes0rc5OjTqHiMwg7naVV611b68cu/zUnEBov7d9ki4VIWU8VjYpUxzO4txq30Am
brlVVm5D0kXQ7SLW1EYz3yV1e7Ky6rmr1F2J1I7bH7Krd+ek5qqz640BZ3quRmZasOED86dwg22e
PSaK2jlOGdfYizmGxh1Hx1xNO9iuL3nebf0AQfR4RYUYtuGvNqNtMLI+7cMt1NWtpcpueQPlypqt
Uj4CnvUs+C8CIUyzJ+b+t+M7Ru4PPTl5TEr924zumlMI7y4JTbiV6xVGHcaKFSjZJHqYLYSrqSjZ
1xIMBR9pAhnpxvuOEaBNdk3tOIj8BrbRxj8ZEF7tsx6QHoUwyVVhpw7TTwI3gAdje5/FxYsvBOUU
55cltpYzHOKmpBJlAFDmEYgKJNI+57SBdiuo920jvtzUITIAmmN6KUlTC1ON8rp4Ivd55cl8X+Xt
NjONU22TIH9DfiZ5vKk7zicn9w8cvvcByOOcFi+x8zWTrR96wcNkmZvGCF+U2X2gFcxr9hbxxoyN
39zqTw3ABC8ACT3594POVt487gpn3Jiut57S5tKHBlMM6HTR0BK+9+3Zw8qNf0lhhXtTbEUZnXOQ
OGLwNpqAEz+NHpus3tToJQePOX9crm6wtMbexah7ATmXKBc6TIP2om2DZ3PCxF1fCMnZotJeBGQ4
Eh52sjGQ6Bhd7hQ8jAbJg824lhE3TSRLxUJgetSz9U9D1cPb415b4aT8+5RKIoYyXO2LWtIDNfa4
s9nxbK3+mMjGXytBQVuyaVtZyeVG8u6NmW8X0m80EX2gt3XOeiMj8TMXyHCQ3jafA3pIJmlrD68B
FivbmzeNN9iLuGs3njb3nhffmrp8iU38nMDut4tPn+5d5vGqaaJDYz8LsAgxptMuqdZtGbym1J+w
HE8dT5RGvlQ2pU1i7jtDbJI23cAo3PR9h4+BNAOhrn6VPIwoaGRQE14c3CMYRiRNViwFl0d+Ssdc
2CZtxSBvYfAi5M9kS3RuzIM22ukGr1R+Nj3irHImWml9GBQYJfHQB/KY5Gh/iIUN8NYjsUrxQ6pB
nE2ZPLouuhae57IfXGw44U+RUYZYTMkWoGqZYqLZcDPzdwya52QGvim7Ztr3yFVWc6c/tOJTntl/
sV8L0JVJXBYPIqwOk7SJFoSYk1IhxUNTbIcEprLhrUyWCwgIHYrQlJU03osFy8X0HAT1sZzbSxm3
3zk2gKU/1tfcEPfNCD4jgHaaoEaQVQsh1UZuBY06rqx4kfdDsgxN+mXND1D2fNdu/Vii2l5oNnrJ
aOzDdGwgxje0I7eI7YhvZCKLS9/4Ym7Q3xzdvz5Q90Cav2ivauyjFvCCseD0IrPdtMljR8RQm28y
Sp7jrnozx/CxICfJUgi3uF5GgwNqwI6/GidkWrV3zYpALuY6G/Fkg/ZHtrism1agjmdOD3466fJv
tOTJ8qVn/HXTfH1bfh6QXXyIqIRWwsKpM/VsHsuJ+W/niKXplS0qbxrPFOgsdy0xsMPSDw0Wej3W
nSLYVhiN2PJDxp0mY41E2l1YlsarBL3HR29q147GswUzsO342a77DEo07kZ6y7fN5pVZ0lAWib8m
Dn6f+MNvg7qBGQkFkDsm2YFV3GjrTWPBxnIsRaGruze/eA6UgUpqQtVd8jzSaTMsA01suKEkG9fw
NUpyA8FgNy2s7jQ1BJMJx+kJuQB/U/g5R0/MHs5kn5VN4xoPZ7ZYt6a9jaqScn6K/GXKqmOVx+PK
KUhgZpXszKa1YiP8j0iqBKyWeiv4w5rb92ATW+1pOmVPZz8iTW5WDCW34sRC3SAkIXuvGL/Ay9uP
AZXuNHsf5tTtHbO7/i3iBCK7ZvYsxMjs8MV77xBBgpSZDkJbL1M3ncvORwz4R530s3Q1EuqpBLdk
5TnL2Rg+a7T5sfvtj8dwEM95nFz//gs2xqS2GUc3KQ+1X37IRD+003SC90JnyKhOJCFnl3GTOlho
dkQXvhlxt+nZni2YJlxb0/ttZA7gyN/JYtwj3KDEir0jjpeAmazado5+G+1kYmZrPQWYffjXE/Gh
lvssR6j6pDs7i9QieaIx/F1NIG9MkbR0GdotCS38quzk6TavW/iW5W4Ey1o5dN+t9kAqIQDfFyim
hOccQ2u6t6sncxzmhSnadV+HX2ZMr1tEd7ZhvhYBqagdtguipZAIDeUhkFh3cMuXC4u1qI/GQJsw
1UQTXCeF1V3Jh1Y1EAkiMirw8rFjPWcSK6TouLEb5iUtc94hK/duHVMaTK9GpQlRGe2RTWt69uL6
VokUq9iKGZWg/CvN6kdNcU8TPv7W/mdjW81Ce55cdc7wHbgbn9lbw/qD5KvnQrDfZanzniN2RimA
qNd0DERkKU+BwPmcioC57HDJajQJERGoh+Ia+Cw1ZZFxp5EqmycHGNAGsD3cgWRz47FAnGWS40bO
4z3Lp3YhHPc9ybgGmt5fqpHFIrEkpJznK5VTKMccACVzfPBK1HqOlh9Z/WMWjV7wBMbgiit40eK9
Y32Cu346EA7XHicWFqFj6KVh9ePSSOrVBM58AUsgYH+w0txiinMgb5xiw9SFRtzjsV45ziKz29cm
onhzYoKoMBdt42L6KD3vmb057iH1RR0yLufPjl0wXU/bLfHVf5rmj5kqtuXm7GxiwyMusg13uiC3
y6uw3rSkPOZt/RFW/suAdxl2h9o5E5UFsk8I5rNzlS5qrfIp6Pp1cS887HetyxFjpSUH41Odpf+U
kC+Re696nph++ZbnCfoQpbAAQ8slEreE8NEjSALlxXr6LjA8ZiJ9uy3n7LUdrIMhmLMzV8Yzznq+
C6ATtXbAHNG5Nrf/KycHKQjkqsIZL1M2wmb14fn075lDWG6UcSZPN1a7z2AGqsgdcbs3/9TVYqCb
Z3Q0jZvf41pOU33RYbBqh+I4jwhcEQEY3vg+4q3UkTwPaXiIzXbvhagKAvfOG5K1lRQ7YVSvkdnW
SPb13hpxfAAkIDbJJqqwVfXNs32Gu425xCdVYHCG1QyQ6TZZgOSI2ZZA5HdRinNlswzp1DunpF6X
Mn+oYh+dI2HVXkQLq+J/aRQQZY3ODbokuKjIBmOdhju/de/yCqS3NNy3jrNvALcdGv88Oe21um9K
4zw2uDsy/zEtjc8cTZnhPSubAYRjfcWYBLSvNkHMOj5GfT2OTDzbjs1sh7+BGsIZn4VlPmXhfLLj
GdAVAUcYExejyTUSZnzUDdFAfeSsGhNFsZHRqFZE4uhg5Ctu956H+kjbreGMQMNmDtZAmTSZqvsC
SK7VfOaFBzERhS12fL3QxANXhWuvBIrFZSu+fJDUi2SWetWMw4tf91czulG+/PrNqudXlZ6H0n8o
qRLxXRgO10oAo/n2N2orB4++SL5dq8K+m5Jom2p/CxAIy5JlPFoFC2QAMYxM+zfaHlRlDvxWLZOV
GRf7oRYSBVXMWqm7mKX1LHr5dvsnFe6L0UpmSkzPPP/Rj+qNlNYLdq117KWfo6PeqypDVufkm8BA
Q6I1wdhZtVC1PpGv9mvw3O/KmiMvJiCqosX4+zskJVbNerhPEFOCE7fd8awVz6j49j7TJD0m5Fu5
g7qG2jwPTrafkpHOo/zsKBjM0bmLbbSvpGd2KZVKbmkiAutwXqCZXzktz06GZLXQT0ZZfzl8snjr
vTiemWFhKOeh9eiKgSBhUkJgGFGPgJel4ZKHwazYD9QumTw0OI65C9t7MRjx0inNHxYQh6irdgbS
mzDJHnzRflFvMEaaf283eU/hVZhvTkeBNClc05Wguyo+tUrOOrS+VCYgug9QP3NJn4hQoO23Iy0X
hZNeQ6FhYE0YScP1Jtrq05KUXHFxDydmIweGWdZMtHrEJIOkme5NzJZcYoBCZ5OlT63LRdi7X7fv
0azs70jEH1Wc7SEKfQUQ8/2RZmS0OzDvpYVVBhpd6ciVlYZLWQJxVE2K+JXalYM4/w6DtfBgQvBx
ufH41rv+gQ/0gut27yjAkkLGlFZ63CjCW7nFtyi6D/MM0CO5jeXc3iIExtnMzLlcE0jrmBY0xIn7
3rvD0mmwyyhbwg8OojPxpw9lEOVU6uC6i/w8hiFrZrVIyqHaVgYmBEfb1YIgN3o370oo7q+FmwxX
rf1mj+zOYIhtu8DZ9EbD6sQl0w5ixBvqBQaBlXxzguJ39DA9WPiDl0OnVpi8pw1yqnFJrUfgLyNY
KyIwczzZWYyf1/HunZTZsTK1j56Bz6ewoekpf7gWzNgV7ppGon0zKggnbcw734Tmycx9sCnjDZbS
hKdYgcvJTcZrjcbmAFCwrpH4BGZEziKfQqVBZXUSHaJNZDZcA5IfFC3HqOPPzh3LNbMAYfnVuq7c
cTl6pbeeIzYfbjuDkMbnsnTpsZdW0vVY0YNkn+9pcKJ11ER649THyutBdNhgZvM7L+0+7ISwuAIV
3yp5x0XuLmKgmp3hISDQ6B60g1+zJIBOUKKEQfGZlMZ9LTmKKqbMSNrKZnAZW18D0RC02UN770jy
M3iP8eJeyjC70xJyU+a1jLrcp7wIza0UOtz05vwX1hSuplE9y8C1Scuy2nXAivno3FwQnuETL1vG
B1ma4TYp1SWdG2+btjxMyIpaglaKNw3zvmVU7rE20CAVJkN/1oHIDwex9RASm6asj337PuU3Z4Ki
Poga/iSjNPZjL47JKDMqu0QzOnmfa/NTRa7iScKvsaYduBR73Q4UdW4a3IcWmEZztgEyZ9axcUeg
DROup1GhLmfYOdq+WJZ+8pOxYF2ENY7rhLmeGY0XL2KZ7bDliPi1ud9/xCONW4vQlhKrjIMfK3xj
xc839wIfxliaphJLo3S3pVP1eCuBmwZuCXc3fkGHi4U3mUmRT6rtVOjbKCFE5UZydd2nVydCfyAH
OqsmRDPB9q55YHJlr2U//ZDUxDOT3bPJtJe3tViqJtSLwgIN3xoj31r2i9bt0FbVTuStQ9pGDeuO
lIWhH9fTSGSyBBSysIloMkt8Gm317EzegWqbXtxt63U8X7LYNraDMR362kS4lU8vCdQVEqAPSlL4
VClNl9E3D+hKkbXhMmu5EEEM6efulkikakXZcgMsUFfjbfS3uU0MmU3jZXigbUda0QpPDiEiy5RV
KuJwSqqqMteyxnWkqnhHqA4q/OJVI9jHO2L9x9l57FaObFH2X3pOgEEXEYOeXG/lbU4IpaP3nl/f
i3ro7lfKRiXQg7qQshKpK14y4sQ5e6/96jE/duAb6CAyNvYEaKaAHcB4cEn8GDmlON1AXiSHombY
uHgB5Ogd89K/0BW6CnTa5SyD9Z3Xk7rSZslH608nywzPxN7tMpN5vt3cF3jafFtdqsX6ww8X/dJF
oO/mdovc1WsJTHNpKsFF3nnsiHbCUlmNJ2KijP427BuyuxKCFFGgMSY5jYOs0YJh6wkTsYmF94at
/ruK2t+Uh+86ir/jJ1i7mBSjiLFFxHisn0gXyc2fkt+NrJL01HWI/fK5xFxPq8208BhlqBZlB9XG
xfQ5IP+ADHBXoTpdt/N6EZxtPv9vJMQPmmrVCuNl0DIBqwMG7FnNL9EE3saDrTWbw8kLItxYCDLn
ZXPKZcCyJJ7Rjn43CyveBJF99GrC4gKTDJb+HZz/QRBJ5hvz1jTqJwRle4c6sR+ba2VDck3m1zjp
Xp262kScHvGycjbnuI2OeXysU+y9+UjslohPGU1EHoPhmwzCvY9rwIKly9aD7bYIQXszpV/3GZT6
CJ/RimODDjDreo9ZHnngZzd4Qsm5qnAnFzwqoqkfLVDTNN6BEyk3p2sy3DUNAQJi5q+nx6JPHpM8
e3YsxInGcgEHG0U7+y+MgpylN/pIZ8EUGE0nTsv4fs7T+7a1XnxnPii3uptFaaw661ImJjewRVAa
jSIOAQQgDfyTwmxfJu+H1Xd6VbfyqSlDBDkp8xZHG1Aq7LPPM+cDF/TpqXZNt2DYb8tiZFsNpms7
bkzSLSD3hfxq6UMzdKeq9c80i1AuvOgkpDzAa+NG8sUdvpVzdGt7xdlwqqcyzy9WgIW77HbGMHMx
BuhNUvYfjt19g+3D2S+mFVMbejspukWGimamje1dY44Myilq4XrIZZpmVOqOKoJnvA3x8abQ/avb
2bHadRCbLzU6Wu2KDRa3FtII1XHkU8SO15nad2V8c1IKvQJvCS3yFRlKSPt5sr3SpQ4b/fdYASwU
9/aQLqRknVO3ZtNKvecOvXgw+ZLzIU9bNNEH5+ZeRmwVaF30scz26M41/kNcsEznI2kN8XiqtLzH
qvNbVOW1VdMPcDT4vOVT3CwMWpK88SXYBxmis3amOMKkIj8gbD3HPUlW7fJpusKGq1AlLwDbmKmw
AKwUKxxN7gEXjyyfcGd/66AGH8sIJY4PpQ+w3LyN/S1kVLXF4OmvYAQdmjK+upTgO6HUvpjCs2XT
UZpbzkhgnOfqkvL4xyCqVkDwxg04CnogOxX4N6NhnAaZ0HuW4q0u8EBbjCbDb0nT3FIGJysEZdzM
kTpZAyM8dm62Rm9vudmzF6MLHOI7oDIbhBF3r3luCM6uJd64UqOdkJzDAhyKuu3fEtOpt1ZrJ6u4
rrJdMM3fUDw/ZTlpTqq3fmSKESJIVD51wYUZCooK5e37EljT4BBx79cvgGDQteHaO+dYQlDvGkee
u/2cQzH3AhDEPVsXJjD6wzOJXbb3A5vq1qHtJXR+0FiOCttEGjB9VIomrQcdvl8stC3Jmza5VlXi
oUkIrWeA45QtSfBGs+qDB3ZvjE61xevb07Q6Frasjo7oXzsvjg9jWOMM8KoNKhsyH1XNPBCRftsz
ZBFxgWCadiKW9dWU2Pi4c+ud7PbXyrl4IRNp0aV0PSrjUXUpRruY8qE8NdN0R/REuNIaNF8f3mPY
WzrI/tNc7/QsfrvlgOPC5VPL5nJfG/VZdurVym+DhltoKOg+1SbPBkqXU9GrayoVsRy5DdIQnUlW
sUQYbs8aFzH0tdOrkUa7qci3M6Qkzq7NvZywXbtsQ3IzIXhfmbbcD+o5DRIYmgpZRVuaHxaCpiiB
VS+D4XfVyY1aMEqBOTwrq7sOQ7OWPT/F1UG6EtJMVpZ3YVWl7VXb/cpTeFxqUb3hPKHut/r7PvPW
wBWLbekHr2OXPkCXPiPGOs8xVVdIopiwcvyuULnWknsGyShNxuA6lRaHyJgWSmalP/rexgaNB4DR
thegxQQGYLXTo5w9udbVTV2G94PKcAU2LxVerzWmKe5rONQzYgh8vu032DXfjGlbIX9e4aXyhpor
ULMwttLE9yfRe7/EIt1oT1+owi9BnBD9GRZr+OD4SQFLWQadcvxF/glkLju2T13x+c+I9HVKxBOu
BGp2r7jOgfW7Y2ZBdhCBoAgyYne4mWq7o7zHYxMN1Yuv7DOqPC/HpWuNZK6JTDzIQCB6peExJGf4
cDDjaGZTcbaXkIbgKnIC+InRSbqkf3VUlX2CqSAVBvK8GKpP8BoWDZHh2WlIB/xO1SsDwdupNr6j
eeNUgipJv/Y400OtH5BZfQyN/FGiJ5q18zN4jywO08ZE360ik3mwLYh5497rkzeB9hQcI/eBtMAI
j833iA0ewXh09tJBbdGJ+2t4TdYhM4qYSgrZSrCJ41eSIol0s/RT4JWUVO3ebdhfS4vRk3C6n32u
XirPpuCJLJNa0tulPXrQBHtG1zTfNWN6g9yGxqnuu378xUDkagKIAeRzMETJiMMuGU5XB9caH+Kk
ztlpOAQ4kzybFQVkB24YL9v4wEDN4BSGSwzNToXAJXWTdO0V7znV/6gr9tYJN7ixz0OcKspruA5x
xSZjlPt05MQc0kdyWnVtUnOP2Rbuv3bSbSG66FQzzB44UR1Mckm8irQP1OYL3B0+1RCxW6sp3li9
tWSs0R5EYLjhvT/keYFSsC4f7LS48QOfMTKgnbiXZIGmxoY2bLMRSV6v/e9aosyKS4DIgElDiuDi
WiYaOEXgLsIW76ZIWFW4i0uKsByP6VSHu7m4uLr8NpYDlkKTan0WxZH+KPNaBQ1XMxnOmtraTgmL
atIGP70O67kPm2+ls7uu8jhvBmgL8d4zlnbJ4h0byvg0eTANBXCjshervLEaH7jHWCwsTjA8dxFh
Wu23vmeLLRI2JgueOnWPXTAekt8r6Vwjz72pK37NgHzzvdWbPzBOL6tMn1BNQiABtpuP0abt6SgC
NqNAFM7JjKIXF+wjU2WLXzPlfjPQY69821tzhj1k5vCLlR+iRnAvhAY1RAJUz3ExmNPkFBjMtAM6
Xrho4pnD1zDz8AMgQgPciStTmQOLRIHxY2UHTK/R2ZSUwn51O+aNsfMCma0W5uDObLzm2sIOXnVI
qXYCWH8RqYBUoy7ZZCMEs6C6GTL91kYi3KAJbyJXb4VbtDAD1bypgcelWAaPjb0m0AIZiAifIk2i
X5ybm9zlqvuGiQonqVBaK6FplY8+6oO52RY00XQOe4Fiy4DgIekn0vVC9VM/pZz4z2wuu9BNH0le
affCXGw7c2fcN64Pu05EdJuwajnlk01D6xxVJqbv3Eq3SdXggou94dBJ7oVIFjWnPud70g/9VtlO
yWEwCbdOyGja9OMLg79CDfcU8HprB+7POp/zbd4H+ENC8WCFznRoGx4DjClQjbsOObxTorBLybIx
VABRrr7NRcl0eKC74FPcMZo7lSozbtjcy/WkJ5hpy9nOn26dnPFyzFDnRD1AakcLXthChCaz6Kl3
aGAgg3c3gGzEJmiJPc5Ez2hVgCqzjCOl1WqEwrOSTZu/IlXsaK1CiepDB+FfG6J9mebtEL6PSM1P
iQD4S729jmUZbH09z2f013QxEuLRZ21/hDaRN64zvUcpiQj0ncZtaE5YW6bi7BmbViwhYGnHLRy4
/hZEXwwXK0yfccgx4bCTYI8ivruMCkQF0kQ/3rYlDCWAHpwjWow9DGjrOy9z51VJxuq+wuJ8NBqI
rxXDwmdVzbteWjfGnGa/WZl2cHWcj3isIeXm1XD18+RHVHe0jkL+tmUVNLStkVmPDuz/fIvcJ8MX
BGEQONU1E0bykFZ3TlBPb0Gl3rT93oy/KyCkl/8QTZPqDb++gc/3yREmWnF2YyLBwuwI95WWckLa
dinb6OzQbkVyEEHD9ovqxZLZfRD2pK3xb61FWRm3ny/o6NNjmEAfw367Qh7uPTM6Krfwseor42+a
dJXLrVDMpxxeL2lnjntn4UMGNpW8mfH8zWhm7yLjFDlhKsY1jl9iJJaXOZYxUtliydd4nJp0LaGv
oDOr5tdm5pw45DJ/Ij+cn6C6D32HULv+0SwFo+sTSmWoeQIMlYDpGvxfgxS3Pr6J+27QR9C6003t
g73KmzcKMgT6vWc9G7X0D5/fJrZV7UH3sh52s3M0BZuMZQNop1Jv5S52m+oweamgPepezSmpjoVX
jtfeT+N13nblJZ8G8GyOPqIaQreKveW9Tc4apqNcjgXMqolEckx1KRT4T8l2QMuQKnwQdn6IYeqs
3Mruz2iPXVa3/L2pQNcAJOluxOzcE0hrXIMcE1wxjslVNMMCYwwEMwdlXnXhg0ew/bfQh4KSJClp
5nFfbrKIM3ITquCp9MfHam7yj8lEKN8rTElWXcw3JjTqE13TnvlXqM64JRC8xg6lIsaOD9uQd06c
VfdpOT8Jz4Na0LFb42EQbFz1GG9dyJy7wkJ2MxohUrsRdkhh0Ybo7JR6L5YkxIbFbazjfq+NGPKZ
okWuq0zfdgu/kJEJ9tUCZZNupSZOkL6j0xIghz0JE9ZYbZLaRmeGfH2Lc6BgID4mEP4D50dnFNmN
bfnpzfB/vgqyRh8pOv7z57adzsfcY4mUxZie0wxLt22mzetATzMhzfWnZjrct2tkBeqcgIQh1pXK
V9l1d5g95CVgcNOHAvHDdqha2Nz+HAHfCB1CDbv95NU0C8HSTHE4Hjn68DTSGGDnR8S28EYHYDrP
ImRbGxmTZ6H1SoI33Vam15w+o3VNIs0dppXyyFNvIoZ5qvy2uHOakobTwgkO4qcxkJKfFAE3Lvhl
Sl3cmzWwUccd0ZoWJX+nQRcBknZrcIq6Zi1dWj3Sa3Vsn3n24J/SxSY1Rjdx0vD/ixBYfBela38c
p51sOFMOIGQCIz7FbDRnV39U4Qigu3WjJ58uoYMEhWnVkG/8bkZgPL66omBN90Z/p6Et0S8S+S0E
8G1Ym91uNFN5xQMcrW0x43NLMtiuMCAqGkB8mXjerzBIzzgQp4O0s+FFjVCpysmZQB7Pw4vrGu+g
YWHcTX10hFJWbxTngeepmBbCXPuqB2FsK0TNe5X42SsCSi9xkDOapMfbbk0iUAybJXE0DhNLH0pt
37uL3cVKi3wf9Jw+Gt1P65phBJaECUbGEGxj/ujcNyAO4wl+Y9wb00X6THGEP22YCQUnq2K8PqTt
sbWrePf58RB7nNljeGdF2V1T+M2NlRrEGwSe+WizaGyMOimIrL8GEkkaCLQK3wc8p4mi9MDkPpgv
k1Pm+8GwkIqPLxrj02PeMUYJ8CYfRodOijSScUMDH9Pg4N82Y9Lv/NzQ6O8U6IYhbbZd4KK76ozs
3qqH84jimeNIzkzQl1eH7WiMngP4cQ8TWiWwytYHdZHxLCLenxT1MTZNYz86qeLj4TjjT9+qcgMm
UzAh/98GUNPjNnOVOjfh4s0srUdTImeZm+YA4AnvaOd5+5Em/dHWKA/RjonJH/D9ojfSQKQPUzA/
azzne9Mb5Zm+Qb+rE+rvEltGqmy9dsmdmJ0munpO/ub3if3oTgkWMwOnq68toqtVmV/GcTeX4dbt
AfC2t9Yzx8ImvcyePe4Do9enXDkaFzqJQ341jHeuX+Kp8DxYfRyREUVuar9hbVmOsTWCrPsB8wby
jylnQpVvrKBCQIoUKBzZ18j/3romrQafKTWSmqm4SSrrEX19sv80PZU5ah3ye+8//b59K5vbEBRX
YVk00zCLhPZU73uCMTDaisVVyiiznSVKfIdboEgJddBBuXfxMzNV9e4WsufOEz0Xt6UHoDU9KMMO
Y7ae8mR5s3uBqyI5XFfMohc3ktclt3kRy8M40RGfO8pPJ62PUPhqIKQ1DQyUyOZBeks3LUMt1Fc9
oa9xUmyHhbFgcRhbe1Lo0+e3qJiONbzJe9ctx4vMqv6am0V4oQG5RuTpB2b7OvXudA3KarlqRClh
z0l3lVWgflBDtLFaJDBGzvDGmcIBRzGfME7ffp+GXX/GJbEF6hO+FAUEmSyAmdNFdvBijcZvbkTe
6CKTCIJ0uIDlMncTvb17H8kjeKNJvBAUdKwmc++PKLjrVCaPY3Q7mAXI71Qiz6SLWV0yr8/3kEA5
NTRg4EDsQ/AEi/gg/DS4Mrt+bAJuKysZpws9leGYUuggVrTpYyy8KQ48O+XarEQDmNfZsYOd7tJk
3aLkBdfcZS9m5yKDHtqdXbu0lUQ9nrCGGzsm1rf+YuqiVWfvGJf+/mQsdVVzqGlEmW6YvCpSHYxx
nq6y2HTCCPCFjOGOxe0SlQt2uhp5f5ySis5/BjMvH+AVu2WgHweTLSyzSuuh96bbEhgdWxTd7K6A
Sqb0ziR1ZNOb2C6rhnsiLgDn1e2HVcvi1rDbwxxyufr5e2CCFPQUvvx+sr1j1AX7ennIw0lFNNga
eXAgBt9l6gjw9Twxp7qp4OZyFDWcEzixh7SkHjIGjpZuTzs8TdrhKdc26KToY27M5hVBJTrPDgBb
JnH6FB5KsWg8F9iOEbyk7b5vaSk4447fy75+smnwEftsuyjxc+nguxNReP38KiKnFsIN3o4yem6d
KD+bNEM2SErIOWuLVxpKl4lJXzs5cPjcCsFbT6eWpTZIIBuslDEnpxGKx2OXN5I7PaUpi966zaG3
0ri5qdK6ZnuYNKwbyM/B6LQ3Xamsm9EB6e3rxahGTsFjyKI+dzUTCBccVUuTduURKfLgNROOlbwD
IdQQcj+nAiNE7GcfZFhcMv9joNNd6BZ6iQxyUnwWdUwUosQdzrHh8gM45arlBelvCiWi9zCA8C1Y
EeJU5tnZo36BApoWH/9ZT5dFtQ2K8ZizIq+qCN6bizty2xFF+Ih7A0qEHb1kruEynLAPDkO8jTc5
wWnScQz8UN10dlIQj90iNkGIQpe2AqyzSFl08ctPtLu3516R5NoAURXEyERZ9ZTTrYf0b1P6QjVA
Hjwkl88X4fiYtyfFINnL+0vpT7TKGHq+zyUzq7oT9o0okUfhqnmfOtd8n5DRrSUa3rQu4frGnxti
7O4HhH13aSjJFlJD8wZe8CWa4vjDUeHeq5P9onh6UPAMSM5BFg719fHzu3lxR45R8fT5HQxqoPHN
c1nXw6qum4qjdJ4xpyyZNoZ59dTFOYuxxC8W0pO5l63HkHBBTBl6qZmCVFwzJ4x2VFAJarpMoc0q
z73TW8813WWHzulFh958HeLEvFapp9aoKdoNbSWC8kZCA93QvOsi5fwi4GfDQRbz5732jOkj7miv
0tbZIbrBj1uNPnPZuuYiLC85kojziHAfS1WNPNyqz59fgbukSIhG4LX8OXEghf3uQbX7jXLPcKzf
mHd+MAD179i2/JMfKv+ai/YVgJ65kKL86ziELYPdwiXaNo5vgRmQ5z00T9PynUIIsNJO0+/NBbVk
JvNP2oDFi2tNi1Mi9A6xjJLXtARlBOikunHa8BnIJYdPA2L7aDjyTU3JM2U1di5kKZFjGveTMBka
xGgWM+3wNpgH+BDWMqPxzypMu4dw6L+7i6g5cmoXLWNinj9fkuUrw1kkQkint7ZuYS7PjCqk1bgH
Nzft5zo1os00m+7hk7dvxGW8yRC4H9KYWKZprI4+xE0mh5oHKMvcAz4RQUYtBwjRMl9KyqqA/z/X
Htu0TFftZMYXu3fHhwl8iNniaGwysFRm1N4naZscYhXHe9MXSA7H4iN3EYlOEDvuVeS+DgwDV2J0
nfeR9NKkjaCe+IU4VZbdb8g0ct9HkSNIG7p7MQn3puc+YKSh+qXh1u0wcwS3upmCa+z1a5NZ4O3n
S6Y4/3uxpuXZG78SQjm3Vi66e6h11aZV4pY78EKhOt2YVUJ3jwSZ7yaDbjOlT5ck0B8/S9O8lcAf
iFwxZlhWhmmd0JFkC/2fTn82vcuu/kuaiEuk3z8iHRCPSc8UJDq4Lq9yyRv6r3Ajb8j7tEtqalZf
tIepzPo7vdwG3dg+9GbaPhid3+2NSB2D1PoGn/0gm7Q/RnmenBmn35PebV6iIBQMxPjY/u+3hVn0
HODLn3l5kpV2Psqh0hvXm7yzUyf6NlPMPuEWu8cxZ7rf6jLBCBIk18+vzE5TfEcuj6hd9Sdjjjle
5PFFc/Z7oMD8UbOp7qOi0xsIF0AMRffko68HfpWrO1/CFAuhLK4z4zlBT5mxeht5M/hrRaBDG9nP
PRq0rcU0T7BCXPO4tDfpGKu/BMp+TfRwbMcWUjhUmw7UD3MJ5fuvqzvUsx/GLjADaIPq4DrdSWvx
m4aAge0DR+O/J3RYX8Oh+HGSCHAeUbKqlDK/hEN1WIc5QBCDluMn+QG/fuWqpP1RVFiYIsj3D9Og
w33otN/KFgGya8O8nPptXZXBK1OJQN3NjHVPZSXsY+SkP8okRaMQpPoYuyTsWLpy78t5TJZK4y/B
Vt7XfELHllK50oMCY9nS9MwvlyrOBslooF/rVlwGLs6Jk3NIFNsdRTHgnVTbnO75vGxjx7WzobqW
r1NRdNeJGd4cs8llo1OvM8gFOApqY+d4rthyKvcRudxNqem++15VbUoCjbZVGuKCc/rk6IDkC8Ix
2suw+m02zEJcRMLroTWsdeYbdFAb9p7Cc2YaCSSSxVVzNuZSE2/XaBRZ9sWxpP/iEVeeFt4uyuj9
2jRotlSROz34Aw1XfJZdtdTJJRTnEssrZwTT3WWN6TM2ia+OcHdWGJrXyJrK3RDDea0L/JqmTglL
qHqM+QLr/L/fLSiz/3j2aSEzEVeuY5um+BqomQhQR8LG6GF74sbmhdZToGmVdNFuxKWHM5UStYOF
d2sBiTuY7UR9gjUpy1WDEjDf0HmqHiRpWuTmVswaU0aDfcWZtKlY+Mpx6u9a0OaoQRBcBun8Wst4
JoXa0psuZ8ACNtc7Udq2Vzpt6ikQMR1m1KQewGHM08Vt17b50a3raI+yUD83TfkIrqr7kaKftGiO
JTfNHIs3VNDkLs9V+t1CRGeBVundpYvgN8Z1mmgzqNA6N33GrHoJyNM4zbYC7vAdFsBbqw3sFW0X
jtWNbz7EwhW3I5qLst6EqoE1WJhnwMuQXK3AOKm5NE69PQVQcWgnDoNi9GUoffKMzjxmQzTgJsiW
ARl5XduosecNxIf6Ae9dvZkxSNi+KUCZZ+1N2lqoYCKBqgFTa1rcWWZzCVVUPovOFw9t7a1p96lj
b6MXwnRxy8wuerYrozpaVpjSwTvRzxn3ZOZQ/4T2cIAU4myHgPGENsySfR8TYMCa8RjZI1IKM3TI
HuAr5EndLTuxWnGIOBhK5Wdwau353+8w52tUlUOYryOEx8Jnatf5TAr8r+WvtG3RITiHIJ2ZT7CJ
xeeBb9vA9eKAgWO3G+qDDQgXYyCBhwlI21XLEW0bd5W/7uxA3hSGe41g1kVT9hbMCMHV/AFKY1qy
giKZHUbs65epNTYwc5hDEAyTt6Z/O5JMkplOdzGiV1v4+g6Hvd1VmgtmLlZ5SFqhE1kEIAOskCeo
OG+GC827V5rmC6R4xsdBuP336+Eua1iRTkGRH3/+z/8hLa7HEpJLxKEJeF2ZXxJsTfJ6oA+jVtQV
ENDA0dPJGHo8So401kMwvGmBTMUPuwHLKng7Gy3hDVLZswe7+SK51IdKdAN98/41TIMJjZ3p3CDh
jTcmAVZgCK1fLf4BSJSAMcaNG/Ixu81UPvXeybS9FwwdBpZ5dp7IFM/xhlam2IEBM0C93vkzWKU4
Le9jk4fdELjVqlCmH5gUoUolxCtUiXwIoneMct7R1zrCkivim8QJT6Pp5L9j0amNwcjrLyG6n2v/
1+tm2xZrlakll+1LkcJBNRa+nxRYUJjJsz4Rfx0GxbeqWRKwliOAO2T+MRXm2WKdv3LQOhUfA4D3
BPVMrNYe1BL6kCp/5oH9VcTvMUWsFbovyCms9dDv8i6HotAKtaJniidW+npdSmVtFGlBJ2/ASdOY
08wFc33EI9iadffu1g067ILcpqkny0zwBimkv0XeEkWBcSyNOErULcscyKPtJHps/D1gKp/OAdM5
O9vrSFt7X6hlCOV9L2K7uwgr3dgOE0HT9PIXjhx3RiLKO98WsNXyC8ah5qHro5uSo/v63+9P8TXf
izqFZd4S2kRZBeBkKRb/63lNEDqazhCUa8eM+svYy+hYJ/il20Sf8yrCPueEGbNr0KKAeM9FMA2X
rpUfaRHDco9kfS/SOlr7RcK8EbsE5O7BO6Ae/mvO4//rnRKQthSsQGIprv75TpkRMO7AKopLIByB
34S0pcJ1pmPx5MvyY2A2cumqWG7pbdhb3LjHmhiaWz2bj17uddti6FPaOfE3jKdMc7qMSXHl238p
//4orrmeyrJY/5Ttmo63hFX+1/X0M6xqftsU62gGqWS6hAIlREZvgoYszRAnxLrM8HH95VNcqrx/
Pi102lxLUW/yn7C+rDJl3jr1BC+Dn1Xt/bkIOZfS/ICE0jmE58CQdXZWn5awWADB5fNkHZ3RfYdm
Be61MSx6F5g2//Km/lz6HJhWWru8I8eUzpfyro+LurYmwBqx1x47WXXXBGj+MaA5tJ2IFTmEohuP
ZRq3yF+d4zB1z395B38Uxx7Lr/aE61q2UkS6/vPDaFsTRib9yXUaY3nUkK+xtfkQPfhRDpKqfeG4
tD6T/kgDhW0zHF85bx56j7gX0sXsvzxs7vIxfPmYNPeFqTwptVDyy8OmOhQxVhqRpxJ219Drq32e
dDE+rVS+pzVgfKQwRzOPsitt0CfYheIVDCz08thxr4kxyxMg11cv69MjZxhBKyIJdx6pMh7D8jNs
hpB5noYA7Dai27Yi8u/G/kW44ZBw1rbtIwUfrDsGoa7/0Lq58VtV17Zxwhfi295mawRfsSTYcAAz
YCrH6WUcurdyaXF+vmgJ9iXzXFKu4Rk+1KrR23gO71I6Bzc2MVqr3Byjt9lG8mg03XD+bLl/vhhR
+8tRmX8Y7Ca4/OVz/vOh8wQlDfssxyFOQV9ufzexI5xNCBWCfMiXrMmtPdrNi0IUdAToPm9wYPcr
qyr1pSDt3J/G7NFaxsoqzGmSvHGGCB2/AuSmxFV1yfd/f3/2n4+nJzxlKZhbtpJsa/+8D428hGQ1
cySocBdclSzuZ7PptuFYwY8dOwYSbR5s6kj9pGvV7dQS7D00NRKRJXhoLN1+63XUJirr/dsiWEz3
lO+fL9CoUfxOZnH4/LYtXiKQibaFfJ/o7uAhUO91ZrMfjdDnYK/pY1TSqcucObqRpjxTnKgbuod/
udXFH8dgz7MtoQhIFRzz1Nc60OO4ZNKHiBhmZScWiPjW8yt9HSA5x3cTvqyDHxQkmzf+DTSsIzFK
zdle/too5g8MvG9YWjjTjun9Xz6LPwtUKjJTeh5qSQcn/5csVRAMUAtwn687pglXw2g00HR0yDbp
Njyd1tYInfHCIzkfNUCrTUXLs83fzQxWEOEl5SWcp/nSDaZ9g5omB4oZOevaU84VlJF7Xcb2dMKk
v8up9LO8B2o0j9/irp+3HhZQ2iiR+zA2EusqUOINOBDYMZLsr5aJ27//rv+Pzd1zXZsKynZtMuO+
potWteM0TFmitbS8NRF4NKpbC12aJY1bZN67sav1Q1hB+0TneB5DIwQo85Zk9qaLyuZCzJp9M4wt
3ogMoQsCFtJZRaRu//1tWn9+JNKiB0AxJnm3VHv/fDyyEMESd+USH4+RhNqBerye2pfZZ06VkacR
TIV1z4BF3KdxxsG/SDaSRWlVJ/4jxRE9oqKA4q8Sl54WjBtnmo8dJFrQxry4HMho4jqoNzTxK//+
5j+jzf+5pvNAc9qxWdep9p0va48RGQSBNxPid7rWoGaRhHfd+NRq6VwwOP3EcATeBUFjWhOdx4lf
XPOoIqQ7xtX57+/F/vOh40DAfJfdzjHZ079eyMRJtHBa4E31NUMqvSpSPb0MAfoH7boDkG8sjkaR
nhol0ts+UPIMt/XF9DU91jiyLkml3HvdCSAiMvgJMMc4enm95E2H89YSKTC5qrt85s2ZM89QYXnv
MGwvWc+BLpR99JZ2Jhl3NhSRpHLHS5Z570Bk5bUra5iz6AR3JjmIuyBtGBH9f/z67Kzc82qxMJhf
ai98Z0la1Vm6ri31a55deSWq2D9wYBbQXRwDHqIudzUAiHtdWA7JomP/KjymKn7nRvuiDJno1+WS
BI6esg/Vo+FODOTdd+Kc0mtCa2TdGBFIqeXbISrkKUrs7sETyBtnM5OXTLn1oU5RQwaNVcot7PUt
R/vQER+SzIthMi8OWvICsa7zl06g/LM+pjReTpuf5Txlzz+foom3E8KEz9d+BzhyLm+TSgZv2KjS
i52B0FfsbnvfhZTFRzeurbJ4A8PUXs25QGPSpCRcheQptGMcvem+QQ/kptdwaZf9L8LObDluI9ui
X4QIzEC+sgoF1FzFSZReELLcxjzP+Pq7APl2W6RDDJ9GkJTsZk2JzHP2XjudBB4CUN2GhE0xIQgS
K0jk8WDHo976M0zEqHsZCsRiTUnEmbphkXVIIQHg72sq6tiAaK1MEfccJ8LWsErr0khBeSA8IwAb
1clPeoYrF3jruAsGg0W3tfNLoLf0OEAFyKRvSE2gveJv+krU+HOv+STG4FN7qIqmQRup1PfIKkvP
Rm03dM3ifmueNTmx9glks53aJcZhgphgFaH2tdR80zWTjuyWKcs4i4UMI5kMOnGYNHsjWzC4DpH1
s8MTGIL5ED0ulsF8FZHdQ39Q5idFKvUtXn7T/f1b+N+WQtPi5k3nWKPpri87iX8cH7opIYBRlWHt
ElFplL55z/v6TznH0JcjuHET45bNauk28ZhgCyXCQB/VOyQ17cVmQNfl9QHLqv84ws6H0CxuKUFF
x8JGrjfgwFq/o+E4P/z+9/6XHY6FN1TYOGQ11fqwswWziRm/g4qoAT6u8SFoY7XppiZwErkEy8hL
4eWAK/dKYezDEMpD0zDNaYDRbmTJFMflW2t5HZPe/49vD0g52olEr1ol4xyz3yaeOgRNKnkMvdxa
rq/hE2OUwZ6Pd3uLmfWoBHZyYwY8LBGzI/YA9ZsWpTNTisY41DrOld8/aONDM3XZxsu6zN1V5ci3
9rf/8WIxOpoyPQLzKWTCsQfYDceIROCHfgo6pyEqcM/4LD7bPq0TewjvY69j0a2tRyY78naNmCmX
xFNIPRHseHjqxKXGG3sgtTnizHbMBRqFosXWvAH3HDmmXCTn2cDC2eJTtBw1qeP9MCp/6KHa0D8K
GiKUNlAAyHsPvWbMGIGAwzvwXq72Vd9XKE2txp0mn7yFWlbZkUDQESE7SlMOieqy+7swNiWpiG9a
7yGTkb9I9JLotuHfQtTZffJ+X++O7+6etgrL0tYNlf2x9u5EZPQNxBo7zzdmHGncQUhWkJUMbm7Y
hLcop2k40AoA2j7A35GS7gnRT0wOfJ8/zt2sPkxBOXlC6qP7oGJbUlAHczZJsM7VsUUTiPyF3UTu
8k4vhuKoqglSgb6PX+y6jneyLeZj3wMlEZVSKPDLlHBXBAyf12MMRk7hDH6uwgoW9lbxMXiv7eW6
0gsPteT39bshVgUBp361yawlc6OWFY+AB/xbS+MogMr12YftX/ZLwqK/qgtTA0qrvlskYoHOkZk4
BAOCd5DjvnRFizNDRZywfpsXpWdEQXerxMCqLtmGI4HP3ZtlZjomrXgv78G1pXD2v2FT1msZb3YB
/CPdp9ZgXgIjGa7BfKRjDJmACTy93OI2RFOAl6R2ihhQGgL/cR/M5LbEsoXER/vkQSofz+5szlWb
6ZBh6bb+/kzX+6aZl4mGvqPUZzdM0mFvRubbZBRfeXP8/HxY+vQYFf241YEFHQPTHw++BYEGP/f8
yV7646DNhAEtMDOwU8UW+L4hOUpFFbE+cQaQUpfdVPGkxGF01Wfs8U2I0CrWak8fJ/kYZtXX0tDO
PavCm9SNJ3/u3rpuOtXmqHNXFvrW6CsiW1UdwQONQ8aWE/m5BJ43w38gCtnfPlmoljfEr58yWzHZ
GPBEGibHnnd7VJMgOzyTEx77DmY3yix7Bxj+caoGwLhhGl4mkpMvOYnNPy9GUA9gT8tqM4KFwplA
tGkIUsG6qppWf+GR9ocKURhMI76NNAOz4SwARR7bQAe+T0z3zoxz63kGD1sCx3uSU1JuRl+qLqak
fK391nhsCZR5qESdXsXdQIr8hZ18sTNVVcHBMrfbpuXjjqiZtNYgw8sinskgGC5RkU9uKn2p0r7Y
B1DeN4nWmOytym5T5nYLUlQy7wmpukHUEk7PuP2TRcv8uM1miGYtzybvBws36K836dEw63JENoYu
GOQwCI4FbSod6H9INx2MhSOHlr6Jcx0oe41DimWtOa5ZJQ2kUNef8OR2lo4TVK5Cb4pBvS/NCGlu
o5s231IJnLSk9BFrkfl3LmaUmtkpM/ojmVjNz6hMZMNstSSSBgv20sf/XSYtH4gBvXeMAh60LBu+
tjGTusrCk9IOkf3SxpxFsfB8tSIoTWTMfWfUQv9B69PHagAzTf4GxnZEQzFIviNM8WqTIkNyJU0A
xOoDQR/YPo/o9uPEah257jQnUW0s12WY7zhGqmdI36wK7N6aiKniVD3N4GeJvAXm8MlKof3LSsEg
WTURT2l0+t6PWGwp99FysBzai6ly0mIcap3aX7Ro7J3emtQ72iNIBE5n4poDBVN2Q3WUSkIeJF4u
UE3K7PkTbpM5AY7cDkSnWYqj6iMoTvJl8RwL+cT/b7YN67LZFZMa3i0oIUY9x9dGZSlE2Rw8EfQA
RRJVdFNYMCNmqKhgUj/rdX3sIS49JIN/bIMF8v0OMWkJQ8zwNaA4FundtJs/4sy2vlaLfiRMhHXI
ymhxeyZ73maQLZF6H2q7aw6W9jA2HRprrQtJx+ks5/erjPnxtsRdXPDLcVeCmmq8O4DQt4djRO7U
phpiN+xxejWtND4aRCgfpR7GHuS/x/VHgVVCFY1M8o3Shp1FFJyl0lTI9k61qxyo1xEcAjEr0U2x
9b9KpFWwj1NzlzDAe1CYbT/U3LwOVWlBoo39c5W0yoM2S+Lay0pxHjHqb8I5m7/TVD2QWJe+qoMk
ey2Bfg++nX0nrHe8a8vFSsxv0D5DIjaG10QOf6BJza8GaQBEHjIaSv0tCV6kIpUNWsrcfqlJcTiQ
f1A7oakUXj70NZpSOzgXUes/pI3spmWxnJ+77huT0OgCZWxfxiYStuAqKcEnR37aDB/WdqGYlqHz
TCDqMd+/+/kQDtyjAfc0U917OKA4j9XhJJ1reFJBpJ7tROSnDCOATQiJo8/StLfGAqy6Hg3Gg8xh
VtVvXT8AdK4qzRvnLSYxqHR5b+4Uovz+1CrlOwv2yC4ec8hcBmg07VqFkdSVT0OyFTOYoVHutJfc
xPEUdkL+UxvI7gbyvxGdTMPAROSkMAHYmIuRIAOp5tqtnjmpijug7CvFbaoM6/k4lo8NTx/9QNxN
ARwR8jc8ZfYZFyczEY25DiGqhS5/Yuy+5MYM9waZK/4HC+eG7DdbrRM/KsFuLi5r/T74zIQr7SQH
YPweun75REQQhZIQKMocyROnUWRPfl/454KsIYSzf5hZYoK8NoxHgUWRyfEM63vyCqOT6bwSQcwY
F15Nh77knC5+DsCB1gPZ3rR2u1i4BXNaRJ/GYppRN5Ed69hoZXhesKVwGdaR00xmfGMMNOwyYqYO
CQzdDLUcxFIuZiiD/pWZRytNy4wKi/ur3eVvU+srZwy7EcPLpnMzVvGNSR/xSt4rGs1C5T9WqwcD
lj6LVxsDK4/TxaaEvAVQDxzHOdlGqZIfujmBltnI1a4vJ8MdsUC4eqZEFzWvPN5s4qQtl2iJaB91
3gpamk+HqDb651zyTBlfwQgi85kJyR9WR89L77yuY8cz/PfSyMrb75eXf9mACZV/jOWuK6Pqf7fr
lZNajZve5FiZaWfSx2GFtKlFDMtIcmpDGJYRd+MrYrtnsmSBJk9oeKSq+qtgn3XXCZrZzg2ULcPI
X6JAOyDKKP8A4EIULxZaw39tVfjty6lLL/VPdgzr/O3XDRjzEIaBNOd0zsfWu9899sfFJlA2m4wZ
7M6WeNOU9SKSYaew7WKWboWtxBJU3D/G/TixaW9CbG25QA9l4iThBtSRf7jNCWRh5m+lGB6R3UfL
V1IwSKw8SuqppZqeq3yEZd5byJzGiRF29vj7F0L5l625sGgpszXn+PtxrIbq1lDoxvJKhNF0trVJ
2fshQ2C8BeFmFHa+r3O9vtNskaGBwCHEHLvvUaxcskk5dCKx7lpfxZeRueGGmJCZWVMS2uxVCF5d
WEG1+N4l7WMY9vMFTfj8bKYcr2yTOGj+y1c5DrUj2SvaMYEB9dAi8sPCw7emX/4HrEl+NLPKdEIp
6tw5LP6ysGDfavlSyxAXqzLHHDUGJ39Ss1s816zwiKKQwmIKsBX1Dw7Mu1mSzK/G+Dp0+egZVWPv
NMmMIUP0bi7HjRepCUl+Q+O0OiAcpprZlThIDdObBU0UNx4cqoEWK/SmygNy0zmq3aAER7i4b0IV
DyLagwI5KAlRUX/LZ1uDbR9I7ByVbKtVQnmytnLXT0/K8nXV5y0KkOJUZnPKXRIZCAGdyYHok/xp
rIADEHeFnkzKlgAL3SGepP+SL4YmBhDHBB25I2ooQIWkc5Yt/gwZRF8I2ZpOKZ79TRblC6Bc1M5M
LN+W1qJ6pPF3m/Ggu8iIRowQCqlI2jx+hxb/0A8G4oAplMjAGJhoSGEHJtCKX/QGqOfv320f1aoW
2gTOgJascuS17fcfnagq0kqFDqWrdb8fcvgUo/algom+TZM8qFzsiYM7iSr1FCuZGN/06ZuyoK5a
FfNkMdIBTkAkPBQGgOghH7LvCdpHGfXSj6A2jinCw78kG3JPXIK+wi3FonhsymAiBHhEFss6uwUs
0HlNEb0YGNi/Iu4aHxjNGRfyvNW7kZQ3K7vAF5kPMqNjlCDLl2HVzgc99U24LjItKiMmuauhKS/o
v7qgoEo3z0yCt81qZOVN5WtTNTMhPb74phmLM3M2QNyTBTLzpj/Yg68dCmxc+YNMWtMnmzfxoZfF
00xTgakdIpNlkPrrmSYEfxZ3Fjfsoite6BdnO8nqG8eg60WTJR8QZpOAWBT9WyfXPZPqcT6tl7AI
sWSF9169jeqtqZdrV9/64CYrV0oQVKVch0ulH5rgaikXoVwCTJe3xoQZwSIWQiQw4KhVCz7gIFwz
/C6FEvwmIDiO0db1XxgMj34msPGEiUl7XdJv/O3vfdUhnc7LYRtXTLGWMpVHLXzS26XUtSzjKcme
qX56jrLnQPq75vrF958b/WWsXyr9JU9fqUJ/yaZXKk5fawlvAySyL7n0SkHUeJDqrB+ISIJhKCA9
3EVYuERZiW9ZhroRY9ubqafhDmtO+9x92vZR5Q/nTotDBoJZ1LKqiq7iXbNMMVSaEAnadsVEIHkg
FRwvHUTJITuO4qDxJOlHri1o6ujkYy4jZ6o5NdKJdC7jSNxgXZ6bealRnM38Qo+d0u2Ln1/6HKnh
1bYxEl2pGaOouJbiWhW3mm31fBvXmueb7S9VVnff52WAx3dv+Vq5B8wlnJTn5NmE4wLVLXtu2kzf
q0lwkvBWQV42q31QWuE1KBI08IbiFupeoiF3kBfY3UHqDxap8z6sRN7zS4WEk4iDnx4pOz0mKLkJ
idCPZkW4+CnwT6W8lEY4RX5W8jMorAmSFYbK9EIB01XTS2deGnfQjiK5VuZl6q9Wci3N69BfcwIn
zWuS3qgovcXDrbCWCodbZt0S69Zmd8oc73V218elyLdrVUcd76m4y+PdLB5jcW+VXj0K4jqSTqPH
ukhQWW0Ix7PB7idS3BOLZLAgWXLgQnRJ7qqEIiPo6sHFYUFe6aORP2prKfkj5VuQyx5t6867DKUf
ZlLduuvJPR2WkpO/KzduPys1biIiZeZmrdewvWrRTWquukYi2BXHYxZdk/aSRNeovVBBy+n40unn
tjtzLbtzkyyFIQcBlTmc9LVSmGTiSHuQSupjVB/D6MiQOB8OQ35Ih4MgGij+RBb+USWDHgrVgELz
j6OkeO9PyALYYXWoI+tUw+IpLBLb6Vt5cEZMHE/T1NUXvxE8nNR4YoJODNmi+auHriN4QicYnp6K
guLiuP5ovRAApJ117RhNhiAF3kIuDvWCBLt+vofCbi5S1+0qBZF2OMFGTCHHABAppm9hU29MJbG/
xDUDDD6Z0W41Ii0/tzJQ9FNrmx6H3ujn35fZWIdmcwhQXu4SwMUPulX21/WSY9O7Rr0euK3amA9T
8Taz07zUWpXeMIDhgUl+mHqVfunGpt432SfCh4/752XIjkbM1FAza8xp3q3wDZm/iL2LjTEbz3ES
CwRD805fcGjRwNFVnsDCzHWF/ym/hHnfcIYn52QihWvMxifVNF5sw0ju2N0igwOulnSOXnYGrGO4
XiOA4iu6PFKLi0/uTcqyrv2ye+Y3RwyuoCJh4PHhiGvTCS66bITy04Wd2841d8lafUmxrzi6jo0j
yUrzRkYL8GQRvBqo0cFw0Nu0+qyl0dMT+LvEalsqPq42qQ/VkiTw+32K+vEGygiItgyAB1wG9vth
UGzNEycKYEftBEK4MDG4GIEdeJ0MNwcujXWZOrpw7JGdQc5j0CXFtEkWtjRsEomkwjejymp3UDod
2kxP3sKQnWKBOl2d/K+Aa65tMX82f/ko0+GppXGGbpBJAjrod4oBZkvB3NRatonl2seLBj7QNshF
aLSU+D14mxsGr8PeaI95A83NrCbXqHR0oJk1nXJb8mpE/FhuOmKWB+6Lv39SPwpY+PXYmOhIqFFQ
fxgCzNihCZiE2xZ2fvkC/JtoraGOaRn4g6M3GnJkjn5n3yTSEJPYRe2ZLMaNynjRnr7JUQfs0aen
V+gm411QGZ4wbLqdo/rJCe9jE5LfVCyqC27bqwjz3acrI/VqrOF7htOyxFYokEWDMs9KjBpnml6n
D7Y1Z7taaVXkaARI4anCw9/DIp3VZf1GprAMn5RtW/b43kIiWWsxWWdFV5cxjA1CpOtRKISZIjsZ
spxLkBG4ncjGBH1HeuCQZb/SwmFErfjKk6nH2rafGHOpUiSIwjDynRVyRPnkJfqX972G5B+5IQNr
nVPhrw9czko6p+joNvSx+2NXxDZRly2NV/khi7QfMWLhHbZk/D29Y/g8WjsFn/X7X8L8lxVCY1Fj
B4SK6KPQKUXGZadKtgA1wp2sEloDod5rjXpJTSmDA2xPWtIcMekbku2HJXSHkiZ+IQviR0jc8J+Q
Jg4N8SOnRoY7OXDCpSMM9VRt9T8KMlfuiPqq69I4eeCDJB/HALnSVGfDE1htFN7tlvWzdEqdtlfY
TCfczOVFBB1Bihne9mlpl7RlR6YElOQkxfkQVvg24DXvbbuVb1qqiWepKuMHDeE7LunYf7YsBi+N
Jor9+qe63MZO5z/EbY5oy/JJT8QY7rE2xl5AnsjWHzXrOofSKZDL6tXCLqNkobwkzNCji5RHtDHn
QYa0OMlZ5SEkEY9mZU7Ic0ms+/0LguHj45ptMKuBCUHnw9Lft6mh0XYdDacS9BlilDkQZ1tH/7d+
Verd3dTYti6V9sgD92QMUmO7VJfu53bfC28UHu+ddqcSKd4uNWiu8N1JW4q9E8xU8ho4tmCnKUnb
U1BxwF1Q7hMNZ7Levo7l8WfJwVHTDsZaCSF3/QFVIhX5e01ZylD2hPJMLTY3b1HXKh7lt17QebZP
c5hQeHfU3FkjhMk1G1dvXEIbC8slQXFGCsNBPvLwuxqjF/3Ie4CPpCjtqTbc+8Z+Hvd1dLANEKQH
szro1aGfDxwPM3uphOqOYXqMSFfqjkNwSrUjhVD2Z1XzSSuXKuZTNp8s6CzkgkIlyc4UeJIYGt4n
L6H68RUUrDkIBzWTBVh5L1otlLm1W0bGm3phTPtW+g0HVEQXOdjmte0YWs2JT6u+dH1eQp+bGzKm
C+GGWq46ZZrC/RyF8rBzahCnN9o70T40Q8uVMQ7cMjG9KDoDFSNQ4JrTiwwvXVqFlzIlV+r378V1
Y/Nu+2AjNWULwQq9DEJ/XaHyJi7LCZwu0tNmvAooNpdKOYTI5/C4YQ2LmQndafnjwivsv5pe2yUd
3PbQj5ITBtriEJspgWNBGz3F/p96WGVnGsPZef1KStPpGKgWOxI/OZhF9FXChPRkEmi2Da1Wfpwn
Q9tWhMt4FVuje3nChpk/oMP8gumvuhWFVd2mRlReGNHattKhugWBfpcnmOS6WKJP7c4kga75Ecfl
fG0jSb6h5AgfLFHqX3HkpdsyT5E9ZRwM52ge7S1NHP2h5cHCDAO1mOielbcvKvzdM4Zy6xxbrQXr
Rjd3WS0AUqCkBBxofI9N3LIqXomtRqz6wypBUfAnP9B7aO9kq/9FMri4xVmN9HLpuhd4B/HQ5gZq
eajXTa/mnn5PZYK78ZDmkkvmb7Mx28QCrigaWBOAI5pI1Xa4OQGw9ZiQE60vbkomvbazmf2I7PIH
smUwaKrPU/LZHlj+MC3BLMv8nnumYePPWNWc/5DsQAKT9CxTyBAiTFB2g5gcPk9hNaw8lCNNtG+J
QoJmFO3taSl/2pfWHje+HR/wjI/NYW4OuX9olANk+So/9sOxyTl+Y+rcpvFpHo5YlqmSqLb41Ksn
u1mqCs6zeqLK6twFS9Uo79fqK1blpaa1tIWWf7b8s7pehU/20zkrL9DDJPGgwHEpL7F0ppryEikI
Ky9DeSmlM1Wv1UpnqucMapKQ5DT8nbUG5UxN5BKGZ1Soeng2w7NWL9dUP/nrlWENJRQAOXVp3i0C
x79OVixvKtEU94wEM1K0p/iJrFL1AaKgepuN8kupASQ75jRly1MXnER5svhiPhmopcWJ1UuyT2It
NTvLa43DsnT1w1LtwMFzqcY8j8mFz9eScmSeM/PcJpd4gL9JLPI5Ty6ReQ5M+DBL3dFg2sbZXEuK
L0tw57BR+rNqnOf+PK41GWfNYu9x7tK/a7ROVJWeCZRorRNabxW5d7FUWJwm/0gN/jFVlvLro10f
rYhkXbAOB43TL4fetbLiMJNeIO0TjNPa3uj2JDdFXxDcUOte2pu5eWBX7LwS1CnbDs3VNRf91e/X
t3/px/OmVrhfW9g3OHy819qP8twbsdpxJDUtaYv/fE+HVj7F5GutFQJoIHEOx9liJlyKqJwgW2r0
3dkn38AtNDcclsItLmEYj9wEJJy8lNnu6nw3VTuNCN+tqe10bQdS7Gc1KewkwqsBrbnEyVumW0We
gf6o9MhUzqFUGgjRvChEXbpUWP5daAEpBPGtsTfDA4bCXI/FbpglaLhqBWQjV/ZUqexBdyftPmr3
gfBCsoZ5OMiL4de0Xql4E1uD1Bt8l5p8N+UWrbkBD6RYyg9d2HZUI++MdkdYCzi/iITrHWXwQHhY
2g7/38/qGpeauanziGaF4Yo9iGdg2qH96eGLnemHTRLncDyOOsdGC7nnOyFJpZi9LpGkR54NrfTN
BHRF3fTwTYMtqApKq7YB4lRlGw1MZbfkJwQspQEgUKfLnAFCduNMmUOjllJ0Z2wcTV/KWMtih6k7
ieRkaxVkDENkW4v4ro61QXIs0OASoCmHiD+qNpzW4Dzh9MZSI9+2BCnQgXEG5jSowCFcc+zOnRA9
Ivw8InuJZta2FAcOamz+rj7aUuDohL5RxaaSGUZBs94oQLDWCkDTB0sx2JLKrZ1sW3mpeq1SIt5w
6ydOTphugldvqblyBjpB9BuI0hgcgnnoxlGT7UDXLfkheGTbadZSGOREKGGcRchhOxStJCpaK2AP
oyylrUXsOTLIFnSWA4iViEdKjZ0eNU/sTLEjiMwV2wLt1rTN9C04GW1Co7RNi21EAGG8jX22DAQK
bzKQQUs8zQbifjrhc97gF/c9mzQMEhl5XYPtnG71agvvHOlxDLRe2UJigparAriztnrgEDFDzWsx
ZpoaJ39NENA3NDwc8ngZIGqTw8kv5RWceIqcwCAUaCnM+otfn5eMl9tYqlorn53GgL/udIbTtEu1
M+GnDjhZZa2JsSEW5chp7W0UOfCFAm0phZjEcTs0zN62bb7tc9whW9Qt4HJtHYklG8TlugjZpuWa
Wwg6iGbeCs4dCRmp27hfqpG3FelwxlKFxB/xttxaiUNNvKDDch0o1akHp1uvI6+jym8CqpLfail2
nhR9uIgXnW6c7UCLomL+JkwwUuOjnak4uuIIy1F6x4JX1zuywg4KO64zlEt1a82xY4stbEy03Lm+
TfWtPm2JaG/bbU2SNfs3XldeXR+73EbZ08bBFd3JG9F/0uZYtYy/7lA1XaBhMg1M4suS8OsOtZzK
NIMDjNzOV7Ej63L4hMk9fPJrzemHIfMIawhRztmyg4OG7UmjaG+SdQ/Qk/g+u69Um+9MOQvXltP9
gAbQTfqAbSpINDT24fV/lxRjx8ay3oT1lnRvWcd/5m0O3qruTQnetLUIM4PjuqJcv0jpF1N/7eYv
Wv1q60v5+qvF1/4LFU4v4pCG93h6adKXdHqBxmvpz1TTMAF5DoPnOHi25yfcjEb+ZK1lW4/hsFQ8
PGr6vUkeDf1eaMT8QGwui4zw6Mi0n5JJIvOj8P8Tm1H+QoCjVyNEvKG1QePVtfEmxZD9+Ptb6b+0
nlGQoQcQuHh1mnjv2mFy30AI9ZfWXW5d9RJP2nqZUoJzihTNUjGg1B4n9VUuTaJBW0M5VlX8tRYs
0KTVaNuBHZKswMhsiJ8iIieJ3yYINlubqLV9GiG4Acteq5qyM3xg7XGxxCAWmXzv0pmtmEiOmTHK
9/VHDd8+WMAziacNBVMRm4AWCWmaZUf20zSOxkPLcT7141ei4o0j6Wf/vETKNl9S6edKeejVgX0o
Ub04PoJD3Ur2s90RAJv2NWsI+LctfFzPaMrspUam/skb3PrYn2H4gy2ZvQvyB+aLv77BR1P1E7me
eYNXNve5RW1aWM20J7mUGsU+U/azYH+yFPuWnxWALxaYtpZi60Kxb/HT5cq+hdLtbXdh8yL1f+9c
kDNG1o6dC6UT8LPuXNi8xMmyf2HfEo5/71t6f8e+pV3r576FrUvBST7yutHTymXTQqWGF1PlPli3
Ln7w96ZlMfKBko3yaQc0EeyUFZ7WSyGh5PWdqkMnaE/StYNodv79u9T6eDLXaIouakecXgK/z6/P
ZkJGeAvjsiTcC5ZKSm/41KBBPk32rUfaCLOvnN6iekaBbPVuQKoMCGp7Pq6Xrk6Z58TJsKkAzXm1
HQ0YnhDMNamqf29VZVNCL93qc9G5FrMqpre4Mvk8/BmmC9/rvz9af17Xtb8pIEA76x+QuPjXqE6k
osTRrhE54QEdQSU2ydvHnJcNk/WE5eBNQJbeZPH4KoL4R9EYsTPHk//UDSpRINHM2MQY7EMAroZZ
unnrVbQ8SSznL2ou6ceuX4KF6zx/kdG0nu0fZkOjr6hE8o3w5e9+N2U/xtY/9QwUXmokEis6pMwR
p0litjwRqeiVW/VFadTqLpq8/suQK/kh0ZE6JAbQdZSCjVO2Wfn8+5cODNTHLR/aGcTDMq8gR9B3
r51Mt1RqaWZvBkUt6avrdPwstbji7ugKZ2aWIbaVyd7PYStf1065VjYSCuvgtqZq9AXnqMIGuZuH
3YiGTFuqH3ZC7OwEZ5NriR3RZHqC1NjVateelkpNN15rCL1uLclgh+xRTMzICR8Gzyg8ba1m8FA3
4gydC68YvLHweoLEh+UaDV5beMHg6YFXooAscI96acFHxYWQM6wVGq46uko5AeMESwXwHcF+k14N
fr3a1SCz1q6YXLV2M9M1Jjcx3WitPvTaterQs4ulytDrBw87SzvQD8BcqBYezuhy8KZiKRorKUbp
YqmYv8KDCDyp97TAE72nBB78shEVX+D1wfJFYLiUry81o2msXHA6BvT7bYEdP3bT2IXbTyU2ydRL
TSQy5buh2w3hrgs5S3wy3/rIOqE/anLvl01hKap4jwxLUyvN+0qFON2iJ5ezhDSEOGufFAZxOXhd
j5gD+8m0YgkF0Rw9MSwhEmOIMs9AI3uIK3REiUoGT00j+huow2NjQmQJW+LbJmtWrmHwVRCOBN9y
upRT355o7wTncOZ2VBYifJOHgRcoJF2zapV24yvw+noZdAX4TvNqoyE/VE1LX0z0yUtgpz+W//V0
0jaMw6wrqmlyq3JOzJ0sYN72+kE1SjKAaSyVmdwcZfO7spC709Ym7yNgIZjDifybKdC+Bob0J66J
9g9Gvrchk36EsTE/Fgn/rt6VyQ2CrPSZ4fjjzAIghOB2xKAZbdE6zPlHF8gi5yW1O5mnMzF7rzOm
8NAiGINpGD0ZYHTlcNpVtZi/FEFU0uWBUEEmdI/GPUoIYkIjVWmm5iF3ml6LsAEmbID66g2fnXzY
n41EIiav1fxP2lcfvcYwgNkpyjrnfXD9qzDvH793yItZYnVBaadbMAKnQN+MGWNbSauqA7xDIDVj
vI8js39EkyZcpXihH6jfibOUPgH0fHQqoj8XqNBVXFHc1t+TxJRknPVkSCRgjRhL0rAszmYZ/UDY
YO+MVMtJ+wa3G4m28uKUSFZI5pkbTRhLUkjay3A91pZQ8i4hOcaaH0DPqsDdGnMfm0bE0WsWX9tU
v9u1KD/x8rCd+7AKg8pjFZZ1KL/qh5ZwG+Rpk49asBlmX642AaBQFLDStLXlSsFw2kERLRZNx6Cr
tHy4dBrnztAkN3r9g8JAghhlcDHISNwpvWUe5l6r4IIVYhvnWQ6CNqDBsPjytOWCMq65dtH8J4Es
xq5qrPaoDXT91686ZXgrhqZ1zZbwqsKMv6D1nfZdQXJ6WaKwBUJ5rIreP7Z6D8nEj4edSYA2M4tU
wKilX/ewfpnLWXOQrR3a78x+KgoxFm5QSrLDMMYgzKk0TiQv58x4E3ohDazq9WfTFJdbfE/hdl54
ymNhYhdhqOfYYa1cYtuHMDuZxDaFWnirYIdvgronUgSZ+G39WacW4orPWGr+/wcxPQO0FBbJHnZL
IC5nXf//2Duv5bixrEu/SkXdo374A0z83RGTBkhLT0riDUKiqAPv/dPPh5TKiOouTc/dTEzEVga9
kkmYc/Ze61sOV1qN33PT0a4HccuDXSYrlrTE08zjNo5FeatmREurKkmQcdFwZ+uaqxpr+jE0tOoG
ADsZfiOJ7KmreG2rdTszKNoHzSDWsC8cbELWa5TTS0ln2PV1lIy7wVXFCiuqscmnnhaWpfWATAkD
MIyFJdz60mgLQiwA4YuUqFYuYocR1ZElZ/M+Cwz24zHzutTGjZAoZBYu+Eti+4j863QdSKjL2sRu
4vf2MIjNqNNE7pAnwD/lNpkI9aFxanmTG4r+ZLofTcvOHjPA2jIKjF1iNuFhgN11uLxFJ/7bW2VW
uVx9++qruUdk0CmqtnT2ZTkP27zB69jqbX8EJNEdOwg2xwy6OiE3s+uTibICYBg/p5hivN5tp/2c
sLoCZfcO2+A5C2PMwUFvMBJtAnhJ5pQciDtRwUaDcSZVuv6kukxwm8m5mqIYtVGWt1cOC5LLe9WU
zRungo9lp0rLtFEzMdFYrYY00+xXYY0iXQGw0srpQahIQjDK3bQullzbnkk2spuC8Tzbp4LtZ28U
wwHe4HBgx/vtLb0bh0PuchCzd+WGy29727flfOt02otiNuYBjfh0+/XjaYPLv3BPl/cuH5/oNzlR
Sx6LOSMoY7/buul0E+HrOWg69/HJxtHBne3WFQJ2u4Z6QBpVcEhkT+bkrM5EMaSghlfR8tHo8tGQ
xKFUQ3p2saYL4h38CQEvUxiQMV8fmn72ckXCYiusBoUZ00R8d8iDDSWAuUTDWOXSxoB3JNO67MXo
g/u7rvqsObsq26BiUHduO/D76O/mwOSFs/V24Z2LQ1XtL+906hcoHNZenTpT20lzWf4PGhnq6fSh
msLsUcmlx43ceV/j76vKaNhnCsN3dpSxrNwj7q64X10+NENAOF0euui5GhxQ05XZh5sLDn1YKPkN
w8x8iSQbSNxxu/Lbg7O867hE9VSJOfjdOFfHtio+dws6liMz3zaka27txWY01A65Oll1XZvgy5nr
6H4fVSYaGULDpQJ+20ZHvmLMqCEqgg7vhIbctyglVsyhyhuV7OsorfsrVtKvAgriXWWQkw6tszkl
hJsdQDXcM6RoIJQJXL057LG4USALG2yMs9DOfZf/cDfrBMiZxNKd3TyOaMxpy3GuGtMKjZlkcKXR
pTQk3s2qm48JiWmHmRhDhqMTQsqYScby1uUBrTir2smY6ZSJd44S5TsSUa2zo9TW2cx145AX/aOj
tfNRsQSOYTZxawxT81FckjSduSAM3dafyix7V9mo6MNWT2ifBmzBShNd7BgejaKpD2rbF2sTUs8G
GB5pqm1Az6t1iIAh5oK1S6HCtIrUHCuNUaExq6pt16bEwXd400pL4k6BmtdC9ke4DoyJboXYFON0
MDJS5wLyhK76si+uFDORV4LJubYmrb2blXIb0nXyArdBMzv05T4WzEOxAYldCBVz1ZuaS3ps/e2h
I7Bshe4EUr81r0dH1sudImx3RZa9mMu5EFsulMeizHdEGzfX0soIyGZlwQQlRKgi409iNF8xpJgf
etPuiJuYwqcq2gclf43JERNDtXT++qBkQa2srcxZC86BvZRlTD5uucRYJ4D95qI+gtwMZiu9QuDe
WRvTyDko1tYqTsaPbhSGZG024Y2kge5GinUorSG4Q1ly0hr4wJrSWx7IqPFqXIj60zSPG6cjPNqZ
1X0gKoDxzjislcTMPXhZ1WYSxUQPNzDOSZzttaybaG72r67CZswsYzjAi1QEFcydZkjmjrEZHBiU
fzagB23HGKNS0pHoppkyugdezzBpsW3kYRPcox/6pCax+GTJHPqxJIO5dwkoXOJZTKd3TjoI0001
khs3hupz2brF56Y2iaEX4fs06LttYGP5TC1jrSNV4Q9MgkeWKbib/ngoCdM7xqWl0qiP7a0ljZfZ
Nst7czSNvWYQJ1aQjuJjzXWOXaQIDmr9btTQ9RaRQCqMRWnHelOukiaedj/ZLf84rSVJVRXwJHT2
yz+ISIjTsp22I14qRHN2Fdb6jpdU3ahANJ2oYDDSHQ0QhGu+lwhYFx8EdKGcXFqIDNp0ruL4mXTX
bl317n3R6M8qxvafrIMv6oHve7cuC2GAf7Zh0JN5q/ubIcAEAh3dmlUyDX4lvbKtnIMtQGHO3u1x
NOPwOAAV29kc9f1R18mzRA3kWmNzDc1vO9EuWBs9e/kZJ/E2pJe7SVIiACNikCBShtmm1O7k6JP9
ogLVZ9GfZQU5TtFocqbEn4G5AYkwhhVUzGirtuZnxw3gzfZLH7+KGWPoOor1AYBJap/CRMNZhPRj
U4mQRn05rZGwz7sZKwdNhqjwAfTEvmNjVpsa3ccxMW210tcjBmAizN+Hbsrs2OIIhB4OAGxrN9Wj
FowvaTmpO6QCxsEMgLMPUw6Od4DWgOPu/u+PDNt4u4B36J9gvsbNbtNZNN9MzrQ8he+eiHxdjpr5
QPrmbHyJXCu7jw1iq0QeJecyUm664oXVWnK6POgau0/ixLWdPTj9TdV+ScYcF1JjncdRIz8JT2hA
h7uerHTvDvpGLHlJYH6wvuFXEEWkblKjJSppBtkM0vXiIJK69oEYNfWB9iyrcKzGn6buJnQ4+7SU
TKQZuvx9nJHoQsMMQUHafsEJMnhNX2rbcgr1q6whfsdQv7IljMphHTpwU8xEFD1AOvWLYrpvsuTU
Kn1xCPVofCL4e4vrRTxmQ/JBsZSbqJH9w8WT1wdfyLpsftKi0DTrxxcc04EQJlBLdM4/jCgcaUqF
KMS1Vm/hXgtjKfdSESxuxqn1UlntTabXK55qeqPiTZk/K55BEGlLJuJSgvV2sssg9SME2M6OnyQ7
mElZssPLS+lINOsdTToCu8MGS8/OEDtnRnu9s+O9EDvJIknsgniviB0VOrso2cfOjvvguEkdbsa7
3NmVxDmrNDd3nbpjWcWBSYkGwurObXZ4hZRmJ1y/S3eu6yuX0nU/DPy+XwrfU3epPvQpd/Z020Mt
TTWtB8Rqkl7L/BPw27avJvJCR9WFhNo+hjLJTnNTborery6VFz4FL7viZ9lec3m0oaXOXpl04yqM
LKJlHbP5PO0EkXF/f6aga/nhL0eTA288V1Iaxpr5hopVGHJS5OQCnazOpno2wByqS4nqjKbErc6B
uqhJQIZJ7YygJLlU2a+axsuAldXknp/L+lyhHUkPiNrCc1uf+/o8ISMJz2O96EkUmOjhOTRPXXeK
EXvi+e1OE2+nS6WAJLmHEwE1HWGOTeW3UkugPUekgFTcL1JAasoOX9WA3N1txgIXQeDAWCvdIwTU
SElfBIFNtlSX7RAEKsGiBmwHCF5+KQi99XPB9WqnRru02jnjzh53s7XUEO7HkkneXh/36qXc6iCs
veCxOljVoXRwx6IEPSSo8S4Vd0eKfn/KWP6ktMdenlp5ssulanmCCFjOp/xSjnOCN2Qvd+elxuys
O6ceOUt2brNznZ0rtCzZuRjOeXZOhm1EEsxwjoZzmpEucQ7R8hEs2Z+d/qykZ5dFJbBgTobIPDXc
xU9FOjw4xkkLcWyc6u4kzeWxJYWet9OlNMHTPhniOExHi1d6OuLOQjTa/66ERAZJoYdEDIkMkvBi
9JAy2KOE/CqGHNi1kJ32uxhy/l0J+Vcx5B9KyGbwjfSbGBIlZAaP6qKETGhIVn8oIb+KIVFCakTh
ld/EkPa/EkPW8wHPMkpISiGRxFj0kCghERXFFz0kiqJKfieGnBEbOSfrUtEM4u2sOSeq42WffPVT
w6vOSw5hKbuYx/UQN+ffn2MXStF3awDEz4KGnEt7DsHrW/AcmPOshQlXrqssTIgSEvp9nrnhKhxL
cSTCJb5CfV1tmyQsufaMJCzqmJa7JeQd+JV5jRTcICCyJMjIoAVGftoI62lMr3OX+TukE+nRWLQ4
4orUayzbvZ5C8rDaQtbYXbgiS5d8a1zP5lEoIzoEMi7PLo3qMgnQj82y91QFKJDaF8XGzpTwaRYu
REK8oD9ZDjGI+vFyYzPn0xlvgANDbcvn/9KjRNdXV3HbEHTSb77WxDjD3uRyO7Oyfy9ZdtfbYNwq
9bbBSj+haV5KJJ57KXqvAyzzieWzF5geEzaheHR7qAAmANGAOS0OP8r9vPNhi1GT5tc0zjVfv1Ts
+mPnp1gJNT93fYebzaVq17c6X7IHdX1QVonuZ7rPFnHRz2+dHL+LD+CAkoUfhj5LoTj0sV+noV/Z
3sy1HyLC7EXtUmj5tUtV0mPhLNVtiuWYNrq6LfD2XipgrOpAQ1wqI56wWYqlNkXmtqXQPGLDsTwC
2qaIdaUKdwubGvZUH3stRa+P9NnSK2PvAWQA6XMGewvd01xvSoB2+UPid4k/1n5/qbamseDXtT9M
S3WT31we8W5olh/X/mz52eSPlp9MyxvR7yUnzB0Et/lGtZRW+VPsz5UPzoMCVNw7HtU6hK15k+YN
DLE7ryg8o/OMcCn4WZXYUrG2DalyG3RbpVgqfkdCbOuiH1uqJou43RCoDbGhqTZav2FaTc32UhDH
qaDexoD/iP2dtkSmUX2wHS/V1hAkPdAbY+25pkcaiGJ6obUUXhopGXr6Ye5H0o85WC5VdX6e+4AT
ukvVuY//cGBJq/lT57uaP+a+ovkzh4Hum51PbqhzqUln1rgSuU+5l1LI6Oa/4Ai5VG6jWvNKmyQ8
D9n5VSy9gRVC5sWtRzumhHZpbyN7m3CUdEtFl8IIJJwNjwpTbJRT7CInooeXGvuNqS6VEi9ub2qI
k5ci3yuqt5GxVYYtSROpu+1ij2piZr5LVYOn6GReeq7u6a4ndE91vZGDxPV6jhMOidrvODY4WshY
4/LgA8knfYgrZVH7puXX07cqJ58CtTRYfsrhw4EzLRVeSmE3Uvnu6Otkile+yhAt9qfK7zlGYizm
fucQwOFxpXUw1jme3WE08/ICEiOpJ0upoQcfk1K6LSoFWW5dtqscJvFSxKygmqaUZil22D+5Yv+g
vEMHjhHOFFykDLYQbwQJ8ZSNSj3h4gMJexBARk5lKMlZV0fCEuyN3VbJ6fLhiKny17dQYI7NCr/L
3awX3dppWNFbg3yqmio49zr5kSmpsu/NxYTe2hEdeEsx16Ei0GQ4eb0f+VNPhoAwmk53cW0e51GG
V5dUKyvsJE2BTQ6L6dDIkJ5s0zory1Y+OIne3XRunN8b6UJzn382kf4RIONoYoFnMw9jIMIq8fsL
tlsHMo0VQY63HkYA5DVusUYw+LZlP0bLe5cP6bAuoUxRiXkIw2PfHwrz4GRLEV8b6ft+iQbei3Zv
p0sJd5d3O6nvmF8kMPqspQTJw+FeMPgu96W99wxWYhFp80s588GeD7NzoGs7pEeqS499d1SNpVx5
qqqTkKeiWqpzT1l1atyl0vwcjec4PzeQlEtPjudgOCv2Ukl6FV1K0g3qr4LkyknqkHBzocAeG3WQ
sPRENrDulPIYyKMMl0rNQ9cfhv4gsoObseXad3iS4ZNGGyPdO+2e/aHtEpexVAH7pFqK9odjLWXz
64V7ZVyqsPdadMjsfUZj/1JjeiR0u+cXdA5Dd9RY3HR0rJYq8Q5XdERP5nxSq0MMrOeU5YB8TlQ4
nqkoPytLTu1Pdgn/QpfgwDGDnMQdm0HPD1hsbcqHoExJn6c1hHivVxIWKZl5HQaDsumL0rgfG6XA
3ApdgSXQk43ceHai+SYAyXlXECFiSILNU71sfBpuLQhKuJwDpP3tiLP0upP6IbdE80Dbr31oFC5d
RtNe2XPOFStCh4uVdFeIuXjnVKkXd+ZrW0dPhe3KB9iMNdkjS4slaOk2RK9F1vefcmR+kw25Y8Qi
tcAZaInKSvuUpM3eMrmotYNe3ZRA+NZzXyv4eKpsFSljvkkss37gNLVZdw9PhWgfCZBgKqXTWqVj
iM8xrGzgbEZ7NVt5uY7y2froBMVVaDyBznCXRM/uUKXyVncG4QudPWGXG9bNlCnDptaid0leizMe
ShTLNQ7fUkGmIIrjBL0BT8CgPtWhfgD9bZMPmAFlmgqMfWVoP+sKbiE5GdeT2mvHLlTHm8tDXBFU
WNIg2jpmQKBFAnqwq/NjOE3qfVNp73h9hsPUZ8wJIwsJeqOdEB3cj/akQo1owMbajrnSuHShQqsX
BWqXHYwBkIXsovq+/tJPwH8dMEA3lwdlksHBWMdDNa+7wJyP9JXMd6V9ZAVsvi/aoDxM1uigh5TR
M5OQd2qZpVdtOF6D5Cy5pA7qVqclQgo8FAm1r28dOnW3MqDxFCQVQJIw6MI1d0mdzCd9KPKrLLAL
jA9YGUuzsN/jSXrVFCN/GYvpQGiPBNNsnV0HM8Lf3wz+xQ6Z1svCcFXBx+nYB7+/AraiV+zMaohN
kJN+G7XIS4IZY7kDwPN9rmov8wzXq1RiC3+Oot7HLB5TMMhbwi0UbAWuHzmhBFh2S2kZYkZC0Hsa
Kcc/H9rlXUzSDLtxvvtGEN2nhSaetQRTcKGQYt0OnXvLFOF1KJ2ztB7d9CmYnkT6FMt34aWq9p1h
A6xeqhmIzvaz4n1SvFfjD1P8wdDe9+OH9lL1+IG7WcpFcmiKK9EX9X1juTd//7oBOf9hrc8yH6Uk
nmeAiFC3v3/hhoq4XGvCdtmrynVth703qbPt95Y2fHBgt5KJDV856TUYo2MKoEHQOtT6Qxff1KUD
j6cmQlwziy0kZahkrQYvaALiHkbhJ8Np5E0ZS30t0WZdN50gxTGH8VyrMBQtS5xs3Rg/WINhQ93R
V2XF6xEKJNaER7Z3UijPLugYVhzsXGM9awlXtV4DXLLr2YZtqhCelGjNlWm33KaMknVlURs7K8i0
uzoL7uc2Nt51+rTLlFx90ZxPjirAFDvzRMY1D21RTacstQXZ6nq2jzXyuqYkekSGGz668raNspQd
FjneehKv7bHOr90ODXFOwOq6tzswFZY9nNVozE4Mp9emnr0S7Tk+NFlU+VbCrZExS7EzHUXeaJyH
KyiLyKlMLNrgZY9GV84vhVk89y3ESbrhLau8kE5b1zR+vXiLN2FfrjsFmec6TnPi3eDBd+X0bEdD
geafRtqIGBr96WUNcnmwNT1eJQPSwp8dKm+PFDAOeK6wqNDOJ31yaS/+ZVfID+/Kwa27tWmP1W4K
lCezH76EMxBMQu27M0KCgog9P3HtYV126Bn+/gn8SD9gksBaj6fAwcq97s22VJIz2WhgHtZGFCDp
l9ahFRV+u7YJAHGg1M8teuBxybK04srliGETdeyRISJVm0GXm54wbaQZztbpPmQt9sAUkYbJMnuQ
L3AxM7iYU3nXzdnu75/5D+07njSXJMHyDKGSeCsOCxEy9hrO/zWLVBReNhChKAtWnaNabLGNzwz5
p7PSYay+/L//9TL+D/la3HxtXzT//G/efynKqY5k2L5595/+a3H1MXtt/nv5rj++6vvv+efm/n8+
/PKlqH8533sPb7/yu2/kx3/77zcf24/fvbPN26idbrtXEJCvTZe2l/+EJ7p85f/uJ395vfyUh6l8
/cevLzCu2+WnSYiwv3771JLJpgvk9f/115//7ZPLr/qPX1cFuNP69YfveP3YtP/4VbGd37jkYWtm
pWQZrrpMJobX3z+1cAo4wFXdhpC32H3yom7Df/yq6b8ZGoRwBFPmEgLDM2iK7ttniI3Q0MmxG7GE
pf/6+zP77k/055/sF9LLbwqIXA2/yvcXZAsak2E4Nj1gnqLAsvrmKB9HvasYhWibotWfbLv9PMHU
0WcWOk3wkNbNl8TFRZJZ2QthDp/yeVyjhrnPdCxXaQO5n4BllCFT6pUpiaLufNeWMA/VmgwTJ7V+
ck5q1rK1+LNvdnm6SNkYntlEImHOffN0u0EGAAUybeOIZBfU7JmIZxLrjtDu7RRG4MveuTlTLDnM
p0LDhGxBVsyMEOi7VphgCcMtxBVn1VpKweIAmSusz3WpMvYO3fm61kHeg2hfs7hUtgjcrysdRBCR
3k4w6xtI2KCULLIbC6f28jlmOIrFdpXoycemAS8Wcp/RplPaMFIQxrNqol7Rugb08N7V5iei39lE
kDa0avQUjWgN+BSlf5eYBE51r7qLyKA2jMSzeSERY0pgMIKQE4w7Tms9CzDJWCj1d6FrPMwkoW7B
It3IomeZRghVUpshEHMi/aaQPodSsS5MW3DNo9g1fE1itF6aRPBpENG1zAMziAtKC8GrLtAtqbAn
ynDcBIS4mhMsqDGLNpHgHuCmyNSqOfxiqzGMLvVF0csbs4ufS7biQ6XsBnsEPkb45CodTQmBYAOx
7AVB4St7A/Lth2LB7axG4tVWE3/YFSjdYeXWEX5frOyd+iGv4o52x/PkuPfTLG9LC09zq637QX2I
2Htsy6Z50SM12oJwQfoV16cSeOkQSC+tjBcVuLYKv3XrJPI1ydKtU3faOlRZv2cLQtWFbavGCC4N
AdYrvOtn8TgMBhmww5c0t4q13pNGh4jdVjoDgAkUgnGhQZXkPZPUAqGh7xHDweBAR5sOMmTXu1zd
HeI/RUhE2/+/kk7LldTgfP33F9J9k3785epjz7ny8a9X0+W7vl1MhfUbe03ALlz4NNcyFkHrt4vp
8inwkjTUCc5cYMJ86veLqfMbS+TFMunAAzRo4fx5NXV+A7/BeBL1CP0JOJz/wdWUAf2b69Nlrg9R
hAgrCAL223DlptArlrJaQL+tXjXtp9LeFWA9iluIB7l1CpvrDGJHr5AGiXcMo5nlawmYWTXd9LZc
qelV0n+ytd3SQkK1E6zCghNFnVZpfisndaWGn9vhCpgU2mEgMflaUaqtLj4q8a1ZcVmT56R5Fuah
R5iagAgCiYayaZd+YYhURc+t6dXmdSrPpeobnEiG4avdSneehIFulI+xfw3Ys8DEKUb4aZ5aXEt7
N4xHRXs/4MsdMNnWj8sAwtobuOEyZHYw+/B4O+tkmUPXz86M2PuA/rGxjRVae/S5Zopr/LHWjwgG
VPnMxIXslGJ8NfJPTXcltF2vvjfKx9m+qcxs5W4amxHbTaUTzADtsGCltcG/Z/X3M6kBJULLb3lr
/9HS5Ry91EVTfGnfrki+W8n837Z2wUL101Pu8DH/5fxxev1u0XP5xt/Put8AYWicbwysTBbDy5Ly
21nn/kYymua4yD9AnaoILP4464T2m2arjHRoEpHVxcrnj7NOqL85CGA46WiposRzzf/ktDPE91qD
y483HaxNhgb5kQS5Nx6ZfKxaNjC4AQ2r+ox8cd7M0WCs3TqGXYjsp6MztWrUkZghs6FdqxIv3YZ4
bYd3RloswWvnOh+HVT0GD06TPQdlzcSo8ipDu66SGcWAnLmnOMQwIBvTaQZuQ/MukKx9mpK1TqdO
x3m6ylKahtwnEze9CWT+bFc+VjuQ0iAKbPGgy5FY+vYQWMkX0MRXWY2S0ILYaouGFNTu0Afhl8Bl
VZU4xLJLhSYRmQYr05i5UQ/6AD++fV9UL6avte4DIc13jgJfQk/LVR0VJxMFwuyaCCEC/OHJKlbO
Fk0JSeAUeWTpKjQtDBpdeqfE+j2Zo+eMXTpK0CZeBeOc7PusJ4zaUOWm0OzUz8il0xwlAyEhiMsN
wmFb9GW4zuVUMmcuyjPq33Td5yEuZ9laa6gd1lrq07tMuFt1BKAlnPG9KPHVWQHjSnO0PX5V8iP7
AFkNz3owk0+hfNVTbWPb8ktfD++gX0XoYfO7AVX3yPRNAUK+UrDCExAdZr6VZ0/5xbuYwHgPnXE/
D2aNxm5SF/LsozUGEwxCdTrZ9V05u9rOqQvfrmqc2zMvIZ06FFRzAkMGffJ6cmJevDyH4KDlO6vN
Huc0IRolnt8XhvVZt1n7lYZ+Y6cgSYZ0Qu7qJITdKvOudbmAEgFc9eZnnVcCXV32rGNf26TdvaLN
j1FtYPRoeQA+3a/GYwNxjHVmfGXpsCMiazcCyJ4TCAyzivlbZRFLCkUKD24TVuHJ7WNWiBAhN13e
3UVR9IIX7NSG3UYrz4j73pm9Qs6CI1/qsji5aIxWZGoYEpZL4j45Gepu+Zm1184Y+nd6Qmq9DK14
PcK0n4WJstDCsmyM217Xko02Ic/OasIL5rpHEUfXOWpwmk+RvGvHlnEkRgIE7OheU7IKY0BUK72g
fW0jPhtxnkFGD4fpxeh1i+4OgCotUDfcisQ4mStTJ5ajT6yCRrF2ZZOos62M/onRdYy2lSwk5Mln
OhWqN5hmsdKVmjWqUznk4NXkJFkW6z61WZ3amNvnUNGmbFibKRm/Smwy/BVFRr+doOdZi8WuGGPP
lupdK22xT81xb1VhjZ7HfTKt4F3RD/2aOE25Yvf+pAJmjmb3IdY5tKvYnbYyqG4bm68p8xdYfMAw
+bNCON4oYU1EVhBHPmFhEIu094qRPccz2W9ZW14UmYdSOKy4PwYa379snRB6YtJjiIKhMotWAKbv
ZKgwqdEsb/lHDo7idXNwY0ToEFNsysy6zDuzL91taczwm1P9MBS3vTlr8Fun4WgiXXJUBBU9uxZf
tQBVJVELliB77lr5RQT5Vsj22jJT1ujyxZ35vTLiVlcYJO8VAXCuyuja5zV8I6viLzKr5k1eqeHK
Ao/HCKlyIcPtaZopyALY8DWyZLRq9wkOgPBj1cDAiE40R0hyDdyP4Ohs1hEQfl2zfBj6lqXDTECe
ItQbULwGSxb1EXyiuhotrmwTceucx3dlReq8VSqv+WDuQgncKdCOKAsdkJ1rvAcR6YjBR1eOEUJt
Xq98rO8jU3yUkbmaenzQU5BXm5Kct6JQsdiwxyNLRGfcFjMOTXCmrsaDlsBasIPAITuRhAXuEIcs
KzGABDRoHs0JGNhsLgZJI38d849JTTtxameulMu5pqbPbsEJq+dwi5AxKtnUky1EeFJUfogqx/k/
6J/8P7oIWahK/37dz/7y40v03ZIfIOLva37N/c3UbddiiUG/w0KY9vviQzN+466v0uwiM9r5Gp39
bcVv2r9Z9DWWRYdz2Q78ufYw6aw4+CswxRGBsTSi/5O1xw/YOuRxFrFL/GemJthAvBmG9lKMM86M
gEQBjsWe0yt2itIr5qhYxYR9rN2yzPYwYG3uZjF5285QHuagX24i0Xu3VKFh6Kh8iOC5LUJX+1n6
y7L0+bNjInTGFIbNpIZlm63abIG+76P2RYdJRQVrGUygWqbJR2o4MaqSL0lgd+smzoNtopH7E5Ao
vO3S8FOqQxszqn1vu8PGzPRdEUe3vf11j/tds/CvnacfSJ3LE3MRiNIE13lybxlETMhg2ivkrg04
zdZFa270MTxrajyTaiD2RZcKRsLavOYV/jTPXbt12Mqj2Y+IEyVayhEwRWD9Pqc4cps2LdeB7H/i
+/yaAPrm5aPXhnHe5OADJ0of7q9t6EAnjEbNbbk2TYlYo8BFMIdBTFi7AkOYVlW+Jyf0senkY2gx
11EIB93i0b6uFWHedaMi95VrhgDrks/jwLBSJsGVHavvY5klG6u1a1pZSFoEk1T4/RZmjChT6Dnn
4WGM2FixLA0Zb2n1rnCCZKMrMaPLbkKI3Vjq7bh5RRSge2nUzJss7qLtiFF3TyQ3GnfBWstWe19L
C7GZDSO9GcZcWyXkGmaVGM+dUG44Uey9IRJnR7+9XAUgNFwLuUo+EY/i1HPgTRMqdMOJjoE1akf+
lDvZd8kRiagBJAJwLvmaWLKlEnjdWOrXU4w/L51JUxnDjSGjasU4tt0mTbcLuiw/GsqihSiLQyYs
vF+9Ul+VfOmhM4p1zFoWD7mZ7BuJ4lmrugnPXrZOFUM/2X27EUtEKAi6zItMwsCUpKx3PZNyN1Gf
tFQtNiiOAQS1Iua31ut9bk/NWg7ugYQ6dF3MAg+6U34iEIThkjm9OqxlmMzNpIiaUbeZGDOiic+f
Qqs4JUTBHkWX/iwF8gdTLkc+VzS4+dainiCy7vtjqh67OMxsVcKoBZ7X16fUak2/M8WBrvuMnCrG
Vj2kOlN0bn9KMH4uBji2ST/8LCLlgmR8e3iD2wTDuvRAfpgVsKcSmXRCaFWoZmlSo0HJXFBWiLTw
dR5TsQyQRsPrhhkBWxg84V4yN4NbhBvNTgJsAbRF42gwN8ZUjldT8cEBF3PI0kX41okv7Fok0SIt
iqwSy1URP1QzsKSBPsIgoAypU4VYZwj7jRUb95GN3YvOyU/cu9rCa3zzW1oqIktuB6z82al+/4Jz
HWJwODrBypVYETrmW0flbrBhJzihiYLOWCM1tdtjglq816sUQVcqvRwoIeftt9v8v7/wvUWb8Ocn
apgQRm5qKoMt+lR/vaSIYiAKjhTolVl9osP02QiFcdsZ6TWXy3QjdbvxgyWyXUmdYtVHZMCoSsBK
pUs3aflI7mJ4IDRt3nRlb3Lx+EmPnQvYv3i1xKW3BmLApjv2/fPLi7BzEqVUVsbwzmbC6Rud4axs
Zz6LMSX9Bl0tTe8Pi11vJwRXYo183A2K1nA7cNX4EGvWSxdkzbWpjKtpUtRD26XRbp7y8Jpje900
Xb0bshT0VTEUT5wfL/jPGpTU8f8i7EyW20a6bvtEGYG+mQIgJZLqJaubIGTLTgCJvgee/l/Qd+OG
LVdYkxpUVdgkkcg8ec7ea8PgixfyEhixKRQISTcyEk5RQIlTY83Vyzu0Hza2UZ7W3JaP8+zd2vxn
8kryZ89NblND5HSaqzaQSf5r8dQC+cdEL1Ivlw6WgHaFZJBw2/RaOtLt1qKz8BEgWtrh2AriZg4l
uokj3Whjl631S9UTqISQA32oAgJGciQIi3n8rs8pttn1nr9KHaulyXfwDTe8i20T250NhAnVydGC
swehy+vwDzoX9SgZJiztcsiAj2fj+CPTS3lkvcHcYquPjHiicLAx6Whmej41RnfyhubBrdv2IfZH
RDzYY9CEa2XinhMFjOFnpWmRyvGYMVyMaZgfiy4Zid9o8SS6N1a/xW+tzbDb/FqPk5G6kZNbN7WY
CCUoDOObouyIXExeyoG4UQ9A4VoLD6JlUvjG1VzvixS4WpwP9PcakvqaKX7JJ4SYKEehhoJG8asd
HDtyVpBt9G6NGHyeDr24F7U9Xvft+j3nV9/nmn+dNqUOoj9FK1H/8IZJfINQcTJWPEhkOz+RidUH
jhqQ3uvgADc3KLvgt77Urz2tR9sSW5eqRqiKDzXd+z3fSo4O+n0O4qLTOpwgdXmmmLisO7I1Y8Bz
I87PhjBdTkFCx7I3q8ZL2c51EU1DoQep3bicL+gBpuTdd4ru21yZdxVlAP0hT55mjVm3XjTzTSvH
+OjPt932o3mN/YQo4UnandqP/IlG6/7MY607yLpvgrjt+ku96m5mfapCT63VmVGv/KRMI6DlaCFf
Xe68aUbfrAS/qwQWCzIHDJQ2/TQLEpyU0IDkp9w9VpzjlhtTECRH3stTT/yqye4UjIkEbe5OvySp
vMWi8ZcUbhEQxPYTD7IRxO7K+Th7DYFKQh7l5AUVsaJQE8I8OywTlWkm5+pojR5wtT5FbExLEBak
2wRjXpBALwiAdRuBzWjttXCVbXuf8IX5afW7sW38s1ImDvIHxsoeZDukL+5Z0za/VJccEG8AtqrG
O92H2Cpc76DINb0Zy9gK/AzIJHkWdJ2cdPxpW1d2nFyXxdxzRfj/t4j/N+z8o8TcirPP+77Hxs+w
YGtEfuQP/qYhiIl3LRejF4F0sLNBgCeE1q8Dv0pvDHTy3xy+V+s6Dyrr4yhl9oTHvl9DL6nTL+Sj
/1XtOmzmRKoya/07hHFsfb1iGxLB1GkkNM8ZdW8y20GrJy8tiU5RW9to+WMfne5YMpByiTpEBUXi
D/Djes2ixpvOWh2wCHQILdTM1zhbxq82/z/nFx+3Be4xTEg8n7vMX6WJTcoxjdNCBH0xkAbIO0FD
b0y4D0zZLolKx7zcwpeuvcIXBw3gebjU3wyrXZ8LaTzAL6DkavufFRRYRHD68OKROBXkqTWeN7Z/
n031cvj3Q/6olj49ZIebnIGzbztRt1n978dpS7e6J35aULm0wyEdOo7K1ZijdoCoVeCLjiyrgc2u
OZAN5FuPbrNoqEUshP6arN7iDBiBMLvxvNDc648LmcNaxNnoGJSnlhmIIt0bG8jB7UQb8XN8Uw7B
5aNXXvZW02Kq+Wq5fBrL/+85OIyzyGnUXRI4PlUshYMxOrXogFaaN0X1HM/nQ25cZuCUd/7kdvtZ
457hGgB+bIdw49zDL9HoP+uujEROzSX4s5m+dO4ZqbsD1sDmTY6qCpuYgHBQAckFtunv/34U/1XY
bnoCUuuMTTDzeTrv2DTI5gZIilVPbphX5Eb7S39pNReN4dIeXCx2O1g3USfxuuiJeeDNZ7TsyfwL
pZn7H0UMN0tGhaQeUfJ9JIT89urPeSkWbP4yNIZcOyNo1wuEh1GP1uq4NmAsF+6SQw+sZ/JmPdTK
qb5J24R+pou21E3sqPTz/l7rvB8cm/1D6s9Paw7CozTa7D6xm7sOZ1Gtg5CtUl5M2+h3RCh2hx7C
VZbGjAtcumDK1wgHaBTxFz22WRC01dZBbT0rPyeyg2HW1L/NCeb8tJHWVSmUcZi89VeuJBgpHOOO
Dql7IDkbFFR75eTurvT7my7VmEcPogYyOMTHAfl/VQ/tUa78n5M1ouSbC2Of9DkA+Dws+rw6yaL+
MTXs6Z2q7NtuvlCNNoSVX6tvrvQPuTk/tDRfLmafmDbdXN5qo/6q9jX/HNR8rGuA6uiSLHoS+l+Z
J8VUV6bRrSLAfopaNC+DYda7UzGqPnAbB99wJS4kE4Nd66K1T8vpF1w5DC5kieTGuiukMKN1sKvT
ZBq7jgOecwccqF3sDIczNrZe3GG+RoXHjZNUqV1vVhU08p6VX1AX9CU26QZ85h5Wz1rPoQ64IhpV
XV4OKq7ZgMUXO7/5H5cPz0dJhllYszxW5J/7U9zmuUS4AENzRE8rM4vsAandaLK7bbmYEYGjVWG/
8dlHuDO72YIbUiWOulRUthVnQaDirARfq8dHyLRVOr5KlY33KgE2CJMuKCvzShSN3FUgFCi4wYZk
c0UVOOKpGedqDemOWLvJLpNDt1lPnVJ7EmOJC3l67KTRfCENt/++4Fimw6QdujTlzF/qWN+thcqq
SQTAGmB2KbM7b4v2jvBUIsfq9KYtfpZePR6ykQast5YOjAPWrSWW/FEaGTv3+tLoiX+TIHU+pcx+
okkZI2p6Mzn5SfogyGXZE8UUH6cO8BDohvlmGSlu3AWvlhq06cxGK0vrDRiwnTS7qoi1m4Uz+NLA
EWRMq0uItWkEE6T50Khb/bq3JHEpTLC9YviG8z9G/Lmv2/RemsBBKmAgUxtPUUlzbNcX/SnGzxYM
lZRMEryDaPMLX8thJZGLhEId2DQIJ2qLUfvqLvt3TWNtmj64NBYntf7x4/+2sXkJwfZNOpPessJK
TnUqRVl7aSBtMBgWd0cBfQquDvM/YY4yFPgX+Mbdvbmw9L/Y8Ler6p9nLx/G4CHTyXBBem1r/7cP
UyytZrQNT3qBe3bbeMkeYW2Y1x2Rs0LSAtiogIZx1dvctes4iRLKxbNc/CxIOvmi07kNtv/+MCw6
XAk68+bPoMRBrGOfDwmF1VacLl2WsVlLDQ4T+0AJHuO4dn5AeH0LHHh2QpK1gOpsOZlOud5r+naV
EvA6LTEci5m7v50k3V7L9CLQZrA+daPxejndW9lh5hJQZncCNEymuB3++3c1/uMN2nrTNGUwifoU
N3/+rr4Wi6EawM35RML55XnfDyTzAfAKaJLf2GhwX+w41HoN0G+ieWS/u7im6VtVDmdDvK+rrD8f
BT1TH1xnIE1bHJskiSMvW4jd64zHkW1I9KWxF3rJfVO0v+bcM19gIH7xVf7uP1tbh5wpv2+xRj7y
FX5bIoY162pc+Cp5OxQRM7gJTmJGiqapXjj7VerL61Y2j349GQRA95EchvFhckjfSikibasUJytO
Hsu29Y+1LhayqrMzogasY1ZkIDh7ae8prf19XsKK9svpWrmk+fYxQbn//i7oL/9eYnT40fJ6NPtx
gW3l829fxkHRX0wDzXRIGgxs86oi5iR+tLqZKIGsuCFGFcJ0hf0U1klIx2DB9ZgBeUhmD8hvmd6o
+d3NolUfmlfDwEOXSZ0zqoP0jU8soO7b9equVA/lloikaQxvyVXDbacPNz/RUpDiGnfPeZ1gMZzQ
yliOLA4jiU53hsOK9TNTXs19OyLfsfvzZQFzS6+TPdhwvtlbqhNk1hwN+n0s2BtWuxth1/kMyYba
uyib9WVUhD7GfX25Qj/xNhuAm+j3i6x2LYiJezcmeZoKp9WsEivOPF7MrWtH7sold0Y1GC4G9096
0d7aXZQJt9IhWcG459qLgFERjGN6Ybittm9smy6MOACAU+TaasUZPtL7JKtvfJ/BpCMYiE9V7YaW
BtE4o6sjsRZizSOUred+7pSDsV9dVHudWNIIfwgdepq6dtNXZBfRNLOa1btKO0AmwAygp8+UyMY6
FK+CSj4vLe8Q91V26NN35gqEkvTVdE0tvmcOEMRGY706bkH7SBXTnkBhg0TXVtsJy2tuStDEu1K2
djQmNQg+jlNMQNpLp+YqaPLm26D19illdFG4oGG7oiEHjz7ZbM/VF7efv0DgW3yD5W4pt6ZLmNxn
qKJbeM7ULWx6rj6vgdcBWhftYJ9cKzMRlrpB5tNxQcdx23fwMYh7fqhXgT7LJkdONcjEGk97sCDk
RXlspntNagfLpRvjFuP7BM2PmBgipwyzRXGZ9EPkZ2E/+ctrSmZComvGnVQafY+KufmsWWcyHwsC
Pwr/lNJtRxFMQ7vJ4czW8/xLln12qzc6pL4Bxl9BGJybxAdrZmVoUJlR+HthjvpgUjO2Ntc4ur0l
LnO6CdfSIu3VgayqpFZ+d8yWPjnjWtih9U0PTis0Ene8SHuE9mIU4jyeeyARzdNQ+e2l7dRyp7vl
uKtT+bCulnnXgCGj+OiPVtKJl7mZ/dBOMbu2E1sMMVQQSdOSEXfqqucleSEjA0stHglHj5vAjR2S
H/s2i+LYz0+zvd7GXqFfmIwN/r3n/OeWQ+wM5RTibB2x1Z9bDsdWVnYGqFeT5HUG7XRrpEx9Nhim
QcTTs7A796VJkEW4ySkdc3G9dLUZxhW0qCK3m3M9t+E7Lti4RtogRoW0jovTGmSmPe0ncsNDNwc/
YnKY7e3spKafxgyQWgzaV+GB/9FathyP+yyWLxau94EI/W3/bAsxjwWjM0ghOVqXPrtMnf6pzKrn
3op9tn8S6nkKxCE0bUqzj5dtBUQWdHn8upgiubU3l6srYKqqojsZvltdE6GHCcpAXMrTGeEx7oSd
v0l9xOzer4rk1RrOx5BEIp25lLbly9ib3wmupzrQsZmuKTaxwX0WshwPJY7HYKZvHU+qvDNHwhkL
G+RM3FXcMVYbQH27byAUh2U/m+c018F5rAS++kMbUZkc2sXFj9/l0+7f6+AvnA6XJt5vuroAdRwX
mduf6yBNaL92GeNSm55GOE3dZdbZL1KsirBX9cDE6fg/Wp7Ysm7S236XdtODNcyvChTXrtD9L2Fb
f1d/fCQGt1zn8IB+qGp/Pw2TEeibOfbItMwEBtL4mNQMCtqJaHSVCiBRSR3ISRHL6k8w4ERCN9Qf
iarIaz7Y5HxRjX6o/P6sRrEz6Ntwnz4bNeCn03mMhS1TldM00en38oE7YhzL6VHSOlXPwLy3KGa8
OnybIVyzJCo2tF6X8aFVCRFZxMkPUsl3c+9BnRZLhVxnvZtpeN62BCivyucOyvnXFAT3yLjgTtl6
lITCpG+8BmkJ7mksO33vzFxujNjcJZ6IAHnc9kZ7m5NPdTkt0/2/F8Ymhv5U9vKt6dnhFTEJqLI+
LYze0dxl9Lhf2ozA02baWK3ewXfSYd/7JeETNRGzC2Q42mKWigQk4+syWe+GoWLCU9eHSqmHHoLV
VS4t4Im0tg6NSpfAt8gHG1cKjMF+1RMrGr3eeqRtH+9VYpPDpZP6Yw1WSOjkuPv4eub8PFI+fXHI
/UfzlK/oMILHokIO7ke37Ldtg3FGmZLpLsM2dl81l6764kzX84ryMt1a5ctqX1ogbgO74bhv1/qn
bzI7+3i/wevqASTLjI85DLvRWQ8i29lDlYb/fhB/GcZ4Q6HOYeVBqMf+Zny6DHVtA5pypOWU2+M3
OhBniYbtWxkr9EckndJVoZamdBh5E0vD04JhmR9w0j/q2xSdq+SZqHB7qmyaw0lZfVRO2bwb3Nus
ct2z3DMGsgbFMwfaF/nJm2j+0xJy2Ve2KfC2MzMq/XNv0aS74izmRV5IWzy4G04/Iz8CCkiah047
ldfFxqtcCwvTD8yGybR2+JmQi1RHsJnmFy/y35oaChlaJc4mPnB56Nv16LfnXaS5jfOWAnXwCY4r
OMH3arKyiKFqtKpZvxAJkopJuA85MXLUI8YrRpX27OOa9jHpB09XzwQVffSA/v2c/6PLiR8R39Y2
Tcab5XxS/OjCmooSU3Xgoxm9SLQZg4zboLX0XmL6ImfcduJoLJqWWtCvDpBOGvlt0eyHf3+OD+nJ
n9sdympa9PSUuENTAf75Kzk4Wuyp4jA1h+YlXv18DTryy5epXc9FAXjE6HQ6v7ZXROlIPjX5rmWQ
NNzCJqDNQarpJvk+/d2kbyMfLm9ndQyEY62JZoBzR/fG9rFX4nmUjL3ONJ0Yl4xSn/A6jtQArRZJ
BI3dRghRit3QTE9CCJrLJPVhJzUvak9WJ61D29wX3bpfC98/lIV1Pxrqdtkqd51Qj1J53EpNrw5F
PNCjLesHL7Y1brBuj76w6wM/tp2oEfABi84UaKRXY//vX/I/9AH8kj47C/4QTGWfBRnIbuI0KRjO
OGVZHrzH2DXmI2z2tqNdSpu1iqzWDFOzPGqTZoVIOm8+HOlNl8SnmBzfL16Aj6zTT4+W9o7P9Z/W
Civt8wtQkWczaXCI52xk5qgixhiIdn2oL1bLtMHFIRzkUtWB0LY9Wy3ELeRtEWWayS3SANBLK+iu
Tp132ZTTgbubvDVXfdeCbj1lLYgYl3sZQ/08Ps1lAQBqnNtzJZyblr1UDeqo9wv+i4pUR9fsOzQ3
dyUC0tsFDH9oZeLC9DjfFuEm31JRlyEy+jfL14rI6urudkMHhKYxyjM7cYpIy5OveCwf+MA/fyKe
leETDmOSffNX6ylLZ33JWrStC5CIwwfvvNf19KTZercERc2eQa2xXUOK+3VxGKRNFsf0TOpe07c7
kczonmwn6Nz6TpadD84mzXfN2s6hWXahb7x5Y25Bg5qciGjgXzTa9IOWe9/N0jOOTOm1Wy3jUE0Q
zEetGl6Ges6IIXQzCHm6s4+77T6ezoz8c9cAqQXm2uovZ7c7IfoqzhM1Fqc4LYrTqC0OPeqZ7Ki2
MO5Gh78xo2N33Wfr40p76cyVHcFn3vLeWevZAN6l60iLl60emdZCqAtJKJGj9w5g4P5F9VuYqgtR
xsDTw2D4pBv9Yw05qVZOwD1DBFko/PloNk59i4w7Mjz5uBq2BaDCMxmPI39Ky2rnO4ostMSez3KK
CDO7J9qY8CgxnGhAoZPxmvPazdqjoZ7l+j1rt0511VZ7v/S1i//9wze/aMH8x3Voc83j8uL2qFHs
fOqMVQBy/RoHNaF3dyQTe4FXvpuVuE5HIjrt0g+mfBKntcIJ2fZUYWl5kVYLrBjuDV5GPlQ6LCek
YyEA6t3QzffpnAXJYMS3RbWeQT4EV7i1D70iHQLP6DrknOqLSuGvFD8dP7lNT4wjl3oGHeqfOzcC
GUM1wKtDBJ94ExDyHNq8O3NnAzDNuQbRxo29u4FwvbjP5ism16SJGNSq9iX65/mCj+lHio5vOK/V
C5rEggBR78cXu+L2U356wzZGLQ8eog26qU/nXNKxG3YDy6WEFo8zcv4mF9RAzeDZYLYkoVrpJohe
yyLI6euCUKzv5joWYV8yAvz3h9l+kc+fZeu8IbO1sSF9/sWcxsoBUhaSm4XYkkVBV5VfbLr638Mp
thJtO1K3/jqMik9rq/FytaWIJKG3aqT8crEkKBKB2EWT4jOgbwEuuwTobla2xOvv8GLSJNGwhjZp
vuDKiPNf/tjEFwpU80WrqK0LIz8yfsbqkpS1cd6b+plPEYdxhFf1QqLht8cLZ5nf65SZVC8H8o8Q
DG+DKINOIn4K1mcKtKVmkDE1DXajZgrKfPJPmhzY/p16PAO0wm2PsHp8SOvwuCxdRFllHo3xvovV
cLHMfbp3y24K8Ly+ThY3FL2nmirTFZpV/uaY9Nf8lg+QWriiYrWfchablXfwNJeMgEXnkeCqlWiW
Gm84ytSmiTF7yAFc/fTdbDT9vMyhmaDls+zMupzznsBJRDpsaPHOpkw35yI5UiZhVkgekrVDRIRo
Ksp947FzWV1JXLhRavfGYRDanZ3TqSxaedmX3NmypActtBjFTe6vt01rXSKHkBdlu1wuJUqNoVf5
vmr44Lkdo/dC1jUq73Is4RB5i6V2rWK6WI2K/TutkjvpHJlBAvVMT7gs0quxYHIixvhezFoRWnN2
PaJ5OlRxJy5dxe2h0QDLWcrSTynY3B19BKjnkiAEYkt6/4KXwiFwo7xk/Kef3C25airbwDHy5piI
WjsZDfYPyySXk4aaDU2zsY8tG7D0LHE2G7bkOU7FV6/v37vMdjKaBL/wrJmDf2atzONcToOLV5nr
49tHEjfYyefWdc0DV6w60H8AHVuOY6bMs5gJZZi7pbjIl66K8LzxuLJNRPyRbZCJZdP2cSc03Jnp
vcp3K9RJBsTZ+YTgBfwWcRNT7zmh5ZU/uhpRIDdErx8FxYLjBVPdujjN+qtE1R1grezkrGR6jQpB
Nx567VXvCzBfuVucW71xlbqpdm7M7dUU++2t8O31DJJxadjAXM3+koDMYaOiY/uWx6T4yehDrQEm
dIRcWsbcu7Z1IsoOrpfER2sLTUkUWyjHMjlhpTCus6wxr2c/AwHYX2VYl4IUPuaV7rbV1WrU32Vp
X810CRFBzc1B2c0tjO03rZuXM0n+VpblvNo2GTW5bndnnMpBMxEjWS9c/nCEwQI4ZDaFcznbqBMR
QBGkFnV8w3ikw2x0W9uuUSrIUShFyl/H81THSjdVIOEN2o8tFZ9dD6EvwR0tPS1wxFXabm2tiUF/
bSP6sEdSnEHEexXKbHMu9wWVD03CKbJrn6KudeLDxCg5aXT7VHN5PJFxIpFdnvLJKZCASGwujSy/
uKub3icPNDN+F2rw5jcgMWnrW3463bbQgoXotRSsDhzZrD3oMPXbSn/qjGLcD50bOuvyI+nQNHla
PW8zDLVLU+4qVuE+ovleQ7NLKVX84WDiteflIHJ3Tb4bELvCOtV/uCZmpFzItypWTLdq1niVEITa
iXWnAFkwIhKRb1RamPUNGSzxPWXoexnPt0ksv9Ulivp1uOEgA+Sc33bTOO/quNPpHKy7zEyeHNAn
YfxCw0rBtW1QOds0dXyWPlNCiApdfiYWnoKcCRZYrAr4hd4TrCbeu24LssB1GDhIvfIpR9NXMh7N
NLG3uu6cbKotEmxsg9qxb6lvgziFAtcV95NbDhHEFYxizsoMU6iwmB6q2P9pAFUHlh93mzysDkgE
+eEuCUYlJyPXIqX6h7mgzIab8mp+N+toYFUGo8bPg2SgaVBMMMS0g7TDc1JX93Mx7kROtJ3uxgA4
53T7LbW3uicsdehANIikP3kPKTIxHORozIZVEb1ZkUyxmmM41wmVZIyTpfXwrtDGS0zrpSvqqNMb
rHb8jr1O/OuMt4/mq/a65OBDZbMGWgPVs7HvWxYHIa+QncvWC2EQ7ZBvoQtkclMyrt5lNo7PkXS4
YXGvGjc7pqU0oCCqEneXfEXTCNBYXAqPVBSr5sdBO0O0JhoX5pjHYWIgOi70GnOZhSYGi6lkJrFy
5OObFM/sQC9LAajHanNyRYA+wIzrArW4FIVk6WaOc40A4CqzKviSGVpiAaI/S3MaranZgt5KrhND
vDG0PJFVFw0Jfwx3uS6w6znqRRWHvotcf+ySFYdisJTDoegoveti8HajzF/k6N6vtTpaTfpdJMZN
vsCtJBrpp/J/WZ26ZZG8+B7fNtbJZaL0zwqlB71rfou7KQ2LAn6WkM371PkbSWSfOEkSZSPmItPx
EffmT5qZnGdkhnA9HPNdiTEuHJwbr8/edEzBzcRXBVVkcMUffzrZeK5mbjKO5N/oWPUzvwqZoKmg
NGl5plL9mtqKH9gqv2V62Lny0sj4r8PSeCE0hixKEnkt9ezNX6v7NIZb644MVwiLOjM7lgO//Bja
7u2cWvwtlCxEfvC+qDk+xjP1IuUy+vLVxEVr7725PQ29QQRwaqyhO4GX0qvslHSEwGjta7KWF2uP
yMDN4xtl2ndSL7j8eCelNRXTK52mbWervaA9i7nvXGZERekGLdCmWLE4OoKoh3w9dyf7+4q2gfp1
YLTnMqvzia6or1f2xG0olhNYTNOwjF/WBtOPtlYI1coexWaB9qRKX2edtvKSPny8rjzBZNe4RIwk
GVYqx76IE94kAmp5ldPxlx8DeXBbfvHeQ1LsQrFy4juj6R94ea5YhHLndjVaHqCncLYkkb48DJG3
17Lp32r0olE7/9y4hsGgU61hQfqxwl9kWaf1TdV777ZZFrRFIYFKUgUcsxiiivxLdhNSAm2g/83M
YynuHFSb9K39N7Icpc/3sanUwgR7TKBu7WXQwB3lpOpov1RNHm2d5i9Fwl87p+s+UT06WkVKrPTT
s1Flu7hUt6ZGwgvEQhLAPCIl1vVnN6xEkp8jpynQHlSHWVl8mXh+g9zHO2xUT65TnOaifZsZ0QWp
+aSL7m3oPKBmvkHBOL7Lmh2rM5arkt0qr1AuxooHjZ3tzButn3YNjViMYZkXbJhS3Ws19tgyufdz
ed94phXmHbu8R+BglvkE5or6HQrcXeF2jyXxzqMHmrJZqWnRNV8AdrlotvRdzeVXz1buibHPX6+L
x6Y2bdSTtPdrT9watXu+TGy3ZOgV0WVd4UyFVLTyR4WOQRBcGpMt49A8DQb0bRaCRx6pwzmkCJlY
6a7lyIZ0JvqCoVeI5pfsxD6qimrAaccOv3f9mfFzJRnKkfnJ6VCdEbZz66gbUU14C0XJ8HrN7+tO
3KyEOUKxi5tI2NdisFXUaomFw7D8nmRLGdAz9KOldXeVN/+oVXuOOh1Hxphgkx5YbHrW3Aiv/dV6
LFnNLMiDH9FEySNG7CwSCys1c6f7WPUPLRt+MMY1UoyaEW1Pm53e0I/Ud08YzvazQ6LMaoscruFT
Pfg+2EO0fckggJb3TCQW874sjWf8cGYUY7cIy2Y61Rau+KHaL4DHAydhzbROFUoPzl5Zm1M0jmio
vNnfmeO+NmSDg5mvl7jSCRa0LGrkYclGpmFnPYm2o19nqPdinhHSp2ym8RpO2oiLyug8JJQEhn38
g7/L6HJzh+c+5fD2QsNHlA7bYpPyPFBJ/3C8RoXOwh8s9YXEnSQPqNJ/jLXEKjmRSUDk1CaPX1BC
QA3COBagGoNlqw87S2hk51b+L9pgx0mLHxKPxdQjVLEFe0Gu8VABVF0R+3MxrW00E3ZUFsm1G2sv
rQb+13Y7dPuj/UITjs6pouMKN4zDqn5i/vCsL9inMIvEaHa8mncJyvbwVpUQrmaHAtBfOgLi4Umh
g6DKoe2kNIfZp09Dt/LzaxtATVDosgw9LypbGiZ9v24BTdmdlfOE06e8oMkYgw/QXtstMFqXycQf
YrzEvN0eBORIefWbRT9JVC0qaEwbo989VzECOm3Rj/jta2hRRdgV7Kp1jyNmaMynvlheIXimMA/l
89TKh2Xh8LdKMKYDL7YWGx3n3MzjooU06RrYRichfjeTdOYI61ldUey4S9AMK87jcsEhB3BsWH85
qgVuZ5D/VXNpdCAuZ05G1JiD83A1mtOsJlgPxBQFXTpci3oDtc6o4yiHUKHydmdrToVGibCY/ntb
Ny+aP/f7OL7pPPxA+ZpwebbldTZUVHO+Z+36/K4Y23jHVeI915i8Y5oYyd3ilGuKkzt25Npm2r0a
TMw07ds6cU7mefUsrJa10WlgoFPvW91jguP1w6o0vXkToT2jbZd7kznzhDRDqTxKHQIg5X3XM2yr
liJIpimJgI7guNk4gj01HNGP9z0KkLAYfta6M16NfvJuwJnseP9i3TrTDHYzlsCTE8M2yyCAZIIl
rJj464nWRjE484JFikYn92CfIX9jnaa6/ySB7wz2SOLAwjPkOvtIy/WyzP23wUeLURSaF63AWgO/
JlfSx4XTGPnbBMRC6HzjscioqhB0MQ+xWTgcEkaW+4HPZ+OKXscZLUrYcuCkk8DV9qi1aUNvMAV9
dvQwLXSOqTQ7DGu77t0su9O7/MU1OUNJyX4ogeAmTdlGKVVlYEtXMpZdpjNZv0tY58gE1Z0+GvPO
X39YTfPLJItnbxbAXxYHlxGBS7zKEv4nvK9SY5yxll0ZTvPM3h6szlJHvrXY0dQn1C81IY/zZIJ8
o4Gzd1N2NDb0gEYKzeLKei2Q1yUMi46GR+xZnLZp2GtlWJRyCPXFpwOg36qmJmGJUcmOOM9jR099
J6ccnBGxLyPgi4PNRIXgOZOOuqElZN6YRkCIKqGZ8y9da3LuOc6+xTYE0QB7QjG9EvSZI4nhRimW
cV+MCI7wwWSoQn40Mkmum7rxcAZMK0JUpJezKqMGslbYY3vZgBjMvMdTZRhQpb3pcpm/MyqWexLp
GAe1/p7IhuxczG7kE1d1sJW8HLmlBsZi00hqsO84Vvscr3keYFKowm5dzvXVTP6n1Y2NW+biT77D
bQ6OHvHEUl7pmfZIV+3o6OQMD3KlkeP2oeYlz0tWHLWWZoTBoktzPzkzUvWjIDgSEwNXA35pIFk/
ptitQaKX1h70yEM5p+89uXHc2/wLCz63nXYX9exQsZdACHuCGqa1fucmdF0r0BBD0aIyn4mPFW3/
zP9YBoX6P47OYztOJArDT1TnkMO2u+mobuW44UiWDQUUORQ8/XzMbjzjkWU1VN37x9zZDMVLXCTG
psPQtvUanogKY9scNx+a4Az2d/fRS4jqsVuRkchXX/ukQz3GR+2rdpP74bMYQuLtTA6IxrukKW76
YeqYR2ZUYBZI4qAGQlKRJoVJDyU3c2KxQzPEc4qSRPKLuTJmXaxkVIIYcpqlOUx1D4XNy/5Cq1e7
TSr/S2eYCCT5d6qPwJDTawylUzWDQy+C4o4YvVOgkPQtbjLyltQn0UzzsXbkBmfC9xjSJZmX6qs1
ciaidYVL6VeVvSIYJlRb5Zr/sjXojpDABpSL43acT4Bae9JMTAC05l/Xp5K7ICdcrD0aPG9mYe4X
wuo5DagXnoiLmUktoluIWy6eOzazU9/gJI/pe/PD+qNoU4sVsEDSGJQPCfENe14QtR8d56tXIa3J
lIAx1Jo/gw9E5c/kBllZT7s8Njro8/R9MfWvobHIFxQot5ScbMZmtQtyGKEQJBN7Tv7SI0oy/xgc
1UKz36CyzybPjp6bExQyPM9N+6Rdu+V2jLeDOzeQPT5+ZHIe77KEAuwcFiRpcZKmafvKMkn8LT4c
E0Le0+poWPqUEJm9kVV/9Uuic6QfX9tp2JFCuwlzor1ZyHajXVOqqvNsnww9xo6NObv/Wn9pN2md
qZ072ZfcnVGUmIF7GGt9mMepPUqU0+7SPuYm38dIvWUheErzteataeuJOZMihexaLGRaj2ZYnpWV
OG91GP4deLQ2nt+OXKA2fy9FATqfHRlJ3QQQtTikW9nuoUaWjfoAa4HBddBQWQivWSAkD26iNsOr
Qx9r2SoD5PgdRyuftp35N9cUfCr/wxVVdaOCytWD3uuZuzQ1QnVIcVCLLKef2xTRAIq9s60pZ1UW
r4nV4La2whfSHTR5nPNPlncPSbe8WWNWHHq0r5slRZoepy1pjZZ/8xm/gLgh6cZ54YVz4+ugLO72
gPaX1g85EdRz2NGI4ldbb/2PiyYfjyYT23sSE9OtzO4hDKttJTvz0sz9LXwxbTYja0LuDxB+nJym
2zfN8JpQ1hIntB/JedmORe9vqxaYM+WlbWpM7ilWyqOleioyc8IwpMLIszwrtOK72Zy/yZfZdkaC
eiOl07do1E9WCLlLcfEIEzRSjPY5cHTJ4CKfmpqvPDqcIZoWDXuYDmmIftbO/g0OmU5EVBVI2/pd
OFWKzO/6OjUs4s5MlwgDUrK6ekziqnZ1kvxZ0nBmHHbVpqX68mL736PfyXMu4q+O7fMUQ9s4glNW
V8QCTu3wyIX5Fa+QBCFMkmXDZUl0qPdo2GDL4Kcuv5eOYZkI16+pjh+Z7PvN1CfnFmHAfpAv8JwH
j9Dojb2MiAeorkkmRq0AnDj+Lu3m4rj5tCmcKt+2A329/XBwSgki6dN5JuwrS9VracwT90uFxTHl
Z8boY0mkyiyXaX+f+qHcLxYbqW1dfCnkPnHhYvzMvHa9+Qhw9uYlqDR5TPACpf6ZAxIHeQIa6Etu
CPvXsUmkQAa7S0u8QIv0brUhTk6t7qnw+1F4m/s++Q0rqA+nf3RIRCMtIqLG49Hrm+3kdc2GTWhM
p6+KSJYtv57BCtqV54oC5IRm7jzYglJhg44SVSXfmGrng1XGp7IU91r5D7XZUsNnkhguzOpuqmQL
DLPF9LiO2bul5KOmtTpIfGpD4+xnkrW367Lk2vpqa0MvcU8/9Nq5qGl0rjBz14XtAh15fqrDPD/T
p4eLIrmW2g+pXd25bdwebCO+laFYdh35dwEV8kZaWRvmIcofg0M2rKdOd98a5XjkloTGJZQNyWV2
CpxZHorkg+ersPd6MdniG7I0mq55LU29+h6bjAmwoB2y+aVzjqfX5MwPU42wpsQ225HeFQT+E2fY
T1NMm1G/xCXogcoNgN+xZWovh9+smK6+8o80VH+BVFk3h9Q3AtF+wK8p1yshZ7zWWtBk5wzYZbk1
Nbu/S5ItQ6JBFDm0KOFSD/aiPhHusYKIfbAMf1g8p73ljF9WS50PQrX6UlEJfSkYN9ECWue8dpf9
aK85JcY/Mp6mvdEPf5vBo/+msflIW4QlRr2FpcW138uvoWj8q0sX96a2WxrRED/AS+g7NYqvaU3D
sX1yA0TfNxhsOm+bVdmbi6DMV/RbezbvrmBoK5EqHwhRhCdvA9R17yJPZOTGjoyKfqc1jT9D3Xxb
Rlvs+oVapsazQbzjyAwbUh+EzUtJmlhrNdnWkndmAw6mveGV0l8AMXJzcK74Bpb0G5tWihWBaN24
D5Od53ZTZMsy38ZDoaNCjtOm1tbjOPjiklVFtq0015kdu/ZRJWusbUbTSgtinKUhzeYp3Cpq/5oT
XLNG0X1szQXXasqsKyy9dxqB095fwH+NZ3DwRqzmq7aTTxZt8I7nv5KRvzXSbToFY+ShooIStaqd
rH0khMTNJ6BgAu3Undt3hK5Rmaw4DFCUYD7PRhaWQmePc4k02EgEghuoplZ9hbFu+CYEd2pAtp4v
Pn1CcVBBZz9M2cbZnVpNKGNn9Gt7SAjzZN6It7sVRtkfMgOFQuWRY7JgecyIAOM6BypvOufKXzo4
z4nwz5bV/GovK/a9UHgncYptoVyBUtIKoKMeyC10rR+3WJxtt8HVqA6hZTxxVdBPCPmIcr0JvMfB
kY8yxU0TIFEqEUuA8+1Q+JQgHXCrfb2cWzM8ZDKcnwhLO/kmJ7GtZxU1JkjZTIJARCEAy10sbn4O
XJ0l9wTjFXthuM0+bQtwyLLKvpySGL/aL16JfJa7Pu8+xJaEN7WxhYn83WYEdMO9DFzaX/DYav/P
4NH4Giq1tZbsB1/Gk+6dIVrhKS6R9s7G28b0/GTSEdfq5GJxc8jeqf72I+H6TZQX4xfJDCpqZxg7
qEb7jhMyCtxWbwd8r+LLoqBY+EsHf4LUHvTaWVXl7THIs0tnsxANk+dEaR91VkO9inRJNSFAWQF1
VqkDV9IjnPOVR6NPel/UzXlhGoEBUdMuCNqz3Y/rDxmEzK30rXDNv/Y8fIaSSa0pHG8rjPkI9P4m
eXhuVivf68L74oLwdhCI98rmqmg7XjGPwhay97MtmaXDFuEjyFcX4uvALJQ2wkQB6b3JYrwiMSEK
Y3TKqG2ukgrOGIOmWeWcBR7AySAemjJ5Lfw/sWNsQvwA8OEo3Xzl4MRxmSBw8IIXS8KQ4vDOmO4D
+n05TEtxyDLj6CTkVJQtoq7WF4/12FXbseNPCOb0TzW3t9FuxCEwIDDKDt8K0q0My38JFzaof8LG
8mSI7DsxQLhLIpB4DR4Kr1Rovp0p6ifjPXdoxfNU8NORQMMsw6a/SP4UTQLUlgHrL4zti2cJ64JS
h5sp76LOd/C7rLXw1CIvObdswz0+hnlDQk9vMegA3lY+eG1xidvw2e3Huz44187ICMyfbQmlGeQr
RkIH+7RJGjdCqnbwX5ck4ZlwBnjl18brn6t8FY7ELoECJk79aZIBJycyOhg8qNDQ+UqQVkXV5O95
T8+tO4g3JMbkX+BTxgDWNj15QybMAE68TdLT2DqjXjWGoTm5NXEF9ci+LAucVm5JNmLPyLmpHGrC
YtxwnWOVu9QWxa62xOvM0J6EJAwHaVVEU2nCedfca/lSRw75nFSSQD7VI2Hss2pAcrnVxsmjijNe
DiaHDMkoMKG02AaEumjCU00PLsxdcw/sPjvPrZcgy8P2pofuElKrEXdU9g0kJcK/ym2bTvEJXPze
Sc2rYVsfshzqSyoSvald/0m0zUPROSMWN7+AlcmMfTZRNkry4X4yCKnnDD6N5jVLOJXNZCY7hBsT
3e5VhMu7ammYY55xRZjdyZnI6DlM9o0Dm5NNxk8LLHg0dZABTmK2GdLhzBH3ndB9gT/WpRt02umV
q4irVcWv9VfgjA9DM3/HpWwIeCJNDgXYxlNOfMM+ARrVbdqKDMtxCN+1wQVg219DJwQ9AYVxgaU/
eipxjxXeZb9ZjqTihee5D/70snixgqvi33usq7ICPkl9NimrPsmRKp3KPyGHbiLEFpe+R9mW9wcT
zoloDzBmUCNavNo0ouroCYydzrwQmw9JuEyepQ4unkf3rJiWl3Bq7nrli8NkS5dbugRBln/d3qww
Vng/Teb5jKzLLY+TT922FMmZROf5vLKYWhPmguBfkyqIYIfvDvIO3MziOgnQyR7RQBqHNvUeYy/d
F1pQ2dy2MAyeYSMcyljA53vWAwJYgK533SzyfTcRiV3QMWgS9IQxlt7guM5wsLnDW4jP58kvxF2o
51PXGu4NWPQ4mGA0rru8WwH1bonwNr3N/dzNTM9otM70VSHdq4vXusr9Q16Yr/3SmHTQ4vesOvbu
pfp1cvtCfi+hLquPMNdfi2H/hGpgbCRahGSmz5TO0aMD7LQpyTTwhsyF86q/85k0AQYtqoGdkyKA
BgrtaNVsk07iwWOU00seiDuRtVGog5eS/ExEIAJoC+yBmDme6ZAxCEE/PhESbnm/OHIySHwdWPle
h/Yr7jy8S94XGglAiDF/1imrSsHDwg8G+w5Dk1n9DSz1RvpQz6VV2ac+Hx64PCGVU9j0Jg5u3lAT
HEDWlGCGEhmtU4PLsRAMp0pRikIpd7+1cuhTL6VWU1OnWf0L0Hgc0tZNWGOHP16WN3dxRfwHYYNY
9rOV0mHnXF513jvHLInoG6JwrcAIatsCjws9lw4IA6bJpwGRzdbp7fuh7r9wIz6ggcHdaixgbrOG
CmNNbtPg16i+eyqdCh/EF3PcnjzcX+gx2FzSG8zW/giNmgpUP/lH4sRdiC3jyAwE8mhhcHStgPhp
evO07Ub1mh2mIYapjrC2o1N723IGC4Bu5SJu9iSFvOLUC/dcINc0UWtjmsW9l3sPDFwXTerYpg8s
/KIcIDAU8ID9TD5dueK2vsn2giGKYTNYaqj55Ah1RjBW6mQvZBbgY+7vkU6CAv0fw+I9luVKScNU
Rola5qhopteMgUE6pFMtsvyoHaTcZjXobW2BfLXh0WCI3iwj5jpHA0ZhmowKs3ZOBflBPrQ/VVs2
tR5qH1BhIzNh8bRZRELHzxLODxtqs12q9aqjwiIQklo6PeMWsMWT7MKjGZwlVz/hJfkmT+Ec2fyO
tHV9kiL6jzAkIryxzhM++4vYe3Hhguzgi+wIrGG0ttEbcgXO+uT/Js2wFf8IFc82Mi2PoV62FW/7
TE+qPyYEZhcSJCMmy5EQctADFdmasXpukYIMBf+69F556w6DoestBJh1GHW+t+2PLu1ejAEgOkMv
unEqaCNV+J9x02XEQfwrq0Z/trNzIpPgpW9m5xwn1nffJec+h6QpKv3d2KRK+vlJN9cFuGYVDGWk
cwEKwVRlxJEXmSadyqzsbdo5J3t+UqJ7R6D2W/HrbaEOHezU0cvIZnHontm6uOY42UAEZ28GHUnG
o67rT7J1y5Mt62qjGOHWr+HIMKdAVRw8a7zzTYFR0/kxnYlm3GTTtW6PhISyyrjn96dZ/ts4OA+H
OOVu7Z7b8GLyT31LQkCFo8OY+m3YXTrTOGSLfHB1auyEAVKe+jMNHr5N5PhiDxvbLB5bmgcHUM4t
kXslfUdsLWlgIykau18usR+UYw6y3xXDg21wv5ABbVQmop7cyMi1xEGSqL6fpnda70hcM9nMhqU4
tP2PPfFem3V3kXQXokBykgjM/hkKH0F8sDPasbsjQaySVLzhe11T0cOTDJeXWRl/4nJ1YJjBVlJq
9xQqceGoYt6T2RvZJx9Z0P3BHEm3bHUlr+t9DMLHfAAuomTKo0zG3i7d7G9Tm5+Es75wqq1toIkc
hh2oCyJiTadPu51h/4F/onXFiVdWhDW5yQjY8woFugLPSQpLtoMfOLHFsvK0q4s59sLtNONLStMy
SpeW92hy1o7RU24UYOEwm15nRNRDQWSP9L0a9raxQEKcMIG7X+yPLKXbr4AUrEQOgekFj/7EHI2P
Acxygj0MbcXSBNg8NGnE14HjtvmIa0cP+Ayao6PS4bCI+Q9yj97N0bvFOS2cpB1kwXB0OoW3YUbf
mwcAUonGGDrM7LqcL2FBook/WxzXQI9yxQjhuM8Y4CildSl9Ddq5oQ8+fynM0YWSKOHlYu8x0ebO
HQYAtMDuGGnswxJ4d1inUcxO9daeNB9guvzxFGUAmvYXHwXQjoYMd9eEC7/LnmCJQDknBwO67MYD
H4RBiy4R8HFffBJfGPB8EefZkyplly6vDDGSQ9ZxnRpoavuuIBYoIAPJR+fGCs0UbWmenPx1ggoH
xzK/2I9EL7mvPF7AaSjOIdKiSLfwRrI03pSMG0q9882sOavJs6fYSPdqE6v83ojtN87fQ2+S6JaX
81dthzl6rMXfoQCseTw5zycXLSzFTRKkJXga7Wo+xChG2Ey7GdDXQ1gwVBlEIiAdYnj3aUh99tyF
R4vqPUazHr6gCPddqK+alPBVAHZVU/iKjYt4FNnslh7nvk2/7YjySVL6MxfsRKvv9tLVtJc204fC
HbTlueJNBh2hc4TW1XihpMA30kgLc/3DAMe7T7twRVSX1aEq3BpNg9oRxFciSUJQOJr0gOCH2HbT
AnrfwVx7Lb+5fodcTSiyhtmYYceL5o1CvGrPIIcBbynBDVvkVK2XH9Gj8tBb6ClLj7ukFwBQDkq4
tpnLQ1ONt1AThcuSZe400TpIssnEt2gUTbQNUpxy2ce4WBU4Yewh+fFctqSY5inCTIncG8q/tkje
Jzv4q2JWIrNf62Oz6qVDLLND8fvpwS9oA0BFBmLvZfaHU1Q0Pq9x9wRFwMAb8bYK0I8p8qciCQ/O
nWVTEYOuqSABhTo5fn6JUxGKlFqrGq8f9245okr0StZkPcVruCzKF+S3opFHafEOxgHHzDjnTDXV
fZEOagsfRsMB0v3CqsB7eGtTYlTQZ0CrtmN868vmw09QbCS5BWlQo2BjDcwQfPBonmDe5k2DQHZv
wUpuTLtxIjIW+a5dX0b1ZB/bCSTRgveNIYR3/x+VgZx470N6cGoys9PU/Ttl3XG0c5h1KkXtankH
ajG3Q/ntFwBq01iut6zkU67zOlK5vx+pcyjhOkkj9eyz5nisbKgb0t+IxJK2uyMWBbpourdYvzaG
bwM3sPFzdDP5u35zstFnsKQNWxkPAJerCTzl5r3wmDPoAc5vqDpg3owp7nH76kHJnOYFd760YsQ4
nKBxsNFklZXY5YprlZJguepdxLEfB8BdcvVby1oOAG5Iz2RfnEqTVvMxR4ndH1DMp7SToI1j89hD
/md3aKNVmF8QM8RHHP/PHp0lJIwgkKHlc1OOKWhJJ9t7bnlzkylS7hCokFhTsEq7RQmvjTO9tId4
byVAUN6U73C6sYzbzbtAu8rPH/Sisrrf1LS+SCsYyYuejV2Cts5tvVM5cAjojSchh4n9lVsvqa6p
zsyNahAq9FaHwgQxQWQO1v0cX6eY1EqZUg+2NgWgaGgJ/0HTgVKhO+Kc6HalTr4LRFhKYBc1B3ZY
4KoPy57pIS+Z0ooVSAngpLKAyg+zaXeJTyubdgBae9OC9UCqFmG95+KsSOREJr0LOt2eXWE8tl3e
Xp2Q8NWUMoDEgvNHmv5hkbFZBUUbmUHXnTA88y67X4s/AdsaINNerV8aydJBdB4/Rl8/OKMedhqp
EzGsPWuIfURP/2RZyBkkF+nB6/KRO4ExnKQqEoX0kK9Hz7sKWAxns38Op2TXt+HPmnY45JFBbS8v
tj3tUbDiOV7q3RhTpCRBKtKyBQ+qxrMQ4ciMPPREbIdMVyYoqx75euRWsFMwLbxMOrwrOP+tQbws
cI/uMMFIELqRkzkUVOPRCHGNEWtYsH6wk6DD9WCxN3mOAg2l+2ve5e898QqUulrGLi8TJEFBeRNk
7SUuNRcBODSDbnoQflxAwp/MZPh15xqZ1Qr4usUqPTKrX08tlPBqcrTyJpoqzMmLs4T0ozE9reNN
HBLwQhJrv83K5oXHcSG3BiinIqOc68pDVNH++N38GcT3vcfe1SrcSyWtlG0SggTC61YF4bh1su1l
+oK/wzxQOFeilfI5HEwAFSl6Yrb4sRLsyGLJrwp8HMXc0zdfEU1ThAZIt9TpPvcHZpgYIlrFjUDm
pi5C1J8JJfSJx9oKWM4EyEUKNVXwdwCuKadX0cmjwwQaLRq5Q1w4/bn20njTQmOLsUWRENrlTp7Q
Uzrb2U6e5w4kSCyvvldkuw5ZbYNjjhvd2rt97RKMS8R+Zdp9VGjuFS8nSA8R0GPnI+dQwiWHRkkm
XXUoxkbtGiymR7uteHds9RehNbkpufwDDvcSINCnO7q++qK+b7T/wZr3j7xhlDwQf1trWDAZ6tqI
ZD5EAKDYA0TzqlLzpU8Rfg4OKbmFcqlSzqBZs+6KWkxuzcRrWHaAfC0N+OQC1lp2dwiRia9pwsOW
H+B4yDxKZ6CFjiR6fxeh++t7Fo0g7qXJp5+yyLqdBUXNgoA9xwSHRhz9zTffnjU69A2rPYoIyyUD
zPzX1kN6V0j15cXAjz7KNnRjenkwwiJqL2AfwX1dyId0BDkLJJGzRpB/xDNK4lEpOgHEtx2Tdd2H
3GVZsdK1efmQZq774qXlDZPEP2mBzrhYQr/HgCvQJdqwRPwcTWI6L6IOD4mLEomG8Fsj1atejOY0
MNxOnvhNO1Nt8ev3EaE5IAKy/poa276ARgO/GsE9cR/upSRLR2TaOzrOiVTZEc0jVOVojeMl6cqD
saREKAL3VhkFgiORYNiCn6Sbo2KqxuyAOoYThHyTfZ1598QdYLZfPdAj4br39tDfTwiQdjiRXntM
DTD+KKyMNWQarUTEqZXt+9Z7+f8LWO5wA5sPd4TjzJe05duAHNz7sT2dsBLX0dKTDp7iOqOFrkZ1
Gnu3NYSgotKTFthA7iwXdlZJgbypB+UthxE7E99a1XDbdtq55XlnPYaxRSXUkB8sSMi9tuZ8v3jv
ue+Qp2kKSaovfe2ar7oJQNliVFoeKbq0E7PHrhiQ3x1mt/JpgkLa1pWgKTVlFwk7UhkY3UnZnKQU
DnmknQMT+fZ7MltuhCUJDR07GyxiG6H1z/BLLMuulvHh/5TNWqhs6/OlGKO52zUJTdvYyJ0dbaDp
xjJlegRvBhHLn11lOFFBWtp2Hm3kDH11RwTsXW9r8VJ9C0TBESqg+Px/vGTe3PK0CI5zOj2noCgH
a/H9vdeSrCGlYZ1QiV4zIzYYwxYyB5o+w5qOkIbkUB92l1sobFom+U4jZCw1kxfB/YmBky33MSdl
aMRqaZystZaAHjuUVz2HXFymaP91GBLr2uxkAeeHf2GzSsc2Lt6eU2xqI/KHnjuRRB5kkISX1hbD
f7pQRBTHBViJY6p9U7WkG2XjXWXQytlZgHl158EkUCXvTh4nRDUtET1M5Usaim1oPrT9xLvdhV8y
N8mBzpK3sGxtHMHm5ziPxj5o6reBNP4bLmXQn8B/yIHnkSteJznrZ8zegKfknSWMGG+OHzz/H+bf
uME/4hvKrQXLm4DI3w2WhamRVJBR03yqEz5WM8FQ07cASlnym7P/3paKscAaeFx6st2ieEKaP5sx
tznj7AeB8KfCbG+zJroZgSkjNPWytHHTBI5IJ/uShbqWYp3Ilya4BAlykdCuj4Vteu9Tl26B7OK/
Tq4/RMYm6dmPjo2sxMBGvZlb07oPrfKvWpO6QU2R/2s13OiCO8vVhg3i7x595T71ko6SBgTfZDI4
+6v0kTuMhji3cFFt0Jta9wsVVaN64zszbmB9B8siAXEJgo8WipZJfQPfB6+FDOdSVQyBY26/lYNP
42xuJbxkfIgMO/3N7/AuWA9UfnQPClvqjlbyLkpV0Eee6uMNiGF1KZNkj0i1BhmcLPh858WbnHFL
7m6HTGy4E/aESWIS+zJIQf2GIIvs6gmHwvjGBEmant/iNvDKu8mCmG4QhDs1oNDwSsCJc2+MijIS
tsVEOx/NAHNak8C5qWl327F+q7elc7e+G1dPEglcl9If2ViyODTZKN5SZe1CiiCWDA1BbMA54oeB
5QPAEUc89cEz5dTzbejXGcgP+wh1jHMxESnMbIJ/xGod8FMFa9QZtz5U8p4mTNDristhmqrkqIhd
eygGp9zF0DJRsognMxHjVeDfO1AbVezC8i73EYHH3LF3OblXCEbZhKfYHaMqKVG4C0vtLLt58hfr
fenym1k2xX7UDWFi61saYn+mSB0dHC2xgNhJOJiXxPwbkMB56VDzLQO6R3+iPblwceBxdLUnSR4B
0OSnHVb2mQ6QqBj74EOhyq5NGE2jVM0+Vs7fmtLCB78fcf35joj0VPbAVq5+GjIm6fEy0eeGkd/I
HgBhcIrnG7ONszNolD66tKTEhpc9IQS5M8N+2rCQGIR3jS+z7VxyNpmDbmFMyYbbWokw33B6DceC
gAPHm4wDIumj8X+OCg1ADrQKmg61RPE8fzcI2K/446ujMUo3SjOI/LE1PqWD5X9FE113zB/zyrc2
VmqoO3+ty4pH2e+p3s1PFvlXzEFxeWABG6Msk+M1ZBWrRSgOUEAspw7EVWeMlzFAWdqz+ZgWDcK8
C0cLkXzbebugdrMDlRBWZK9Kdl69PeYGhHRJUN/9n+bZutmwDzxNyndSIEg3Y5uZqk7viIA61Uv9
WY5v0zjLh0SNt8Ek0QgtDDpVxmeiE8Z3Xoa8JTdDwcxMco0CXB+uTHYIr6rYfM5Fuif25pz1TX3h
7Tt67dCeOgduwI1D8aBhACkJmZP7cOAEKR39aefjPXG8Z/YiKg96suRF7wa8RFd0Ut2xApK8AMB/
ZXnGUyCVgzRhtZ7lX20sbOhunid8K+C/YfXjG+YrYXS8rqr4aOfOPRPVDwTnXT2zma6oRnQU+yv6
1qMI52ixH0RefhoWN/lMcPndwp19dOnuO2T9eAP9y+/KYK72MrTOs9P4d2WFANwHWxxS2V7ERMgp
8k2qVhXTh+3J5zwr5lMzURKb6LK8N368hYIcMLz5LtEwREBS0GwCB0dtjelz28Iw23J6dByRn31y
mM7KheWyO/BGpywEwgCMUxkF2g7tf0wYw924IGNI9ZRcB1IdDuGA45Xhe0OQzUCVQZlN4T6Nge1D
46vJFYxGk+uHLA5OJTb7tzLHRokDYL32cNWMdfaq7H6O/q8r6Qr4Httak9w8iL5kHvsrkANVeGlN
9eLCnAfgsSmxcuYdFdhz5ZXHxV7qS6aCP5qhaUcMNaaWMAt3U0hBDdG/9Q6pPaUIHmscKcd/+hFX
I0kwUWcM+feUvdGlGWO7khRXl/Kns8mbHdLYiWZAWHQnKdO5nT1S+IRNkd2OV4kAkqTr33Cdbwbt
g9tlzoMbdvo2rDFvdVqhxGNY99lrh2XOIH8DjQIF9DWYgegp0RrP6nUoKvG3EvIs2+xfGFoDA4lA
ZKr66VPMPGZxcc4DslKG7r1rCk1DEpQH2TF/DWwVsCQ+Y8eskp3At8dbwSg8z0jTq2dfCPdRehqM
xOInBEeKF2nkFQ++rJ7gbTNPl70ToAanbJXTL3txHT3eO/wNvGa859N7SVqAIrMfkD3aRIGa7q1d
S+MJkflBCbebMWR+OVzYXeL9wHKbr2LuflLuWrxh7yn2hXet85exqSn+RYCGu2CAR/eDD8j63azQ
FJFzv3xM6z/NtcnqEcfDOSliGhS8xcDqx/+EpJXjVDC0GRg5fgX7zbjg3i2nIL8l3fgji4XBeBZh
NAB3XpyKLG0yTXbCl9YXIpxTIaqzLqb5g9C3CAB3AQrKcjIbnlPaIfd47LpTFULfVvUxiWt1Z1ig
8qZPLJlMiOOtR/daAVw+LtBvdwbRMh5AzQCQmJQwhivQ6HHjDsReUeQO5+QyBy76TyFyF9Em3Kmo
V7jQDc+1kOlJjVhW5JmAXG7Jjli9heFuk5qUA1j98MEynqKKtQl5m5v6RLjkR1wW+RlfT3Vouq7a
o3i7Y8vnb62Uubcoc9j4fg3+Dkkjyjfp1glVXxwy8AM4wdL+PUsW884kbVwy2VRFpdgkHdb9usmp
sm7vqFjfDiI4Zc0UXmzizDGVUKuTJk9V53ovA7ImxFrlXlgl3ddVuFx4V7+V8PxzhmRaeVLwI6yu
Kh6f+zgmJTbmje2HiVoSp/xazDKI8Me28UwaBoLbuVXiLGjQQm3q+/wUuvpWzAeHgeVRmXwcvkOO
ZUaAfAksc5QlAGuSGVfKbmnUJtBgZ+ct2jbT/SmtAYnKDBpH5cnGMCvs5DLAtOvnL6IBM2f3RB9Y
f4S0Mh1SLmtDkmArCGDdqwCSC4cuesH0XOb2H54L+Fxg/8xy5l3flZGbp/62G94DB3cpwU2gDHwn
G1KpaYIZ0n8Bg4TRxu7NG38tQia2mZmrIyn/xANJ6trCDgmyHSB70dXLQBrhQXnzK+ua2LuYtnZU
DNdbkt/x+RJ4v/+PsvPckRxJs+yrFOo/eymNJDDVwIRrLUJl5h8ipVFrZXz6PfTqrS4x6JpFAo4M
HeFOYXa/e89Vw2x4aap5MWUcOxmWK/rIJ3guuMPts6UatZ0K8xO8ZeIvpn/l9oIM49XdRrYcbqMx
utjjk+rgNh9dEndnz1QIs5naR9gR51VwvKgcDUsD6yRogGtd1yPcJTAT3VB91Ibo2VOz26IdmZEh
pGY2to5MipUlsnTfcrPT6wm41wCP/XFLT10Gop0ODqUNtpP+2DKxLMQp8OYNHETSzWMOMgYuukAp
Cw0OVyqC843Kmi+DB14CfXPvGcWLFdDypvcQbdHjUdJ1+S48tlPw3LIXjxUKSt7Md2mUGWyjzGoO
XdmYd50i0U3XknAO8TuwpeYaVTBFiVRjH5UTI5USEBjZLSzHGA4OcIDHy1Z3OpMTrXiuCk4TTt2E
nTHIehFrnNLYpw5FPKwtQPt3pfPc6SMY6AhjFNm3hRV3+aLmhV/QYzI9a5EiTxiukaF6TIPnUVf2
MS7xR2BNDc/47hhV6JSyDFNIBbXhXWiAmm10bv1aOdaTmwSvYV2fuQ75NubtJmKTH7KLWZRCw9Dq
BJSuQujFUAGq6YnIu8+2ybcOZUopBfbVeMQ9ZcXFSrWOtgwwcm2cqRHHJqUempYereqtW02n16JU
eyVi92uPG8ypPzEdVN8y0tUzqQIcE0td1k4tjRtBsE/DMDsaidavq/o9qrL2FNAkQ8NVwI1GMOBP
LVxYRVKLezHjl5XZgpUiSKYIMd7dhECoyfFzhGHhGx/6ts2vehkm23Q06tmOee0oiXgeXIiE04hn
qUKlPNXRwbOmFZxfvN/zOsYUe3pJjC/ewPBJ4wfi9dNu7Xz5iHWjOlfx0Ly7mKNAdirn2occKFoL
Ptds7gl9t/jaTPLiYSavmsz2Wpx+yIc0/xIF5r5OgeHoo7wZOaJJ6fjQhqlxmzcq/xmE9Ne6G+zs
hqtTCWOyZzYejX6/YyPiLY1clwAnddEp4g/zfpn7LJbCFQCzYs9WNNnQ7cCFAINDSXwjKAgl1GrY
tobYho7FBNV/V5POKhLfZWl6m7qDMykjZTB7s88uaOinYW6b4P61bFl5H0tMGKu2abjTVtnwN3+R
95eqFhcjkbA8Ew6N7+vun2F3SecbcYEsqfT6eTTdi+aTJGHQaQP8WCQjjcoDt++dRodcquW0tXfR
hj+t8p0YSJZenX1aQKg9NsfYPhkxntAgQmSIOjT8poG5nU/WKx4Wa4/ZDsqINmobmZnORfb93DRZ
vMP9bghR8KDZjN+tjKuAiu38SE/k3tu1jlXcmkyW+8ziOKBAJjswh/vkYa7cszNhAlOBU+lbH+EW
Cr1U4lJn5IctLGfLzLXlKdRGcLA6OJgq07/0djriV8UimoJw3Eb8lntTmYfHpwrrU5N6za6pyOwy
HL3ViRrPWJ2ZWhe+uE7kTRxM/MdM4r4yQE7Tg7Jq2Y0cMqcwTm4zeSt4Z9GC8g/94jCfWnt2Tied
Z+4qBVVQdTiJ//Nxaf0Fjc+rCIvPNiEWWnMl7h+ZZiWaT4xEGS2Anl1bq/a2cq6GJEJy1CSpiIBC
qaPp5RsQWu26DTn1c8OaqYrkx20dyg/3jKLHe5/SFgAb0hu5jibbjtz/OaAeREZ0MiKc0UY3hZAJ
h49Dbr+Q4erXUVeHy9HuniuuGbUFr1RYLc7/Bs5fgzvPnrL2opvDBg6h9zdtJ8b/dPh6Lo1HuqND
dXP+dPiKRtkxHNP5xSYjz9Km2Exl1dH0oizu4FxmpxBt1U1tFqCDj/LtsD3+m2ffnwuh/gBIcx3g
ZXQk24Yw6Tz6Eyac2KQ+CDngeKsTLj5SAzqL+wiIr/46+5lwvh7rtDu6Y62/t/30RuICh9o4fic1
/kYy3P+YueHX0SzFZk7ZQb+uCFgPgAB3uA2rp3YyiaehbmMMzxbgoqBEaSzAJ617i8zis5jI1ro2
JVkDRHGbHiqyncRPSzxvRMrRxeeFX+MfuO9hmgjoeYwHcAN5/2NgD79iyQtrFu0mtwn+4QRkAdY1
ZxxCT42ISYcMEdiycVUpNeysgMBKh0trIo65dCp6mRyfKKBRoTmYKHRsxMSCNPprGn1UEi+tTeRz
kcQkc1rffvdCapIS3h3oc4aeQVo7IUQ5hfZ5fhELupieOtbnT/jLSiRIovCKSPlETDDhKkD1zl2y
fASZApN30i8IeAyMQ+bRhMDJujrbuoGT2RlsjRgXB4XOTsCzLZTbVx0vleIPWGURZbxdFmIMCgCm
5cJf9b3WLMHBzOW9NK3b8aqpUWdCf/jQOZQ8QeBHr6caXo/EC2lvLEOQXqK5qLRpskXSKLlu59W8
lOURY+uRUNg9M8CcN5IiXPBwHxyPBNB8ZWG13UKqwjXYshr0uN53HkZOLEE1ALy9m5C3FyM6fOyB
qjCzL6WpX+cNdWJ2Hvge/EWB7Y4cCj2hdk3sJzO/xrWnGPsMW2cSn/Uaoo/sy8vgUmRc52+2Xn2M
NBJ34wBF2MLlL7shWpgOP9ckxYNtt7yY0DkmdsINKQboNfkCzuxzMxp450wMuqNxrrKMVnotzNbs
RMfO5akVakMbSLkmm4SNEZLraEME6J2KAXKHTjvQjkNeA1JPkYX1hgErbmpaHrjHtN6liF+dusw2
WUdFFNLjKmtxKncVv5vnF9Odrdh092zyuCqN4z1oZryR4UsOF31blri0Sk0PDpXJ6zmiPq3xXRR0
fAcjHEcTqlCUbCbZ+wdyptrZNElm20OxK4WfnWQwZac+vsWl6e456PVDW1gAIAyLdapIODzbEU0j
jxBf0jBh6uKY5s4xTHn2Qw77xC4/xAaYh6FACu2cxXwZ9blJAQUVvKpsv9MCy1Vpz94vQK1z1I5l
3kBILvYvJdvJS9i7z0WDByBQAtv17KbQE8HILW0uvo1RIMIUs8otOz9E0n6xjCG8mGH2o1eZt/NS
FmayzS8t7YookOHCUeY56cJyE2sCOIsT5hvDwBQRAUXYEaOd09lYvH3gsCKgkyLHccG87aRSHc4z
o8k1o0mx8qz+GzF+bDc5YhJVICbFmd/7rMfs0tng9u1GeGsPk4GR03VCc7zon8xR9YccgAEEAuIG
HTsII0JSoXPg3nhIFWMojqY5h61wYi1EZn4aOsc6AR151YbU2+dRitVLgtbKQrve4b1sy3FnMt/k
UGBR0faq3XoeSyGMM5Jy5PzTKGrKgXDswUhA8MmmILrmNdO3ILKMI2l0z+kEs0cbqHyW/Wg6K9pF
qVYuvKC9xhb7MRwZbNDE9EIUvj7kuIAJV479x7hYu/iO0qBX1zIQ2Lljh6Bg2saHaGjVU9JV4033
5KrFOPEMJKOr4/TE3eEVwmJzbarpPsEk4orY7rRiYi9MyGROnfMMekF2ivryI+sKMKKRky5dXT7X
bfxpKgo4jtYnax6PodeSagjLZR4LXrAhBpIQ1TQS9UaKSIQM/IBClsl4KkvWLAlNayMTz5XbeEAA
q+K9rYzmBqPtoGoO31yE8TIeUW5pyMkX3Zgnu6hgdotzEZC25qBGFdxWdIgkm0nRX9gLEmk48MN3
Atcr1wFJro+Wv21KtPO+BPiUi/g9F5m10iqXIxqWRBTj1wD0Ga5yE71bG3BF5pWXvVRzl+Ustf7n
++98j//L3dey2Q75mN0otv/j4mdoPUUbdh9j4gZj0tAACsA6HciE1MaW2NJNRCyBHj/z//yhSLr5
53/x9teiVMwZw/ZPb/5z8704f86+N/81f9Vvn/XHr/nn8vm/X376UdQ/nZ7XL3/+zD98Id/+Xz9+
+bn9/Ic3VnkbterWfa/VHX5T2j5+iPxezJ/5v/3gT98f3+VFld9/+flr0eXt/N1kVOQ//+tDu2+/
/GzMS6zfel7n7/+vD85/6i8/U+TxOf8Wff7Ll3z/3LS//MyV8R+2TykZFWDAx1z+/fzT8P3xIdP+
h2NaxNShYbJU0k1ep7yo2/CXn4X4h2Ozf+P1o7bOYmf1809N0T0+xDfUDYvFlXB1tiqG+Pn//fHX
Xw+CX18Wnox/vf37Ulrzj+tFxyYvrQvdYOHlOL4tHhTa323gYjsNfeJv9SosS+8W2t7JB1J69Opp
D6U9XxH9uJdl8i0ViXsIVJuf68nU1y3lgQPC9XFAsnxqITwfHZ1Q0phUz5VXE0bNSjJelND9/9HR
+YWZSwmeAVZQMB3dP6/swUALQd9Vskpaa9iTr/JxjcKktfU3TFsllOQFHnG5dIGcLYfIEUCsxDmR
aEFB7NhbDOF/U4Yyv06/O9/mX8m09blm1CfT/dct4zgRhx4YKHJBQwSnux6Ak7erPOPiTPkFXaL/
qPXuzgqhNGSyf9VEbZwJz7/BGNuMsXedUAktkwSh6A6lVqtVP5Rg3cL00GSCKa+CLdbXFgfhbwfq
//Ta/xGpPP/eLr+wa7PVFSzTH8jW3732OMET+PqNtnRHczOJOr90QMxno0f1kVYB7gHpCyATZrwu
TlxpD+nNsNncGwUDNRwiT/j2sE2m3cvMWn/pzB+98I9inKtetekw1M0HFQ3qbzoHbe+vT7hpCIwd
LmeHR3ux/qeSkbiroC+nqFoth+9TnToEQH97kLnd7hTwkX+/S7mRfdTnB2GixqM08d/KmsAGi5TQ
229fq42oazP0+cm0KgsgcDsestgaD+XMNXj87/G+x5ttGZMUDgtIl/OnPD7QUTRtR9MFzGV0LYu6
vhjNXgui+OrPD493W4QKYA4UX8Ze/9gG+nRDL9dvDHPylWtnN2p9oTdQZeNsfSbE+OubA5MOf51x
sN/8ZObBTyD/coNJqQeBDqjqBzVJWA0m61GwEExexoAAid9/MKLJPCZea26469ATlPesiaLf3taN
uLnZo/GjajNj67had24i/HT5RIa0kSXT47H1ocol7h68aHmkx7B+sttkBvsVFQIk75O+hMxXib0y
wv4YCL0/Pv7HxQ4DyBhksJ/55ZAMcEx7tr8fW5Zinm+M1OKgcozU2LEyb012AfB/kvnBLMbKXTFP
Fbh353f0dc7OPPXe8XPn3OZRBQ2QG8UTGYPo8HhwNM1eMb9ko9SE5uHBSP73Q+/gcpDq0lR1c0la
/Gqalr1bCIArjVj2J918iUJD+4BdadiS8C3IOfNucI/L1uurd6Vb+ja2vsN/0Zcdrqa3CWVsLdOe
ebku8jetCgAR02S2meY30aKDhdH02JIdRMGgto54F6DimX61oZGoeZZc309lE9+RQNvnx7uyzMWg
kFTd4fGmwdR1N0CsMRrgerGaxntg5uN9IJpAXULFcOPxvixDPhrs5eOtcH4X6BzAZVOglo8vqNNI
sOmlTwUv32tts/fu9bS9j9Vkn7Jx+PWtliTa3lLBO/JviFonJ/gFjJAOZQh9qp6xIJIfPGcXrpSq
2SdNh+Ax2c45sKmOz7ouXD3elHrLNXf+gKbxzcMaKKBfzQ2VbKtdSC2HVE4lRJ35v3LQNsx75BZa
CSNvA9LmPjGHFrfNGPUMdUi9u3HZH/z54YH8x17eLCFYcuqFIS0cM365dqpwn0afqNETB+wCQK9J
JVyYpDQbW6EOPMnUkXOXF9P5ApCVHxnHpk3IeZVtcphofYP3ai8j2Tn3zPFpuJTNzcCLawwFw3cf
WxkvilwqmlbIGQMsKuPcOY3G22BE7tlKbHGWda9DPSq+tuBNN32cy9UgY/lK262+cEJGmalovYO2
zeMAe7dDSCMSmrMQdpcfVGzOAan5v4bCI05lc7aWXmOesj69Y4XAMFoWZ/CM1ZIajmRTGWGwzl3y
DapjTmQPrsLWhM3QYWzpNITqMLrO0YNe0EOV4rE9Bk7lHOvZr6abnALwdOIzakLCrt6C3IE2A8DS
cw802V2y3KbIEzpIbNjNlbG9ttWtmYkIjvLZL4V5qXJ3lSZ2fvYmqMV6G0VYR7zhNNMKSzdgliet
O1kL4z6a4aZotGpp6Gw4CJj0p7C0j4nj3/EEFG+Ji9MJBfQsUbOv7J5nH9o+ma6NSfXJgDcpHpKE
Wkus+xO8kSD0TWhFDB8weixNlIOntmxxiJjbMALDPhZhv1IEwKhTLJfRkJEUNeAapUb21Yrs70Wc
0v8blUdLg9k8G6tqxHZ62ClZjQOctpkyu2sRwAJsbQtSdhau0EtLtA4wzD6TUD+rjGs1lB99csZb
E74g0eO234VdNGxRPDA+98j/B4eZCkDESC1VZDL8BqGEq62nTzuzX/T5gZNgwaGawn7kQmj4XfAe
UHCFB9J5qbkiVSkdIgTPLkMeqzddJe8Vc+CVpUCJqnA+PJJJ7JPeWI+NaE5lnzUnL2Hzl2MppyTS
/FIRtCZvSrAxSJHnwVt8sbWhOwthXTk1opfHA1zjbYCc5gfqqOHgLKOTSUXjySUvdKqmwaL6zrTf
KzVOL7En9t7I4NNohud0HE+MHOJVOCpnwZIRFvFEC3IWReZWU9pdm+oNza7qJoaNNlcTBnMrB9W2
25D7O25pveX1Dnt5KroUv2l38uPKOAcmofzCHgn2xIINHk4EJOiexPZMwzcGfUvjyxfEDPwnRJpO
BfCbKK6Hr0HtLmpLT44GxNxaWPZan2n4fbQh4zFdi0HVt54xXtXCRQ1F7+JgmwpnMakZQtPpVJmC
iaHwCkQdiukUOAdT+ohhToGO1ujhuZkfFGOfhVXCotVsdVGFK7hSjmeqpbVd5Q79OrbsZln4BJdp
gVXbQLBTT23EGkW4JyAioSEY3Xx/opHGAD5MwwYWJAKjEDbTpTb/Tb3y8U9MRcBgu1bHtGi/Im4T
iYY0h0BC2GjmjAdBbyOriBLr9NVKCdqVdumAeyHkqdVNeGfX/wU5dWIlY6kDTnWgLkfWrfWhwCoJ
n4ICP/fz0EQF4eLKfypM3BFD2zXbLIfopmcpgCi3uzLa1tiOA9vVgD0SqB+9jRF1cGGmt2DsJPf2
0t0AA05WeT8Yd5qgFl2bfEtCIzphhl5GNpLpU8KK+eAaANLmSWBntDfHaOHqJGBv417ZFMV7P6JC
a6/BeGQChKioPoQuYMvRQ6JMKQNYy7VKWZrTCASRRTOUoiySZuxpDIs1WVDsflyCJ5HTv1NF00oh
LC0zClEXetV+9SOZwTB5t8NpHrX5S4NKuzXbraMov+omwbeQuT2+5VYe4BwfQ7bSaArga32Sh2QK
cmYdXJkyazAXrVfYx5YTAr/SbFKLNn5VlAtqwcxjaztvyku1g1blr5XduDOKjiwi3ZcS+1FuyGmh
4bRdBaQtsb5Et1RpVPQ2XCq8EhG6bfw18ZHLQMEMzQa9XLtj+pJYysO1g/qkcD0QILSakz8GP2QF
AG1s3O7QhQY6REQthMI5TzfOU2kbZzYn+YHgHN3vkG3XoYOsnLpkQpCZS3vZ5TBztNxpqCWcWz7p
eAIHUzWroPoy4B7X+vKTko1zYCo7ByEJB4dZgbpvzuHc2M1f/ACGQjj2zMTpETbd6Qc+yAR3ClVP
JGoVgPjeX7LGhDjHAgnRUuxk6A4boynvxIk4Z4mzkRzsdmSX9EVb+vnSmE+CHjljxeHtGGV50Oh5
Wjeq+ipqGNxSRMFyEsuUBQMFGdCW8nnN2KG+DaxcsxihCBLHYd7W1knmzzIRx19x8hjf7qehTxbg
tfslEHAGE5q7S0ZSeY9lRTuvLSJ77aUp9ZpB1cEXHoJoH5rRjVW4dx7ZVsM91ryLnFYuCOrPYxh+
8TYZE8FLOUBTcH0i3qWK830Zds3KriQ80tlb0Buq2VpR96II+nGDDY6p39fbogHm3ggrWVQa4OzH
tdIQybCqCq6VEDTp9fDIt6EgGwRniND/+4HZ5UgsKNYWo4Liid691o0gWoQtXQxmYJRrpxUWWVpO
oMS3pq1M4PCUdahYDg+fmROIIxm4Fzp4oq2lN+CyXXUdtVwj5LSiImy4owgSHDdNsRko0qxiTFUB
oYInyhE+ecU4AhqiuGLMCPQTBYYW5VrWFVvppyjwtpVbeptyvv4OHThsK/TTaO1n6oR1pz5Gyckp
2c0RuGjXUTIn/6In7t3WRWOhaDMthP1MCtaw5ZutRV+bgqQ7tot8ifhHKNxuPpS+Vq2IkkFt1ron
3S75U9icCszOuHXBOGPFeS5kgG3CCG+F3R08kwM/YqC86bT6Y1m30YZrhpF29Rmwf7Yr4/j9cTvK
ut46jRXh5XasLJpTnIuOzf80VENPSBoacE0alT0+yULIDDgVBV6Ad2a4LWyexzkGluoWMEmBHSCm
dUUB9Tlt/GxFNvikaoBFaZ7vZ6L8Pss+mgPxUYjsnyHsHPyoa/cyThiJ+xL3KXi/RTLJ5qK58lOn
Mvwus0Mm5E7BSw/odgiHueth5JBpSRBuHRwNQHZtudaZFt8ro/ygTOkd9OBOpGdk9cmEuU8qsDQp
ScSwGYqLo47u8F3YzfTJif19bMrj1Dk68GXKuNomabZVq9ln6tEZedl2eI1IESynMsPYJ9qvheYX
X10vGQ8ytrvjo/6ncDAhmSNLFz+JmY9wzyDpSa1N5eDxgclY9+nusUZwW7KCjHbpwaq9YxCEkLOo
MoXm9ly5kdoknoNZAjxOjlLb0jk0bwS1UYQHFE/MME25H6cAX87kNZwwzA/hK1dbd2rIxpvuJg+8
2RC6FvSivmkR9e6j5IJblcHR4wm5On3uPYVFr22KkICMp/qcl0RsWld4O7ton9nzRug36Qv1XIvK
rTMuyAlwb/buK7OY0qMXpAcWY/Wio3z9FDHmOTXTQM5QH8CTQFhayKohX49r7iBrhRKRh/ByagQk
5XXOm+bYJGZccaVyVJykA6CnDzr2nMBWCPTlBj2nPdKQJc2DCsvPMjHyF+nUZzmCbCedMB4b3RuX
dqptpsS2qCzi7IG5Xc4jyXXfi3qXtzRVdGbmL4oKvhQzAbnsXSfdRi20oMq4N47Pmjr11sSQSLRw
a78NhPRWWc7UCAxreAw7Oh0b2qrhCk3LohDuys7AF8KCSo4WPJH50JdmJq5ZS/gyt0LKK5o6vNRW
ZOwraVi7sfOdrZG8NmBf6fFMf3S1zUxqPhfbFCRUCCh4nOqGGqDo/rgCFklLyKsgYyjMCRuFMVXr
uq2zlQy9N0oLDOok5nY7T24tzXJPU0RYpkrm62FtwgBR3qfC7PfxEJAWanTrRKHzvtdyJlk5wQCr
6falCXSu6fTgonFYVBKwhRaKa9+W+r4qv+Vj7t0CgMOD6H7UYV3eocJTDT9Si1zVstxGsDA2llZ0
uCm6pzqIwNvEybhTJKjW1oAKpDd4Fat5Pah1E4jVxDs8HowQmx1IXGK9BaI1JuN4aVQR5j5b2rDb
CJ7pgF8OqSUgMEHnxiOIkFPz5GJNpAMvfUlzOZF2F/ACHJUxn6K2/KTHJFMsXTtxWDzjYGi2QhrJ
8xDMSkI21Ou66INDkeh0TCZcnonOTavRGjgezdg9JT0/HErmIaeb6SQbRmWZo9JwKTDJQgnS8uCJ
4dxbXz1rxhD82iCGEZR+sqJkvOsHwUYN8lmUdbor8+mUmlLessbQrkZNKWdWmZ9Jl341NUf/Ykzt
JneS/JYl1q0Y3WCLj4DA7xSUz1U17MpWApPRimzr4XR8aeUMP56yw2NBEID35S7AVSUFqDXk6cmZ
/35FrRhWiNCmUc/w94lsL4+blY0stq98dTV7Yb4G1rcxADWoyDJ+BEK5j5SFnZTaNC/u20PdqvRY
lOJdlQ0RwxRIY+06S4IcwTbEWb8pXX9YBZptr8uguw9pli1zVx9XmHtJbE/VC7GCaqeVeAZbCxJH
qHfe/vo4WyhYbLAj4BLSk56hEq0dehi5qyHwwl8vla5bfG8K51ymGRuWxH4hf5m9OIwPW7/aKY2V
5K9nZlkfKqlVp+AlMQCm59l4ShyQALot2g2pJfNGRmhjaFyJWU5H+9IrrBvT1kVHfURbpPqFYene
lCaqGYUX3IRpcM8NcChayQWGsA4bfy4iIOhWgdmyEFf55w6pi/u/XWxlqdnPzBUH3GjNWjndlVoL
rTLjk8B1/sRQOt/4IbRwGhmqJytBgvb7Qj+o17bCvNkv4R+phWWG6kDbDa79EK2kS/qA301jZ+I2
F+mLfEUmibR8Tvjzyfe9gDFmZHxIGNzFY4Em3cbnHrQlY0zZHWlrIhLou6eirDa4ht19O7Uh9u1y
nRpxfYrIkBx0YjhIFiMp4sK8uvXb494P1hC7DyFVbC/rvPKDdZ1q31kos5EMrvWAlkIAqUFKLGfG
1sC5rTU1S3UWSxB79TN7U/azCaNtFncCyzyzc2nAheba5bvLVoztuXUZe2c1SCjpNhqhG1rBvQF7
gZbmaq2jN4PDxr/1FGlgRIYSX10ug+js4CtPzORrUnf+VSifMBdA5MqYjT4xZxFktqdimqW3pPY2
EwQYtPVPgeZiIdOpdrJpQ9lipfqaWeXHgiH80aevch9jr/EKqEecfHJdgrN8cXPGEQ7tIfGc6omr
Zu+Vg3MgiodwNWX9i9/rXBSi/jjQNPlScHeLnNRaTqlpLavcrm+hzq0wkVRveRlbgCJco+D15xqP
Iax6B2tND9qNXzdwdonTHa02w5YTFtWGHau6PB4choMXy3/n+QJ3SEZm6RihogCODfJjl9xhd1gY
nccMNJc9J91cdDYE0w4XMZV5UugHS8vMncidddVgxs49aW20MHm2CW+cgwrAINZZKIPF5OOntugo
qyjZWgpbwlAha0PW0LMvSWyk4CQmcx/Qy7uHknGN57t8l2Gnrqmr2qDMLFjmWees7o2ztPthq5hb
laVe7Li2eztpsD6IXFltfl3ceeLVNbEb2R3Ias9s5FXHQ0/8ZjhpGtVxqVHdfToKC1rI78WYvTVF
7z09rlsqVOfSnOptxdE+hxLmfsP0jRxdtEGVk8eOdT42YtLTS+HbG62x3v+9aCJ8T+MQzSIU2BC8
pr7gHVP0s9Wf07wzZ5yovx4D16WGxOh2cvbIjg4ODcPAWZLY0L8JfaJkUlM1izsUDBL4lv01iTv3
UEVfc8e4sq+2rxhG63XIzGkxtiYnBsdlTSYmzOJvXtqCgApuoK8aYKZVzHXadRAQbP2Ia7bEuDzE
SEA8EcKFvjUqOAa2WYtjZjvNxiDvjRkRvcRu9Hsq6h8Trtq9NlU5IsIW+prexa8dC1KUL4lASnJd
eGH0TBVDuRj8QVs2cx8CsiooNa/Yt7obEJKzveVQNukh1uuzHQAGb6h12ydRH2yEpei1JTy8kUNW
YULDaKUYwezDEeSO288dGlQUp512muyi3OBba1cBcgOWwpve1vpWt2WLJ7TddHr7bLkluw/5Iw+a
u8YuZs13odahDbMQlcRYJ5aYNlj8rINcR/oydmOii6IzV3qKCBLBOD25GNq7snwvw+ALv6e3FaI+
Ejjr15OXGOdIp3WHCeslHmv9rZ4chwJdNEY/J3Q5ZP4KSlO8CWQCPtuSn8HvOXsdy9kU5N6p0qZd
mL9MetUc/QH/XhTYx06jJMCP8SE1hFDZQ+u3bHKoLtQyFpZjsDVdulXyCUevNEIOoigJ1ml+faw1
wBvn6FjBdHW7aRvNAEIw5vrS1L34PvSXIbSxzWp2/v1O4C5jp6kBkOnmORhGpMiLPisK7DZgc97c
yRK70gFPE2JGDpLcfqo10W2gyk8bkXpf6ii7ElZZS6vSIYyw7eoCgNh9YVQsrkWxRINu0P8nUhKe
aA6DVfTLmi3ikkC3C38rabcTs+1oIFARM1XfkEOkDKDttA1kznrq92rALFIiraVmt7LSeLpY06hh
8CYEIIoWjaQnNSOjLDy3XXGxlL2WRm3fjNksKQB9FmQAm4Yw4gCKJKSqk1EI2HkTeOvGGiqwTT5Q
Okx5BK3hey5T1yBMrUbuvlyQtp1XQMLqK5pSazzyQwuXsJ/uFWWBEnrysVGfO7N7GU3g5FSWdpRh
6d3aTEGDh1myGGtyfRFQKsY/0QdytwkxRJHC5WYSZEHMWuFTzFcGbUzQsBN2fzI9DIkDeNMlAWCy
22Jx5Wy+13RGPcFDMpY9l9112CNpEkjpEXEQh6MSd12ZQcCSgtnhwA79IO36btsK8Idu6jzNyWch
vGZV9MS60A7xsubCOFERDjEJbyiGaP+eCFQ2e8AjWTpmhCo4g9NT3z5iUtOX4azqC3Om8HmKbLfW
0sA6UajqJ6jhuSNTMON5sImZ4MZ97N282DiU+tOYtfWrQ9EOHRFhssFzWVCckQ+r2kvJKvRtc24r
ZogyNgJIbkPMETshulUBhRZTBkOvAuM9qim4jsWvK8qRNs8pptCmNGrS59FOJ3uxSGrDuJVVDTJO
4WhSRFdZ9x+zrmbwGx0bdr0TUVquaBibeiXftUjqAPd7cIku6ikgdipfF2lv+lvsZh8HagWo1Ahu
vxqwrJ4rgudRdfBWaGV5zObmuGYk0pOn9bYOaFbt/I523r4b93752mnEtmoOiLUQQ7RJ8Hdc4sZ+
1mLnuw4ACw9ht8PlZ3GmSXc9lhKZWhqsdIaWAujcH9duwTooLXHEpyxCoR/S9h6JxthRf/ytlEOC
N6+HaJrFe5C633FOfe+LkCKzKN0XYMBaNombWpJbL6S5NDpnOEsfxmrT0qdQqPLgawwLu9K+ZtPm
//J0ZstxIm3XvSIiGDJJOK2JmktVkizbJ0Tb7maeZ67+W+D3/w+akHuyrIIkcz97r60bcLHK9FuF
hMVJJRrOhFlAM8A9OIMyw6J/Fy2AIT03zn2PQS3UhuAFjJ/UcJUcatsAeIT9+xg5vkdyfLeqDkbH
DE7YGqu0HC4w8/VTbapN0wsX00M+wrIfUw8vB2aXug4OWi1OJthbykUqdRC1pZD+qYtlCDYBDiHg
4Gfpz3ocuoMlwQtbLY0vCgzEvqIF91l3QC5ovqNQZmxagnccPeO22M+WMV5HwU4I6FagpP6PVtVo
p0X9LFGDNw3SPajrNDsSQhnPRqq7GyrEYoicLbCKxaOnzcqHBEada5kv7LQqpFO0zsxtnfWWdRCi
+Fmo3L8Evfb0VYBMTo/ZnVMJlkOgBnvEkOTWmnxe5dRc4hYx1q7MftGpdrT0td7sj/WRcSayhY7C
1/ePnEniWRswHwL22WrEcJj+UQwdmKAlmYNWHFIS9Yyc8yA69cBPtNSaBOICgl3b2+QRbB3WzUaU
fKtp/qPP4+xGnXW01YFvH1iFgFdP0cM084eySvM1UFJZSuDZ4GmYDSdpwJrOqC0pzf6CM502tqIg
kgCSbhMEqr8Vdvt9bEL3Kmrtyx1FRTk1y2BssAJqfnOmnXKkgzeCRJX5p3KBjouIWXjWLhIwoMp1
LxI6nDn+njyAsCDEN/o5hlMwPRDdjB92PWhbWtxHfjLutSY6DBOBxg+FCgVtS1aL9v8lU4ON5wy5
csYaDH2+E3uJ83c71NCqDYTADHbgdcogDmvD8M5vUpGAoYedXkD9PDNSpb+ymM7UvB4sxbE/C9nZ
B9Dl1hNgHQB/cZIy9Mo84k+gQohb6ZawcuBlTlKfCjBQCCcQ1/xRw95MoJKpgNNhuxhqXgHvmMTL
H6Fd1N6MprXDeW15aQttmh7v5hX5N15d6hqk5XsEAxXXdBm/LLxg58iptOM8NMNiUQ6fCaNc6qnm
Z06Kcj0z1TGVqEUw8HY2TbkB8CPv0aR/y7Mi/5yxjIsJwZYZe499r3/WKoPdJkHoJpww39ZdSzrK
wzBG9iUxJ53SnEQn30CgZhYNTgsruSHaNU+cFS75IUVBsuW/J1nnTckzDsRXV9fDPWldWt8WZzH8
kkfZZtre7M3wHtJizxteLnenC9GaoqerP1r0FAntJcwMjEhfmIcgEs8U+NIenwUMKqMGKMOhzbO6
wOKDCOncGDE0k9lishMMHtNT8YiSH30Akz2uu19mHMS72WwbmnPs4gfpVy3vXlLv6dxpT7Yscfen
IPrA5oFGj1OfI5L6LpHk3rayrCUgZXYxipkco5qifXPphM/Kj3b5fRzSVedmoQr3/gw12ok7+nRI
YgwluYNwztMHaSyTdw7j9KnDZO+OcXxMFS1s0meZQSKvVfSemz3iwFgmUNXSBhs7iFy9K7JHClyC
Bnh2RvjY4j1J4yVoUBmPgD6MjV+CKEj76SfC5FUrvmyiCCc/Dt4ETC54DwffITqhxeHPISimn03L
68Iy/iytysA3Q/MGHNO4ETs7937P2SKctBtd9dXGDbsCxcKR39yqN7aMDQ4zU1ovQ1b87DUOmxCs
RtpEs5gpJ5acjo9pL/pcPxStjsCQNDROwiLbwP8aH9kIUYMEM6tijm/Enm+jpKrZ9Qf0eYQaPPR+
uDOSOL7MNao5p91MT8xdWZfTLiuna12Z3Z1A725sfMrm3RCpeI6PxNnil9Y6RCvxcB6SUo+vYSNz
UpDDf72eDK8O23AUpvkp6bD+B8r97eCmeg/COaNgYiSD0m2tPHE/tJmRA/UzxCAElCKL3prf3irI
VX4Q7ZDgTTSXJS5mUxJc9RGhsGW81OjkNgP6BuFGahD/jJw13Z5OokfFSajPOMi6yQ4mGiD0Ih32
FvmkrehoAaTQtzgxox1OWd4LoCAFrUFhAvN0meu3PQivj3I0nLOuuj+TPxnvuQskoUn6F4M+96EJ
Om+0uMyY3tjaJbGC8aqgX9gj3kEDLQriI954JzVxp4yukvt0Vg1gynIgZqqjB1jVE3jYxq9r7aF4
/7Gjps3Nx97+Ayq+vESpfiq7keYDa3qrfOaUxB8T3OVs+lhcEpil1KAkTIjuU9qQnl+mA8OzG2v3
bEFT3FWqMDZ6X6IvGRzqo74zvdRBbpJYzTepyw2iGSr3cOHW4ER6FB96TOiiS+37OtJp2lyji4gh
bguiLfPT6oEzBdtUN1u7yHT+hAo/S8NhO1MZL1ZM4d5fLRzD3n/jIvbOywUjI1XYQ3Fbb675r3OJ
SIyrmda1qolCGyGjaLG8hasCsKmtgMhVhM9OtpkVd2voP8fRpdJ7nuxzg44IrJZRAXFqOvIKDhYM
zotTW7fmbhLMHm2rC9/J0md3t0OhUDNWztGUztlRJeirtLa2JFLrqxIivRQN4i8toAw5QHBWkr4X
3CsUBfA8Fn7legRYSwavQ/+eNA1mGHYpS5ZDTgbyrAmdeJ3wyJy/VVvZEXBSvVvlD22I6aKPy4Cd
eirvk4vFzS5CFB3ekLRqUGrV4i6sGCleo1IgPGmavvcLh7MAB9lGA6RM+gdiAB3yN04hpzaO9Av8
qV+EEsim0yBJfio/ZWGDy2NoXCIb4uxqwFsAeaTH0XWuQ6U1cEub8UQ/lHWgU5yfBTxMNJTQ/qpV
8D7LLjvoSCpeGunsVSd1KMg0DDmdMCGE8IPbmn8ChI1hExBrXPXk2iKAyU5aPwyOosbG0gkSDNZ0
z+yetEMUtMBoqjcHutkJIaM5tiym27Qb3HOTNVdHxPOtksVHiZCSBhUook20jNMzTjYdlZmJ/yxn
o78iiF9SFpPLsCS7Hb2CVp/L+dbQA0OYK3n6lnPJ8UoeMhA1Q2w96Vf4GnBufIVGGJxt7BuM+20W
ESd0N3Vs1gcRUysHCZOGCYXlMmvzl5lTgMBHAyQ269I3Rhct+JxReIK7nzJsWlVgH52EAqBqNF3s
DUVVQBkAuSDcquVnFXzvbA5KqpXxfgRrbNkllD55zpc0KsT7wWPYX5wMNQlKC7GxlF/amMfsCcLi
HlfvBOiT16DG44xQesCYJghhkMA0WY48g4E6nwJtwIN7bCc1H92KAa9szYEqEO5Ft4Nf58qcN9Wy
wbb9oYS1EJkk/wdv0Izwr2TOhIzyG5rItwa/+SEcMZzlVF54pn017FnQg0K4G0jO1Z/ZfQMATvAk
2TvethK9h3dCZd/U8s4IKDXajXM/czukF7G46kyz7zwtr8zDFPIZasJy73ZSf8PlTahtOX5aHUQ1
XfAA1Tg//n5LLiI/vRREnLAFOEV4LaA9UwuIx7rnFcbAvNnnR0Qa6oKnPtqVTlBc9BiHw7oFlBLd
KAPuwrrdbAuDtNqiwVqG3+8Y69jYV2b7RBnarYpTjBBx+WxrOsHs7+sRsBH8We0+Ga6GbycwVRgl
qqD8Gv3xrbDC8G1a6Ng9A0t2cPK9zdl7BMifZkw9vTkgKo+a/gJ7Zd0jY+8uSrGIGc+mE1O7yDY4
KfU6NUGd8ew4QsZM+PaxkxS7XEDPZh2rts6iJdZsEzwr4vUztei6Cfz/Uq9oEmtJmJUdo/MyMKmE
SCA32RO1YhLDSZy8rXmyPtRaqkCC5uB3f9hTQI9YLsw1nL0k4RNuq8ZX3pQ72g27VHWtgTVCYsN9
IN/ZeB0kbRZvQ2F45hLoJF+tdqtNwpZ+dGnyQHsjkjltJe48T9dyXMzLSDXmfr4EejDuphIP1LRs
B2yFL4PWJ56NcrH74Vm0k/A5uvR1+whxRppiYOM9+xNZGRsfPbqq9N+qwvwjG/bqrUO1Q4XUuqF8
sLpnMaggR/T//IUo6JY8YyX0Ly6p203K7MnTIrp18/wtl/6XFlomxSzQ1cEY/vbx6h6Cpdxh0jt0
EZb/rdRL/EpV1SNKE+mfpYW3nPKVweHYIPnxn9NMGZ41I5JRVH7hX4car/Lfs87cjT6JjNRhylau
6PBZJl5ayw5zje6SEMyiDWMIGDBh7B+7UB/fzAJvs5PAwh2f/iz8C0LTCCbT1LaJpsSRqaB+7yKe
xlVzMhNUZ83I3UNcWf+NNKgHKI17B8sFVTyGfaWtSwDbqcrF8dqeZVS8Nybwgs1kjX+63Ag9fDto
Z1PL3CFzlNhEOsBtzh/BZV4u0eL10qryZXDExIAPBxyTT/CVoRM4fX7HnzfsODJxxHC66dAiu5I3
HOanAgXiQuMNhHC+JjGFDLaK5vA9bZS8lf4fgwTfTdQsDuZy6Sww2djfww84tc6xDfwFVZfEG2uJ
Mq4XLVEYsXX9EZQqhDVn01QW5MNxNS5GSKMbIQb3hHOkPli9jvyxrKNRTR9eQvcXkpCD35mcKLjK
5SfoiIHythoDdj7hDxTF03JQyMrwPZRszSMNRKMUd2Kp4bHt8iVjWW8MWn++2agXW7e1wouou5Yu
VAui/FS3Rw1pxCvKAevEKM7drDIvIPx3HGuJtuMUlFma1Iga8mhBu4IdV5k/0xZiUO34x9Eus6PS
eMcEfaW+uukLo90vuOASR44pnq7F+FWvO3CdYT/d0hbn8jSWfF8xh2Re85+NhUMjZySzZwJte70w
PRNjF5Y+CW1nQIAQ+ejJTMu83hRqn0FJPc8V2rdRZgRH3IrRPJzCTc/q+AbQiHboHNfoOOSJN6Kf
g+2cl4UIbh+JAOQSlxLxWdrDrTfkswvS93QOjBMYTApO2qjwYgxzGFvgdBSgLB/6YGwan2nOrOTD
lhQR4HAcCT7Cyq5r8ndlT9neLKzgHAHbt4pTjI63SasPdpmGh5cn8UhSW/i18DJQO61OZPJmnlma
EZVJzSKJYGw6kL4vchI/BLfnJ5Iu7R9UGEIGlReQn8l1lgnY/skN990YD5QcOOras7oTP+fHW6r+
3yHqQMxKd8eYa+TsR3iSncQujgEgbzq5X8/dlav5N9Lu4zlt5D9lQnIRlJj9g+YVerPiCpeV9N9M
NweLmv5DLyBlhXahnYbIfDDtnF7pDFq6yItj0/Eepn5weG8D+d+sKetdYETCSSD+y5JPAM7ttUgG
f1+Y9nvLlCjuF3UpduBi3tLUDveUBTbwolie09D2yfT86zQOT7O+5wZyH37MIRcmnQOm0KbZCS6r
p9e6dZrQufeslZuW2PeHMy9NHdwceMlb6g2crj8g9aiDqdUSK/r0i+HBjKFCY1kZcWwY7ugcF2Lp
OhAGaHvs2TmYSVXctdDxGltDeq/H/BQvQPxkHCOv85ke1nAvdrzD4V5klo5V0J9OTTC/jaYYHzb2
pS2WYOVx9hn3sKuMl4aRDU5lH3LcMDHv/uiqxb3pKvFoXU17RkX3YWXSpIOE6qgwyBX4Kw/CdUnm
OZ8+Q1nV3KrzfJ7DEoHV8Z/kuj6TOTF2lllkO1dL7deQobBwZvoY2U1cQtPaZM3k793Q1++2I0G2
LBYc4P7NnXIO8cmkEO5wxE6U3uc7f3HmcYZPfyC93Wdaf1qN61NbX+TMzjub2giKLM6sv4fR3m6G
q/1BI1t2DTm0X3sasekvAKZAbMC4WmNfgX3pi9O68BtL2Rej7GsXYskZneIeOVBwrcIh7d9PWA6c
1N65/Aw3yXqjNjPZEaazZzLC5obOyIJDue4fsoCsQ8G8+/L37OWwZCTRDD8TOv0uTjQ+09EQD3fA
hsDvAXpOCRs6F7i4enCoVUkaT6M3DbR0OuzhN3E6pybkbT0JR1TwoKl88gkVl6w1j7UYJBsAitGm
jrdwP5OQmGk6osKucwGBaMdsCvBE5KQk0hjBPYXFsqkBkxPlhZayXLDsgfot4UAov6Bq3GrH6ILp
DJvNOJwrDkezcI9DH1YP/AXhgjX7WYlIe+VJ8JFP83AmWd0cNYe1YGjxooEK+sRHTsmUXf0DoyEB
S+HQWi8Qtyna4o/Q9rs4FU4Ga2DcwwyFUmM1vyQ445cgIr51O0AyalbQDbnnzvVyyQOn2vXhXJ4y
mMZswoP3v6/f7LEakFOHe+GvSEry+qgFXf9ukpDdq7RLEPfZWAfaXGxAKwA1lLq2XSc2+hzcrVr3
z7lDUxhu8lPUtkv5RQCWI2Cn3aa9PE9d0h3NYB8GsK0XT1qLQ2w9Vg5F4kURlvTAcoCWLV9BasyP
+aA7+640McqMUFg4q5VfPrv5Q5K0Ffop+9q5P7m1W19dO/oG9sXxNGpesFyAeC8lWkpdde2tXS4W
Nxk1OhCLgvbfiarvgzV1mAr+/yWwLf2SBFZ0UFGJiWfRGeoEFMvfL9dfY5UYNtKK6KYv053AtPAW
GUH9SAizlE4+3e223HGKk8dsaH7agHoSI/pnsGtxMctC36gKXcOyK07+/vBVBgDx/Q7cbMg8uZiT
y98TW9JX+SUr+WOVI6spqw+2mhpXtNkrCi7zlu7i1mI26wDI7OkwFyQ4qOyZCkwamuSsz6q1gFTK
8eikIQRRd6mHr9qECQnIi9jC2RJ16WdqNPlbGsPu7BhJ/C/zwjaB6m73Az+KXdn+kYo1UKW9dYmX
C0kcqMXOIGmar+NjvuizwH6L07SYUUGhWgfMeH8MDXHC9YM9DCgOwWHzo4yRzUNGmxu6DulSKK8R
SLT181/lMd3urEvvGgeX2rBPNhc7aHTjd9JPmzirP9SEHhXqYf42RVnzsARmtgGqtEruZebrb0NT
Gm99TE3PhIG5cUzFFmqM71bgxPf1Ky0BaGgPFsiJ7qYsVT1DP5luwvY9ui94dFFqKCjp8clq8txZ
1EnTk8AbV3OZz5CxvNJDaJD15CKDgfcPbRYbjWWmpLr6PCpDnnhIecka1INxYLpzJNd4gCXiU+p6
zKCDrWWF9S0fms+AA98Uj0RNe2RwDUOIBjnvV6uCG9O9AyUpzVtHgpn+qO535/JcRWbJcN43HtBN
sCz3hnvg/gvvK9nNBOSblsGr77TolKJZvA9pgHqmDbQexDYdASae92bJxDYpxr5Sh3VmLauo1bKl
q+HUdRQj0/XD7lXMdnbONOde+nNwSwC9H/561yiPTU50gQRbXhPlL8XwwsmgPJYk5rbRouNZbvir
tqbZizLc+kmfv7JY77DNNy9CP+EJunq1KaSFl2D0mqSADcqU7OTEjAFK6guP+G7HIyFiF0y32YJV
rXH11cWpMnw+vVjmV2ze3mJmf4+c+Kkpx3lSEiF2603U+rEOZDODzpgnHB+02t+r0KIsdBFBZycc
3nAX80hsZFDXzDi15tXmYXYeMr0ETtY1B0PrAeYsxxOjd9gsCPwGiIzylpZacA0pNnHYbdxUEPB+
GdkisOs6rmYeiWCysasswPdqY8Wx+/k2ZMG/E/EYjtxO9sb8Wdv/falJWv02TeoT6ENbfQ/Kh8AH
tHFNq4Oe4vBEYzGLDCXfCAbvxyXxlVad9d7Um66byE7Ydm9BosfHCzAIl+5nQhLFg/roXIXTO8RD
IWjW2oUZiHHVK1Z4Ml9HpTiV9zCTJxPoc6iJg8Z4l7zJdJOOnTwSpqFHDky/Sui2d8OlWVmNS6Qr
MghhCoctKt1rHw2ljgYOgMIsOc6jrKzxrtJxjn6gscwh2O1i6HXeSLiR/4zzb4UEzHho8dT078Sq
cFJH422uKVGoaKSMmcpeYkwJF7oHA9Z+F8o5REvo97bZXjrOfcQpjXNAGJGhfNV8C9IsuDQNdVg9
TgJRtVPDFHUBMudUibtV2d4cyhFu/nKpS9zNFMwzOx/i3oFfC2QbhHFCh7G/E7JQ5/ViLl8lxkzo
bWTKBNEp+lS9jbO4Ey552nQ3yaA9huH0b4GQCYMhYqrqRnwTC3uBDCNwpiz8HmVSvSlByz2bPJez
dYgEWgQfojGhwC5LZYvhbU9BDLfqojU7NCrmswkkEFFp14bLxi+geTx16AH0KbODVVRqtza25d6a
Ta+SUbmfDPUpqyEjFKu/I0qPdELg5OHO8TVnYjuhnZoMTrUwshAzHgY2N1DGc2xYbtxpmI9t5Bgb
MRn9Vo+sfVGVDfPwRsPEyYlv8Y24fv5J+223l8GsP9ETr4HZApbnUScbOm8ShuzAJBmScAfwr3eF
9jPV6YSj94soAKtanAKcKtRbWhzmsC/fWuBrc5NSPLFsSm1IVWyMt1kh4pMm809dNu0JabI6klaf
LmOF05T85kuG9UsbmPGtXtO8bu0T5ofhBa3tqFnzxSCkgg8RcBMuwcPftYgqZCHbN+IJvxvg3hdE
OUp+Re96Pv24mzRqfvil9jSZj35LAGbx4lF3TpwPeHj9Ni/1Uw8M5oU+ACh3JvHSkd0bMDWxSLTT
AXCRdotmcs28P+ZTltDpSQQNbn1R/x5r8xBqzSmsGhqb6X7YkzxKjoXwX4p1zSBuZYKf/W2N+gaU
sN5BuYxa4nmLnWzV3drYKjxHFhDWZ/k9b+MMO0LHekHIfY8wQsAUD+sxGAre6JI44rr7Xz+1BLL1
LnEb4bXxNL2mkcrh0CXEQWkYwkX/kY4FEc8uecOKTDSuGIMdlQvW0WfJA6zqzz9syWJnG9o3fhTF
Yb135vaiw7VG8qUsw2EIMNb5f3h2y0NrKfylFWLebPfXOdKOFAzNF5S935FFcV0JD3OTJY1/n3oB
tGfAbqKnTXRiM+nxQ4fA5Y/tIWgy59nh8R7ZYw5I0By26b8dqdF870KbtDTemcQtGCX1df0qhuJP
7OPxbiGievQF2OD/P+wpGXC0IcJJw+6wT3BmFB21ZG0dt2/TsgL/dQVhNP8N3xiTZgHqK9AVGneo
/jO6Jt3T8FFv+2EYDiFBXkIu5Q8GC/mJQomCDowkPACdAh1L4HdrdWI660PyS9PSjHAd3Odac4e3
jviqIzgGCdzsmzYRGjXppP8gKbLqDrRzzVRgbZquwDZWZwa1h3ij7AT9K0sJoVYOL/eKgpyOupJK
8WDX9PbRndluyjBtr2riydZGAkcJgywv6Aft2CzmwLqMNTYRsIT1kqEUuUcHCecjkYF5ZyryPcGH
m+J489jnYh5MhHFZ6QtzwAsCD+I9mI3ujbPzZn2B10WCo1LLdILUJflPm1QsMYmbZSTjpsFkshtB
Z9BJd6zTcz6Y+Yvgs9xHqgnPNP2Q+neGBYo+EhkhOOSOUXybKKaoGUFoUXxx7Tg6jtFwccqe8GxS
Qd4E47CdGk6PKVaKrem4rBQKu4IfUpiCLMautM26vR5TULfO4NaLSRk8ecxhmY/+Ww2leLmTa73y
JvkUGk05UDWjpO1fZjg8dIMXQpQnyfFvqEk2Cc+SJj6k1B0Xc0qPBO23404ilYva1D4yP2o+JubS
czEchkxEjM5VfLDYtl0TA8t3qU+Bt9J+m1T/pjuN9AbVEz1DFb9rykVbK7R3p4ya86qe6qYGHhwg
8zYy/u3oVmAoNnzXMPvuLL/elPUyMmGRgGGsKcSZVje9xNDvuiKsZzTsSDg53lxssdiO+mefagSH
cHzotLro/+T9cyBw9MhtO3sMmbTFpmewyesCLiLO2y4bxBnyYUwnOyO3fZkIyGpIZrf1UixwufUr
Q/KwEumnYa7VydfzGTYpFVvLrwxJaeCYYb6JRdde0KTQhmO9f9eaJLp3dfGDiAivtT/0WmIKFfwX
MVsmKzRJwdmTecUIfNAKcgeOw7a9SyUulkbpV7y2zavUGn1j1H+mqgluFNiWt7jEns4BZQOBrX1J
xl1gO6GQ8AiToVwWGIs040SX+aq76rNuPhQjvqlGJWhpNtsVvV18ZbxTKZSVG4KIbPdtGyduhp3/
ul4Qgf/3FSoZQSIeJLHovOveOGKGTvOzwjPNgfyEP+RTlsV49qf0zzqpkWb7J7MycVjns/0ypI1M
G9tQzPwMYfAZAuM5WUNN7HU5SswLabL2k8LrKr/e1RNHVEelv0q7+p5oZnsWC7sjmpKtUfAUHpf4
/sPUWBREiBlnAMC8/LlXJ9h6cWoFSjzge5tb4+5i/gsyM9uni1glWwK5skSg0P3woI+D+nLj+ugL
1GKraMVlkAQg2nqDoZw1cVT9vZgG61AALtn+XTYV3w7IkKB5NAMjxgBYTTvxM3db9Qb363fIgIbm
ZYmRyC7ZB5RAQxCC76lvUnVGlIJ93zJ5zcRr9WTiR/x/K3JP4/xqDQdRSFtIWzKIymzw4wpMol7+
M7vprqlG/6mbztXlvH2IWz0+ZQr4kdvonkywhJEj44WJvOAK0lEMbxnZdNFLOR/zaBgUe4Bb1OAT
wL7rvFoEv/0mDvc2/p9d0JjVe82+bh8w2AXwAI5e1zTIvj2zqL9//EZ0HqYjHBVt+ztjNFCyk7X8
eXiHqoQJwXDVkzR/cqZrpD78zzywDPP1/kTw6nONLkLT1Ti9T93BbnNBNJ295WS71aGkG/OY99Np
zdsCozhOg+sTImXxbabwYqfac1rGQxRUd7gcce/aEPg9CO2wsXOVMCDIIYNhgWIB8QvOWqDk2cLT
bxvlGHBM/bKOu9cp7TJdh87cG4op9XLp6ZflZE4LBDklzppPwpb91XLTG849slj4NzegJ+nxKomr
WkOmePtF4BZT+2Mu0tzjtiG3suRlCC4ZxwyP2HJkHtlg1fHioB7CW1n9Wv8Nh8kXHWkUKuhIiHU9
blP6nbYV39LJYrB07mnA2cEOQgsX6jE52n19qAtoTZspkdYxng3Gy2M6e3n7U2pWck5aM/CqfhSA
VIC8q8EZHr41/u/CzZLvh3bCKgj8QekVWJOU/lHB9mQPp8W9rmnyJFE6XNDl17wAt0UkODOWpf9F
sO9Hn1XVN93EXIYi4UmclSShhE1JTKTuw3LpnHffrLO/yIoWi8Jy1gzx/qu9QQbqsrpCLP0bwDBq
CLFxIkp8aqX8xjfkHFl7kGP5H1zWr5TC92IWibtxl7HqelHLV5yC95bu5GenTRfv1oLoGFi3qjgy
PeQ6+7xe6BzGYGJNL8B1CN5LVhxO3T9D16B6aGycN4YhhkMeE6BbIpNGk26zSW93NaY6rAtMwPvJ
/2jxNV4nt4rPilD631+hah7iUiBjgPT4lH1H6L/A3aqa3DzkBN62fqNbN5261JOwjbNJX9plsN0/
dKORbEi6/BgL6ycDZevL18xqmzQAsTA3/ruORKu8vVdOM51aIwv2Kgfkuv79xH4SYiPAhARkd0wF
Ug1kEjXsD+nSkGXPE7afQbQHLN10OBlusLfz+EdYAssjkcb42Q/cgyHS+8ind+38k6iJp0Vu5ey0
ilmFZM3wIjz3W/RwYuqxT7mFliIqRTYFJ1n+HgMn3Zhh+kstrmufPgzCZ+W9Ef4h4V7dMIv5iGhQ
3a6rQVG13N46/SVdoi2cM1EtQszwWv8p/z/jvo5Lu8mBgCaKBrhEPxOVw7zLkrJTzPP2femg7zH8
vQ0hZW3SIJgSyHl4UsP8ITH8lLEob4lFYbbTRJgSGmU+6GsdnF8zli6o3fI7ObSHPuKQTHp3+tkd
eSKJe1g4G0xrPPUJD4xDFRsFA48UH/DNTgCHlbqeQt2pYd8voXiMH+y3F6keiIRCwWH7YKchCS1o
mWtF9pujewJmK0OKjn9ewt12JyJyk3+s7Rl9gAYg1P1eh5OS6jcKF1hliBTkyYQAr4J94NvfU4SZ
TeOQqia+uFjc7RiGg5E+JO6Qc9A4r9ZG0vBdkK3C0rvjalFtxumn6hr37Axjc2gTyzxqjeGJJptO
yZAZ5LtqeYgl4nAnnZ8V0+Chlc23KePw4DODPpZ+iQN8hkGb9MFJmSUG/yW6hAUtOpQJn0E2+IRU
VZYtUc/uOi/UrdYZwx2w+B7uCGPbtMcz4AbFwPODfYqZG/w1y/itS7F0VTrdIdUYgGpF+S+aLDWM
Og9dHPmJB/TpJ/oRPQwNb00MJwNFMeYNOMR2iEHougWBqGZmc7+QuStq7EYlvjXuF4pdi5m5OdZD
obBEjuoyLZf1l1bCvm8UqMQOOa6TC0EDzlBsPMEkGM+6Ft1eYaeLNQkavQncdxeJhV2cvHaDfKgw
ol3ebN1nwUnP9TkmuW7qw3nWrGfmlPiRLSwX0exQ50SZ7rbhlI/fiv7d9S6SNEOSdEmUl2L9JwiU
pUfA2u5hmuE1eSq36Dnv2fRTDQ8PYgm9TTmfUJ7N+XE0/Ilnij7qaEl948z7GicGWhWeg40+jRfV
ucDz6+4wLTaKOpsdsiZ4L01Ov1RdQ8luSi29+tc4n0YshaoKDtbirV7tci3w12xOsvPqly+VwMC4
oIWFHTEznhYkvH5d7eNjwCYztF2s/mF6WI+SmIrjLRoSmlcrXiR2010SAdxiqhVf9bG+EoTZ2WU5
fdeL+EPXpXUhXbPVSwzIWByxVkDU813mGgbtnPkSNtSaKTu4JWPvziq9KVbGvvXd+un7GcsSobqo
fTF93ZIydV+QgvZRRXgpfFvj9WWjTwf8jz8CPPhEBLig2i6L8rJtzAadjpDoEXRCf2kmOQNL0BU4
6VTtcl+jNPiMDQ2U1hKnF+/wwVzqAa3t6twObELCajLM+98dDVrZ97DTl1QMDYpz7LUBfUqmluzH
hHUb/M4t9f9lxMAUyJ+JLerhR66LjaJH4mJi50CGceAyjdC2VEV6iBXg0iXW8MDHkiCsFj4TIZVS
txmOD62IT7Vk5LlaRfn5vgI6kLwyGe6t4ZibKiN5vW6+XQkfReUwjzlzp5QmTPuiqI2z6AP6aKzc
fArm4dSKVzBOBpNxvUYiiBHKQVJNcKSoMruwzmn77tanMj6VQTARlwztjzF52HNBrs/Mmk9d09vT
yCAUD+rcfDq4hM90zkNddGX9aZT5T6Xz1rNKQOyL/X1rQaS+oLLuraQJrwkV7BZGfWzgDaXVLmYH
QdB8N7oIl1IO1Z7UL/Xl/0feeSzHjmRb9lf6B5Dm0MAUQGjBCIqgmMAoobXG1/cCs+pVZVrZM6th
W09oee9NkhEIwP34OXuvTejpFtwaGFTERXReGBfakPECIY4E07hqg/cqW3xeWkkOcZikJht4dLHr
INykpDYfurHVUZzG90irIV6VRIXao9GtOaYxY2yybW+X+iGjPkMGoRhoP8LyrFQVLlrSmy+Tmu/q
QFEXDbK0oUagy4r9E/QR8UJpBm1SI+u75XEUrQRHQClw+RDn2nEjXEYehutogCGFH9mtfjsMGBjR
EioVdoAi2sYN85bGXNbDxA9dUqQdMshtJMbGO1MmzCYZ+uZqW5jyActGvrPlhL6EFWmugULbG5e1
4vcLry84UrDSCC9DiXprPk7MR38B5DmjGA56q2ZZlTMrbnDhWSUdx3ngNifWc5V3EnY9hrVBhg2h
JeDewAhMqnlk7wf7uWBQfP79EjbiFYICJlEe5IM6RNKmBhGaTLpx6hfaghJz/q0iTq0KdDOaCHQf
RcbGlubFIiuQp/pCP/5cZHV1bpbeL7xu+WzZ+rLAMV2dBwR/NP37s/8261Zx1YTe7djsHQAxb4pv
yWtLQd2gGsl4jDm/HWU7Bn8XFgCd1Fi+U8vrmGmU0hBrbzSIPOJ1XyCD0VbHAxw4SpejRakW/pEf
PSEOITFv7ohWC9TvYCo7SqCswPrCF0CISUyh9Vvt/X5RJTFu67HnwIxUacETVL9DcSPmia2ajL5l
nl3HIb2b9bo4yvzX9fevItP/VAhIxjMR3Mo8aTe/2u4KeNkhkCh1+yzY/Wt0wS2xL20UWOkUP4OK
AD5H6/4cNfHmt3gWC0hjtBFwquB6LAVVIJIiD9WjyWcvj/e26raciz56k5zLsJRfE1X98tvyh3SV
c1fKwakhQcD9TWNLwYHgLKRmkYYTkr/USzuTKnBCJSNVI+OWICsIPRojQjgTxrKt2IQU/x5VQ3xH
uO4mUGv1PhWqeo8JyvYkClJaOaMNlo9eIAEMBxDpC4aIGU6+dEr1aq53SiWSTTtnoycE2ZpDhIWB
G8R+wMI9XFV9css//5TZDwkZm46a4coW9fLHpFSRBvPU/n7DnNvWeZjK0+8/hjKTn0xU73Fa+SAB
Uc/aWYhqvCXXHmTYuJCNSP0Oi1S5m5P2fSzlvkfswODoH//pW1DObDqSv38Zk6O9UaLy1U98ax8X
WAjMMLf3MCFap7ITsZFxEG2qjFJwQi00mEvAvMCONjBVcwx1jgAYhOqWXr82DMlZQqN6bhuzVjht
Uk1IZg1tKBaCBu8//9kX8oveRcDPZ6tinBCm6ZkMA2JABAK635/w+3dBZEzCSRZ8XmYpncemBqBe
BpqBc2tECVsVIKXQZR5///z7JU7LOzXUum0iyo/pF0gXLale2PBRp2n3HeUcrSjYfr93/bCcjLvl
S00ML8SKANlcm25R1p9+TyR6afuHxJ//8eXPU0oqt39ytP8BTP8LCfzz/y9euwKe+38w2P+R1/5/
9t918z39Bdm+fNc/kO3KH0IGSUZ4DfoCtksTvPQ/ke1/IIOE1W6ZBnR2VbXs/0G2a/YfiiFbMjA3
RaaHLAC9N8Uvsp1/IgaH3pwMZNIGC2b/N8j2v2br6Jqp2bj1LVjjpg1x3OT3lP9G7Ua32+r2QI5j
kX9zhomgVsLkbQrQtqntaH30J9n/L2D/f0fE/6ffJ6NG55UvuHDjb1FKYIDkmDYZQL+YINevQdzN
/W1SvkbCAOnL/duH8R+Y5PJfswv+fHeyiaDClglwEtrffptp1JUk41vi4W+JXr0FW6m8iylxfFwt
vfG9SF44aWFLJj4+y4s9FKy1Ie5VEWxMTOb/+8vRfxnof2L0F/g/r0enllaYrOiKbAqTj+4vV1uB
vDVJMT2bwJgfaoF/mfNHbi+6y3VJkp2ff+oNjSWf5aph/8xIN02IQx4uNYTozPRPyfwRSWSgllDD
5Jxx9qTuoxjrQxJdK904I393atu4S2vjAyXRcbbrFYrvQzXa1xC4Fx6BpJ+2cv/YdD+g/JxqrvAO
K26RI1Q3YWLQ4xXfKq42k2NS0X+oKqmBHSBfqFAyg0kUk82tKwFLt3eTylxb1R0ZSUzsS47U914g
ZwicudzWTumQlAYwdoZNE0cMrEFZzcS5QKfCGUuFAwaB9xDynejGPXR+MQsx7lknLepVN2auD5I3
QsyMCpOz3JeB4KHUiXGFZ5pNHaDizotl4iNpu6Ouciz6tQpvCniUU5JQjxauIK0dqTFtWsb0PYRv
PbzrcPLHM9wDyYmIFrKjO6tDHkddS6yIM8k3RCAcyKFLhuiw9daFPuMgQ0HvQ9nk1gL3N+e+xP5i
xIoGinpYdvTqxqzZWa5fUNy17VtksW4nSAX4VSoGoRZZSzekXge2Mo5Uj5Dblc4Vt5JbNMPGEWsl
puFhvZUWMiaevLa48Z795DIwDuozt2XSogTfGtOq6ZYGBf0xYg1J/GM84BIQ6uiYRcq+ccqpJZcV
YAVXj+QiFMLHCCFhujTQUC0ohJ8EG3n4UnqURSA4cdNbqVdYqCgm4sb5KJaXoMEeQs0LA4lgdNiM
gtlw1nde3vWejCI3SgvHhkpFd5oEyJWlSVsF2cvydmfulxmFVQLtIooRWUWtg/TaGaSvFDd+8zZE
R7u/T6orWsbabFw/YZbKESCKQJdWd7gwHAMpa55/9XProAjxTEninIGPbbhTCRoq3nQ+vYUBP/mJ
Nzc3acbmQPgh4JFYrkgJ+5b52I3WbeOHZuA24XNpwgy7Gh8nnWAp0tEZ2G5atW6sar//NtSZu/x/
y+cQtbrTV5GjdvdNfifxRBr+PbeED1mws30sbhpiNRJ7Azr0WYXwQV4vt4lJCJDgOG/qBDbSMsqj
GnUpQZnjZq7wEpXMBxOd+Ti6JzxwCGIdYd8v71COv0M+5UbjMod4cyHBi4ajpEi3eAk2iu62KeK8
gqx6nlnGfsQrp54OzaoBWTC1YPNjHoX4u+YmzpCZDvh0eZdR/y0XG736GvlgBV0QahXP57bhUsJU
YKIbEOnMxYRtsciTG8J0CrM8t0myEox9Yi09Vrp1Y0VbGeX8VErjp1x3TgEqtK3HJ7XQvCzRTm2g
McDnRyvKRo9AZglXtmGvIH7XA9IEJE5hqidIvCl58GvzdSh1J+T2LHUsgsp3AlwuSd9Awrl1CdpA
pWyubjLivxK8aFp8FSWtZq5oSxSqvFr2pnG8mtqDzMdV4AUPA17U8K20LcH12QImcCMMvCQVrULa
kECf4rgAtVRvaJc6TFywoVCBBpnL6+uM5BoG1k5UIMdYQnrqw4zbqzfwmnCFmIzzrHAvmhGia/hU
1TfceMfUYOgTfP6OsNgti4rjlPWR14wve+M8dyxDLHh+CbGmwbBARNMLzGVUg6yA/PDlQeU5ECqx
6YLZPC9p2Z3kgtVOIQ1JXnT+LGBYOmvuYSlGSIrCVeap1h3a2l5afZnM0f3xVo03FKFOxFqqZN8T
D6Bp7mJerIauvxEK8j4aPGFGbCsrGI6vatyFyLdSKVgVsKkYN+JRZwVcDmGMWzuwhco0IyJkJlXd
VV2wtrGbDeNC5AqZmBIFs7Zydd1EwbpOx0+0OQNWApxTRgqQAc8shIMX25C8LghcE6PCaPKhQGGN
pmyr5DrtF9bf7Bt/+mbwuYP5UFQuTGbeFxzZO+UeVcRyk6LVcDjIYohD2xesljUI0xbUNkRCgbFT
hnSbI/nHO++NugxRKkMuiuqJTy5hDTP2XcGaqHPDA8soyOZqo3o3auNWSOpqRG3DCPa11OHUtPCH
llQ8LVlu7eDPJMP/qko+RZ910RQ/7d/Div4ScvT/XKyR9r/GGh2/2yL/W6rR8h1/lsiK9YeiKZRG
smFaGhyefxbIivjDNkxBpBH6VFVVxL8ijXTrD2Ep5BZxQ9mC5+NfkUa6/gc/w9JNHUexQe0s/zf1
saouL+zfAnmWqlEh+oopDVFBKi/lbyWywBGA+xhnZq/NpGN35aGW0thplBQcPhLVg9ATrF48F1NW
7mf7OqmpF1pM0ICZ15Prt7u6I3+uvCf3m8pTX+l5UjGGsiTX4HhrFY3ixA142AY+MYiF0AnmzljJ
HU58FLQdyygRhLQpszK70BOQb2SY3Gm0/2Y5eZmZaXka1NZ10nEUR6AO0yPUUwB4nWgOU6c+A32g
GRaEzAUYY1Eh0v1B+MesNgR/PpHTcahi9WQm0oM8Gs+pQiZmv6QdKokuM1ol0CMh9FLjLGkQutCJ
8JRTflgGAQxjoa2B6ryYhtQAB8cAY4hu1cLoatQcnbT9kUfF+5y9z8zx4LystaZAMc4zhpq9lfon
oy532uKRU0JVdwc4AiJIr5GmQlUDIeen35n8OqZq7JYM57D86ShvAUQjUH0n/PtglB8hKKhO8s+D
ktIlh14RzjtSBrymfDbNcK0I0KUQgBLTWleausnpPVnytAHY4KozxnP6xEFEbTHQZGvkMXPqAA15
AZqejGM58ze28UT+2riqmINhr+BA3xibeKGd+/1HE9AkJLbaqNciYmeoevzMIrsxJbyB34/Fd2QW
l+Ui1+QwGPb00TL0aMNp3/nlOpfHAymAq4S1VjZDR1KND6T8oK1TbPwHs9dOaPm8wQwooUbzGSHy
TlcFa9i47cmYbTVlV5vqtSezUgphBViaTxCkuZG46zSqMGYA0Olpy8EVTPmfrA6tvZVTGGH5ria0
N+as3yfPNkB5mVKKqimML+D+3MDKDkGke73CD0oNaRclNDoz+jOY4QrtBQwzBrhhJmFqIqPLTCiq
8nc6OGsz1EfiY+xHI62VQ6lK62zx7kdtT9VfE52gaU/QqmFAsUKfswSLTdN+CntpjUwsx++Y3aGm
9181xr/g0DbjI8QLr6gAn+Hh9qSSeqUHKL42IK3oovvxJcRvCQ1WBEM0TItx1TYKO2oK6CwErNsy
W6Q7Dbo8mPFhh9hXUpG8hOOY0NrS3hpd1lcSvneePXHsxyrcaDit3QgtK61ZynSWuANzNUxOm37J
mgRNXWR7AegZvYzX0ybt+ndVf8t9r/c/ombYFFka7/rQjM5Cz46ZgEw82CgiIX9P17yy653I23LV
dFXq+alvc6CDDTAqJ9EkggseYqLD2HI20+hJaJn2mAWt9tAVkD0RNNlhf11a24JMU4LKnYHccvne
XqWkAoUV35+8zUTSGMUhlJLD2EH+CpPHDgl32IeffXEfCiS7dNMm6h/8/igFtprJiNF3seE5iTw+
BRyP+SaHhCuMrj+QqBBEpEjdR9wS08ron3TU0zoFP/NPLAilWw/KueWzN2TVmTFkKS+DbJOcspfN
VRtMm8wUD30/einWWV1/90nF7FLA/slnThivReFadgonjWLlo322rMyRiJeNM2YMhn/pm5NRDqu6
iDYWKcQJE1Yio9wueyAwYsMobtPDm0lx0DbKdcxfDNrodfqmFlsFm4Q5V5i9HltSK1ANptwwsSB9
WVzm/NpcsUCj+wz3QG3RJBN40yNJxX1wVnV53UccRWVpY4Zik8kSCZW1W6h3thq6klqDd34NRxDR
/nTlY+LokHgVry8KVHCp6nZmlBeVsEqtSyFKXK9uSKitjmrXCYOsYSnIn/NqfCwMUn3McQ0pYF0T
YYJHaV3KkrvQ6FRpIjnK1m5TnK5FbiHUpjccA2n0V34w3cjb6quR1IKfRuv3EsqRuWncKi53Yxuu
lvzJJn8pajTl9XNknCzcejH/MK5zKV7XjOGnKD1bxMOOFhbtKbgFQ3RJRnuXNquOFkPyWVkrHCAM
1PQNSUMoMTgxzDQEBixjkc2gCjYNMo3IqhgRa/DTIZGBdkVgAAsgIcGjXI7/2fNgRQ/tFAPaToEV
Ba9Z906OBsEPAFQNQv8s1F0YmmiXEgX2UgXFpiffhsHpSshvQfiDXoBklZ+mjT8rOgPTSHJAdMWO
8FjnLIdQpHtbuTKyBL1XoL9nOMh2plP6sZ40Q+YkJgHIrCZa9gOQmh1Ah6RAaA5nmrPSNKcw7jwL
7VbVFNcYiCcDdELPua02ejuB11Lsn1hPX3//Dq+9wAO17uBvGETmaOd6jiInFhgVxcTEvvIV5ria
FbuVSvmc4H3Hu8mVCm/9TGi7XW+nGtJMnVjAJlpXBMmDnvobKUvOwwD2w3jz5VecNWMGLTj/aFsw
fOzB81yDey5QSX000S0HmzYPUPMVVlLaaKwdjFOWeFWJEWQLUMF0i/ihzzvPTkhsUu4zY/Cy9GbE
LzxBK4PmQdLOJ1GuoxElcbgLBmJF5OIjIetWz9t1ZhPXRVp9H938NjsCg19hxuUYi9LY8o+9/moi
M804AHcRGH1aBBaRLTYPUI6wteGmDzml0KXJIObJabKdzGxfjypYdDw+ARtpsp1VpJ9tuc6M9k5M
mmdO48oyDo30tQyhQg7qrf6ds+QV8MythphsziZqPb1AFXFqulVaXrg2z7Q8rC0aVEEG9iiovUJU
UPlIZ4+LDXK/LarGdVEklGw6LioMh0p/4sgXsZQmH74KcbF/1RE/5LNZucXYbIOekfYoHyta+QUe
mmBepL39MS6Qbmf2D5Ktre8/xDnaToQKRqbcnzAEkFqlGXQW7fdwGh5R+nwMoHyJMqkQMk4uBAWb
sCUbJe6iA88fUosbNSvoWs05+Mwsg5O6aykkAV2FLkA/loG+u6hh1DM6ZokGe+eaaBphnwV7s+oT
J/+a4/ELaGWw1nv9iazvi29zLOIOsMS0hWuoQrHR92k/HjuyZdGw9PdBNLtyswknGr5BcITZFZFt
br1IJU07yzK2tTV7hAAQfCVxU0QPnYW7NQinr7Rv8Ft1SzVn0U6xn0j7uaN63OJhvDdFeNRS+2E5
aPcjmkV7WCeIqrFrVnN/rsShVZWfQLW+2nzJ1GXmXk97YHdf4O6JUUvcsmpYPxaTY3eApIcr23ph
DkOJQysI2vZZL42VERac0v2CFuOnHjNFztO1OS2Z5NWzkXx1vbpVK8Nt4ecpDY1GUoO0nh/QjauO
BLcCogoeCtERXo8RpgPKHWJImj6QMTpTSH5OufFz7G10Qcp+XHd0kOmjI47P2MppjclAPGUhPCvT
X337p7CLYwkRc0iiVSvOOtP4DPNaHHJvIH4N8vogzbeIRMGBv5oNlizwACzSPAU0UwFY2RzjgZyc
BlC/GW/AgqRKdnwVW15VPCi2ui2k8WYu80PTXyMDm4TlmAX07yE+oalzu1sVkglDdzIFJDCQszUN
27nCzCzeqthYaXbJbfOo4PkYq3TnyxMss2mb8jFmFufwvmcnTh8N1g1kZk6kvxe59hAWu1ljdQXe
4lF70xRBVDKTaGk+YKNYNKwJzThoX7ZC0DaYLzgCK4T/KDuKx0iL93wjXRzjavD4E69erwmYo7Wj
IU5vvYqs70GXPD/45DHdkxCDmCjGjoEBkTI+VNurzaAw8zXQY6W+q7LyToG/7MZK8p0Mqhdb4/3S
ig4GNpMoK2mrUcXoE42keEkhknqDItNMrl009evISCKo4CyXMUkje7SrL32pvVpmiGlZBgM2qQ8x
GmHf14FlLC2oKn2yUAsxO3fmT5JCEefcBXCRSGomskFZa22EL05ywhZvnH9Taf0U1NZF+GWMM72n
bily7BHECuTL5dqxdLqTetU1IvBIfQqlrzx5ak06TGXozlWMDDHcCWuncfMm7F7MkkJHBO9ti1zE
19iTZKanW6W6T8Z926urxZnnlyZNVwxz2jGmJ63kB7uwzkZ1YaK7k6aJoqt0o7m4H1A0kLvhJi2l
S7IbyStMRMdUu1wVOU8KnGzg1Uh0sQwBofZnpDGoUcki6Ub/qWLQPtt4WWKsrBxxFQAvMADvzIbG
aS9g27cncoTaOzZLNpYl5jsCKhuAdXlujaX4xY7TvidAahswsBCH7wNdPurlTxCXyNr2PdUGtGm3
ZbHo85/0febZjHiDc/w4+oRw6OEmjDOnhD+A+/3clD5OYo/AL4/VHCxYu5XprGZABpoA5Jkhkf1D
Kx7o3aDCSLtFRrRNzGeZw1Lqf2Q2QwqEOnKhPwnBrUryiFL8xGmyJhTkTG8Plee9bL2TM4KcgKxG
9bPOkXLZ77l8mHzymWiHU/evZ6Daj5bQCR2EsxHvRJRw3rx0/a2kBtP1IyQOxhcLD/alp3U8k13a
xYkzt1xVmmCdhv0NIktm4OUkz6Z97CmbRQxWjKWikR4QarvDwDm4VNYyyntCRuh82Y5In2fiP4bI
8mRiTILxFc8Px9O7ic8nNvErCXOj+fYaEYmLhIrTEn27kHwJkW1q65QJ+6OfKV1S05vyeYXHPaa8
UqZTiTfYkB/1qXE19dTlH4Cm2M+/VNKQpZzIumYbkchnRtFuyof1bKYrHYlmzTzLalUnKe6joTtg
N8Qvtp91m1Dl1ptAlPNguMb8blLCKymdxzHbGBRYZp6RujhSSZZu23LqaZojYGfHYtmZjlZ+r2Pi
SuieGljhNftS1yYWYvUs6xTVUnq2Q/u1Exn0noQtmXg3yg488UxJlLMyETTBZ9gV3Q5tyVpNb4r2
U6fzacIfpSb1ZhEiRVpBsRUd+27w3aEjmp0Y0J1i13dxEebruvI9tZc+9Di6kkmxGX1WyUFaQjs0
GqcSGososx5gKnpKKIFy7p/NxeNScQVTkyUjniFLl8MV3xYxWrGteEMr3U0gQ4SoPjPzKcoR67WW
vSrk7JoE/sGS0F+34slPJw+mPEEbxWrssr2v/qCjdChM143ZXWMbSyEFpx1ba8I/NqQ/bwdE6HBr
70YD9AyhcFaLWpS2sNVsAtrf+mCztUjbCkMabQMk/LODRnmDKewYTPmVfpkzfWJ8nOm7qJyuGtzv
tNEljdW5kD8tgjSyBB0uEO8+R1LLFXLs8XVgbVUCyys4I9jAqMCOz/MnJJ7VrGd7DZGor76P3BuC
61bmh5ZjfeCPXgkUuVbVM8LAZ9YEp552Smh9I2bcDPB1daLbqrhfw93x5r5zyyY7hIS1jAsFDcts
y+zGIfKVHJmzP72glwZ9Mutenr8gjODMUzolINleI/QKTmSgTo9zZu1CFRyEn3qW/phaS8aagsnv
1da+sc5MAoL9lGwbXb82EDNHEa/1rvFyUD1BzwZUMG6oLibdICw7aBoJZ5K6d1huOLSRq/ZTu0JR
Lcy7jniHYYXcCug75IWehv89GoBqL5HOnCB5dVqRrYfBThkl9LOLyRVK1E9emIGXtpVB1JOBpFTu
9hNZ7odTxAL3Aw4JX/Pu0aieYvNLTNWqGCg7a4bNjmTQ4C84uIbKnO1CW94agYTEWU2OoVV9q9o3
wizUlsnR5Kg9tuO6UOHgBz6nB879BrMLCMsX8O8uQA5+2/AWFdJNjy12hoCVXUX8RWUnVE78m27Y
IenajxXdrKpcG8Ou7M9UGCsxknWRTRupAzSMoC0y+p8QpqGAdt0p+6IWXqBSg9EMHbJLVGkPlZpw
8R5mNDuy8RXDhK/1rW6jTLawRGv6yupfDcTqmLnZdVGtRvfGghPQ2OSZHQUBM/bJKM4dzEGDY5Ru
iEdfIZgloKRNbettqhhJ+XvRE81hEs0Qz18c1x0Q7p4Y7EeyBKtGMAL3jI6cmWfyGpiN/Rh5c8x8
xKThmiP2704pqvhZQv0VaRw4GdXpucoOTAWhfyhRFzNkXhN6Bu6GitGkShRY6ggn6jSYnYTXmKQx
Q/lnRrWhtj+P9dKQ5Yhmzi8+p+eeMl8mQgbPwo7jkFM090qKjF9Z9fwg7oZLWwKyK8Lx3U6qp0DC
TEMsBpuUZD7VDPvVuHmvk+G7Ylal1pzM5tSlg63mANqyNwUhlLShPUiYX+BmGnFWsgZMb1vxrPgN
rQwpw1AFg0CfDsx90Q5qHm1YhvD1c17aJw2KOt8OJDC5DRwZhbIljW1r2McpXmygtKjb05jpyDcV
ClrIkHUBgiC6av5DpsOaogYO2+dkRbws5XRlMoLM0lM93BCra80XzNxzX+NvZO/kTJtplMsmWLJR
e8iGk8JhSw39gxJVPcCtCouq0ruTj7TVLkOALn24tZYcMNFxGNQvWFkPCrMuLV0AcvoH89+DhKWR
fM3Hfky/Sjo+klJAn8VXGQWrBpDhZzcwK6d7ZgNzQq/sUH0p+Q695arv4aBnDW5s2+uUCTKjRZFX
U24D7lQoYA2Vs2zpxvFVS26NKJy0Dz2luhWhufXz6nEsBp6Nz0x/w3pPBtMrl+PQonXNb7r2lIB1
LmKNxsN7VlSrCepkh5pRCfFoQKdSQuApCA4Ge9xxSvaH7gGvhpcWS76I5aZJZTipAuButs+Wb7Jy
vsUGDnzhWPUnYcCbeE5ZwtuNKVffOoo6Ld1PQBYHRosGKaENgQG6HIGL5TXb903drSJpeFL7jYQU
QqSB11KcMMouAwNwBCcryK1T/BYkt5kzR6i/2Yzceku++lKPsPU7Z6AQp/M6JcWkC5iIWCG5z+Ir
GqKd0Xb1rrPrcZXL+CwTwwJVkDi4WDeNDKCwS27wq/ZTqZyo0S+NsjAJA3NAmctjr5YYiXL23kGZ
pXWaSvWiODUcHEPyOk+IvZhgIveyeopxasH3fAxnphAcxHn6Mu2uJtark/JT0TcdzTyYZp0UlLvY
sJ9l8PnnKGZliPKXzIxubTcTLx/kFy0hMCYKaWRM74QbINHL92yaE5YyFngrjp7NVtbQAEDBRg21
y1JTZTcbNypyXCb8LQJ6foFV/ZaTQNxZpthQLxIgYZC662jaDWGzT+uCbI1ok0cIe2iIiLpY4Zsl
LyDoN8ytNnj19hqhE5kIwAbDvMhlrzFVDqDmM93Wpp4NGBzDeux8okIuiRmT1CjtsKZi48hT2hX1
/FxmRHyGUnj4/UI31Sf/Qhxj375GKrYDTTnqdZ1sA8Dt8Iw2EsVoYKZr2Z9Pio9csQ/Xlfo5sOMz
piG/sS43XRjrSCIArRnlI8LlqN6XQIZQmlkfUIcI9Bsbh3OIS3LBT9zz5JPpmuUvdSR9JsSxlAG1
Dx1chZbokuPN2Dlj945H+MTWs7WAu5WeEnBCQhCUpZfbNJ3aZttZ+lqsyEN0oKfpVUdFysYK7hlu
fN2xzaF6DQ2WoHJ0G384cuGPU1KtougFXiQGBt0lIIowUWUVdfmqovmscLdUosPNPjp9n3iI8sc0
FJ4uoYVVUrT30cQDQYvnBOQcWgTmRVJWPK3ksKwm2LenMTzoRr7IOPqrXElfvsRwu+zYv6TQ94+w
uVZI1e2jr4kUFtRw1xIBs/XlFjlAcsomWX6clqd4NPIt7X6m4foJxlb9iI2dVlJCV1juGbxhx9Ml
kA9DL9GjHm1aXIbPk4GBeytl6n0cNMVayYwt5lks6SYvgISbcI1cXfdx4SbQzvWarX4ywOKgx0/M
T1VmODYyYTonu7bytb3l5xAUsXqRkzUixaoq/46MrdexqYlBwjegwg7uBrApv19EweMuVRz6RNre
i0jYB+K9nrTkCSJl+iAIuSjmEpu+fkX8Gm9QKluGfAJF3W9Dq/9pUcA7LWrzTEbP0XSmfrIqfGUD
QaStxOdT2XSMAOyzUdp9vSeTU1m3EaOKicFGXyX7AafgqrEImxGzv0+KsndNMyMxplUnnJmdh7mH
1V7BupH77AIEeIyupnEJE+720Syf9NCsdqQdHBM18I+KqvD0mqRejaAfeWm3rl1yk2J9VaqWiplH
PsI4hLOX5TzWKafaznB0iwJ8MGZrFSR1hZ96pneAfdqZKkA5cw/5uMi6XWqO6dpWf4i/VYivRDnh
YyKAble8LyqoOMtLr5+hulmYUvSstfY+tIIdgKFP2+aGhBKBcBDGMe0bzNNWqb1kNlgXrDmhB1LL
aQeN8mqgyyCzhxjUSgnVZtF382UupGIX0jz3rdFcmYO4pYUKXUZWBIYuRtO5xn3dhwrWh5BPTrFR
1jPVM4e03BnLU1qvBkNDJB+j8EhVs6DjbNsbfM4nCSh0nM/z4aIucChEMBt8AsopCqIPY7TVtV+p
X73yzkdh3xJrXIbSv8KU/KgFX2kg2Q/kpAwtHsMOpXXupy+9qpxMnR0gKW+EIWmwUuNX+FNIXjqj
8RSNFwRjt+Vy8kKrSL1ENeusFmvJNrGYXHYLnyM5hRw9M5oYdmzeogy3odQeepM5l6HK/cZu0ltX
8H2+kAa3IeNr1ZB1PsbFvNV8mbSa8KtosgcqfYIbAmqwwPQvgR2+Q4OWOA2hQrEkGnMVd2Gl+RMH
6fAuzRmc2aFywQBDrOaIOABGz1Ovdj25Z/qJSYt/aW3EnnXcpVt1wU6HoGFpFKKSgZR78YMG25td
vUfYEt4aNK0lBvpVBX1u2yrSi2oSUlTolJSGkhzHuHvGhr1Wup7SvQl56mbjgdzbSxqWuPjyeY2V
jPQSGGCOGTB8r9GhAfQwcHh1Jn0wYRvMfaYfX57XGnf+Li1nT2Dc3Yad+qMxIqcSHS6BKhXrsilZ
O4uW4wztiN8vIEwEF7yih6tdBnnUDu3S6+yi/FMKmp/RGUL1AQh0iO7S30M1pSzdcXYIt2o4cnT3
9x37Nt0J8vSMHorfbI44fQr1Okj0qnz0iPz09tQbHmRua2XhY3KbLL+A0GzcKDaLI1D4TPZNl+WQ
Y2w3uZmEbi4uQBJICZHULX4n38hR3g31KuX9JAvoX82kfUEi05ZIhO9mHjENV3l1b2HOAS0j7WcR
cK8hY10Lg2SLMGlvau1jlcqTfS1SnjNiqiRmrYllcijTi8FDmDgOeFrmRfiaazr7bZQFG4tUG6fv
gOTmkce7ijeFND8Ven+nFuS8aSUZc5kkDn0NoCTJ16xtwWoYSaCV22zfd9U2rotXX4C7963gg8kS
NQcyKSUjynbSzDU6kff/y92ZNDeOrFf0F+EFgASQwJbzTIkiVZI2CE2FITHPwK/3QfstHHZ44a03
iuiuVpdEgpnfcO+5ABZ9AjPKJx+/7lpvQxZqwK7AfeaUSzTSpmCGniiE4A47KoFIB/y48jbcIc3W
r4kYTFG0xWnLC03Q57qqUZeqhJhMEURvGpzBVGkVvnn3z8CoaaFMN9+13GSp3/pXA5WKyRgCEZd8
Cfr6FljkBadFvw8ID5+kyOgfFJKM3nE2+OyJSEwhySdVTLc4qDlbQzd2RDDyOkcXl2gTPcSuH0W1
vXYqd/7sCuPuCH9d+b25JzWwxJUhXzQt+4Vo195yiSNHjoqXhGAoXhfpbVIQxy9m5Bs3YpVgrDSs
B3qzdXaIp7deZtvHovT2vILadvRJXuCeuYRu/dBit9llFfmGNBRih7Mt3Q2ctsh1UvsgJwcYchai
u82k9zwTOkubGTojB+NeoYqiD1TX0tSttQYf540AyTj3h3fTq8E0zlrursi//c4P3qc4/dDyH9nh
sx6ncgS5NhOHWt5BFdmvTVfJuxg5s/0uRFgz/2NB5Cz9J0wMzYpeoP9ywoC8W9dRDcLCsDVGYqzn
oES88WmqttVYuJtYd7J7VPpbimJWaAa5145S/OozW9vQy/KpAD+wxPtnE31nlFBTmlUkuWdz04rO
4YzQsVNs774W9ktnzEpmLww0PC00SEvgi5y/RE6q7d3wYs9QM73KmBEbHWNBPxQbI9W/UvzkYtFn
7FxqVgCj216sCa+xsvwDl0r0JGNzNzB3PgQpJwHuWpL6SsM+xmHQHVHoKOoPmZ0nNygJf+ELPNpu
KWI92vkxt20bj9rFqaPm3of+JrS88d5byGts51MAiL/7BJBTHmpyHRUih59fQWUzgCEbTm4cUCRA
zR6JC+jtajoCgHnqDE1ebNYm0KL8xDQPRcVYYKxoHaMpUc9GCBmtyX40r6zOSsUHKPP5izQVaa1a
fAKwFSKZwbvTkvNh0d1tRaneJ8Zr/mimTwTNI9eaIZNTMfzFS1isgoSkcz/KstcpyPOVCogelawJ
9oRWt2tQY6KbmPTJwFqbxVDds9J6J4WQxi2zs33DNfJqO3FI6lxj7B38YPoc5Q4eH/BRw3TIdbIb
USXZjaXsMiGKaFlZerWL7UHeXe6ljWjtbk16M8NHv0/2eeSA2TfdgNi+ksRdQiKIAsRcxRR2kxdF
vRZ4dQ+lSP5OM7k/bndA07MraJNplUIkjIZx3JAlWh4o1+Bu9+ZmqLl9AKywasu78AK7K7w4nfgg
r2pcAxKmv9H8KyRU7WrMX9Qw5xgb1iOmNVhC+h2e6nDmw5OwSF1Y/MGb0j/98+9difmy6Oxpk42t
ti5qJRcVuTjID+BOYTvwXFp8Oz2jWjvyXgzPcA2HZ9sN8Alr1utUxx6cCy4RVXjNGUJ4ey4MMMyL
NI22sVMvA08bdwB2mIbMxA6dnCtWAG26Nl1sHsu4FQnwxdHZYGQWF88ZBTNi39w4mc7evhnN10r4
HvMxIjSKWD6JUfuVLEy5tTDI2YNHbkNFyqPo8o+REXTZVvSG8XgKB685GWVGP8DUkyVbmhOSNCVr
R6/bixHxB10S/GHDUG96c9TeG7rZeKovhUUp2/c1KrYK2XuEPoBUoBZOr5YehjoO7m1lIyIabdZ7
U3LWCepboDxgqDbaMcQoVDlube6NgjLbaQsf8Z14awYcF7nLnCtIlUOFlPWnzGanUYggJZQ4ryUR
wOV0KUW7ay1CBfBT9te6iMwlurfoOsOVVSFhgE7p9BlO+ZqD2/8zYTfeoh6zlnx+vyDVUqb1+VX5
MF0kFn2HG2gXC69ipWvLp384QB4wBUK7NQZ8sc3eGqXePRCD/WImEL4N8rINazrauLbuWWwRhLxC
9aaf7bqhKkMgRq5mR+/bJhQTuTUy0BsCmm4gRGjROrUJYwfIuNmUT0TfkcvtQ5UtCO1acY7lB9hK
xVs1N2XebDFHSDml0fgkFVMM/pf9dnBHcU4jAKTwiA6RXhnbSlQfoS/EWWNDt1YS6b3pxemD8K7q
mZL8HkRacWzQrZEQXsJiyqpkO6AhW/gtY+vR969RT0maMDMZSP5cOyJOd4QPvigwOoFbxVu7dWe0
gLLeIhAtccYMfrQr8IuE9q10069YiHY/skzkW+D159p3rq4zoN7HWowyIFK7ZhhRXis72iRlTOO4
dsxpPLudBe9O7zZh4/5WiXVL7SbelFOC0tvpVlB62ZAO9lMPXSktaF2dQBbrvvPdldCIma9IZlg0
KCgWDffiJuwBFgx99OAbcfbo1yKKrKtlyD+mn38SB/ceteMrLxD5JeQgMI4Xp9FFGBLkrMbypL+Q
GuE9nBSbhNdbHyPRVVw5XJpDxrQ8SFvv2YGFMwlNrtqcnGurLvj9jWJvutOJeiTcdC4eb7vr3s28
nQ6VDx68Sux7KDvgKGlvsCpzzjE/oxZPpDeFmb1FYs/i1Ti50HtWQ6mjJatJS/EUw4uU0wDAIhT5
nvajyCzS0isdXZupp0fbxrxKLAG3WRjSK0Aa3dQC5DmcyGZbUM+SrLgEa8p+BRAqvXu1LBTc1UEV
/dbUnf2Y9pfa7Xr+tav2yv/jeY2Nz+ETKe1rLQGfFK17GnW4p16Luynk5qwAbpSGLihQyT2J60Os
0Oi0wxACmX/JgzzFSoXwQDbyjAQJmNaUN/vCBTlRtKA6BwEIkSGioB5Hi4f7iFF5gGd6rZqTm3JW
uP4fSXu61KUSm3FOy6jZx68TqBmLtIMdqwqax84lJTXIyY8yfWa+dlnCAQPwTuguu31/7yIxOyMa
vsGxNJhm0qy34FXXcSiJJnOtWQpCyB7xESgJw3tV+fl5QC7A/ii116beoygDFIHmBQ1nIUmntRMe
59GIrlDV42vrkszKG2AxGl4MLZGevYYDJfembB+xryQt1TvZ1ngpJtddD5M8sqfY2PzAp8j4HHOR
XVShfba6A/BllMFC62WFT2h0N0kYfQ1Jox/SZtwn0Pf+Qdo22Un2JOyB72VyoQfFNtezFC5qdxAw
9IaUJErsxSuj3OcDyDEHFag7fOSzbEaVxq8Zmza6I2aYMVHO6yZqTP7Dq04OzVHz2SK4Ikkxk3T5
SZI5PyfcxmstGSqy+qqT3nnXNNd/Gx17mD/ODigGlmQ9XBILLZ8dcjEij7NXFR4tJtjW1mGQs2is
lmlR6D5il3PQd5BbdYxEVNNkrH8HsXYjgxfNGLUXRk+L2CPO086sBI1APmsOVH1kftagA2aa22tk
jmDAKRsmI5aM2KxNeLXSrI13dUY9Ss9+qeupZNvjrHwdJPdEG73TcNtvSqd+VMP4t2zb4eSF1nDS
5i+eCSK6ABZeBhOtCOX9pohHcKiWIBLdAM6fkIKWOuIOr+hEuVxtrZF+pk8Lrs+2NC+TYRKCpd4s
0hEjywf3o6sbOwPIct04Xqu+YU5Atu02rz2iuAQUFFBpXZyZ58Aojn7g1ztwLQEPHkyNwhr/Wokm
nye7dJ+1HKyd0RMv0WnDpcVMs+8lSRnsuKw1OayAsVoHfmtv7GWhLweGmwdxD6AHnmwwW8RJv5sd
g6fMNRZx8ctBnm1AU6HksYfPmAjAZVyIH9t5hOQx4slsp+vk7uPmLexbh22FC6S5piCpiFRKRuyo
Thcp5JEe9Mg2Q5ZIezyQQ7SC7MVEnCscEO+F43yB9HfYY8DcKIf6ZPK/3SSH0DJTOA2DTMTU0Je6
WdaM9em3iT18FdYf0CML0+zYpLXOxmywG1iM8CIH+XhLBBH5MMtJDfSsFYIojTFHZcPjy3ot3mO2
g8ETzyp80oaRctgbojDI3QF14oOGOPYWBqASSNfayogFykcaHCMpGezWJHX8QwCpqvjC2UWQV8q6
29dOHqkAByN1XsxscLdNgUNLT4j/6kO8GaJIT2Vav7D+9GExY0G1A9o/mL8wTvx74eglUnh+ERcN
lkMdqYUhnrfIjp+ab0CqzNPNc4LchaEtfCM5bDVtGvalk7+6jJS2vYlCU5SCfRS6DLOZL2kK9wzw
An62iM9WYg+nzEwfHRQfM46aq9V3RzEEZ87+D7PGC6xP0Z5USmdIYuK4cScY8GzIh5y77lwz+MAs
eVU3ceBGGyv74ZjV1mUwJxJ1DsY85Z1yhgqHjoIF2fMc7CMmxkkrPAMV8u0OQSKKaLQ48RGxdrob
mS/VlYH6QFfdarZsAXr7qZD34TReiRQpixVxvRsdwIum3baFA1wwCW5JX3F5GSnz/7omy4NK0afV
wduZs8En8QYwyjCFw1/ZvWetQWccp83ZC36DHEMWcB4qvZA0v8lUmz7BhBAxAFl61J9zkznylqHr
l6wQRs8uV7X7HKYJ+MwsfFStT28LCHM5fxtHpF7nNfZTWD6JgARkpvbKAZtKb4IyJ94UvePNxKdh
1fj1Tx+Qd1aY5BBIIN8ghyCr1Ome6KCt20QolYypWhmRFq+yJjfWvWTXGLJ3IqOL5PeuLs8VNdUx
ttE/NEBT8TIsrfheRmW2hFYPtYneeVU7vPkDYXMoVWK56evubpT8gIEk/8meig/832gvc9Dgujfc
XHZmq76oFJ6WNl/FU/Db4XRIGIgcLN1Ym46FGMErqnNdvfQuDzxD7XCTtvZVd5xk3etogxz6wWXo
oL9wm4fvo0ql+OoWEA+3qpyDx3quDfenExIvsBVGnHbfhdLqdVwivGDTQe8deQDcp6DHTRnNotI/
Zdq6/xwCbgbu3mFuWbUMi0MSXd0w3+iHvEdTE03jPcoJMqM2YagpKpibBBakCl18TQRAyVEMW5lh
X1qOa2FMf/zO4T1mSkD/9k74WAHW6bd2guoEqBThc+ICYYdjaUbdV2M4QGmqWN/BFgSgjLcz75dh
w7jXnSmuNg14wO5J9l1+aPuOZWmdUxKG+odups3azQWOZP+5bEqMumbQMojg7fY6X2Ov16YX321O
fajqnWuTgGLW2IoKDV91O/HJH/M7qBacjTQ3h6CrjYtErGfZ3+gQXiMvqd5zEZ2tVNq/0tf2nnjx
YgIVyHuVdwZ3Xz2oItJGgEeCqJFaYO2SID2YiqQwSMTqJSzhN+MCWEm409uhBsTJVCzApZN9Jcq8
t0M0Pjc2NVD2cCs13h2frYPH7nZZxfZNRuBvMnzzjFPyLyvLljJ+GmJj2tkB7349b9DdhkhDn1Zw
OVk2i2E+l7wljO28FDOEcDTQKYNj7MwqeVWYW4+Go9lby5Ph0qwmlJcGL8k/7IT/k3dy+5tfPtPf
+v+ZdRLr4v9OGGHu037+D+8k3/Jv76TzL1fYNpkThmvZUhf8yX/SRUz9X54FWYRFmY1J0rGxLWY5
1yYcCudfOCNdkCSGpTsmQJJ/o0Vs8S/Xk5ar6wZeK0eY7v/NOikwaP4366QhHFu3KVbQiXvGzOf4
L3QR1zAaswlrrDTEYCzVaxzWnw5UO2DZFuk9+snPufMYs+u5+pxllINipG4O7Dy4Zbkp7OqQWjtm
FXcC5heRKMBdTgRAexv28YgynV9X5ix3Zw9LwaRuTpJErdLIV5feHKcC9zZ7+kp+T5m7z3NJSC3V
an9JI1w9bXm2Bkn8s3zucEfXOtrJ3mLub93s6anNji1n7WRWJ7za97B3d3lfc1ZbxaErxlMgOyDi
s2gLYl0p3hE/ku1pIClIxFsJy8gkA4SVFJk1n+CkLlVVbwndRmRRU5TVqxwHTSCjEt7alRCSDYiO
pWIP33g/8mrCrg1Qr+b8+rr/FIe3LvduTdEeQKDuFWAHmaH7K4MLWv9Fg/nc7fLXaVNghfSBrTkT
SiXuh7Imqp5oxHbMVn0XrfPOX2kWnsB6WDtkr89jAtIqnkoWeVlwGI3mOWvUtWN8U2fOJo76L9Hp
dyhyFHxqjx+fZS/FWq+W8OZR1bdM9sTJJW6LLKzn0bNI7MWmSiT7RmUMSc2kuYAlS4kmb1MgpZaC
YsWQN1f1rTD9DY/vuxk2G1hI2Co48JMI2ZghlgVVsEomliMUQr51l8m74qkp0Hzn1EaUTGiL7HaV
x/4idrkdwPbx0tsksJsb20ue4Zxgq8OWhDrvbCc9M8gUtGAvf3Kb5Jw0egh+iwknUIDRj/6kjf/4
1nRyXLw/nctkMVri51xGVXtvHHdNObeEiveV01UQlkZ3h2Sx9kgR9iaPdUsyLwQP5Gg9kcWxF1UM
wZCyb/oT2f7FrrFK5bjqvKusCgaA1XPHXNb2GyiQ9kFnDDvibECIfIzFZ2Wn2zIBh9B+Mpb8iIdM
LMwOw4yhkShBpxqh/ipZUyLy20a5fQjjm92jptci8HjaURfBRRr6KYc6TyeBI9HaTJ29Tmv0j5PU
mCXEzblp7BcmFYvc9O8dHsYMPhXePiwuEVV4ubUG0Pnl+DKWp9DHUoOPnwUjKyJkY80ULLwiIBXq
izEWdAOSQCaJXU+Lr6F4eLX7sJLxUEpYl1mX3kKzfdQI6/voWELjT4lOzFNn70UZ/kcUNgrRAyO0
OKk+Q5v+VtZPknqhHr/1xPmxI7IUi4miD5cvAatvKRkCzO4Y0sVS2/TE9IQRqoXGRIgz2hgQRFA9
Bk7DZeuLPYw/3R0fORlyQgKNrht/UfPO6nAxrbE+GI281jbBoSpjvkYwVMXipK7stzwtd24f7DUZ
7EzD0cn6+zCL1xo7V+XE6zRtXsHyhkhehm1cUN/rr86ksda8KkKetIlts/YbQvgqGd/lrNDbGGII
cbB9PKdf3TzDZOpOLKMmgi+9nd6bWUhPQkDo0IpRnqSochIcFN3Z9p0HYNke+fmBCWWI2NYzVpWy
6D3an6igXKmCHW39d+bYgATJN8stfU6ECO6eqD6jBJEyEOGLlRffJfhI6RwBiLPTQaSExX03JnQj
XWu/T229jRracqGH607YSFxH0tHS8I7YHulvciTdjkQAN3hp/OxQlj/CV3tT1WfdAsugH5gc/qmV
evbK+iZ7XKyZ7G5WV0GuzTfWAJST1ESyAHA4FC8qLh5jm9xmzbmIk23Xe6u8Cm9KDHxw8TfADUEX
s6vE2kq7T4vVMuIKHK4CdWZEzLFciW4En8Hgzw9PIk9WDg2Di198YPozYEdYodoSVbZyiCZdGZX4
yVw+BgpHDA0M4cF6iXpJYzkWDMj5cZl5lIXlVxb8eCQ8BOghaj4I4z3r7w1Ac78b1tq8zc+nDTqQ
Y2lkBx3tucOpZJrhc4+zd5GW3oQN8AiNHisSyyM8eYA87BFB15vu2sss/iCfZkGwOUF1OI0ETW/Y
Uu/SM9GpV7BM+gkxLUI9xy5OzaC/mzExQlZhv0mpncqG+Ki6OgyN+VJ1U7uNqZ2jyQPOP/6FQH6p
cy6GicEAYSFgt0EDryweZRnOq/LQWZJByTq6JsuiPZspAXkh4QM6a7jR3PWcbB4LFuTpLTv0cjS2
Ie5NoyeZCeKJQOIdpNElICNETe5G+AVrpqF6F27+l/S530Cmb3Gf/fqo9HuF9bpR5Ys+1uBEwuTD
qIoDI2q/EzcfYCcsXlp2wgWYv8OvDZvPPCi/PNM1VjLodlbEDDHiNS7caD/1ISPC7F0w9zQxZOtN
uGpibdun/MBe+OhJFKZi54UWt8rVCViq/7YYB109xeF7V2hVSUFJ7UXp08jqbNJ0LT5HwErzMvxu
6xFMfkWjOX6l/XvROEQqkeNJHLRF29b74bocMJ/VZXxXAHdzI3vtEfnTR3UwOjmGDnl8nbA1IXYb
AF1rn+wyPDRpYTLtCVXa9pl6CQipwZ37nc2K1gBSee5qpy4P+Ht6RM9oGqMwWOVFdbBlgAi82smB
vG2rCz9TPVkX5XgrsekgxMfGZH6iMjyZVveHxviikayyUFr+qiXGUXfj44gRyEoRSRjRCgP7hsOU
FAUhECCSa+8YeClLm+Egzgmb9X1Tsh2sGymXhAzvHGs4BILAisJhyj16TCxK+yVC8+iCSiPW8e51
ybXSxa4zAV7LCkNQKk+oU1ZdxXBvQkRj+Uj1GmJ23eeVI6ffQHMPWfes4v1gSuweDEjK6uikFc8v
sUFFRGpzpzHCVHpynw9y2b+AH8AtYJOIHoMai8NfN6j3LNVXskeJ0d9y339lFrzS/e5iIDdvSh7j
2MqRVOXm2WCV5qXeKTbTd60tcNmIu1DtR+gp9M0Ze+P5mAy16EFfs8Q3gIVsRT1LHYHLk92Sjwg2
8x5sh9kJ1pA5SV7w4CD8Om6xjdxoaTW/Bpp3yzpn46fEEzZOFTdXgnrEx7KmT1fmAVerqE5oRHbs
BPltsviVeJxNOKtvimkPhCfxHuWooJi7Swd3YEU/3nY+T7m29XiY0pJFMS/GpO6lY17aNH5Y2N0m
2zxqZvNccJHUGrKOhNCNVB2iwxi8aA3BHdHOcrxbiYJTSwi8CcaAHtxeRvkTC7N3K8moX/xg41BK
ySq96iJ8rwMGkG74EzZ1vffiYu220ltaLtTJHiZmqnPQ5F8FWyiWaJJBAqsxrmE7ZZvo11tUX+vc
Lj74aMhKPaSwv+D4ovOkR9do+jVrurMghPTlwM/0UrwU/FjcoglREq12YLD/8Iry4TTOcIP/dQgV
ZDKRQTTBt7EW7GQyg9p1IiATgy8MO8S7MBA2WRoFC1mUO2w0CEkmDjlWiYlzSXnD9+aApRTNmZyY
6GSzZIfEPHKJhP/HIuDFMuDJ5Qa+Nze4JywzKnTAup/f2gQ8uZ+LLZFI50wM62TCBZdFyyYgXugf
EoxTrNG84UFmstWyMiuH+NvP/C8V2CS2YbuLau3QJ+ROweBfxm6HpWGJgnVY+LJ8IVoGrTkyWzhp
2bI2jG1mm/sB26woIqTlGswuk1QXw2Rszf4tY5vjPxm7ULqPHLvRKm0kFLn2F0DDkjVUOYxnZvh8
7JEwmN6x94PnER+jyyoyFn9LrhsfVFree+t6YlRSlHJvc+YsnN78tsce9bpbZcvcRMFUDlsjrJlN
gXIK1bF5k212Y05MeLt9i6h5zSq8Szc+wdhHnYZrUX53uBWl/9BaeIo9i9ah1vbKRKXLhQYezIr4
EAU+gyp3eGsmKlPY9QUcw9REXqR69O+zE6dhoi+6N19AT6DN0ohDxS8PsyDqoiN4BjyjBUUpkg+9
KXdNivm/6pqDVjQ4STAXovGjKB8PWYTRidVxilZeMqcsfHcz27J8BsvNwNzVezMaIpi8b8YcpGys
p9LhPnKbV4UlXBtw4YUvkaUTvFutNcllFiptVafBI9Sn3YQTevRveP3ZK7VT8myC4kZiF+ET6d7a
EDNBjlHPVe/qOQjzcQY6PhcdCrzYiO/EgM/W3Z4ULTe+y0riZbIA1ps8y/XKa9pDWWUUKNhQD7bx
NWX2Dt243A4DeZ7jqzmR8x037dr0nBtUTcp81Bw0uaYo/1q6xrx/B3obe5g8YNKTU7R0QOwG5r7x
wr2lXpo52J0S7w7PmyQDLFaoBRqhri4bmS4ttkmMDA7cIY9rrTebkN0XzmxcjE7wnKQT6crmmVHQ
Xp+JehzWcs1dBt94gQ5xO0njYlWvNR4C73e0+QAwk/7bd/EBNcXR54GbzBDJGFQw61R257wGOcZJ
aPozQiJc6/afKuFNo5xtmdyCCl7ZQn7OVUeH43FkaGuP2bLv7qiNpfOVSP0gGQaGbfAyYuwhyXVp
teOuMCgOkm4jO3tFHMTIWLwIwxes+nBLgKeo8QKp4+a71YvPb9AyW7WUWrnmkQQAFhn5ym5eaaLx
XFaIrX5Asm59WZzKgVXqEJ4cGw9wkBgd7mXCPxyigMqSAsyIOI67VUX7mWntlj9VPxERRhgrZyT6
F8M8kXVi0XTac6CH2HWnfWHrilrfX7UZqto++5F2w9XQH9PSuQ5CfKSFd+2H9CCb7J7asKgmk+Vy
Xr4btTyRbbEkR/7YsRkBzsnYzkl7rkHcTryFpOjiPN2EU3eyybftOp8MP/HEaJFoOFtcdQy7epv7
RDP/FFgtnVLemRNh7NejDxQZ+zrqz62HgMwcbu1gJce0a74QEPB2p6SLN2HAZZC4aN9A/7PvdVrc
V41Amk0GqGZQ2TbWdzwPZMNin1jVvXKmlWVPOhU/vuux/NMV+rsTxauysVYGM2ovVngfxS6qIxpY
6HrkrhlEdeSJ9eIYw57UvNSbwBQ2V9Q0RyOhqCVlq+mat5Rph42fa0HY2ncs7JVZiXeYVDtz6gaw
8NEKHeStTBtKCSIBQg6haGiecyLB0OE2R9/DnjSb5xsCT/2RUCVFAnevPUkKAna5ZL7agXrrQ/MO
nZySR3PSrcX+A8nv2c4A4KATPjAfIJCw9h9eZ22Lod8FoQ4vG9Be2BymAR+H44rgWKVQ0ktXf+pc
h5DTmRnfgkcJcRLhEbgKAChDAuEgA2iDtiqLk4PuJdj5rGOdx19mL19Gag0TZCP53RBnaPyjJD1b
LUswiZXJJuJV3yJdp5aexEVOLS4CllyZ96sMtbGmpNioVG17KR5B/uPAtBYeVl2UgmHo8+3Fh1GP
qwKpIZayrQOHr0ZlRvmoFvH4gxBnVeQuC+tT1XxqgEZ7R7t5FSkpifMaTy7PMdOwEGAF+h4SNITx
RVr6PkLlsuTuZ+sAMTxkdjfY3/XQVEgYgGGYaXv3arSuwty3ghNCt4yz0rVPxHQFxUhTob18NkPW
02IdNta5bqOVEb4W1bhiBw6T9K1hnwBSEP1v5IOxBA0Qbok/iT0yxmgBHDTpbvJW+B+F/idXuFBU
lL0MyiSoJ1/l3rAE3Z+gL9IpPXU2kJzW9qbzD64IWXUHOGGj1DAXVvuoukyt7Q49q00DWNpsj220
hwnWmbpkfV8jnTOdA7uiaKVoJ3Qj3/e+eiNi5lr5f4hUofkytIcKe28TFfUp8f2/rAuZWGgtmmVI
eczv1HQTZvjt6u2vW2BjK2MLsU2s2NhxbhVAUzWJcyeH1TIWo7+YwumvqgIGfeLUFk+cy3BmnlKX
uKBSg7A0Z2LRTjNdnVyxUj3MLFk+tZEz4x8/md+uDX69gSeSalY+2Jx/JeQACXMh0uig3DkdZ4YG
X5uWoJkuPCvbvVtxckmR0wE/+4kjml+XqobdOu6ZmEV1q3fHwY4Yz8U248myIUItAesUHqKSXqlB
FjfZLNarP7zFZ43pQwJYOHIJZlH5kZrOxTiHOWALRmPjA0Q12WmR4rdsnXFt22eUjaRfo5SczugX
KSPK1RjOGZHfivM/DqtrlIF39VC00mEiVWzRIenGC9Ma3H2cG1aAu6+HTOYNrHZuA3u5BpytN3EV
KhAqCUMN1I7Y24rslMYszdIrwWsHM7F+2SSjp6D2RTaL80qps89M2STbQ9QMe4uAc70ETZq60yYf
xG/pLsDDkBjx5ip/O5EaigdxL/krFTCKHgQNncdL0+x7nNewxClc6jVxVDt1iSaeh3XonEv6sEYV
iGL72QWNvjje57XY6dSKpbYsYJ5oBXb2R9cLED7puo09ypV1l6/HGmchyTtyw4Kpm5ArNsu8J6qp
LdaZIvEe58/kr5qhX3m1uSwI/eyjmKDnemkwRtMQVtUhu03U7S3xuQPGsMys1z2plkPQbqdqaQT2
Cv/oqp4rEQZXongxcrK7rHXZY1TVt52erXF8lkwkuNG2IkIiSKTWCCwDwwUinQccEx7Ine1rx0B3
lsYwYoEk9i7tt6P+NOjPLX8txlyFUHVgmEvZviIyiPdugG325YMgjjMEXr17Lbqj70JRrDdjVFNi
fDVRuk8c7D5TlJ5LQGpDbT5CokLqrDxTnU/4GApy5vUOsT9KJl6Btc5yOFNqm6D1MyGcut4ArhFp
u/hbZ/WaMAWCPIDgyDUtxirDfRCEDzjxLx7ICi3ntKhuvYBeJyERcZikobdL1FvZ7rEa0fI1GwSW
VgRg6MuaLlrzKFt1ZtSFVuUJNcO2hOfYONMddSfCsX7Ro6fTcfRanMyKxO9oKfTkPXPzgzl8pBWJ
TkagYAky984SYLuVdc4zZjoTUVgVO0EpngAvXnwlTn7vr/xKG9i6wq52dGES8ScvhglYJi/rd8OJ
LlZJjPLQchwVo/q2JFd+UOTodCYe9iy4o7Rbloy6KooxzH1kiNX+OmiD4lCPDCg0FkAFClsZ+q+j
3352IX6IdPQQBICOJRSaZ3Ru9vz0u3cieh+H4hsrK0q3cdelrD5Lb3ROtOlwWMh4cpoNMVcI1vEx
sDWaRmMVFzp6/OmW5T67aRKOh+8UX4k3dADMPlCRQZJJN8QcbYKGxKmp3gzdu0YqN7mMxJltiV9b
K1YlJI6L5k8eOpupOEBbYcvbOenCiJgUuDBblizJOcjPTnNzPyJyzEJ3H9IJdTVW+oigLFnFzBRY
cGnBdprylclkKU6e9YBEEqNczQ5T+ByqMNZB0aygRCw7Q270ftyjvWWqmV6zAEWYmQC+WPfsp2xE
AcrFExr7Mfy0eZIow3GRClRZ5AmfsUE0p7jTINlp4tV16lvX9zQZlQGgZ/agS/wqM7CUkr1fd4Rb
4C9EIFbxiBvz3lbMG1yMpbSO81Y3mfe7gkXvf7B3HjtyK1sW/SI26BmcZjK9LV+qCVFGondBz6/v
FXoPbV4DDfS8J4KucFVKJsmIE+esvbenJr62mv2Gagos1TyY+goHvEY3grBBc+WruXGnJsiumiUT
aLzsRXp3GDI7atpcMXYm77c6twyiQzWR9v7OptWUunrp1cx6UNNrkN5nwnq/YASjYFYTbqFm3YOa
eieMv2c1B7fURLxgNC7UjBwsNH8gyGNS03OMvb7mv/N0NVkPrSfyiQ5O4Tm/a0bvqZrBewzjY4by
wg5iNaOHkor4xpjb9wzwLTXJl2qmb6jpPkTJ56Tm/RqDf/8vAaBYAARVO55LTBCkIgW08AG1Csui
YgjQVH4UiioYFF8gFGkQgxy4oAe+YhASRSOQ9zquLUUoLI+z4hV6RS5YIAwOKAOVtFIaw17iHE8a
ICgMA9CdAwARAkLQjVBGm+Zb3y4bav02kIqagGFiMpcXqxKgIlFkRacYCwQtqFra8RmCH9efg49+
bJtglKjoDA9Mw1e8RgO9JRXBUYByAEIeDcV2kLKGkWR0zC6ZIj8axYAsw7dt+mhxWhtzt+4nFLhj
6inejSVRmx06q7CjXs/il0QRJp5iTeDIcuQT7NXmaN16Cag0ziiVOvkUK1bFUtQKNsGwlFlyTMMI
O0f/R7dqCrG6gHXJCPPV3eGxsEuHNiVEjAsaEytGxlS0zAQ2g7+ER+Ka2rEVU2MruoYgS2zmFXHj
pM+aInCgrjB4xRrEJWFa6tWF72dmOYmMddVPlLWK5TEV1TMqvsdXpE/K7e4KomshgDC7B5JVVNCk
+KAeUMhQxFCj2KEUiGhSNBFxz3QdnQDlze9Q8UaGIo8s51JwnG0VkdQqNskDUkoUrdSJh0XRSwKM
KfzLMymyiamUv04V7TQpgKmmcbktQaEwXiLuR9FRIfiPoqUqxU3hjEE+0PQnXs4JWJWp+KrCnYZV
TaxvlM7YkikKq1A8lguYZcbzcKjLXa23Hs8e7JapKK4ZnKtRWBd4l/LC96XWBy3P8WahbNYUC1Z3
6alUdJjdEVjd25QqLL2cBD+jQgfmVExZregyHcxscucaXRcuWYnnhdQH39rCAblYcBogcm3GG41A
+ZHLQ/uuWxh5NJmgi0JxO8vkQF/8i+inD+mG2EJ2BINZ7S1tzEfZq54pdnZVrJEfkWIcVLndpvBp
WlmKq5OYa1VzUeKsDMw7jwWiCjkdcJiddmDK69gZHwxhGRfAUOfDwbPjLgdM95JsWbZ+GSCWUGwp
rF8P9Lco+g8TlR0KFk5WigyUIIKeYgVDRQ3Oih/sAQktRRTWTKxREBr0ts44hPRru+CBH6b4mgy+
dZ8NDQ/OGvH5yG9XyPj9fRKN2DjRV8J8LC5OTT2jvRmx/GjtLQxzS9wiDGSmaMhKcZGtIiQjvM5a
mmNIV9g9+wU+wFqwP1FkpakYS6t78rgOS7GXACNMhd/IoceEEjjTUJSmrnhNT5GbahHwFcuph9/5
X7YTyNNVtGcC9unCaQ6THmgJVHyHGj3QUpQ2Hnb1g6JGPcWPFooktRRT2sh8AxRekCBfu3T230r9
UPPV3gwfcxS/e8nAUzPFqZpS/2zSkQFMmBB3b//OfBo1/WxtaiBX4kY39Nv0s/08KwZWAMOanLIP
Ake42G4F/OBib0YNO/e+dYk6JJXLYfFeIwTChkABt9G8eA9dOPyZfbQFnS+jldmYHDiAdEdF69Zk
2il6t1Ycr6eI3laxvYuifMO/vC/gb6oIYAcUuMvedUUG94oRnhQtTO/U4dp7/OxBiQnWem6A8FCu
OPtuWaAVO5WToVLG3XEYmZ/D3zuYhklFLNfqF9clPG2whj+1276EimoedC3ZF75pbOcJ+I/n4jGL
56sosVANjSLdl/oEmKpYaamoaYkPoKKoc8VTF4qsxue4PemKtnYVd50pAjsDxa4Vk+0rOhvNCWGU
+kRjWbHb5LMFHOxqXPTFS6/4bk+R3rVivjnCbHrBmub3dJPjpGe4YnrX2WB+GZKNMtkOdMMw/UY+
fotFfU6nikGWLCHNJSrXUMW3EWIFvyKUeDcR1Wksbr1i1XGTSzeAecA/imTPQdorM5mBIz4GMJJT
pRWfU3IQ3eIGtMCYZw4PIXB8rSh5NLj1LlbkvFAMfV+emxxTFU5wJDDPh/kvbQ92byv+Ppog8XvF
5A86dH4Opr8oXj81Pl3F72eA/DwsJxIPxMYF8XcV659CdSL3KxG6FTApLsciu8PTyanJRw2ht2kM
3WYnurlKR9D8VRQobYGhVAZF13ibhm7Qxkiof8ueTcePnzOlTgiVTiFWioVMaRcGpWLIlJ6B4zC+
QEgcfKV1MBA9NIgfUt9nr7IqtQgu63Eu6HyLmL8yMh8rnNxC6k2LS6QsLomNQX2WgsTo3UATd3pD
AcMykZ5HmLHNUOP3VDcp5sglf7iwzs9roxbmJncSnCG6CGUH5TwmG6l3sWt/O3YRFLD5NCg9SKaU
IayP8tiVp1lDGDUUAPyqwzHhZDkPon/KLfecCcTTTt29GtNHLBPnQR/f/BhLQtFKRKIY7xa5czD8
eNzlpENwdEbJYiJp0ZS2hSpzTdDh2VGqF66blbZHCSN6H5djrUuD3OEGdIYEJPaxxvP1BbnIMMFE
aS6PQpdvYqJrV5pS3cxKf0PECYa+7TkG8FqBpdg7T3AsZwj7Mgv7ki68RblyNMYM4hlDFQXD5svR
iLpfkuDWdTRQuxRwHfTJ64M9VPQScxzJc5TSGBJvIGf8BwOJtarAUJBWqM2NKbE/GrgvFJLiBa3e
lYU+Y3fDybcajbMl4UuGuqFHnyJf6+dfBqImy/DeKqVyKuV861WiBc4yL10yvjuI8zF1UbmvNd91
6tKPmpRyylMaqlKpqSZkVTXyqlLprLAICBonZntvyxRU3cSSzGGR7YatwD8TcI2pkUuUUvxoJF4c
ZAra4+EG2wWadnM0b2j3+ohfclq6XerVjJcbBPYJwC6HpoD0c3kcUuN9oGV/cEgGXUfh91Tio5nj
JZX1b3ls/MER1CBMee1UOX5BbvG4zFlCN4Wm0jQPnBfY8pmo4yRNtEfv6ac8x4WDzZ14aY4+3jtN
bkChAXug0Kqqy4hmr0CUifY7xvmrWnCXzbc95xnabcYj5opgAAmfuoYSw0mTPTXW/CWYmUrDIJXu
iWI/PmX6k0sQ99W12/kSNycye9NARCbi6akyH+KZX1gWOPNln37ZNqdGF+YLUrqrb4SswtgDADqZ
4W00aOVK7H8/cTHiRY813N0HlZLQZORM4+G/q0rctizHQkc+1yF4TGES1mCGQR4xOPJzLz7jUv/P
3/3nn3FAmk4TAApf2NljpM2NbPfWjFiLRZHjWOY182ky2Ct0HLppxvHgR+a4Haxx3rjJZBwMSByt
ha/SCbl2W7tc64k08AUOimmyN71tyDMWIp+lVCFAKBkOEDKEfROHoqfpo84gusVKT0PpSCGMibHV
ONOhdZN1FlXwZ45RYxWANXMnXvyJJLOF+rpoEaxhDodWK3AWE+OWDEuIcCChwaiMlyWdGzrX3oc6
4+/sBATSjbBhjtqID7asZwRQl0JIau1+mC/oUTskr8uxbibjSCbWxY676agbDaIf8SCtyb/2Y9lg
m87BwfaT+mi408Y30/6hdodzm5TMPXWm2rg2ofkw8UkJw2U6E0Byixg1acK4DJmlXYZOX1UOpQUT
sZ0sbfkgh+ZAHigC/qrUgtoQ7i7C45SehlgA4mxbRNu6GA6L7ALXrIA1aL2uiHdPVlFLlJZb4W7T
CMwYCsvBGw3Lx2NqS/xnDTMQDheLcchAWhhddS0JxUYzZ9yvwqzbahlSSMvxbMw2y30j8o+MRMh9
PEt3b857IcfzkoT2aSpSnzmLd647fT9VYYr88GA5sOy0zD7N/sf0c42+rT7Sh2kotePwIVsqZ0tp
H2Opoxxw4tFhLF6/arpOenoBkluJ0NhlFBGrYWiah5DeBOXmK9LJ8SBj+TpZHn9lwLnWbaeG1kv/
IVqqgShGctnu9ab1XotcLy+9zlvs9zSnyyh5LKeHpoww804j7Wzi71IzfmKe4DzamIcFFdbws82T
TNuroKNGMxtHVoxvqTDT5eKg7HILyMk+dx8cYyG3MAdD0IacCIOwfl/G5Df69qAyOBebmDigBeZc
Ka1vi0TGVTMmbwbJX7alfWmt+zrS80NalF3mTPv2Neu++HW2j8HiKcydJ5t6RxfjxsEagukW0zS6
Mmu/GQ3GmdqfpuuUUFvgYtUSTd/hnxHykHfoDf8GfZozzoOua200lty1FuhJ3h+ZdDZrzy7Qx8bs
rtHer6Zk6y+gr3EUfUZ2s7V9CwJfFriSZh5muLr77Of1mUB1xHTgyIhCWDBbjUq47gCKAVGSZcQF
770u5HoBuRpa60DVnUaWBOUv7Y1N8x41HVPOpNaQqrWfzkDIfN/6QVECIJZQmas0JOu5kmq8w2ml
DGuixrgN0vYWJG5M4Bt72g4YT5KBi/TC8h7SeHqE0h7XOlB3Ddowy9sEk2upG+MuREDZq9H0GHOx
9zZlqFTSr2Gu3yR97jbt77Md09NdqhgirnjnjPzdWoRZmNP4FrUY8ddL9ROno8fkkqNHXN6MpNdv
7hN2YEHqQhWkxBZiwiUwr7BacKMVx6sZbwcJLEaUFq3LcUshN+3MmABK18BYoqnJJhDalrgJ9n9z
MFbYIIlt7LqvIkxQSfTIJuOZDsuw2GTEsirSWcJBn2g4du7bWIziye8QYCLv3mkGMmSijr3cp3FV
EGIyMvYbOP64ZYaqI5ruduQz1zLSo+dmhzKTv7hNNQgiqBNOO5s5cQSvz7hv8vKptJQVeOK3GzBw
2BpJJLKUI3rGGKJiUlO2EltrLVFdMppVQnpYbyvz78on8DKO97LEjhrnwgbnU3Nnjshya7PGzcFh
GY616uj0ALqNZK5BkB0UGHHveR/jIcXhO7CSe5k4Ix1R47XlCTR7HP1aG1V+WBGFp8MR91n+W2YN
uXits+zw6SOCS8dnLf3SZ9xOojj7GPj8DCfSDXQC/vwaQe8wlpWGh0QgvJb+9pAfhMiNnTAxjY2a
DGNGWe/rsKLvJ+oLpqKKUTfXemlOQXyMEyb/eTOCQOMhyTvm3sqR6ykZ9q/MkkMQcM8YxHnn7eox
evTt6wya+uhZWGJzRjpzcePK6GW88eqhumTEXeCihi7UovgVabal7cKDMIfNFTQKoC49D6nu3ceF
sQ5uFQ56uIL5LkpVo66nQ0n4NFh142BpQ3j5krlPvBSrSWg+EnmPR7CEzdN8DPUYMmeav9NYtb1F
ip3dW8CeXMyt1QCw5zcMh2ryKDCcwSIl3vYd7V/8ugaQ7+Zg2eZ8T8kqlnl2lkyEMzarH4dWUyta
d730hIVm713p3fDdYGlvXjoMPdIFV4hftUY5zXgtnLW1hXuqJDeP8oi1VMMGn15w4+HS6mf44XzK
8BNT+Hgh760VgeD8r/l/whywatp4/oCh0kJ5e8wKN+gIJxm5H5b3J5SPwiIOp/qNw8MqK5BMhRj3
csP4MoRfHSafuJm2PbZRuo0L++Ti+yCG7FgYPWZNybqJ28NDX7H/59625cKHkAlKBSm6BS9wIbPz
+bmr7LXuXgrP2vgQ/vgM32y4j+SXaTcbh9MllBGRKOaHZ6JaUpR3xiHJrl/aCKYj1a7C0e94Qb9G
RGAAJmCiWzrfxkw3scu+NEseIzG8u1AEC934dIh/yrTH8e4+dNUt6plETfphAeYtsurJ9emvOvL3
IPcFyar5t16dccglF/NVDqehxpnat15rz23QEzMvKqO7gebdj5mDo5YuoU+wq89TsGeIZBIPW/FW
9dE+68MtDMRB6tlZn7NgzjB8bEgRBLOxgrgn+3FQATPvHiBMm8HLECwqyVnyxe8xae5R3nPoIqlQ
N/ZW0h7pAxzR3Fy6mJGntivG6qJEFDazjAQfB94XxN0+0gaoIyyL4BKuLeXolD6U7XvpfS16tzEx
7cRMCnP6xAxXMS1Dww2fMkkDuNPB2UR0oBt5b/P6aNtYPjzlE0V/46ihtUPHkHgKvUv2/dztFvLe
1nrqfnSiO7H2mMex0K5ljD4kFBQRvVYo+Gs/+dBW7YKGVWAjajK/aHQNdMIVP1Zu8sXZAQc+3CHP
OoPojlHmggW7Zd060/hyG5aM2SfPgxGvaw2nWurYRxafIeC31r07lFA1lZsZX1wba4CaJIdEzUyK
LSpw/DQxona32LVsc9f+mEpAZ7NFEEuXY2acHPR6+R5p+edYzndr1NejKks4Kptt/qX16VHM+Tlt
/X1h8GINMK+J+zBQoUaYcpttPK39BAApsfej5gkGpaw4zAJP4EM9xTpadaAhZB8gARiLs0VE/kPX
1IhWFyjsjnAI6YwHYos2lYiOOKzskB7e6NJucygwp5jvbRh/6P78Irwe7z74pdEx15OUlxgj7VZQ
7pn0wbAy2GMsyqQwOtRjs65t7U3z2z9GATBq4UKV0f0EllR0i2z2fmNvXAgsM2kx8Ek3rqPBrTLj
yOx927LG9ANhtACsldQO5VAiouV8izRBq14K90j/9tThEFT00aF0EophRrZ91t0TKuBi8F6tkjrX
J9NVYpbfSfs9m79TMrVwYjg4JuNFbB1C4zmU40m3AXNn7Vc2FTQFPawPokfOoO+EA2Ahh7nZTidl
GtxxXeRVQOwDYY8aXk3ArgLr0hlDB6dcZ6l7tC2qyKEbrjq741pgfV9Xn93E1KCrZ7WTG2vRJu//
Rch3/0fs83+NwjZU+vR/pkGrYEHCtwmJdh1hWchH/iWduspTc1aOHwFTqWmfpy8R7llBEwJrVdpj
liXY8nDzaf36oUC11l+s2iMqyOeJ1+ck+Ptx/l9hadj/a4Y7QFQ1fDb9v+ZT/keEu2n+m+M6LoJI
ZtxKS4mK8R8aSwP1pe15KKpB5i1f2NzBf2osSWlnNm7Y/0NjaXv/5iFd0D3bMS3mC97/TWOJmc2/
PEWm7Vq6a/i24whhUCH9d41lvUTeMkgMTU1cU1aSZPNDRJbZlKbutTb057RSB8LMHI9NLddekZv4
LDBYHLx1nHX+1TIoKHMBM7BUWbF3c/uZxG33PPbDu5wbVm93wd92WsQezHpZNaTCXVsLamWauxNv
q6AuS0zSu93qZvLz6ZeT+bYUjn4Ui7XTuy55NkiKUZoY+op2Duk9JeJgNUvFNjJUh63XYErBtOmc
53wCOY8nhyhxzKndcV02FvXLjOhtnDT+vkvbpjNnfY8pxpOnX5ei0XFfJ6i4HiCo2ENFD1Ex+7+7
gq0ta7BE6ozHnOYfovCZNV5gErAQA6VT9oXlg52nr5zO+SE5aSBm56xlE+nUL91qmQxBv86Yae1x
FHayjpwQGyO4jkJVijC/JHVDWc/MblQEezFPmHhqxpODJHTOul9R2v/Az/6JrOq7t4pNk9WX0I/3
zB63aFYutLUfYVtPeYzbqV+9eEOBHkaIV8Cyl7r14HL6b6sDXZ5jA2frziHAjcZmnTEYmO8A4YTd
sBZySHsnwepR5nXHHQIziZrvqROPxRiAWlylAluSKWHXZZS5MsJhExomCyJ+axBwU5k9Cru/mfb8
0pfRdqxfO42+ZJ+Ht0FUcJqCs7z3C6+ybO3gJY8/BepbZyjB3SuTwYL2kYWLC51RP2HKdEwsDy/Q
ROGotf0bX0kYJU07GkP8lMU5I795Io53QtEnXM3YCgzNMMiFjc8wJC84nAQFURckwyuZaenuJHpa
2gbhcWQSR3gwxt1RYmtUQiQ2YvBQMAmPgkbrn51l7l5t2f1aCCXwHPmQRMZTHpEHtGgUjjJfeyz0
OKNj/jaLEQM97E8wDKF+X4pTVjJMiSLGft0wGcFsT5KJSgTkp/oRWNi9cHJlGut0yXaIxm9cOtpj
1NAayGMOVJztiFet3yuMnuZRIPPsODOCi5JJTKJdwgnL5WDmN/iEzOQ2hljgz8KHxQ9r3DFbts7G
ID2CKgIoAwHIhNdTnlMm6HSd8UMiSb4SHyL1BP6KM5utbm3LsvO3JF5yRDDdx1AaG0PCuEcow1ZV
lr1gZoROpZDKDi+64e/J548oKPDqxEm3oAVQ6Ad3GZGAEbYae+4D53siI9r4R1QEoI6pvJWojomB
VNIW5kW0UMC0cAtra5o92sh9bej4M2PngYjtfGCjmrap3eOGxf+iLEZXTsJUhsRUxuPIDld2V/9q
UjNd53Ozz5klotjsVc2PPCTXXZ4d2Jl4emEK/jPgEg/GRbaQI2iHcdfu/I/ckyz8RP6N4imkjT+b
7m+0bMoE/pPBFVRfjU9sPeU33ST4wNKseFuZHm4K0mR+b2frtHiTFaCxI6lAi/dpwgGr7zkiY+jF
cqq1eyObp33kQb+77Re96B4BZzEemXh9GhwYN16MghhB1G4xPQt5DtfTI9Weyd/DLJ9SGf8PBBQ1
5uOZhQtXaTKCFjkY7RZ0adxQjtN2LO/GMtD713B5XZD/zFYndq6Xd/jgSg5OHRl4VFc2VdHF81wM
tuga+fJCZAt+ISyi9jwfzSQGNJjLpzTadF5KSkpk8vUnFfhIzyPbGLLZuR1WvC2PUmIXLmfGWGGj
nIqqAfxSpR5wP6948qIJmf0gMVJ68gZ6igY9L20G8lMEYUtEHpXaiMtgiAZ6/NBHTKEaGml1h6md
TsRWYSTmAf1DpXT+HEIs8ZjNSXxrWiLHauEPxxlv0yC0+mbd6XiClBmSev6xJkJzPRpIwXNma3ry
K23aYYVzKujUzB/uaXj5+9rJvq3FPhc172RiEqpbZi0SdVyPrAp3PL0ohzswDmxDihEQk0F9ZcVq
IkcyppBvrVSh9sZ56nKEHCh5gigjyW9MoB3y+epU5T0XZbiNenz/vQWesqyycGvtMSKxVz6gAvtr
xK0KyIzGWAQxuoPgCH/8K10zEo9i8za36dmcQixt8HaV9kAHqFrktQYJS9lVA1GTtTtoDfLZpjmP
okLyTHp8ViCf1sUltccfhmhFSqpUmMVAlPx0XO4F224U30TFwBOdLjRpobSd6Hf0knzKyfip5tnB
vVh1MnKepXJxcfDzYhb+mPzJtqf/rCe3JA0xdVQxfpy/2YXJ1Sh6naTpKGOMnUFqSjF9xVy/xHst
mKIRu8qI3LQCudjoJN8dhxSzBbOWbhyUc25DEeibqSMnhYTsGaSuzPd2DQiJWNzwEa6WSaysEeho
dW7NsS6xf5e45tGYshkrAWLUnvxcFgIicKvdZZH7GXWGu/UU8kJwETHapIvW9UA7TTFoTLV3hVtW
geQAMVQDMakyUnoqIhAUc+i2ojnJ8c2Gm3hYxAtLLSPshn8rH3zUyzbvqu06MY7wtKM4z+Piw+Pr
ZqzG6BwylfSNJRKRxGYeFpu4loStFohUfcicgHhORnGUZkE2KEK2W/6Yc34BjGKjNTci85D2dixC
qUFyY0IX1ZZEemdui/uqRHZZ19F8Gho41Rb3RgTkmAoqh11hIEgmQwlTfXzdBQZapMrgFZy2P5y6
4UiLfiQ8L1nT5CYZeJie6cUbK64d0zFB1JmrmqtYiqX+T4/NaVAWiAgNmXx1uf5RDWgPJe5Q92Rp
jphKAqL3lGht/d0njIw8SZBE2Y1fJWTJWptJoYt586U+/eiN48OnGfON9Fce3W4gbzNC6rrEDLDz
Wt+RqoKTzpTxAi3XSAL241KKMxhu+6gJKxH0fT1eyNNI1g4MdVtGV6220biZkMSBrGSJ+sm51Q50
78JjomGqfMH29C2nHch8n3FwzgCdhoDzPJMtjqDkHpfpJzhaFLzCdBCQywO5mO5mSMwU2U/34fny
ZxiA4kNPJTHhl74CimIKxVy9SBBOJCa2435HSHipdQHG5mTo+jo5C2MLv0+0BQG/ZEbgHYd9mwto
EY84EhAuyh5wmkLnz8IZGFOtK82ilylqC0wgmQ8R8cOAoWnZ0mYCijBTyBL2KMv/NCuvDAhxrDau
94CFc7qO2W98B2d8Jd6IyBe36AsYvvdgu2qE3X61vH4frEAD7/Br6D/OMACG9UEIRg4uaIsbZW6q
c0yMP5r+GRVEPH/XxcVxblV+/0rtrzT/FPH7KO9Loa8tlo0kZVy+LtmRiA8CinNWdvM5UOZUEomg
+V1H9KxiYvM2Y/7TmIfRQByEOcXaKraGSehcZmNVRquXPABsu3rO4jCuZVrwAzBnjAC4pXdfYrHT
LPTNEWka2aNEe9LpywG/kAszXXwp5703Ooc4G3ajT9qoysO6kk+p8zMwROVqO95spvVIX3OC1bse
rciJuPvVMGN5N4itYzbbrkG4mn52c0MonR/gSLpJXNQVGKm7xgdxNVO486KvtGfhMj40j7qzffAd
cniR91XVFyrxxh/2jXFrYLJravvp3oMvDQ0htMlaugwRSfjtaqTvxUs5RDBckiSfYe0XhOq9DTYV
aOGsXS1+5E5tGcQGZZRd+lxj2tytCUrcS/M6SuY1mOtn7Mxqe0hWU/Hi9WKt/BeE914qjJsBNhHg
Tf0HgoFy3XxMYP0sV278Mt5jdGNT3uSE+PLDToU27CsHISZ2u2W3HJKFooIiL0ZTJSDBSt1Yp+G8
crV7klL/zE/No4m76N3+Q6hUg1itD9LvOiVghdi0cZcsq6hHI7DO4w36yyXCtxtrtcD0toRKdiko
AOHwB6AxVFCsTC+hv4Fgpuqz8ABDveOv+JWt60z7Kfxw6XQ/4nhCqZL3uxZFsrvCAXpiloF9eHoW
D+U7DgPY1YwaAuRbBESNWW1CIVfuKvIH9f2AzkcGsX4FbSfDJ7UBWLfpYXRPmTMQjXQYWLPbjSjE
VvMOKEtW1euQU0ReyGll51x1YHq1vQqp3/TpsYpv43yxaKwl3nOVHosREwWEziVpk4HEm7jky187
2oWCoHXRhtKBR0n3VnzysEi4yhenfmZplfk2zreYwDfZ3pL7Og7QprC/Yx9yzONQlYpRx0l2ayGF
yM49gxtySZatWG56flyiXdoGkbmTbNOY/jQ/UcII8HcKsUcaKcGQMyOaINYQ1HOWwFP3kGC4EHQF
2uW12RA+vFnijSSdxcSNZTMJsiMYBpybT/MoSBd4yu/DLadT+4uFNXFWdHZx5WD+hu88i0Q0r0Nx
Ik7EcfYNFn/elqhq4u4afY0wAdt9Vl4fZYoImEaFu9Tk2wrsB7rVY0O4IdEV02byEUbsW+xwkPCn
exf0d9kTfqyoKYQnM4qSowMwS/4zT9Jo7ELjqHssVZxfmmVfNN9j9ZP+qm9VsodzBK0cGP6t7Bf6
kzgt8Y4Ai+2RpOKBWYaEkrLoYI16KvwnPcc0btlHehRk5pHHqmm/MmM3jmi3f2p2bNYO8ZDkTxah
N1n5B7GWnNWnWtp3+qKrwjzy1GFEa+sTqab7LH8yjV1uwm6sujshjQhOidIgDrvhbLTl+eMVjbt3
njPwWWQ10zYkiwwfo+IUlveiZAxobzU+TXkalwONXAaG5CknmCRNT8WVWXDFqSl7WhiC0hwnvNg5
9Q4Hwl02I3nEWH7HXNa/Od8JEIW7QkrBGI4Ch0bzljOtSvCAsZIbTE9cxKTWo1C/ssD/ihCiIK2C
PGfv/wyjC15tothUigZ5JEMJ6LL4RR4ZxR+yXgJnrHs+XaNXwqQlSTFH5gkpD5gXePTVGWwqv/tN
VMJ9rBEOT9oRiQPO/W7/yXtuYaIxbeL2aDF3JQYeV4qeyK8D+WbQFehkswUfDSijGybYCciguS6/
u+IRVhMnJDO+SeM8D0FT3mUU1Kh38eCg7nmndZL8Ye2oXgsqfLnVKVyBiPEewYVpDPiAZMBoLdbi
AXETgrufHKL27JbXLgnmz5mpJnMAxhYCIQOL+9Q+IM8FmCDeNPF1pFBbigzfgUJdV1cujXsL8qc5
yOmDxt2OE3XJ2e3PY7Wr6pM7kdrNY6+9EBhDU43ClUAhjIN0fzM7D4lH6sS2yUFC7qSLlxET86Mv
qNG2BdTzKqtPtbnyttUKHO8xwktJBNq8LYfdwuSN8mjZMl7h7Y+0p5pPPIfXuYMQ0C4eemeCporA
A0hlsSh3rnnMrOPikyHw6osDr7vbnU0DU+19tkP35VdYFkL5nUbt0WCtjpNHnp8mJQJRu+cpVen0
xPDJNJ+FFyCrgAUSh/a147s0AxIgbXOnsx/Eu7bc5EgScaXoz+wQvKT0ITK8LjsET0ebVvwv3b1m
H43FYIQhF/OcAJZwhEzE4wTlUaDpT0WDEm/Xs63MGDMQAEZDT9twQ+DXQFMXllTWstXIYS0MnL3V
nviv/MmLb+iq3HJLZ61lj0H7WxhbnMVGbRWOx4ziCoVGFSDlpnGS23tejRnPHYdYYN48mkbrjtUd
suDD/ONSPJUr0mWr4VJ0t/jmG2tJU4uSd21oa14pKomasEneYE62Hqn2P91MJNITKh2/2mBRRDsp
w3AIUfYbTuuwISuBotLaG0sA/DxfACU8RnILCa/q2jXtNnUbqqLWOLBzz+2WuErH2aQDBu5bvt5i
Cgyx2rLrxgASd6lvwQQKazdCP9sVAPpqzlExZ+ZBTGsM193rDFtLqG6zKTYpF010EmWK9tYsmzok
8hozmNOiHePolNp/Btx18U3I97OzxQ2qNR7KeFMZD1ToFLtBHX0n9o7XTMNsWyNogTxRmNvwib2n
ZV/uNjSCOYPTu4mhBAKvO+r6Xq+A4bBUPiUAsOFlpHmOMD8/QNIwCG/f0uxM7pEG/YFsUNyyt1B/
CLqel3DTL4cSR0vS6a/qWOnC6Lh7oE3qgIGkcGunaRfdOGj9Uc4snzsrfcFaiNxIUl2mb17FGiy6
8jFq3brplZRNq95Mb6442c3aeOa7mCTYGY6VLyqzvMUMUF2QQQLq8IXdi8XbheSyhUrYs1pb/iqy
nqvsENLfkluWXDPcsGOze4/Di6Ftk+hiY78u4Vi2XFIvtyD7FDQV/wTm8zZvwCYG9g5ZSC+oNWig
YEC4kPd1cBA6EfjpXSAeCFPu7BejXX/R8rMWzv3r/Js9V/fxx6Ouh1/CY3Bl0P/Cz+ucP9OFYXXi
vWGj5Q2hQjCMb8v11+V4jeZLbT5SxRIB/aRFZ4ff0YvoMYJ39gbCkv7NjQ5fUnDYXA+3eJzwJGLv
ossdZ7e8OgzOzRXn2t43H3r0hAqC1HKyYcn2NNqnmH88uy3Wi+lcI9oNLF50TpEPHYmQpB1DufZt
NBcUV//O3pksOY5s1/ZfNEcZGnc4MNCEPRmMYLSMZgKLJgN94+iBr9dC3Xdl98lMMtNcNahBVWUl
g0nCj5+999quf8d4xWySLe6UlTuQ0d3E/YV4kfcn5Ems/9g8Ua1jd1vtxAfjCQEVqwe4QFr5RH0T
oXZ5TuYbp6U18Lbg8kgXj3GXcytnqVndlOIUCQh47HNYaYXnDHof73K2TawnA+q+s9Plls+InF57
ZqP2NBnb3N2xYMdyjUQ2+OtZIvivyUwgNDtEnf8eoWqChDzwaEhZYZxiA4eJcBvlH1G7LfjPOE+o
O8PBRRT8E0sWAAxiBpZ1lf4tOWEszHyOe7w2hBOWjH5X0DBxECBcroIaCMHlgqc06K03Jlv+K15M
/sgJXfdry6T0ZMUlnkWHb7DMWv68K7AO/Ar0/zv7KtjBnntS1tQiH+pvhs7Rmn513FVMkOKr4DuD
nYzR0WdtlrETnxsTIk8NFwyIiLiYIE1YOMG9yJ7JmfIZ95rH+JOaVQd/n34Mjt0jQLgY1uM1euN/
hg+63fLxcD/RoJkEzZRqptX0Yl5ZPJ/w3rOj40xMgou+g5GJF4Jc3npk+ynBym2yzfRCLzZpMyzw
4ZpLRrmvKno+iH+S5ilvjBphQI3cBB8tniGzhcGDoqgQR4+CcVJ2IA3pLvVECbMSw0PcHB3CCu22
a2NmrRrMjeFtecciuDu0L5A/2oBgq1dTk90WWcXjnuqW5hjmqMhcEDvsnLBBFk6GC4RNvDB/wciy
SMFgi1+5t+A9qzdneArmI7YP/vB8sX0cx531k71RVYLz0r5d2AjXyTrN6Y7hqfDISK2hnHGP44mR
G1sGfK7h1Eb0b0n8mLwHHpw4Ei5LxftAPzC4vpxLDWUVa4gkrtjJhfcIzIfOKI19s7SP2M8wRDs+
zxpYB5tGwyC99PrWf5q95SV59DLbm6m6H0I8JnbDfT5ZJf2T6l9L9o24ZGny+e1Sf0+pEll5kmXd
i9Unu6vjfPtjy2eNh94d+CrcA9YBE+gqoogeT6u4eNPjHO8j4ohz814jT5i3CZ+oaDMGF1q5wGhA
pliL4tcDh1mxvdIt9WZesC64syUKR6FEy8BwddyYY7fqMA40Rn/WXn0X4OUBFQG2NMTlt9bethvf
QYkwzIHqn6yvzr8bBvWs5/6m5K4aYEE1qFc9awYNzG0MqjQdP5h99OC4fH2AcDzFd0HVrVsvhbk3
P4/U6SkruJHzjR/jCip70KXJOdTJxaq9VS+7sxzrRydb6y45Sh7WJG/wCdEOSk8Yq0su/rvyDlIl
HPpwfDTbVOE72vhKtUdyIEMDShMvR7LVTJSyYK1Tp2m1degvob24o9uuoWtsfGx9eDeZDh7jPL9S
H8sxIA0YSO9tFhQMOT6ek5Bhm7G7dtEXUDtaTJNAnKhP6UC39xI2HxZ2Fx02NPLbah7SsxZMNINt
YnFK7GpPkv7Xrhy180mguD8YOzGo2JC8evDeFn0HKh5/Ki+n7627LzsCqEn00k6YjyYLG1gxfYSC
Q52CGqih9Jbw4ME9xBNHf2Qt0gzPQqZYuzpq9pes+Zfxx81v8GdahvOSxJV9gA9h8Lnv5x2y05YF
n7yhWMLdOhPNoOVUofHEf3qZ8tCUyQuJAAmmMeIssfGP2vmTa4f3ofFbJ/pFUQASOTdF1d223Zt0
8vuuoyOhnGnwYDNp9treUwZwb0GcoOHK3DMnkmaOCmPXpRA6xJw4XHlQW9vCP1W5y3IxsJCXXboT
RMD1M1Y85jXkSHqHoN/2REl1dB/0rb9VPf7qJGiSde4zCwPu0N4I7CX9HnLYfC7vBCJZ9xvhIV0S
KE2EARamGIKux3qkSV8yh4mpJUfV6gESh0wPs1Z/0qhy8PvgLuqyEL10II1H2Je2L2udYiZclxkB
iTmjAKNig6oLzC0RI5JQTLCWX4u9ic0lFBuz9h/V4B8RESbu1vmxF4oSmCgiCdPgbUc84p44Tdy0
6pxpvD91dvJqqZLntWHmq4SGPMxZyAZ2DtwSItWzXMK3lHBRsuPUd7P/XjnyO28xLoF1c9bbOk3O
vsPe20CYI27GCrSAECEC58NK5Z+sKFhdsXZHtKk+5lhwhOC1R9st+XrZ3UFX/YMj4Jt2gWCZi+hq
LJyVZV5z7C8JgyJPBCyI6W+yLRW/2CcA9LHPLiK6LWntgI/Prtpr8FBF6RUf9ksMSXfwBImaSZFR
GmdK5iKoLRNGS136bPvK5uqleJfLkhODZWnV5tFJuw3nucHHefCug8dtwa/5mulOvg9edAwc88uM
mSZgKmtQBMe0HbgGSToiEXh2RWbMmwgayUq51kt478JHXBVjyqxBUCqw2dhGcIlIQJk3njRyGBlz
tQva8VmmAbvhfPrJatqyZZueEo/qwdRS0wbK5U+aWcVOjZpigSba9f1U7eoyYybo2BEUniHXiPYv
wVB7zIsBNxnrTXnS25gIMDtLbad2POddaxNnzordMIxnufzsaqw/5hzCZ51wFpcNlw+OubTPCQbJ
pxFibOhz2JcEguwhiTddqzd2pGzQ9NMvIF2cc2nGyYyq7A4FLjk1IivwZgU4FQz0h4kHiovrnGB+
/tEYL3YJN0Inv4ArjxYWYojcOl/DWQB7Q4lTFGZAg/pk30whyAjG5Dq5iNwmURy6pEpmNPSm5DNG
xh3GZEVVZH/vZdNl7FkypfTSDRzccaa8g/NgxdnVKNxLlvkRYRZWNMHES+pp/3b85OiGJJZba/rC
Mb8fiDnxk5l3sg9ZpUzpnWrGX6E4OUhrE19vHuWc3NQKwhuBdb0rjPzNjVkUIOkHk3sFYEOVO+Sx
kVG/SnmSRAuWIiUV7PAtXLk9ZbmRzbZYKeAH3X2Q4SONomUPpGL4lUxIdJ5ChjbuaRl5C5KRCNdM
HYJZMln7t2VgBsxjTU2sl4+QW4PFGLL4XHgp+x0S4rBPO5AbVEjnFYNFRDn5RhPhTivqKVCGIhm9
QfrkqW0Rozar+mWeyn1reitzTJ8MZ6KpPGaxSwEs33bp8VTNZnpHOQNtd7gQZWMdO1AC2MrqFE7F
tSmp5/BY03QCWG7E4SZcWkInFkdAoe88F0HDsWKYiiWbd5lsTU36z64nihwj+8nwjY+W4dXm1h0w
EhDfpV7IAwqRiiuE+cvgWO8R2Hqp8lNCukOOzEO5WFjBa8cTyRmaz2FwXmvJBriOiDxoqHne6CX7
Bd0KE3JTjcUHcTJyfVwWhqS5rws2VKluIXdUL1Eqfz49s4AUO6FSWe9FBAbET8EqJVX6OqZc+Qm4
bYpeUBPEoJbBb8Pny2XbLfUe57k8QHOeKC62NJBKXFCxWWTnIW7fOEJmEMzlV977L6GtjVOHIbKl
htwsMQzDtuArY6I2Cxl6iO/RkZSPB3wOCq3fF2fKG9TWnz46W5Vb6bDElbI+dAOdYtIjyDobG6e0
0uPo+l8FBS4HxNsyBnpcDvX3FAwtT+6eO3TyhA75MEzht0pD4iAZ+z36pwHhLNjeVrmrwpm/86gn
QFHWmzzKuqMlwmttpcS4+oBtkCCDBNXtriKvuM77S8qBsSRIUQlnzoDJk2S5qu9xCI51ifHJ1uyx
8rC/U3nT7Qu+PtR61EdFRqOOa31vFe39bNsb2+Y3lY5t7EMgR1gigE+h9oXN1IK/sg4x96S89rh8
zEBDOzUe+iACKkwLFH3uuF34fk0CpHxgcpN3P4LCgK/v7Nu6eg3D+Q+WChuBBcECX5WHuX/SqV5r
Uvk05fLuWzh/shbVQ2dPuGdYkaQYmkiqf+ajEGRCB9Z6066WJRAECs93iO7nzFQ/g4RkV/GT6HWv
kANNkrYEGyV2WQWnpY2c5JDLwN643vjsh8hSbWV/DZEVrcBafmrMRdumZFHdTMPWm+GMNg273CYP
kNB5uo1B7G6rYuqRT4oruEHnYMv6Weg+3I1GeQd9hnNSf5tF2m855oc1nsFXQQ06rYBIJVYCNNRq
u5uc8J7mSDvIojZWw1BAS8AyuMxr6DYwP5OZ9PZCSNRG8NJ5N2Xo/QZh9jjr8axqD9MJ5I814dON
ETU3loK6n87dIvS287qP1F6wac4QXhwZfmTFT05xczbmx1C/RE0ZLWXs49bOKpyBxlWl7CxNghMc
tRzbGG9xONuut6eNQK6hvSUdq79wPJQ+WCZSc1RODgO+kgJxDit0uM++ROfmmyEuDmEcGxBx6EM2
nU+Pe69tWDFED767Di3jfFW9AQll2IVDUWEUfvMtDYNsDH+qhfTpho6JgCioQWLZR7fLzXSWnhVu
5pRpyWn9+8Dr7pUfWmghb2LKrC3CKDdLEbx6lXunW5N9RUKlhP/iFaxb67b9kg9+13GTiZvrHEly
utOF8k92pDY0i5EyaddMqL88OFLyiRzbd6jqvIoA+E+C/Ndoqz8oqbdTxb7JqV9guZ3rsnhPY3UZ
3OiMNelHG+12AKecFTdtwTZWCzYloeyvbVfCgSSnMob6zfGYJufUbteZ+1bJHj8PoikEcbCa3NDH
iMCD7Dm6jSQEUEW2IhSk1FWk3bXi7Wr46iX1kONCBChf0NDl4IJmEk74voMNq6L3YX6zYB5smwCz
V5Veo4Jm3hz4gYnApyT6f2s2DL3OUcvliC/NjHAhZFz8lGuquEDIMrmmBS3Pdkg4yJjn57keIaP6
hJgrLs8JQWb4JlsZ2x0ibYWlGv43DRrEJdNpb3bOUzf1+3wmgdXAq+SN10/T2LxUuTpFNle2ViAW
5Xazo2zDIdoAT9rcCqN6hQmwtrFW8YGg/MsKJwL+1BhWZJelibhSa+9G6yxAaJm2RskyqBq5QQ8D
lwk/Bl42OnvHKjZ9kiR3QEI5q6J6mxvIMNKZTr3R1WdvIMevlBFsZuHizscg03IybJp6/G61CvbY
gCnPCXxUmrxqbuRCbMPbRGcEAGs3b4pToEirFzZlDHX2OfeVv3FIy6VGcDTdXu5Mq2CZntd01JN+
XBMqNPYikvXNNBrNbq6DM9lcfYGEw7XCgXfiyai7AecQltzPxuTGpFs9NZW6SdviUZTzURpNtRWT
XpvGQK/pkC338NvGgnDHy/vEeEh9d4OLPOqAcTiD0a4bt6x2XGt3xZCqM+EuNsBpei+6pLgd2NJ5
fn6XxmZzomocQ5Y7sFMp5R7Q29nQUXjSHVKb534XbRzC8a2HQzLR9GNxC4mknxwkPSYsKmaYZvAK
x5CBO+KRvq4c+Jv52Bx6R/vrcBTkIjsWbTbNH4+Rz10riWLzhCWty17CqqMbaUy42sk5O7heD5Mu
iQ4QNTkwK/EIfGE4YDsmWtE7JKUL49YJJ3/n+awlspj7DwFdWACmPJgOvs7SxjaVzGmGndjelr66
BA4KP0L4npLV6VItn2/NY6kuCQzyvNbbpmdUNIOEy5bt7P/+LYrRr3cyRo7k8ujs8vRsOGJm/ZoQ
pFt4mU1TjPussT6GCux61ejfNqCWq2CWDQeOpUTm/c6qQCDGWQl0YEbHAk0e863kYWW7CwmGX4mi
g5vMrLe92cCoyMdTOsEWL1R95Fmpb9zO34RL2W4B73FTqYpRJ1Ppwe29Tx2AdO7HhCZO2El6CJt1
mcRyPVuq5WQe+rOy+0PoFtxPjJyNIBhanNk2S5m2PDp9+unlrG9Ti/ioSdmASb2JsYDHyjK4C+WM
FJkCMrLLBBcGlH4Bv4rUeXQckqXrebmP9YsFd2qBVwT6w1iYhxMcFfyJE/OIHZArH0jfDqAXl3Qk
RYPgFGVVFFv6vDHwghbbFCMymhsL9SxZH+TKB3ov2s+mIxoyBHu3M9xP12EdUdji08GOkNd4xgic
DxePLM9NFRK1Dtnz9VYqbvqswbEGvWtXsl7K8gkVmbJd8JQWSDlbHLIGmu8we/yz2HmeRrN/iovx
gE+fqZXcPV8d/atI/9SN+rVxpB9EezBzAM1O0n65hv/q5+wJM9uDhSqojNTO94CNNh0AKAlT3cgx
hEcSCmzV8Yk3EX+BLr2V9obnugBvjQHr0mESMMMEP0k7vNV6Kra2ioGUCgW6C0x3yqyC16hcNXV6
7oN0Wlkjcp5w5l/XI7xO3D1l38jgVHblbxRwRZx46O3C5ihi41U0Ang5TkJYKt52ptp5pckYrwMb
/3/vd4e2pgeCWLzD7L923PLku8zEdcpCjGwb5DBxqghf7rMh1IeY0T1yFbxKXnAwz8MlEfiTlKq/
m4h/B8aIPUdCRaoXFRFpGjKWtmUWm6YQO5WiaZusQMLGpvydTXM4LOnHQN1wQa5Xs3OjREyxW56D
JfVRSJKRFFZgEQS2G5BhakblteMWCR2rcAsEcUa1dv2yv3jhiISCsFoLPlp+wG6jCPg4yuy1CbJD
R4TZ7GCDkHXbZAYKAWUF97OB8wwg6avLroJRyz14pOusiJPbRRejnS84xO6nNJc3rawAgYXB2cy7
P3SdZkewlpoUnxFMXFaC5uIPwXSh2wjufWASj1LsTaeMhkWX5SHGFTpgSuY0lv0UMwKJ6c6Z1jvd
wXPxcUzCENYHbVTH0GvlThiKTx/Ws7TA09240bFltaeQB2ev0we5lBpoM5u3bu7ZqznwwFpxPaHd
ct7JkPqeeBBsMCAfbFs9a2TDbBW443wqwj9dQ9c7h9neor9ipQp38R6axUFyT7WzUh6yCD1SQXIt
EpfPrBoeemt8LuI5fPC9/oH/NS5hyw4R8JpXzv3wuWNLHiguGd2m8MNgT14AmMRSMpONaKNeNM5o
GSYVHWaQ7auGh0Rrxsd66sHrUgTYxsW9omGZVQ+tQap788m0Iq6HdM4IVDwdGJRDiuZ1iNiXp5gc
ucZVYjMnbb1NBvYFQQ0wR1VY4AgOMBuSD0ZMoF0AtpGFhaSnySBWwEdIon1GHR9Ts69ovXUELGrg
uHPLVcN0ttpmmPRKHyeBtafDwMUuwikRxAwOsuaDEZMD79XwmABnXxXKfKw0F/U2Hm+MqoHFjqGu
yMaGNg7gVcSFDk0gV205UQ9T5o+1CgTrR8yrchpfVW5Ne6QD88XoTXdBV1C8Hdfz3nXAycyoAGBI
iXsYmIEBrDdHKluxXVD9jBc1CP6vVY8d/s+//5sliEn9D6163fgn/+rqsKRIjwHmX37Rn8+m/fd/
c/+Stidc07QJaCmHe/w/M1/yL+UIKXz+sh1lAi/8z8yXNP+ihc8HKegqafu2z2v4f816xMEEbmJF
vZ4vgHV5/6vUl5T/NfRl0dolpOM6tqdM0mTm/x/6mioZhU7Hx9Fu4JeOKc4gu+UblhO8HinKju20
PCRQkqEOsr+ySuw9/utYDfkh4cm1zSvutSLq6d1h/T8Hotiljv9tBPVrBFQMgycbvSbATNU1mWal
Htyxw0R8heVYlgiTxgxT17czUhHNw5C2G3BVhH0sjFjSgZ0bjO81AoeuzJ+wYgVYR4vTBUM2/HmN
4OHJ+LcwaX7pQISmbbm1oiW55CCPCu/LCqx1bFv2ERrtQ0XK140GvZHhQH923Lw0y64cfP3aMAoA
vwGjMfTGOgvu1dLO2WcJ7e32hdnx3VfxXZz5R+73eyDwB6IBtxCJTsbsF5c2cLdkt3qgAT3FvUH4
3jUUoE85d2/GmMJhCwRgakUtR7mNgf6syWX6naROs8TIZeDTKEIOzD63cdMXEIYDDOJjhcu4KtWP
NVKy7YXIwlSOYLtrxVfIY5tZ0/QPtPR8dTQG0VSVOtAVB7Y2snwMUzy1zm8W06tn1s/+ZH5Fjhj2
dTvQoZE+OCOFGkyPg7byXecvvFgVc5REpcOqG+0ZxNxP1mGz7KKh5DgYXYIJi2d1emEncM6SO52G
LCYK8ZbhOACHjs6vZ15nk9AX8quU+UUACjiEcaHF55zG+pnSi3kH0eC5Gd2rmZOjr+YAVxYS7zYM
MwRMftABxsdu6Npzas0/dVBcGM4PNUNKzBWborqt6yjeQGKB6ATeJzGl4MfvwIU0VVRtlHrm7vbD
lc5cd+agd5bpvcai/kRo4+1R1T34YEj6FWAwafCZz+15uC1qzB5MBOLRA/BAEKwVIKTxvProhLBX
GvZIsCPiijzcoF4Kk+Ixj4OfUxBTDavKXc3kRnLAwXNpJoTV6sUC0VOZoKytS2ef4j03DeSSN7LS
xW5u5yuwSOMQ2WBZADTuanEMKVIBFnKKJzjejaweu9FCEB0xebRc6Aq2zN3c722/X8xSw34ua2sV
9lhmavGiRzzjsqqvzgQbpe8BdCXfRTU9KHs4xL5+cZKJ6QfzZkYtz9rs5NXtymcT0tcaruhJDz4U
svQxi/qrjavcGwh3G/XzUJ3pH9iK9Bsru7XuexHugBzFFpYmOwBELmz3ti+aV68n5JLrq2+3FDOi
gsbGdIgDFFQRAE2LrP5V0lLOzRNyjK2fGksjHzT9bbsonhFDDewrWm6ar6JaasAYvismGLm87MTL
sPASxjE7vBm+fid7tB8ddl/RXYbvJqBncZVkxHlYFmw7+tGpnmk/QvAovD2bWcafqc0yoiFsWlEb
TEOPeQi9/NS1uDjCcILd7FtfdU/vj0faf0zF1giLFxk2ZI+oPQ57vZ+65LNMWZVko/wuMnCtQAFN
ZngO+Em5y7bUv4i0fqvtwt5SXHcry96+YQtxbOfYongLfEA7vYUDPuBwxP0klmlRALQds88EnB/0
8+iVlpyR6GbSbP26e09L87SsbzJsC0ne34eCKc3QPaZmhOlembuODjloe/N5EvYpmuG+OT5FDbFB
NE8M4pY5JrpYRp0eIK2xceTzRy8F3YLYIJkesXWOku9xxrKUCA5E02GGAxKN+ZtxG/N1YOEOyBNt
fwNf+7cdoLH5gwDt6eqnFnQXrnYIDw4jWUVPcWDgmFM4yMcR+C+NwHVnrMkAhStys/ZdnbdY4Eqs
qs2pqMuHzrUw8/DnUQ4lylb1i44FGqCA5zFzdQ8MHLC999GY8j0Nwy/OnXOg4gcwFGQAhvm5we7B
mzlx1DRB5YLJE7t0FmrrMGzD2q8Ohpnin6+J6c1cfFZlo5i2MK5LjWSbpEVyXhv1jt/LrXuY2x2N
fto1nwrfJQNAewKIGvOVsj8m1vCuZafr5OjpwJfWVqOao0dnVe+b924CkgU6IaXdZvDYRjyQrflz
SsZny+pshjyaSMk3kHFKsjdYOMSxIgwaKcMdT6Bg5wX93oV/syyjTK5o1a6UwGMDysygAaX52ovL
7o6HssEEH59FStmVYdXHgDxaNWlchTOCsUGYcp/+nZKk91VX4Jsr7Ia2Qriyx+IU1cNw5+TKOzlO
jnRqegdc75jJvLJmR4MzpcEdSTQxu6Bs4tNnOtmQ1bmRFnUCvclo7CS3tdkNYMv1qVu4QnYVFeCl
wbY+BF58H/tDcoqi6t303dckQkLTRRPudZgd7cr/5Si4Q/DCMVw+BzmuiZgCNoDE1CVagq4d2/8M
i+bixpjQHCwj1zILbjqju6fL5mdOvIc2telP6PZxzKrK6pK3UEMCs0Ns2nE3vyjiTMzkxwF7ebag
kkOPk1TRLCAr5ztuhAX/qtiGRksYVnaPs+nmCLTzDRorjtHx4sPVAw0Xbuum+C0znFReVgNiIaCL
/B3Lva2C70QZRBXTfjGrfEJLBkcN5eGQRL8yDN/Iim6S3r2GhoMy7fQktbEL+e2Zpl4asHyMJqXf
vPtBR77NpJArcYfHrLPP/wdi+MdQLmET/PdDOd6+n8/+v2AYll/yj5HcYbpmRAC2IL1l5JX/OZLb
7l+u5TFbu5AVpCVd0A3/xDB4fwnftDjvbWkJV3gQGv45ksu/hOvZru8IbxmnHet/U3Zt8Vp8hu5/
5XnIRQm0TZQRfiPT8ZZ//y9t1/MwhpWrBbYS1BGgq47BUM5gSbIsx29YEe5xEo1VuCbZ4Hdgqhx4
oWOFoxzLSbOoGzYxTMqTVE3RazH2DtYDoi52TAmeO1m7JqDsmJ+IYAL3UZ8eb9wYCB6kaW/dKAyA
6jYbaqmguU0tDmdb3dcMKzzYWcuTcEwqv72t3zBDuSjFiw5G21MgcsXifwWWtCCdwPK/6cejETT6
ZEqFxxYQex1iTqdT5tV4wjCEfTpVrNCECdGA3eAa6CD37yokBQ/dgT+no98a42FM9bHlqev2c4cz
of0jJF4fA193YBU/ZWYtBpDqUPjZLerOUptH6SYBkRBvnDu3z27rP7hWe43p17KsiNqnJIBtGdxV
8/TG+9mvW6OmGEfHLwkbE0yyVB7202oEv7ZdWq5Du9oB24ZpjcVjk9Vkl9Kljs80mLnR5e6zLrzY
Hq10DkH1lZEgO6GJl0nx1kTlu5dUGkNgv44UmoI9NxikzP6tr2jRKgYSvyFQWMd3d1GAI1yOmuwC
tSZlZ58K9Ud423COIspkMN9048Hy6muOe2SF22CFWiGIgw/1hj3Ac1fp7ADbhSW3xmCeByYetfrH
CoKn0Sh+HdpriapNX9prP6dm+plQgxnwjyowaWIIRlAGJhNt3fTpJmLZhxuVUPUw4e7gQoj4izMD
riA5RLa/I6mfFmxswo1tg0HT9AjQOvQz9iUi/zxC2jdhpGoJQaxG+kgtsI9ZHs57ohczOzWQge4t
lUwwaZrFGW72+T61x2OXzM4xmlriXRY9jSMryEMZhrwu4HAQ/nAbDQpGiena9oEEeLOyk5mi6gq9
2PcObZvbm6FEL/I8de/qgQDXnL73zjyfMI4QCy7rPcxHLp/8WOt2psDA8F6naf4qJGpVaxUMkwXU
Ufiu9lrY1bSJE3DUkm6vbS05WVspxnWigHVlZvtSn0PMlVVe4BV1e8ylSfs6zON3Yg7GJc+pqskF
pXrjbKPIzFn9KILuQ3CBmkdSp2gWJboRnw8fe04xUX9oF2oXj9Aq/K5+y9v8bfHDapMRAkcV+58x
fwUf/DrXtb8xJ11vCjM65Q8anPBJ4HPAnlvPj9VUMuPSLyCGqWAYM5M7p7cfSnPYqiB/5Ip9tdHM
kj52trO99Oe2qtylAb1i0Yjr3y2ds1X151qXv/bQPSHnpps5xgLiuBC0Unc4q4jo2eAyTmCe2cWx
PBnSK44odzE3n6MxiPgOMNOOEfM5SuhmywKaBlKgZZQg4iiiiagoeER5KgO/nfndP/7WtiS/1eRx
1xWYNTuc2XZRvrRFdO0g/wVYRq3J+e3y6sUK4z9ZkOb7pJcaOxnr9MT3uL3AoktNQOF5TRAbCMhH
W4anof6bW0x9DfH/DhoPm2UciXrYB3zmV/VIOF6M3F9c5zJX7pPvDfF66kj0JUW+dWfJzFQscGPc
CA2YcxTlS+mHn4ZsNo05nmeLLogoMz873a/hhFRb/ZM0MF4GxphNmCy5X3u4i8k0N5W8Bl39pdzp
2gHc4LdJT8prwxPEn6MgUBjw9HBa64sojVOyHWjtaDxVUXappmhXQd5Y0z9Pk4sRHHKOprXn5cS9
kJXWAZG6jNrtVZVRWwPQoKdsMT0rD6LsiIQ2Fp3BZkOcfL+7QF3gNA1gAa6ktaAA4gj1gStmK/Pn
yI4/HKTmtmx/B5oAeIKlR7AH1sDyoohFt4mc+QZCxq0dhsTlPOzvWKO6ZYOJlYlANl5ehzick3zP
iY//vIhaWgaIqVvCRBlBMhNtT/EwSWBjM2Ym3qmYdqapDfZ55797KI9rldL/llC+tp1QJFeiD++B
I07rxqHxAKMrIljI2BfGPVtqwbaKUvW3BjRrMHPzdHJc95AX2G/BGyCj/QxCzPfH8hiENb/USy7U
iyIZzKTbesIKsQO/PDAwGNpt/jvG9nPgkGMYQ9g2ZBCd4EuYGLPr3qZWgmdmm2cES3x8rJVmaauI
0eTdg2GHybPRZWeaEwEOiAZfgwpmqIAUAfWRgdvWlrumUteqzylab/GGo/E8WATYYRQaUPUMsk9l
ed/9CYeKhFg2IB13jgWTXGH8jVH/J7t9N3oCFL1OcUvLb6Q9zWatQVgnyKwSLPsxmjSM4+eqIkJN
XQdwOQXi3nHeJks+dA1mn3ioHtqufnExOZXLtEAPoh7zkxGPydoTetmSIXhUkXnkwuzsxMBX0KN+
po38V7hvLFLuB35gvpv9WUzmt07rg8sPf0ALiKnQKtkx1V9hBx87umHrhknX+XRD5PQ0N19RaN6r
Fp567z+6OejL3Kc44ScBqHqMe/nl4X51EhZWXgTIieKEasvhK+roXoKNvOTwfq0wv+CeXKOdrYoB
o+PfTAddkRepIKKzWO+ITnhUbdgRHgIAT1GkHiJ7vkh6ewFxq8NYPU81uibG02DNSmyx0cJv8FsE
E2fkVoaQjtDoOcG6BwGka5FTE4/g5uTDM6qWPOGL2gFNJBkfHd0YpkPo9NtoxuZqzPdGX90lAp1w
vpN1bK2GgRy7208jqxESmNjAds5Ak3SU2nTFD8m2giLllk15bKbu4EX1Q9suJ2wYvZYaDIOfYqlE
jgoDCCstkDzB0bMUgA2hMxz6LIpXrj0/hC4tw6nlWNvElvB0nXzB61A0KOs7a7IsNnjRemgQIqCN
PRu19SyaHk4FvNfCq3Zja37RNPhTzxoQZH9vu+UPhRynEGfLRmNn9uP6YszVI9dVdPV27tazuU81
xTpp5rbHMK3uC/44koCLf0stXBbptd139kEq4ybpMV3w1jaHIqCvu/C2mso/0CQgRBzLZbytRcvX
hqcwXgoO9HxjA0SZ1X+QdF47jmNXFP0iAszhVSRF5SxVVb8QFZlz5td7cQwYsMcz3dMlkfeesPfa
T8RbTLnM8M+qi3k9o8jGMRd8lH7vZGL8C4SJmtAUYs727hZMrD0hwwN1YIWGt0FSwRUW1cWMBGzd
5uBv1DiCL6CsJ7NhdoCfZLC0te5XPK0alaAwxI+z1mCYGCX1AASJOWVw5tIj1pbAxJURTKoH8Qp9
qBwj5g2BaooTm9sazEbb4qqohQGDs4HcqKiI6Bw+8sjiT1cWT4VUX/TES23FpFvoC3D2sfBT5Ehx
GuPZkTMR1wVPGWH27SuQ6deVOPFXSmNgclSdroIbTkz5E2WNsKoH40/PRWj4YbgeDfgAS6izluO6
CZOCeTRPSalgXs3P3bOLSkYoxUeDGDKl4NHG8j7kESEl8geZgjlxQcPvzNxAb41V2oklRs7oRzPG
kORUq6XQ5QWpYgJNg3h6L1GPb+PiGwJ8uq8l4mtFnl/y95pDmqGTLiliUFHvhmLaw2m3lvAZGI9B
uFZ7prmNmEts8OBz1qUTiyRLjxK7tdJ/62S8DGWEXAkxwyMVFDyT+dB7GPzM5U7SQcb39Adz0kmO
NQ7Mw/LOiwOdCQUczR6bhDJ1n5DnCRh4iCqQJNRf6F9GvDm+BmJFnXx7MJEKoW3emxAQxgTCjcnP
YIsiARa1gVYQEha6siFyq87/RuOR7SdSXvi3oqscxvBdjeL71KlOXHEoTCwK17W86KmSgtsd0ZYw
NwlRffHTb/QDo0VWLKL4jcJxqPOCdGs0z/CG32K6NM5bFczLUG0zvUbsSNhlIiRnw1K2WsyiIdTH
F3F+EoEVdhD3xxqw06o1aZ8QLK1JqzC3GDhu7UjZwiCW8jKKeicAMwbmuHQyefqO1AXCp4trVgAJ
cjQ+78HnO6syFcCUZWzFJgdmNEyPUElJBYqGw6BYCdYf3YWpml+0MoTu1o27WWOIVxKmYBDzTeWs
72ShZISIbG7Z37Lr7CmVuoi4mj7566yLak1fE897Mafsf4k+bQxGj0FavESZcbRBfJqDIh9ULIPA
uonZc6blIy5xNWM+wNZk1sgPOxj71WK1Vc+KQn5zm48g9JR73nA5JHOAPycutyNK/iHojkLQte7M
LDaoEzJHu5BNFeivCCBwUVPt9LP12YvvcTKx+6iZFE5ZhAG9JDyPbZgtaHR6MjK8HqPIoDO5MdPl
ccio2YcB1xASBC1uN3PWiBzo1L/E0yz/hFQPvyK28XLwNLW6zeb08hmWiZb8Pi2/zayU7LvZAGmK
MjugpQMskVhMu2qs15jIfNUiuDs2ItsSExzP029n8XVaJZ5ARgOrrCyIYEU9bzdhskfk3XkZDIxA
Bn/M3UogB0+bk6fJ2RLy0jF1FLjlpGu4YTgFFdguA0sGpaBxxy3z3ZvSrarhRAx8oasBC3uI16sE
9EZTgcioNMDPNDOb/gL1aNrim2uL/jlpCB1Usz628HHsKYdMEBL6MYQT5qV2p5oYwOZ63SST6shU
bCsrnOE69Ljt4PPZShZ8ihOKRov1dlYUEhZcnI9L9ojqq4TejOqzY9Y3sW5i2oFtuWVdtFDNuPir
gx7/wZv6NTXkgS2ivzHD0J6Ej1Y3rgy3N0TRbw2EZ1bq/4zyw5iaU1Lnnzly34T1K2cuKv1Eg5ge
m7vJKEqPIk2m7OSEjoX4nI0rwOps5bTkLVWZZwM5Wle4BKjTpmBbtfEvAwkOl+LlM9zBdE23g8c2
Zm4NFe6DZhTl75DeCtRSiSrUuP08ea557cJeXTdp5rEieY6m9DuFLNrCIS6gaLbAAorvxJCdDre+
n4ETURdLQl+/w3/K8blnD0EUMic1CBKfcaUw636U7fxElQLfqPxYVrBZJPqbMhGHrdnrXmFib8NI
4CR1ChObisEU8FZ27aWK8wEJffeTZZGwmiiTQ54AJD0rCFg8cCpfxlAsc29CR2qNrMYcmqATcEZV
gLixJ3DWEchEtFer8o/66W70HxUHOUahJEScwpQ78b9VUyHfbQ4QtqBKmo1gHT/Q1mRrLkeBnKHc
0eP6vQ0oJCWWnIksXRHNfRQG1oq5xM8QELwcI21AJy4iCcV+FS/wPkMjX2T0X0rbKvDnKcex01wy
pBX20EONT8O9kKGkwTeQYTxNHE12Y0MkIkVRcEfQMsklyBplT8PODmCK//w5vMdF70YJuTayCNKK
HAfI9siWpfyG/YC+dd52vJ+C353BKB7pjldzcAyFN5+cAcR4uxw7cIbzkBf3yCjsYA0onPwGyZ4m
to+wB1g4R8ewDrGCWdVZXTwl5EO5UcemzjTPtZAiuBRzJj0NejwEoZlrEqiIiWiWjWxjVP5VaYLJ
6wUCJgM0UGOzZ/yuw4rglabm/+1YH+USdUYhBaRJLDgfU6H+f7RoU50BeQL/mPJMBhANRHo1Q5Y5
dXNnUgP+K+VzHPxxpETEnsYOAmY/JOUAx/eknjpN4uSr00uSqe+xxaJ4GmrVjfkwYab+hA2WD8yI
bLviuz4nRCeHbFWlQFyXGr30NEGo0eAdiCJA+EJkvaqjWW7m/NXGCiQwlURvhPastzSgIkbWOVVp
uT18VeiHPf7TYPEKGdqFQh8sRE9aY4wzO+l1GdWTfoRj+Df2U+ViSjniC/jDjoNIEvF7MhGdPtbW
Xy59w8z8tBTxs9Tnb6mM4Vi2yQPS+yaYMe4bIoaqAtlk0sFqs6bgUCKFw3mnuEbBIrBCbyhE03NC
mUje1G6UxUub4aigQAxKVsBDZhFcvFhek6b0Gl//joiJAVyCJWJG4FsUg+zUnO28Qfhmg1s3qKgY
s/fYFGNP4myI/H0Qw7uujFeoRRD2K4SErJ0932dVp5n0vplmXBe3AH4/Hsu2vqqLzh6jxVRPvttO
qDNqmTg3mrS/TCYxdaZHSeKpsaHSzW6QBFdR062tXgiECli7NpF+oEk/pJSZaZAO79FYnbWCdLY+
kV46Nz0Jfj6DxqT/S8CAgfB/DmJ3R5wYricmm2umeO8MnnJMEHO/NTKgqctUwcosJJuycc4L5cFC
bMmLYxs0VmB0Rh5F+nd+pDR/j1QYGgykE7Lh/bXRUQKLtQLGzpJ5hFpUBRJlVsf5m40IeesJG0AC
QhOPsbTuoQAYRZHYJI9Q+dasXFSpPcyTInuNwkQwk4tPddRxFKi0LI01KFw5jA0TfeRuRQuqmWi8
lLzY6L5460oMIS0vK9vebhvxsbIPktbaUhGPhIkSOtHdKoPbH9F10sZHk+XBLtHkK+wxNAPsGfH4
FMBamwI0TAYzQAkumG/GrSgzPWOQjm2IixzxfrUlPu3cB4xV4goNZEa7adKJAa+DnZgOeJoT/4yg
9SMrmRJNRRF5qTTfhgXQNHbiteaHdwkNAfNmBO+VL5puzBTS3SpZdimYi2+R8UA+UuAuNWNBT4T+
be7AhHa6ku+lkcPUZ//pzYaSbhm+JSuJUHnmu5FnNbwMiTB86HqWnPVQPywM2YNaT7NdVjChUhWD
EOG7TEVG1RMa7oSsCvHOqXQCncj0OI9SIilLDhlNABhkBGXtBRiR4Cgni3nsiOm/2wvhGaeUsXwz
pj200qEWgC9hW76wSBt2aEHonSbhiJt3G5PjSvAHalXeJ9lB/t+0NAdZVZ3ILzkVJs68weJikSzh
3Enho5zS3mnQ0YdZehMQXgrcWhLWOqcJADAmoYgpiM8jLfFjNlkCR9RKMQ007FSFadgShudGZVh5
0ghIa+iW60HKrpGiSd5kDZS/xTvI/0qMH1aOo7LvpJHtjUDngzeCKRXadf7NScUFMQ3Is/MCp03X
fHP22r4VWlhqmDQPdXmLpOLWa/Je7Od3jiMc47n4OphVQkBrokUbVaKYCsOMNY9o5mt5GT3A3yaO
Z+Z2FNXvXhXzbVerf5hmp43eVftZilN3FFhqNovyKzHG6TBhJur9/N6HMT2eCUOmyIj3G/2FzKRY
OykLYQNpjcuK26aIqlT2Q4UAk1AlE2kKsSMHouyWAcSKBN+uXPOc5yiimwIwQNBTagpC/9mFJouD
4KOaGOGUGLkZ4pAdrKsdGWyG10H+1ksr2GeYPIeSCE5Lwc+YqkpmB7p+qQv/gABLpYIBsYnTbT/K
VyvHoz0qWHu4MpkVMg5PojbaJcK2lIHc6FiRulaU19Vs/SpRDM2hE2KAZAZqW+a2AsnF67olihKK
WCYAjUQovxQhKuqoyKKVIBlDM6fToHQUbZO5zclopfkevXlUL2XHIa1Y006J2m5N1+his6UpkRSU
zC11qJgpBv6kdVrjhkUcTEKpVIPVG7n6FOC1XXUhRjwxJsNpFE56DVU9eYOZJ8aa4EQqlLdZpT9s
VcgxosFKX+pGZSMGJmLhSqFtgvOBxTCXz9Iks4DmW4INSVMwGlBG8vzI88/yJu9+RQlrbIrtZk1t
wP46NFYd66xojXKVF1YCSCDLpQIKNTsm2YLXtMggtGB1yxkMkSCFVcjEuQtMJCTL901qERqernlN
OkOyLhIvYgHIDffXmk0qleJSPVr04OWSplClzqiXv+2sfI88335SsSLxPzNZfYIov00xLHHsYEXG
pc7gGfDfrO9mSXuvWhmFBiM0g2YSsuk7qTmvJkd9j9EMxW5BGsk0l/cQSy50ghk+Fgmf4XdR31FG
aO3ZFL9mkzTzc5KcVSIBq5I5jPlhyXeC8tDRXQL5oSc7JfCS/jDgZ2FSauw76EWAsKsTDv5+N+iE
8dxSOlagUtpdkW7E6xmsBvTgOsgev5a3oGerJGk307xPYMis7i0snhIfM2ZUaXFzz6oN1txmU0In
iyV9ZPdVMSn9sqpboR/nzlWKa25MK7YLDEQ+zBDJG9q35CUO+tH3G5upkqv4z9nf4jdEU8SkwT/l
0a1hCDrcp/yUVv9IY8dr/J2rkIVmKCaPXL2b06FTn/7856svzXiPaoBG4caa/+kDyzz9JmASmvdd
bycjpMmD3u59GCh11HqhecCMUPl7aCB+trfq91q9iSTv6ZAUZqI8k8ydgIrGzVZs6cXe0FiuLeW3
TJ4xaDIwVy3znvIi6nsZT2PxMqTfhRENRQIN+mlq/rr2WYjXWb0F5V+svnJN5wAhHE86tfm/MPhq
YRmKFBCAZMHD5aBxuPd0/ptHOvjQsi/Rf8jyl88IyFefsnRT/GItM6yMK4cfugfQmbDVkhJ4ZZod
cUhFGcg+k8dMgzuTM4aX+GDZEliEJ9Hg4l9hRId7tPwnNRbqnWcGqtVIeMsox0f9JxeeBTkixVY2
rRV+NWxXZB5A61LbW9UeJuyFQIeSI9GOEY+begCGbwp2vksGLE67Xnlrh6POqZ3k5PeGW5PA42gz
RhuFOBP1xK9MtJ1hnGfz3DMhYhDQ2zgxLXB5UVVtcJI5JYJDgcHKMPzDF8dee4DQZCH7pr+oWGYL
/zROd5HhvwW+jMxiW2V8Te+HWEYnOwUcAZGxEgOkmcjRhpmTQe8hxxsSW0mZZQqif6KWoCLlka4+
RiCMkVysJEqp0EjdVkAty7DdEgyYE9ScOGaQb0LLsBfgkDm1XrWwP00vni8hdAeG/8vybD1L7638
HlJsnEVAU8klrf8FYuiNxqEqti3oG5LFqdAIbI67cxzv++hUAVyRHoSMZxovKWgUgvV6dJMQ5opD
OF618cH3rFUste8bjYTHWH4Xa+LemUqEMfIg+RZYq4og1trnb+z85JxfA1wnA8bvOfviFZHifVbd
pRIo/n0U/7L0T5J/EtZ5RvyvnpiyMWxIlT+RzSSMqkm5TsPnWJVcsXwmXOjomMA6sj2InlycElTE
6cuEWRGyzUkIwUyRV+j6v2m4IEtGZghXyuHgk6e/kVpaTENHpV+Rb9xveKi+c3bYOJ5WnGaOhTg5
UkIP5Qr9D5kJgJoT6QmbynxE8ic8TZePkT2xw0chYp40doS6ISZ8gRym7ghX7cQjP/yiJ3EBwZg9
NLHR34HVtn2Ib7iMlqe85Eta3suGM6flr2F42KEEwAjnCtmWMrQxtf8hq8Kon0b1p5nvpvhWNMe0
epUY4qRHnJ+C8U31P2s+i5AJ9Wi9lQMJPsztOvRZjRMFlFIFwt38yuPOsM7upC/ho4F7Q1IZVda8
Kp8GOycjXkag4koWjY1Mv56DHZrhdNSo+gb6Wr2PV2PPU/w5tJ/s4F1mWytKAvU2GYimmXaTmM6u
B5ZS/m1mrApqTxTQaNaW+aiUPV69VTi/maTPkVQIONlGCbii2AI8uWwMP6P2L2UnkmLplqsvYrla
psAaQuDl7DFxzIkGMKvR8kL0ddV0awEM0r34zWAr/FlzDvcpHthtUubGKs4gk9jDhcCGIjr6rdCD
sF4uFLfHXcrrhlCsKEVQjCw3uJqDNttoDfw73iZkoysBgkmKEYYAI3AKDQ8+cY8sg7quBDvEynnK
KPhA2oAjIWyLMbtdUAvp+WYKESlMLcwm2FXk+wm94HYY0pM42xKfbrdG7yz4/8GuQBlacMxF8TnJ
00KC4NFHMMm+X8X30OPq6gBytMpbUkA0U3nPmTawLHJ1tbZ1blW/qN3QZxRvMtEF98V8wkmKD3Ql
T5VAB7NHtk34iVC5Mb8hqA0GG1wQglFesxb6ZgZ5hxxM8ingkGqJF4UDSqePAAhhaExk/02rgiFE
mrxw4nczAbT/EhOJNRJjHR9PoCF9uQ/UXbov4OmcsH7x9I6HKaD/ZgeYdT9WtDeMgxifB+2fwntc
9D8EH9h0avh9YnemYprUlszuj0kl63wmPWxL/sKGaZ7Dwx8kBP8R0G7Ni4TvA4MHxi5+YC5akQO0
RC0Mu5tZyRcICB37n8igNUOibgXInCQ0oehTlxohjVPEtw3/jO5EJXw/ACwlBt7BxEnHhKZf5PbY
43Tj1PCJjBZouMk203dygnGX//fxtlPg4iLctJ2B3ofRLIVx8V8cfLgS5OOSEVnfE6rXmFLK+kFM
bKLrN3HwFazG5d5gH4o+KOHRQl9q8UhprAN75acssZ8ZD1/8EtXPJjvgqKBwC3gk/L8MeZPC0ewz
Ru64HRjPUYaCKOMBj+hi0sUxlss2u2j28TCokf6bYDwTSV0XfnclQ94OovkqcFWwImGok+Jjr1xY
Qks5e0BQdR+C8ZSky7bvXR7QpHLj0IwwJH5p0U5shCMBojZ5AHaKB3axPhB7CypbdcjE3AXEHhZI
+jtdu3RWzE+SgVQqEu6g5Z2T162BOblkACajftN0B68XxvluVyCAEAMIiCQyJqVuY5feFH10FAxg
HV14qktxJ2b+xu/Zrkrvjfw1YxBrmbrJaulZY7T34YMkUbErBp6iaSQvDoUU4xr4YRgrqh3WABT6
t2BAfg/S05DWelR6Y1ZsQzIvezXxJia0weLok9WjmVlXc8mMqIefoZv2AuElAzc2YUbrGT2d2Jr4
dO506idzcbGi8SpMA0Qy+aDj7Bl9ckv68iiHwqEIogtgXhUf74BGaKs2/k23JM/QmhPmhpMrl9Jx
YE6X4WRom2nd9ThfWP9ps2FHPiIrMXdVXAxqPh2k2FyP4zJSIwmDa0bP0BlExbP0h1srplTtOTkI
mfQMxe69kg22pdmRtEbYa8HeILxeUVvPDJn3mspbJYkfYmKd6ka9ixo0r1zzivRflGZf2ryxjOZU
ldvGggYVCnspLvZyyOCdwjQVSSQKsvklq9YlzcW/MWErQhNwVAXpIrAWTaVmk+7auvpXC/FfpZE3
MgSPVHf0sr5VuvHbgLzNAuwwcXwM/GkrSUhEKr36TC2myBwf+EQfqNR0JIvL2T6YH1WW0719Sox8
M+SVksL3vK2wSBXVl7i4VnsVQudphEFV9L91vPebvT8DvF9naKwsBpbmLk9RTVwna9uEsNLvUcd2
xCO+KZYfBaUERIjkHqnfEclPOEdXeXPotfea1yUD6BIGjA4gqwHWYuxjlv/UVca6AHzbqYle4OhA
m+FVxbs+MFAjIR05esIe9clZa9dYmcyjtFtJniR/MJ9xMnA3fnjr899yhaCNhXvmD7YMPeRJtTJe
xH6Xi+dYubJbtfUQh+o5WrNv0O1lLBH+leO1HLilwAC7IiC45h9vNQfxEauNgzdBPsZc2lLLkFs5
WdFFd5lMeUFz4lXyZqomdWBRjqAUzScQZBRNQHZ7SgUT3ZKCFkMJno28UY1HygGcEYzYKU+53kkM
SBPICd7QYUW1+U+kHHQNkff4j6yyrbimHSn+lOSNHJhWINlwg+xgjrdh9eKuXC24JP1sVsd6BYWg
tksbclu1G1aAYLQjp4sJ+tlRbGT4Nco66TtldIIYtvcqGIQtWcVu7BbOOJCGjFLNicCKfHF5QVE5
tQzwMBGn5VFB2in199LaYcpEfIslBghJaNixzbjGcPvWEX5kZt6Wkzfgr6cvpb9CnVtlxr+E4yK6
LiODjqcCnf64ZBjtdX9rSWfoPtwYlyUNVX/U4y4LP0b5rvavaqYPfGTCR6S/6I/q2W3FzWQ9S8r5
XDrW4EpXJu3Mhs0+JpAbf/J1qF2yhAAxl6jJcd3ZwOrN4tSqtyVjxsBu0kxn0W4dHMU0ItN4rkqv
F/dD/+KXJcp20s65eTFFR2vW2nTuzK3oIAblRaBOB+zkghKQ16nHg5Nvo/AwsqUkt0XJv7P5V9Du
FRm89nNChPUb+q9GuoXRH8X6YHlKeE1akMQ37DqEGqo/A7Be60kdjrfqQ5dOuu4J44PDWDSvhiPw
3P+UDjBz4xRv2zWgYqM6BvxZbIZu6Z3f024tWES/wElWUvGhMxgf163DojiC+c8+p+DK7srvQX2f
2t9a8AxIJepJG3dCvJ9hgtngKpVnlx27bi/619x+Znh5lG5w2+ZfqVFdbcto13bfPYWa0d4iXBM5
Wjizv8fqUa42ifXJ5w+DHSX0dZS2y1fhJesB4XL8CCcvJTGHM8N0U7J719qKupS9vA9WRS3e+rXm
mPllpmA1VpxHuNkrw4EtAX/CX9X6L3hw5DYBxWJnvUkd9KL+2tDlyoSkzUiSBHpITxdhrFQHzWKh
vGGPszIIafPdjDoRSNcypAD1CL4ywioU0dgiHejf/MbLmEqgXF4Z14SgaeK2pXSjLQaL0NMzgtD4
n6Ocr0qmf3P98pvjGL4RCb48afkIBinCXMTAXgfnGtv8vxQlZfVPrveRsmU2ttJWP6jKlwC6XL3M
yzcGXuS8WHXy6WoN5ya4hHK3MgTXlf3PoD7SEtE3Ffxtp6m2ZXMK21OHwnI4FOJ+sm5tOS7MNNx8
bIQLGBLbSfgz0GLUAtP26GcQfskH8lLjY6LC7JRLW3wvP+DHRZRfdYXOFonl2NzK/FJVW4Ntuydp
nmmxtNzX9aOpLjVl0ztq7B4+a7VthFfocOA6cn+kX+QnPvWcukl3bRz85tJH4R/l+h3JDXq/FRjI
FZULR9EphDLQeQPZQivGW8oraI4x0wM+LxskKp3+jdwa5mzrlLa48rehcOJTCKfP//bT7PRkHCuf
pnxQ2MbH6T1Q/gga6W9d7aEITd8LZq3MrNp9ZK1FQM6+G62NlkI6uvjaLlqWMvTUVMkLadEuJtC9
D6m/hpwvOvdeh4CNgptir9B3UeXO5IOhuY7VPfNpKEYGitJC37bdlwwGqNtZwbWb99PqU6xcpA00
Jzuz2Wcs3qbsvU883+VoRW6+blhQOUVGigL1YfPXuKVTh/BzUWwIGmvXhqWnfJqR7U4HQTvp2lbP
aHl2FV3koP7QK4nhDSM+n+XNDLySKEeV5eHeSPeSfyi0l5Iw4NqMOSzuk4azTtqJaD56d1jPxT4u
PDT/Un/Gd8oc6C2pl/X1Lh+PFh98IezFZi/QN8fxdzB/5zh3BPVtUY7ToNiBI9OLv3E6Y6X1N+BV
FjkqP8DoqB7lna0dsIgiaF5ryFFnk/yJhhsc7xx2Anv5NJUnBXoA4q88K2x3+/E5wWCwvE+dmThV
m2dtSw9OycR5rns/T767MtjiOLLKm1XgXXWN4SlzmgcDkmqvLy+QAw1pFwTe6cJPDSHajts1UCYC
tIyS3TcwDt67RcXgRbVnugRCoFgWNn2waQCBza9K21r1KWOkbK2oc1bhlQFfRdu70op/LGjYFmOw
daT8MRQ7XtyWVZC265LjGHlQE/pvhFQrLBDr2VyNqy/TUVm6nimjG3J+NeM8drB8GKNvBeuVWKRQ
XmKunABW3ro54FJbiWtUHT7rIIdhHb1VvBQT3UUyDhYHMQosPokCAnTKsPY8GkxBigqS4VubXrr+
pFDwGG+6QoWEda9dq9VH21LOMmv3EJz8fxrSUCWa/YsAeuaAcGELXIJLKyuQw117EaYz0+VYTB8G
FdUGuDpujobueVNqtsqyFBHVukZxdpE4DZK93t5TLN0OO8YEOfcpHa9G+QS4wT6D5zL7goaMTHlT
yJ8SznWTKVyn7cToAVyZA36YHJGXXNnW5gsF48iJkR/a6MKbibo+UwZ69pd808K9L+KI5G7j9cgq
eyk1OuNDmPfwAIlwMw5afCr5o00xp/MeOo4Da49HMiFZlNfXZG+L4NNOoJRH2nkeH0a4E9JtmL61
L+oYt7ZcHmkY1occqBubYXGttncW00wBiXSbqGeYXogI6nQsuszPdwQJJZxOmBSyk8ALo/GCsIhX
KH0FcR/K94x6R87hN27wkVD0wsXgYUyyNXqTvtib42mwdrBIGQLAZmdCbkd8sgaYzJ68s2D8Mcad
BXAqJ6qGhGVsx+xUAOHzl/qi08MkVFEqIUSGFrCqVNrZ9Fi8IUG39ENDUBYrUWWj8Jv4G730xBHP
rujI7HdEfw9VyUQuQeBTZ1ctbPkzJC38r3TWtFiV6+NZ/VX871F+a6F6m5G5QwvIOuqWjed2DZM1
q/FdoaySsz3ykZqfIf3IYO2AwalYcrkhBuIfrnJd85phnVdrFWhT5Og5QV39pzm8iZSryjIoY3Oi
qjdeGXsIPBOwdsR2JdkY4nH8GznNw89mvAvz0YjfJgd+WXZfirj5X9BczZAVzJrwxVXsTtVOzo6y
NK3C4azn7xyXmrpbXnjd/xA7xh/6v+WF6lr8B2R14apuTHzFLPJ1XhafYVf/ZoWHVNiK003V/vXJ
UkNW4mkSL7m804Kjbp4xTynTBjgdeEBb9I+0CaumZJlP8lryFtg9194qCzwmnia3WT6fYwBboXxE
bEiZnrrQymuPatBJGXNzjCjbWHkraBk1ljhddF56K4PxO01CHLRUvm/DdDTL+8iXPfZHczzA7VPi
fadumFB16E+ydcubBTZsaqGpSCjb+NksGmj/bwI5wxMW+Ru52mrXWrgk4qlMN8sHqPprjBYBeQd9
/2H1V23L2yjnO6PnNe+A9HS/y+hUwIM9f3dQAdLxgwWTrXcn2h5VfpbCDbkCHiWeSgeGKj+bvFku
B0W5jRDHtH2iv6vyQ6ZO6/OPtn6vhn+xsJ07DkziReNzM5w4cKlxFVoUsprYzE92N138AMDZ3cJN
N9n5qqcjuvR08dKBZrDxdyPqRCN8E1mYOkxwGbTn53lnml6PxbTZMoO2CwU3BQFCMC05gKboPKT/
VchyB7x6F6So/fkEur+Yem/DLlVml61RVbykYNume1F3Z+FErM6qEx7BOnQ5XnRq0k54p+GlV55s
tqzoKYSdaZ1SfH3VtVR+VHYA0EhXk8SID+GzbN3V4iQDQY2HvV9+leolmamo35A454Mrpa6WM9bb
RuZXLfLovsZ4V33rK6gM9VY0aPD2jUaphCtBVH4ZJQ7iSLnXrWIkClbxm2m/RXCyZlzONs0aTiCu
civ4NcIfXd2M+M76XVoyyL9G9bVKDs9lS3oM2k2tXDUcNUlKgBoj4ukQ9Scr/EEJIH6p3BCztLbA
nS0rSC4JtaGTcDrzY1Y0KskDq8QmRWZx1qH2UJLO6Zsa7GXhq2m4ujgyixvlQ2WVzFEQOBQHub4r
4jtXVK5Tjo4btfHSxRzN0yXcllsGzUCTbeF7mywPnr2KCwdNuMgoWxhPgngYqq/FexczGQRTyKT+
po7KVk1/K+uSDN91dtNNygSMxsCDPIbLHOWfSoaK2iWHh8bHIQSbwlRegRkEMKXwh0x2fuMQlGPj
Z+LQkIkQCY8YvNxicfrfx2Ara56gX2CMsT9ho8ODJDJFxdvFRuJJlhuJbnqM5m3PtKrtjln5BlAL
pw+HoIgowGaOpoJ7lz9mBzGJQtKPdo1ctJ3Ww0+/kurZtf/Mdt3p6zjYK8rfkP+hVepZLlLHasrP
0rBl6Q7OJlk/UPKOQ7ZT/VM93ZPmS6vem+41SE++ECUgg8EL64Ok7CK4JwaAC5p7dgeqiCGdhPBX
3mFamp5Re6UFCgrGJoPoatkrK7dzeRiMnS9/QvTC1INq9ADjHj3ud+fyHMdPeBDcFpwZylUGYl5J
woqlMaEdhIc0v3J/wOvJwv9vgK8v7jud6hQYGCgWtxp+otp0lY5EtOGH7sqeYQsmqx9Bf41rVO7y
a2QKEmx0z7K2ckSGOHvR4I7R1A5oT8iFEPkF5A4AUAjVc88by33CWiz5HJnELn8Mvg4pdFOoWZrx
NRcfgXAZpKsmHaqJM4syHzvuqmdmLM1ehkPGX0Q36SVU1hLZUsqXbhIz6RBTkn0lOu/D24x9vSXA
LSxuwK69pVlTZE7WsLNJOfay1Z9EoBLnis8rdur6l8nTUQAn8YeX6aP2yJ/gs9T0QFOADI5r+Trp
Z9p8iuQFz+4uT1LFNrCKHpl6tDZxeTQYLlIGI7jQEZmylCHGLqyOVDCFv0/GH97L/H8cnddu68iW
hp+IAHO4laicJVuydEM4bDHnzKfvrxqYwQwa57htiaxa64/DhwRAx35tWOdRc6W3PS3jZxquxmJd
Gxsi+YhAdAlsKdVjY7vTOyXdICfG78CboKjbij4z78QZwKkwYtBQ2FjZvkirnGnlr9rvLPvWBle7
OPTmuipWCVeipX9VQK2Ui4lVTkrZZY0vGyarz0/esOOHEdnrm+uRXa5kBPXfLbg0kRVEtyErsw4A
NuVysnYjS39xpHkhUTaFf0HwjEyWBI/0SYmqqeEEmllzn2KPi2S5aLilEWwfymtRVfv/fziGr4Ho
tY9oPATpb0nBDx+t4YdoqikiROk25J9Gv4qhgIPs6nDBGKQEiykflrxlWLdW/bhumG0qDpkZqAdB
1EQmzwOPc5aPSdrq6Sq0jySVJB3Zfi81RM7y0NVF2a1q5/ObEqryxIkSLKjusS9skRRDrfv4a4KU
yzgrreSnX5vGCRYzp1UlBRXcxB9mshSfOXxQaF8xs8wDmUolzJrjOvNvZvev4Xfl3pirqNkAAQKT
S5SS8/5BIyT183w0/accb1poGSJKXi3ZIA2SmS9V/mFk7/RZ3q65Q4t4AzOHZ3sjnmZJ3VXb7i69
OM2NZN0oJ61myNRWqKc5kldNjg5wL2BNS0W8uLTrzZTcAuXJrKCMa5Vam3yftWd0S1C3n92cVbH6
aY1fm+KnFK5EEBioFwdp0WgX8S+W4Q+i6ck3I+U3y9nDF49QoNplkE9ozPlEgFzEKdssUSwju3pZ
CHqa5sU1OFh0Em78aUm3wPybrA7sG+gMGFXdDrrOjUa6tURex1XXT1HxCaCcWyhLhzNmw1A6jSN4
3GpM98UKOZVHW9xFQEhl/AVYZ2qHgnh55alkT++QgxxUlySwlgrKyHp6RfCxSvVhxw/JOVkNJTaH
qtvJODmYkHs0PuEwTw1fvCpJcIiKv1EnnSe/a0AlSf1TYuWkypjkqb056+YmN9aLWwql4oOv3aRe
jB0vOZJBtBzLh9icB/A2ZoMArBEtGWZClUBEm2N1W3HppcOrJl0bKEEiFCf79kgzKjDmtOzB1paq
QN64dTdcuK75YeLmrJbmorM+WXbw/9Lk1rH5UKTkyydxPBrNOsgvhU0TqL+0nM+Y9kzv3CjUPq5N
bNYd8cjLAolk/G+MieBq9wJ1MQKigSADvEMaPut2BmkmM+tI3xX/OC6fdvpCnAwducvLUxr8mCis
huiQAdBY/gfpyogtfiV5k0uk84KiwaMwqcj1QVavofs9QFnir5vX5aMm3mRuuYQs03co7gRz2qRg
Q1NLHyMHuvbPM75C72G2n465KdV1k/w0PtPRdih+pvYlSYh/uciD/7FsemMD+WV4twDDuUAHYuUh
VnlNv/nltvJvQM3zLNqxHy5sIVP9RgJGdmLNQMlcIXPxcNumPU1uww1cngYFEtHGcuVR6msQ71Xw
3IQc/Ueypjf4UInzpMOoIggFZ3XHpOuBe5DuysjwFpxCOzAOOp/y+DBlMsqifYXYhmOu/OkDEluK
z43TnptiqwaobZIPidcV0e4c+2MrrZoKdea/2BaMrjoz6FONSJXwPFoLfB5PfrzkH3oDXGmpJkuS
0UOMzvcODT51vp8KK4d43kb9pRa3tD7m2Z/j5XMSJ5Et32T5aeDn84wLD9qA6Ef1+YWzaxOf41s0
XWijcoCaaR4ac9w7LvnXRLi7QuPmg+bzry9U2BBgEmTrnHvDL2pmaFXgTYSLRbTSlU9aMUV+OVKG
B8ouxoKTFVxDGSfhBg/EIskugfuTeBhECLAE8Og44pNFJR8tFE+kQi10zcfN68wNnbJi4ivtOQ6G
ITgDDLHlms4uYd+uKLipegyFBHOMB0XjrOHvGnZ+/hRvYk7xrQOEx65ZA5nG44PA1HntH3VvI1Zu
sSRwTfAgcucD5JC0hhISsxH5qU+n3EzSMvJIWeYPUEFFTejmXojCx8/IWXfjDanyTCtO08ihgcSX
ypR9mq6yaEEtSWHvUzESoE0o2pPJVZWrP1r8C2xv0b6YHVKKDTA6ymrniruho/liCDajch3AG+yF
CNt7ZMoyMffyiyy6uVpfke4uHIbaAkdOyovOhGaZa3PcFOZnV8Ef8fHH6UVr7pqJSXKZFEdbfYtP
wtI+tP4z87+q79Ak063nipYOrIScVJKygfdRH7G0A5y8v4cQm9dl9PKZ1FPJZrF4+H++tq7wvMbJ
15Tt+dwoKqJyHgZg1iOwpFr2q9SXwbhksiATTzJXSn+k7grfIyo+i+RNhmL4ONpHKky+DWH/25E+
OtQMROramNFjjEJ6eOHrVdDw1awPcPET4stM/vKdi1fdIBlcE+UyCWCkFhzsg1Mv6nbfWH9p+DV8
lOUZIz6N2MYMgyL/bQVE46Lvhk/KjMRP6Zih2FOYlByViYwGhOqVNrdhpAAe3dSA5oDhNWN3XpXr
noNdfO+ICwW2l1uUZrY/loU1s7lYxl22d3r4zuc/Wc/iOwIvDLiUD6VMryF+vUPAIl9RfKmwSCes
O5Z/8syVvevGnOfnXk3fkvZszTeqfK/bqt4PJe6c8KB/xkOdrmZ3F3yO530BD2smzBuSlEV+I2c8
Gtym/CvwGCFx5watdEQC9qEhbD3kqNIFmUfhQeVyN1PqVYbLlgHe23nRBcWd4HysmELG7bgwV+jd
ZCJV9I8h/SzDtwY1jPbf4QkRqVcTLEhc8ZqzfFeE8DaZcUViNq+UfYttW7mQT1eEi2RJAVvykRNa
IZpBTGAzeaIDJ3tlxVMcrmbzTY7XrL+olDl6ZDzKmIfbmsZkjgwno+AWJFqeNRG6WVJaQyTQscSx
MJdcy/trltwR8dvCwjo1jmtTeNUQOjycAvWvtGZqC+1zcDqIg+8pYJri6BqJqO4yXlTvqZCfYBCS
65C15QBYaiNO70/fuzAyTDY8Bo4p7LgNlT2XMe9mUvGugg+nP/B7Q/EBLIMn3oZl5Q5xuBWOlw6T
aMrL0ZLU4m/jhiptWHKbzkmuV5zzPYXC1q+KvCc3ObqKY23R6OOtSJyWoCQ1t0HgieUa5pOOLHyM
lvZoYSJCoVcBdUd0wf9AilnUwqnAprKG2GS6ko/hwWZ1hkiqS0j7yAgM2irKRWft1L2XVP5UE9fk
vnf7ZdTuSflyub/DJReK8f8uA/5FdjgbxjHuzkKg7TV0vhSb0rx3ygRuS6fd8Ei8x9ixw78d6Uui
8q+kpQDZxZqC3nhaMTKvMb7WiJfGjbFqlxLyc8QY2Dd4BR7fHLrGP1SAcOaiWAZgS9ioRtxf1JSv
kSTp1UMn2hn1njF+ib0QZ6JTncTeWVY/9TvmBDGAtCa0QlV+0sgrJagHQiK/KuUuqf4Z3hEsKicV
KDvp4uoWd63dc7nVbmldod+U8moj4l2IFuWbAKosOwGT/FVJCFR8UuWHElm6aFrBzodoqdGQ/HW/
nvxtO7tAUzC5/WTmkU+GHSbkrMUB7Ar5D6hfNJFn9jmgSAu4DUSigbol5ISGaVd9pOFS105Fe/B8
fiLSVC9/hHjosy4nBoBxXOYWC5gAiU2Lcqyz4143t5q6sysg9RWiOB29LE53kESNYrjwU+tZ7cxf
GCpiI/59oke1vpzuOzT++hLZn/HXMmORBjMfPe4vmHtjLrEjr0ZSud1JWukJdOsChJLhitigDgm7
Ic8O96Yt3QKMzYLT8TpCussbdqbGomB6CU2vYNVDf9ZORzO48p3aE5Qco1HkkEreUCeuzcpnxok1
RBSsdN2yHP+ZKGISUNayPVds/S3SO8WGiE2+q/TkpWfAzI4hLyCNokEK1Q/o14gQrKaz4MKij0Z6
a+X35G8iLkRCFjnuQWhixo2RRlNQ1kjhlqbmNuPh80teVWOY+wog6a6Wj/kHc1CMqES+1R3ESrHu
pacSwCCzP2QkeIiLKso5GJ/0kbQFxoGMDotuXESc1EnJBEIfJTWGJNcE/hpcnSyuQKHADocBCjXt
0gU1ZzvViGyPk9DC2mgqIZyjZs8PWoXeKrPdPnklHCQzD2+aRozXfDTW9cfASqsvAbgdY9cwfIdn
C7/eZBwcBr4Srzj9UxLFLjOqWCl3ZUHmd8EVM0d/ymCniywTNgxvPCr5WTzvCTkdaflR8uXTIzPj
riQsgGdpxZfv38S9LPQmcFfquBFffus9alLQQmp504D6OnT1GciOs1NlVvaAr9EC1GHa4ao2nac8
7bXiWkofOXEzVNFmTw4F6ofU8E6cJ9HEjB5UWzlAmEVAfZ/F/2XE9XLstE+yEVj2EIACZgrXCw5a
rThjx3ONZCemrqA15oRFgjBAY/F2TmSKCRF2XwlrEn94TtAN3bTE1rq4/YyM8ljfXFDqAzwurQt9
WmVxvdLrFEJWkHoIWuGAMrJ8NIz1tPs16qziKhBbltnSCbzHmAQwVkjmzgNDdZiZhoUj0/m3Af6G
BYEzg4aUFJTRV3VprVR/VxgfVNpk8++yWnkMOw0IKH6sWQZYT9wyVUikw4nHBkRRsjYvGzeQmv+Z
yqWcDkQ26fTERF3iClFqovIdoYIu7XaerIDtqIFDGqYTXFNCGm/4V+CIrtJzpW8nMF1H5vYzf1kd
UCtZvLidfWvit8+1AHVgnP3k3OhgrmhU8TIF1qvEoq9hSHHGHyGL6lv6ITbsz8tc2tLqO+eZLPzT
lK7D8TY4txFZYtBBpbEPnGOOAOyqCPPe09zhRNiNyr2qCJyufvOnVn4aBdIQkDRzYMhHHkjNyIb2
RDcDFpNtMiFi3vIoc4dzFcAOebsOzKwDIc4sC2FKC1Z2TryXAezYUydIJZxqbRMDUaqoMHEwFmf/
vETGPrVWvJs4TMUv6n7LdQWhI89lhWoFxwEyRBmFuiqF4+Ys5c3Wc1KNvlUQeSk//WCCpg1trs4z
0pvcem5H5zG+68pphGUWdpLAfjdkI0jBmQtnCoa1T4ujhLO1etXeUhNRV7cahUdIAI7c30LhJ4Du
t9FIgGzNDSTxAgCrwmrWzNVlQaE0oMNoHOjgW1Tqg5d4XTrH1vyqEGeMxMpGPupxXpGRqoEqGnnj
wgVaAxQJb8lkhv8Jsm8IiFpfMz1IHpQSh0sib+phV/NLKPOWmfi7FJCdtdN8lq5q3rNK9MwLwE+6
eSn7X95kOXGxVavSPPmfWvtsrYtB8bNMNAvBsfNKZxidEmDg3sVNSIgPxi64OiuFdzjUFnEuqFXQ
6BIU4NIe0C3QaFUuQGez6p1HFbEkUA/scNvV1DjxScYvhshwovv0nBsHP4WM4unQmGhIKHWtov71
EWTbfINxVBBR+Oct/GWYbbxvQ2gpdw3YMh9nhMwP2YtsSeAlTwl9seXzF3ruGnvCvJVSeosY+fCj
aDnMNrHoCQxBv2ANSvMZICXSxC/OQMLU70SxqADmZ7LpJndY0nit85JD6U9uJjC3XTyy37MiK8RU
R0yHdCjBcR3s9t7wpxKHymmUKAortLOgBXOhAADWpSRaL9yo2GcTWpNf+uXQk0vVkearmcTNSdGt
gdmhyKvZ77+qPkPM8rOeCQ6QLr+PziHGmRbfAoRXNuoNs92K01qNllxHM12ZS5hKcKg7b42oIaIu
Gdb9MVs63l8ufwp0SKlGJqtq6eTqotW5Cfjt5GBOQ9UswqKU760OEPDS07cV1ctRBYkmHPJfZj3T
blEv/ZWWncVREAQH8hwpmmEZW3bjViXEIriooSsHRwGx4bEQ+hiUkWuFChjXXoTpCtwx4B+Nbjfu
SuurBgI2I4Jrkq2DRtvO7k6GIoEvH0mTd6XdAU0hE+ZBtS9mvsmTq1pR3q5cY8uCuEZ/gmi+1+i7
ol6JRSg46SsiiAlHavb8SWwqi1Y9pByBNfOkmry15NsjVuOv5EoT3wND+BwzG6W6isKHmRK84iqM
6PlJnBtNfnPKvfhgi3hlPXnexBWQtJdUvjTqsah617KnTVDkG2uiUmdyiA6pePfyJRUnwPtUpFGY
TghAqTM0oQgUolP9b1wMtEDCIeym6V+FiswyNrX/5WsfFYLnuKF8OX3K2gvR2f8fHbgSildHJrN0
3LC3afl3iTmFBAsJZDokKjkCWxqsx9hcQkxGefphmfNsxatXfLbdPwmB0KgxLjXLvLj3i3YRA77h
JSE7C7r0VBTybDCvOrhGQUEXQEb5iPx31nLuoyPhjE6He8bLnpCFSdfofJiQuivrKluU9mdeb5Xo
EnRvDVd87jdkSpDcozRus45YNeipoUkwXIHQztTRJH2RUG54SK3Zk5S+TCY8HRlsWb7K2n1HIDV7
BPejZJOi50LXAInXC8I/lFn7LuulKa9JNLNZ5tp5EH2W2Z8ZfPjJ14hTYQI/6vqPiHr1YLwwPjj/
FPklj8cKnULxST4QasG1TbjrW/dX4VdrX/6w9Gg337qQ1IPZ41iP1zy+EEypt4NLc/k8RF/e1fKy
NMEUZn8G052JIyW7cwEo0ha4j8NiCRmHLXdnuyVBY7zErJvxtCVQI5dfjn3y6JasTxrEO7ZlzC5s
ZzJCrJvn4YxXV0a0UauNBuWPSh6haqxvLP70FhusM3wZKo4EKDDxeNEgudXJNjNtn/8sigux8VK9
i1IcKaSBZoL+2FFGTE2e1QkMrvc+Kljo4qlLB4FZOVRfIb+I8jMutlkxnaieQIop5EKSuvQDMmFI
Db2IE8zyXrLpomqfxcLugUiDNcNiuDLxpFccgUn0V1HqydVNZRTZ3x3QQ4wL+AkX6/wr5p+TSTbO
omBimlAyHB2kD+bOh18r9b9yOlvZPcP8WFJgV/PSd5yAGVMPFm8AUmbyuU2IKilaBxU3k43ugq+F
tGhkMmwnagqUtEM5WalbC3cUzEL7Z9dPSH8H4/uMKQ/4vy66+bfNmXMgqGrWlPvxB8zW0hl+q0eF
NUHXKN4d0KvAD5apO0KmiSXSrN8Bf/FUwwFJdKZNGzKosMChjeFybYczttDkqrU4OlB3og0k7ZaB
kzwGC0LYeFbQt+IQ7ErMZYixzS33jB9tHPU+ubTQlJQmIpWG2R/L37L4VdN1oN1sfpMC+BZ/o1cd
Ou2ANZDbjXcFKSjCH5ViIpb6dN3UvxM2yg7ylixA+udxI5vVq6etIlwb+dp2KeLV2YJmGaLdZbzJ
BoRFI0DP/6fZACoy5PVCwqwXbqHi4gG1ZcswpHyUNjURZ3+hDkAjS7n6Vgh4Ser/iVQj35quNG9h
Cha6W5BEVIFT82MX5JCBH8Sot0jMw6xD66KD9IYhB3cyuOrATLIxkFWl+VbGEhwf6vocK9u+3xMG
TF7SJ8k4By+8DByrJSXTLCw2A7qDi5BRPleQu7YYwiDRFfDu/VQvh/4TG/8sgc0PGry40BDLEHE+
FVV0Wy9T/r3/aOaivvwpFiG2oChbaytjoUtLL9rX0lIjJNdmmyauZBkA4AEZQYjKLcwjxxZsWW4v
8uB5V4Gf2U/Y9prwXhaPNPkCN8zIj2fZVRZcfCZ+X1AZpeJPKeGaTGYXkvY6CFGhX+4ZLpLq95NU
fZUCKe2jZw/77vrvVHs7RLqNC/U0+gR1raX2Xw2JFxkv/pIF4VLuHlr8ZvtXwBc3sL5Ue01YO5mk
C/kBimFI6yp4k3Uz71X6sW4B30cZruSAHOV31P3JiOnBgFLtVprnlsGbT4SKgc1wpR2YQw3QaDnI
65xKtepCbBzpmh8j4IeYFR31QD7vPK5viEa4G018V+Tmyp+Gdgb8o3hvRJNLLi/hyXKAgij4/qY0
E3+L+cv2CjIVDIsEuCw8+u8GinaSBr4UjGRoGpLxK22XnXMPonsQvBvzJvXXzNuPMqPhiaT+ZWns
CnXfptgvGb/IQKqA3k02zhZOR4Lf0ReFsg+xpnKv0Ug4ror4bOonVb72NalB5yJ4a84ecCsvtyLo
+KcsV8R2YaxbM8a6cLRqtLFTTu6C8sprM9W4yo25lxzH7kq6iG0/CmuvkfIH4QmthMVyuhfmh0On
I0JO48MA5DKKndF/jwD3pXqmfVn84cxjfXYRUj4SfAv9WGmACleF43kI/lSoVCo2EmdB115OHYg2
xxlOMXDS3u3sQ2q+uwU1V0CmcTeipMQkxqat85yGBLbGE7Fw+mGiZpPs3OXY8Gz7s7ZfOfEBjtrF
i4gOaSBd2xUTY8xiBtzSF4AUpyFZo5HiKTfCs0DjJ8IBGP604Ki2I7arahFik9d3qnpyQhwBW42I
GBDO5kp8LCDvLQKdmNQPPgdXgo9mwv83Nack/FOJeeqkt9OtEUoLTXQGYGP3f14Kwmy8aJIlssrV
B9JmuCg84+V0T+Vg6DMH1YxDvOBBJq0VSYv0ijPxlswn3mqmTRdYDikDJe0LQd23eLqQUEXSO2E6
AJudW85fTkFwNW910pkPhSyJ2QVFqcqBIWLxlmPwnUOzomyneoQUvvhTs7+ASELlET7HcdlLSz//
jEhDj3574n8cbY07cYFJjgTSf6g06mWxzpGKGV9gV+jCaofZNDhkcGOMO+Sa1dUBISovzED4BuWE
/6dTyEf+PzI1+pKJbBM5T6/4jqa/aPrH++c69c4H+lTbNVDvXOFOXhbYwBgB8JGK0PZkLTBPXqHk
JRsHGgfnbMXwdTEhvauSnvGA6doXYlLFm5O/giRxoyYfZcWRmaN7Tk5hu8mNfUkAC01Rk3bh11MO
FhJ5NAehc5Fh1JWeohqY3wKCBiTCLHcqzAQXGl0TIHh3HabKiL4d+6fvGJsxz+QLMnFTm0yC2dQd
kGJ2xjNruKrlO2lRs0hZayGN3dVBUVd9dSBEAKniLlshn9c35TpaQbM3B0urzrXyyeMCsx9pWyHi
N5zjWSnOhXySkxckEuJziSPbinc98H0lvWnhnI8S1kguFgWdcWl/WNKGbE8c0ZiNd71mo4zuEBj/
6sa2jy9DTuWiq2sInzFaDfl3ckiYm715Q6xDchVHwBg9Ou9QmzTdbQwHM6SrKwsCbMDE+duy6lx+
2PofAEfM0dPyFKFuQVE6N5Itq4JwoK2guJ0n//FVSEpgh443Tw6lqpGBs4nxG+Q8RgAC5HRLCVjl
RFqvka6sDYt+vkR0nL71/Ky+PY5aZ4dUcqSRBYpLU9iTnEsc/quTnRYu/HwFw+Ln9xSB/zRwoJdM
xyC+SFPpF/BBtK1fD7ohq7A14+zVjRNJPsEqWk146Bukb4jTEZm4UAyRCsmtdkufvkBfvmYMfdqA
0qxfEgipgMHxifrs9lepuyOs4Cb8QBvpatrLoZJQUbkmZ7Xx04d8wSlosbQUE8YY7yGc3PZPRhoo
YIzxlxrzeeth14a9ZJyN+cjB9l086fGSGWjV6P8aYACBeXJ94ECvIcQJE4XFRIEeqGvb+6y6byf7
i8HlDfDRRTLShg16AsFCw/TMLzZj/2518tFRAZDxEl+I5wqYKBgsOtQME+pgXD06ofhyAxbpV6te
3YTEW9qXWP1R7LOZ4ismTt+uQIA9yqhC0Gvl6MsPp3q39qxdj+t+2BOuE8urfjp0bgd7cZXFV8tM
1xFoQG0jncIcNwb64ckF2A+oLaS0+B3+QaoJ6kb3ThPDYnIbsWX4wAr2kmLdpHkIn4ufovD3wQcO
NP12IEOThBDu2LtQRvWms3ZJuSuja+R/dT0cAdWrRIzxWXv+vukRpwSUuc6xuSwY/Jk+ImIYOan6
XWX+bwvxOJggwIDvbxlsM7IprgE+c7QjB2fTrxHqJdFC4tPzzjHPOt28/YMl0M4XkkkAB6ggmEs+
smkkG8ukGpS1eQ1qoSnEknMVSu0dZH1ulutmUWJp3MHzdRiTY9Yhoobpvpz5FSdYrrjBBWF82+wS
2FGKiLgRAnk3jGchcYy444JGoob6DQ0fNFty70m8AFfNs42KwLklwYVdN3Sw2BCJmSFFR01TWTvZ
WtfDkkZWoU8mVK2ZNrW9Mn1ag9J5KB24UpL0oYZXAHhk8WyXuBVT5p1ZWN7sBgEhGcu1xne/ZsFO
hq80PBXStQ2eXXKMeDfqaQ/CUa/7dU0rEPdOnrgovbryoM7RtGerTPtns8rkzXfTw0dWu4Q8Iqb4
em126sKsD1bLH1cuPWnH2Q1FzrOZrBx5+UXo8UwClOeZBGefBf4mIHRfWfT9vQfu6jvkGv5JZFlo
5tExiYXbxuTlEaQ5eqlrqc8EDtHgBBzIHsi5qIvZoxlfav2lL50VQikhWiGbH6ATjRUQeaTsRmPb
VegXzXRh8K/HTguvDDZ6qdiyp9LHfLn2+y3whyUd8RoDcvHIkVQR1USJI6dq9tUdDxZBh1WDmpim
wmPdEonFwbWa7txFYvgxQadzRIpyFUAK/GPwwqWcP6IN/63KDf6KzKApEMYVARmWGgfpT+OmhjA5
/gkTE5H/6WHszmH7SLpfMgMxD/hAiLxn6Cpr2ZtJzStqPodJ4xM/eM2WOb66kJfdc9nR3lcxNhSQ
//HsHWio8TgWV+rKB70d2MH89OFz3jC4IXEnpeIzcuEekEZ258zEtyqtQ+p8QcDYiaIbQyM5pxH+
RfvesKdTHswG3HdnzTpjCBQlL8FKN/41yTYBW1HYKMRenWKBgkwjasQbIXCRtWTePVA4IaZtwBmH
t6h5ldhwtdWAQZ67lz8jAJ5M12O3GFT+OBaunIj6c1AspmHhC5Z7xhu4oNssFOyHfqPeQ2g8uuS3
LBnKgyOPea8wzXbDbKiHuUN/G/oYmQDZP9lYszuNFZta77bOmjFhqD9xTnI88wIgIiO/zg2leVDA
k/M1YqMs2nKV2Ht+ItohhUBKgCz7224ODvW2heW5o3Zmw5FhEPFcMWsIUNAP9g4PgRgNSXV0q4pL
gviREBi3y6/kCJJAckzb2/BqkhV/vh5dGRrUesP7XOZPieWyq35KSqC5cOmm5CUZZgwGabDj+RK7
tdoeY9MCLOLj8v6FP3SbCAmWNHJ9FJdBj2g5Caj03dbt2e7fWBQkRBrRuAri1advrYSfcqpfKjlC
BJG2zPc2em+Gptp8d1o2SywiD9iFhAuAYZdWsiq7qjYHEBHCdfgUAq5vM0zn5GqnzimIt3b6HJi6
6yJC24AXMHkI1CGDLOaTMCLMqL6rlUTi9VT0hr8yjwMXV3kDPMbJn4QP6nVmvRNzj2FV4K4JcVsp
z4rbq85YQ/yLbhDmRFKVj7lcjJyCAkMCqRfbCFuw2gGrXKPyU1U/pXKv2LsJzaWmuoxVafLKmLgn
nv7UuBaQQHn2hG82zbXsMDjLbsLtxCCKyKB4wfAbm3attOvc2QGLZUikwFK7P60EOjAoEoIbmxSQ
FDFmB8UxLFgBFB0zcIU1lrW8vZtuS5GizTNT0v1LCchsMp+p/V0MrwzibAYXUYMfj66VWWhCYInp
eudk5qUxTbxI/UGc8hx5wiyccw2NIzWFW2YYYpLo9VGXET282pYzp9b/YdoUnplB1d3qEg7/WmSS
vK5EHoXFjTN6rtUWXjaHueqKTQPjXzq9xVuCijS2/xl2z/XPZcXDbZP6g166YmLvcZnP434XVDvm
hLFBptQB3oFnibDXUeTqLTxXYnYDGE+Ui9jSY53zjnCrEDTeR0RQjPHCF7HIqDnwf8z5xwIhEV9q
d+dXZGL0friV4WnGZvtd4z1cDYhOgFW8FgBlHZk7mQdi5EpDUqHhctIcyL/qwpscng1E4MqGebnH
OIg6inh5c5+HcD5XMedEIDofQuipPway8+psbetbnf0VFT+iTgL2Ihc5i7ECPCoReTKsDP6qzc+E
yTfKcgp/QwdnHwdNeUSHImM9Qqid5avJ3kFr9h0VdWLUFcK3QFqLpYzZCwQBMyKr8Y5awHg8Af3D
cmUrqIJWdpXWfdZfOYEkGnJydR44X1KFcYJYBhmVozEghhwCngvqAmQe/3NkfbQkzIV/gfLj2aSn
L6NlTVA9bL8rEA01PLbDl+SD0jKDIGvu4cWfHKVClsyTijVSHHGStbjTU49tHwEeoXXhPaIiwgR1
C4ybaZ70h4w7QNF2KSFSEWlARXENeDajA07uUsLGsmmqnVOahEm1i3Rc2bpbRmcz3IEnkp0865fW
HHiJ3wv29TZkt4i/Wg3kOY1cvZW6eiSCSzehfzQBzObfDI8G8g1r2VofESE6wAQmCCT5DowfpOI0
S9W8Sul7Mti80wUpL4RSzDSO7oEyeJLBiS8I//cmT3hX9/24cSYN0RMxI5cWxo3lAhR70bXbSNQv
mJzRZ1s6y+aXB/HvnCAFKExxhm3PcTbKcyj6Jj2aMpz8tON88w3EbrIwM0Zs3v9zERbFsN8OvVp+
D85NDE2x8uqjzs3K0iZSDV2lOEoRMIWSLlKdoCKgPCzMKEN4ND4rR1onPUVB0z5CxB1ywRHtFszY
k/3g2tRYo2kyUNW9np9YtYi14yKlXL09yaiDsg3BBOIR0+H2oSqLjgPWaOeVtYjAaSh/lSJ8hJAA
W31Fk3C0MX5Hw1sWpHNEYCER8WoJxER6lQXQy/nbVzcZiC9AWHkl5suXmGHiPx53uTj5zin2Puvg
J+9qitmWR73DKwBAZZwzUJa4oAyB36Wd+N/ht8bspu4M1Kg1HQA1O2uJApztHntfqe0NvjTctMUK
L9G4QrbdDj/iYG2odQjKUybh+qCzImNEzJGu0e6yx3NrkipQlH+xdi+xH9/N/lFa6LYJ3dCmpwdl
ZmR/mgU3rU7uUW2UmTW+xKJaWMayUi+OvAXfsFbxBr6jmevLwrHnzKXGsBmGp4htS2J2RCTl9pId
ANETL9y9z+4eHsvUZHVT+NdqyTIgKUFi1lXXQb/ICPM2/XnJ7JY1L9WyCBbjT/Q4fJe97OIKHJiC
2O0HM0VWQrB3s81YTKj84Idyd3/yuMEviTgvrX8ayhfhPLx1tJ+y9wkpWnsFuZ6x5HFAGKR48afU
TBgN+KrFq2ATUjO8/kdE01skUcb1kxIBPh5Ma6uNT1Smpb3B6W9YNz9NZ6MP7Cd2wvTbD381gez6
9wAJZFs7ePKhv9NT2l7aYlbTJ5CTYCF+ND4XLAd6/RGPqMeYBceGsJYQ9cqXo98sFifT+hA6Xyc9
6fKzJ/+IvsuS5FJihpWl1h2ooZOUFbxRaP4mnGljqMMvfxKki5Yl3Wgdo3f5MP8w1Ouk9dchDUHs
1r1P8zX6aArM5gJLAkGRGNcU+Yv3UMxkABjoPrifCAajdqzAhEqV5pxWD5LqXoX6Jl3Eq/Z1Tc+m
t56y7xTCydA6/jvAGECHSNopq7mCkTEstsJHuunoDczp3nmpSA1C49eMXl55GUdUvIxXLXOyvOoc
4BQ62fDfPEL2xbInaXgG8dm6RIfC3kwcCXpwLE2++uIx5t8FrW8ROkS1KU5Kd+8FP7IWp6MCvxP0
yGGtNzAKrYyoQcJZ/R9j57UbO5Kl61cp7OvDHnozmG5glJlMb5VKmRtCSkn03vPpzxfqmjlV3YOe
A1RdbEhKQwYj1vrXbz5idP0edrFe0ixGlWAC1EgdO+u26+HzU2sdni0vmWsQPfgtThTIsGel2Fby
rACLsfyV9OmVVDDkknlz4JhhmVfrTCJg2r9nkUNNDEkKQn+7qucOwOhejMEcfBKa4pTrX8pAohqZ
Ynq3DOjRvYmpY3mN7aV60rtzox/zTHq455hRtWuhY1Lx9naeAe0e6vzIU26pZ7PqsMwDQ3k0i80g
wfuaN/Umbd9L7NrSNOc+YR4Ob5JQuVyIyReyoMRujfYJwYfQMG+ema0LDb+Opnl4gALIKNnX35hM
YLfrCPHVhqGrzv0vhnsJI9iT7kq2EgAw4H8QP46utvSpsK7EeInxdRR8hf0pcbbdso/Qd5olAhs6
oYfOWoAP1fFqYJeNTEr9ZaicVeekZwdaHg16CwRmLBZgfegs39D2OLRBuqA6QphnFIRHtY1HIJuu
Nwk7MCru8Khi7EV6ZgzPA10UNJr4rXvAfuQDSM8r5+XooufBE+ikmTSu1VemveQN+K7cuqMULkIU
fhDasIigOKPg4L63KM8qYR1ePEp0HbK81VQFxT6puc5NbnD330ofoPCYyIT1xc/vpFPyVlzCmYUq
Dc9PULXmwJSI17wV6ScEOCgGpC5JeEkdfZgMLCZq3/qRFlwMoL3mJOanPsDJEO6c5F5M19/xvgDZ
tUgLjpaYFUrxh6mtffKjCg4F5ZVSOVqPS2s8gJiKFPZpGZjLOjllujPTjB3ecu0ExkVptQzoTpW6
cZ2un5sJXhbqCXkboHcKICa4QWJy1KVc8xNc+1zyqBvhX4UbW0C/nMxtX3P3rpK9k5IDbhdMPYXY
Ge21vi2VRxXy6QRUWBXNIoIQpLJC/EWEexBrlxas5Rn4mRD2roiPsucFxlUSZNQCdWZTigZpRhNN
DcTYIBLUc+mOWS6EeDogpsEpND3LptqPD8kZA/4Ej5CYQWf/KHh84DlqjGsJLQf7sRBg1cywqIBh
U2gcgNE5fThTQmik34R3XGI4wrvYgs4JOx0nKK6vqCvBWohdm0vlnHJ1kedbgUuTUgm8lHgfaskD
/zVMz7jjMhXCSSPhg5Tpi1I+KfR1NQECk5CEcXAnWG0xcc1QD+5UXtg+NDhWa/lbjjiz2DHRHfIv
o0bIuWRqUnuT66VvsYyWkaaPKZ3FE61NwjuTsDATaTFmUN2A4SFsUgUzrCbn5DVpWKGvqBw8PwRM
0MzgmSacvZxdAkeuwZJnqk4tRtJOzEzHd96L/B5SRNbbxtynSwy8sjXxeG5nYcS3FLM4oBgSmhkp
M3emKRgx78lYoVAFFVcocwxpmWrrqdmjekcnzHyt2GOfhQbEzBeZsHrGEmEnmVBt3LbExGCToPeQ
jUuAAgi3UwilzqwbHBrdS4lrBgNToLTaWuNDhSh/UY/b9hHdqE0bllgnbNsfvHYLumQgQrLZa1YR
tC3pq+7rVVDEM3LGwHVglKPRQOqQX9hYWvUami9ZYq9VbmDEoJzFCVy4bIudLgMTGEudFWDBflLt
W4hUxWHwfGHvjsP0QbPYT1ZP02zoLkGAFfOHjZt2VqtzIr0WpcpuR9yBbLLBvIz1CtwptMm9VhHX
oxTP77J9lHsCwKF5z2P7paIYblvWmLbDfc4twe4oD92MsNYFz6XrtLeoeCSSAie8Zlbg6DlFzGHw
ulkV2b53JPijoJyYc5Vsjdg5rx35afphcYkTRXeOjIpGDxoRm6qYjEMstYRzqrr1UcQSyU403TnE
ItWuUOMinUYJIu+raKXJFgvsM6YFlHCdqY7m8FJnOMu9MNeWIgjZ+nemEW0DAAk8FfovfXFQ34Ni
hd0G9u0cA/QiOdZ4bi0FAGE7hDwPXrd9hSbwEU4nRoYjg/OardEJmdbV57E42vFTb39G3b2XpxXh
ABRrRQLNy7oYPvuAgi3TQW6XdNmpR2FOfIiOIgDKyt8PmI7753E6SnMWBA4DUa1hlcvJFykLzw5Q
Fp1bl2rPO8EETzQga2p6Bg9q95Vi7xJkH3n4KmECV70DkeIcZxBfXIAmnK2Hz9E+4KgWKN8GGa7O
YyRP83B4M/A+b/aS8220e9XcqGgCvJujPWrSNwt1yi5RDOlnbaO6ParqAiGhhj5cnVu9v9YSigBY
iITpzjEcCbOjZr36Ck84LCJ53EiLyC2jJY2kOFBFV8cnhw+2kLzHCeJG3aHJgq9viHF78yJLrhBJ
qNKG2b4KUqPEmPcepTNi30IZGKG/pOpOtiD6YKmxLYae7ZexEAQlkiaY8q6h04Wz/FVlJNkGRIM+
2ExMKgwZ3mQi6vulhjVkGn4qGkJ05WJWLQMzVFDjdWBKNC2HVbmEnFGsWIjmumeuH0ZPAjgbKUZD
xp4W7bU8QaPVcSlr3AJqMFa+TQLYEVJcmg3I+xMez7NQOfQyIBQgozPgcPBocRLkLJUE7RynJGQa
ynLKLbAeZz2u2KNFD6RlLspoYaxZg5RQvRYbzoQuXAHSx9NzXWMmuc+0c5I+tngJhDvUN1LpGix3
xjkLZ0lXLlojzOypJOriMaVjJtwH4dy7nsVw9VYF7bbComQGNMeEArr6gP8mTV0dPWHuMuTfA6iI
RZ8hlCqNCtqXzm3ycxSePwOun7aut+m4qshjw/ansdm7mZt4zUda3zvzEsz81TB9BgEZKqgP4oVj
vKewaKvrj8/dFn5gKw4gyk576SXUHltIDAQ/AER+BfRqNlmX7aGmqbL1VVy8BMNFmXKevE3J4ou6
neK/TMHeftGdtTwFO1OtFs5IJNZzjcetGFAzSWajFXaJcg2b0jxIDsRa4eTGRe6F8ZMgcDLTIkGK
MhJnTv89Jb2sSqlvWpPqnLtDhF7EgCJwmdYaxGmCZceUFljt4SqA+h8tTDeeOlj8OROxolqBGBmq
qzPfSduKzOycYEWQz3r1hC9ou+CWFeXJQKCFW7q1a+Gfq1zRlCZe7q4ytgghDL+x2cN3nXW0o95J
dC+4Iwt6s90txbSlIhSyMliHnP+VUgAT9Q8xJPwapq7DTDaWeDCxewIOnFwuFV4Eer3WiSjMPysd
2wwJ4hXH18SS0Cyey0AnJV1a3UG4gZkXWED+3SZHtz4Ej64hgAM+CTh03DzGFEu+oT3Q5WOxOqs1
BMI+IiJ8QdoBAgZtCGEJTfeqwRgazhqG4T7BHv1wq7DvL1AEr7VbjvFY9Gio4HDjSS3OCj14QakQ
v01YBsLxpe6Ew13dJnJ2qHPAqTX2dCda6dViaE66GESIAtF+PfFmGo6K244hrvrq8JChmFNWYnAQ
c4Bh/2gbNwIhmTdvmefRV+1Lm7j5eYlfqEAuPJ2ulqZOG6+JvmX4IJNscfWL15/NRx5he+58VpIj
HB5on7lT2AsmuqtGgKAYLPZr71KhyHczeQvrtpXPWbseLddr8JZclR4vN8cPAJRJSzaeFS+N4lDQ
iwyaDPvZBX6d8MvKdh3XM0ALiDyEpluZy/cEV0E8vHD43gvKhiIM6gMDLp93dZKDNew3cu9ivCvs
XiBnwtAICnIin30qGO9cjcSsrlKoKOVqegKfIT9pmIO+sx/RyEXBseXRq+MPq7+H0bxDuFUDO1yr
YC+bl7p4zUr4Ukthcti7VGsts6ey7rHiw5KsXOa2i19VWUA6dz1vDxjSx2+a0FqHTJoR32oym9y3
MVymHrsNiaHeh8bwQ0EYuo6ttZhpu1igJsO8VitKBsDrYD/WVxuxBl7qJJ56LBOMGRJcJDY+C1Hf
1xyDC3w6g3fAoYRBABEcSIag6bPp6YxzhcVNsUEkEzbXWjmM+s3CrQJtH+zQ2Fv6PLAdUN46LzbT
sMnCmz4mK1N/y9UnVqeqIK+CySk62AmqUMnZbqFKwaVmmFbY3mJXcmT2xGkqWq4JLUw/IzXkYVQ/
KgVdl9sWZ4fU5lB9HJR3Fa5JzbMdtvPJDGeO/TpSCMaEJq08b9MEe01/Vfwz9q+ytyn0fWJuomRv
hjfHukJga/GoeJ2UNWTkIHiMwfEV6+TzBGgblnXhPAbAKj6gqHFnVjRWe6nZGZTO+EnI3hoxczmR
oTUqbuZDPdJHIFFYl9KLTXTqgDrRBejS8TyqCLud6zRECXQZXbsN0mma1pL+okKGSUCuZAmUNnkd
8ltBt5VvMU2LW1FfdIG/YPw8q54G6MJy/8kFlVpSJLYZdCQZ8/qKLAg7xAksvwbyN3ndWDjW5qYL
Vl65yPUZTtUbbCET2H05DE5TPnmY3DZrQfzyzGPYHyaIJsYyy99HZTHa11ynEp9zyDLhspuNrezk
R4ww1fpVC69q/jRhxcWARVqG+iLBexi+7II3oNhtfUzKX8GhpoQAv9Zb5tzrFCR5hJ7vdB9ewJOw
mBICOl5tbAnMuZy6vYkogc9Zdmj7sHIA4Yr6S1CdBrRTMDU7mDS0kZgNm+NuILS6wnIEYFVqEdIj
uIpO2Bv47YCWduFYL0pCybUPYhRbaCRyPDRspIv+u65+R3zWHgGebH0AtRCR44pnvrDw8DslMJQA
Gxe2tk7lJ4Iix+aE8XNt7IGxJvNEhiIILFoqvO5/iNvBd9LzME+Ywb7n42dCw2emRGXIF+izcGna
feY1s3ktvWCUhEokyy8yPifprbU+J1aBRAWfCgpj/wQ/IQypdJQNQcmxehOUOhtr1SfekhxOPJYZ
yjETYEiPCUvRLbBYn3v9UYwtUi2dReqXyAmJlNsYXOFSaz70XFwA9p1yrBJgkb3ebKSGSltgdfln
iriFQt+0VmwOYqTVhhh2Pjl4onKpleklbR6cuicoiAEN+3cQcBg4QLv2zmu25NBwt/R2KZp69XoI
UjwCcPvnFWNtx5ODJYqHV+NR+FxhidWISUNSPtQAZEltzBqOlcg4gPAMmB4p/WsaGQ+JMMbwvzn+
8PkZIrJJ0hvWn/4UktFwMJNzIr/oEyZfwzXaSHy5fpOTYMsQuyKkfUd5FZSnESyrocnNzU+H4qr3
Dz8LB+iv2So+QD6PPHGX1wQq+uB9ZXytHgt7MeBupBuD+xLOtF1CbaEjB2ft1IdB6QAaMK94TN1q
2JcZaVIuXRzbVUtp9QPztfMW3CPFDA8jXMx2tjHTDWb1XrFm6EE26lScqh4+Pych3Os4eUP7lSaQ
sZdk7ni6uFmlv9PxgAjRfov9zmeUxNVTzaOirFQ6NnTSiE4qPA3YOPaq/CWAYIzhquhFsw/sbTUm
onj8Om8qUso6fwkk4HdM2od7oiM0xPgtWFXA1c5W715sPpnyIkaTltg7jWNgzQz6anObUq0hf643
vcp+JxSXB5bJFK+ZLrGxYSJCRUNaLmDOiJUmeTaQFPEYviFow+xTwdHJZstxQKuzjSJvueD5cCM/
DSpQwFV/ieDCU93v9f59GrZKRVzjggLQlgHiiHtg1Ff1vHb/Xfa4mS4BebwS9iIDsk1MwTBsDUy1
d9MAT4HyGWgToMSBZLiy1gGPXPeYJ1+G8jh0C3xPnC+QVyv/KvNjHF4Gczu2y6bZwbTv4QzWcMCk
/aBfHWBQAuLqq85jgSY3+lZkAMAc2Km+Tdmjdzf6uR0yad/ZwQnEpMtWCTVNC2gSkhSU34mxZUyd
0EcxB9J1KIn4SjPY6PCxgtmI7UC6jggdTAJXTeFkbiLSS5RzMwIXuVO2RHTQSlBwcA6EMqU9ZZDD
68cuPoXR6wh1pI4BHKbuoTIOjQQp6JpBe8DQL2dA+SiyXoB5pOZSjlth1k7RMxBQtGHqZ1lzu2Iq
fgz9iyffmvKj1i6h+imFeKVDtC+2Md2Xy1sG0UlCr1d1i6lb+fqqtHhsY9zi916GbctTUsKYRKYJ
Zt2teSDxDGMCjmUx9rVj/TJQ0FeYsrRL1BnI4/1ZIz6I2QWbChsLW7502OSwGY2gMwevwBF5bZLV
zf0ZHho0E65I9m28YZUR7AhExAgSEAbxrrrzSHmQ92EId5SYEmtlqddIenbY/rGaFXTDtQKqVw88
NP1yJEyj/tajwq2Yl5jjijlHiuqwxxxopXrXIV+0Mpk7y7iXMOvZW+HXBB+uK9xhZBnMimJG/YeW
qEjW7L6m8+ExmYye7MQlqMUsN8TWuw1ncYiLAD6M0G0hgxWYGoTvJW43CPf7ch+2S92kW9whRjXT
y1CnqLQEVc/NAregO7eok8enJr33KgexZdA1CWsoZv1UWxER5KCv+d7qHk0U7HX1IWkLexA8Tcgu
FZ4XZncyVZg00aHUWVo2ek+EUTsFc4AYx2W0j0irsZ7iofPgwndQ6vU1Ppq0Dzq5Dh0ESaQg2LqI
qWN6lKSIDMbdwISkRSscdk8NH38y0HHO8a3qnqKYIFSgwBqLvsladjhol8tu2GDG5UdubF1ah8qH
+kJBWYIKsMNDLICMiajF2GPfm1pLDeeHrttJ2rVoP1IDw9Cnvt5IY0J3/sLAMEIdw/mUHCDCNtre
gF9jXYghYEDSs3fiPJ6GLDVqki1BLvp4r4qdDcJccbGW/bDVpn0xHEfpLolU74/EdsHvyaCf5JUe
vcPVsWSMTZBx4+F6dMZlzv6YITLQEHA7t7J+HLdh9tIDWoBRy6DvLCiz+cYT0sRYs1pwgMLfADFK
cJIfn3lTkA+McEOZ1rH/tvMX5KQtCFjw4Tks9E2CQYYO08stTF4JHw0Ky+hAfqbFtCPqj9ZwHsqn
vL9lPDF1gbPR+CFZuDCiv0/Ce1oscKy1uGfBxmtWkgo0Y91t82IAK8Ijp2WAPkO8bEEjO1eDy9S+
Gxi3KMqVxIPG2ubT1tE2elbP4MnK9XwGeYgoGRnyvYB8MZg37CPGNayGDMoFQS8NJIlDgVGvD1xX
0OCZ+q2XH6fsTtyeqHJ6bSVxOAlbwQhZDvPrirEoX4nxe+Zfx/jJtD7EIwsWGz0LHTXxj7OSfoVh
EVi7UV0qY6uoZ4K/JrFHoJGxcjcMX1uoViknfEv3nwTgouGrqEJRHdD84nHmtzAuvj3abFwulEPn
P6fjV2JG8z4EZBlsQveOBg9xvhgw1EpSTMBPhYFFsV09juOFZNeUAI/4gzuAnzZBDj1zmoHGClUc
rBA8Q2FumssEo23+igcbuj7jWnwaCpsw3XVPrDEFaex/OFDxqEahu7NcaYi4KZWKP4zlAXs+ctEJ
daN6ZsqR8p1ag7mzISIl3mvvjDNvWrPbrWPnqcRpCxcZ9bPKbgVjCgs6rXylbywwgWSynq9Z4IX+
zKdPwi0p6Dyn5XDER7pBeOi/pkSAebgoM8W+Oj7Kd1QCZw21Oea3YooS3ev+i8vY9ifL3obpk+ws
AUWpNu3wkqonLpUt7QFIAx9jj33m4Gq9R44puXl5LsF6vX7bSkdQvRH0ya4WWee5Un3B4relt8oP
bMUEY4MDQxauajFuQewsFo6PLJA9QPtkG6TD9olJDee1gWlq+dCqxbZL3ycgSSRJ/mrqsVfYhcZN
AU5pGTD0mPOgibM4wXBNOwQxlgIvkrlJ/RwwhAYGU1+NSQODoQXfCI9WqXnqu+20nKINb50MT6L6
4gviQSG8ThjplRjtr1X9VBGW3H0p486TboV1HJ1dXezM7swQAVPUeDyF6pcRNzyB56q+RPVFlW9F
dkr6eQxOlUFpnPOM+AMZEd+KdzPTa89xFyylaYXJfFU853FH28VYy8e8FxFJwwxQe7Lzy2ifChD/
KD2rYJDwePWPAO+nCQ01sDw++2/dtI4nSEsruh90O7n8GJUHkclrkDQ3gatRVcFmxmVZgb3c4Te6
aq0nAx4vV5ntNEk38nBSlQMBP370pHvT0ikKV40jwnSPPdR1DQQtolLgPfidAEexvgR9VDmKwk1u
vCepNfN6+6DWA53hRsEcW1sb5ZuGhb2jS2urBZm3ziWz7wKxHKcfnRdcF6J62UmY8vbfnXTBuEsP
jiM0E2S+i7J6LPpkLjU2g+92Dcxqdp+Y90G+iju3BRtvMP9axhguSVUDhelzKD4LDV8It9G2CQq6
cUSK9a1DBMj8L1j5kof0/q0rXtsGHJivDiR7pHA3mGrBlIuXTvAi48+ngg5TTC6mzK2iXYPjls2j
jc2oZdJYn3260nHGgGLAJ1lfywrNRQwa653x1NTiAzKAutol1oduEJUCjzHZTcW6Nw8lULSsvsTY
h+C9h2OntkiMj6xmigW6CBnKweOWcj5+HZKbYuGijtZNp8ofyb5jbKJEQLLQ6JVL0L/26soZ6IWe
4vfchqTVsOsEmEXVd6OlaJHeJ0THOpwSSxgC9VtyiSEz2RXkHTfkIxsV53wF8ede47saIR7asQEV
Baw/OJdsMvV08MtzjkmSZNASSW9p/AbTjEalALGAsgcK45A8wGwOgR2shDJayMyP5DJh69r0pHr1
q0Zzx3ZT9O+lwG4auHjtBZNDzekAmXecfR7AdUL91mrvHjDYBG4za3oG8LRRQXwb0WR4WztdVe2K
dBUORQ5Vzq8gg6ChwfBQWYbKszFSKMaXFscZzi1Gy758ECLFDKoIs1oeMhWInUh0Vxh0c26K/dWH
sy949qmxDkimoIDQNvTIl968CVWEvMIrDJ8b5qF8M384m8OmKJ9zChOpg+QzfAhqTVS7hCmC/nM0
ePDae0B8E4J4Fwih77MkbDKke+R9W8BZOfyjfd69TIikJNDUlu3IGx519WZZj7kMmsG1U0Bk2ABJ
Hi0hyjFS0g9kFQubAI+3tZwGcg4kZOGSRChA8lJL5MKto/Q5nZ4ZVh+mdOUbBa3oa6OfqalgTdec
vdPk6uz2Ae4VwD+BQ1Do+1QdQ3PDYhJkc8VHxW1y7JJ6ZktkjkM/rcgXZ9FqjTDSKIHcvnv/rQqB
biHop+DKjusQAECm0xOctWh8GYYNjZutH6X+3I+fVfnuhF8ePUhpkl1gbbICecdjzs/JD+kcDJ5l
7hzEVXGKmQRULJtw6zcHWXkHBhOYGNHTD8o6Fz/3tLmj+8ScxZDcnqVKgfZDrxlg0iEBFjETYWIV
vfz67d/+9h//dh/+3f/KT3ky+nlW/+0/+Pc9L0Y+fND8wz//tvzKD+/pV/3zV//9W3/+m7/NH//z
+tt3Xv22f3Sv//ib4u3++w95+d/ffv7evP/pH4usCZvx3H5V4+WrbpPm5034oOI3/39/+NvXz6tc
x+Lrr7/ueZs14tX8MM9+/f6j9edffymm9nMl/n4hxOv//kPxVf/6a/+eNO//9Ptf73XDn+p/MSzT
1hxdt2QVFZr+67f+6/efKLamG45qK46qaLb167csr5rgr7808y+yrWqyY6mqI8uao/z6rc7bnx8Z
f7FlUzUcxTBUS2N88+u/vvefbtD/u2G/ZS3J86j9a15YM379Vvz9RoovxuvLDvkUpg5iYBkyE0J+
fn+/hJnPryv/R+79lI6UiiDIqRTLjjBqGB9g2Wa/MKbyoMMGHux7ZKvrIoa5EzwnwV0VDu9omwtn
ISO2k1tYGSHeLyhueqrLUi5nlXxL8ng72cE6x8hU3wwew0TshOEdnCcVk+P2vei38AKy9t1Kv+Vm
450y6WSM8LA3ydWHmO6RNsAnY7COi0RKTol8idLj5B3HHHRPIARupKnoZuGHb1F8mCNJvfTwtsmM
8GlAaANpSXDwkAc6g2tC7Rk7ifJAI/4ReQGGCWaI3BcakQpWCL6kRdCwybeGXJ5z2Gmngm59gNZh
l7Bqo3jeD8gyuTyBRJECW3mkRx07pE9xvclSUjUlvoKQ6virytBwv0zdUIL6lr7Y8ceslGHrcp1N
KFM5wlIMemgkJTGJmlUjQuoCw4qfVpXRRTT3VIV0qmhuk1YXIiyX+0c7ieYGn3vweuyDMezJg3Wa
wPLmKO/CeKngHpZinOuXwUKjtao9+Guou3T6GG9aZ7hPdqgaCpjcbQDLE1+02IfH2JH9HN7bcuez
67XNkvmwCbdPwSalRweoYX8u0TXgtTfC64RFqDl8CJ+8IUYL4nNKxg3fXdi75z56NuJZUeI6QSOJ
Q4/91I43Fcr6wQ/fchme2rsFcUXHuS3EC0ezVCbJt6oY5qr00Df44Kk3A/uwXLnxmTIN6UiuMRq+
iU8ZGmQ1SSUeY8LL/S7pZFLR8nj54JYKVgP83QRJAS9JKN3KMh0g/0ZvrKoKeAk/oHkI/5jaC30S
xjjOqQLp1QfcHhocHbhRJQ1vx5yXXRL3acOUcVTwEUDcu7IGo6XvhvNaSh8pNECmgZhVzKSIejrU
uXu0HROGl0AkfKyE21K3KIhiJIAmljiEVQ4O/BYHrDQCabb6eZGu9BzOQfWW17e6uSs4fglvsoqK
pmJ59b6GWpNoHt5Gloc5ZP+HTMZ+Koe0ElwwwJJyeS51r0PDADuS3KK2H1T5FXahIvb8icXDyoWq
iowJOLtm1frApdANG45M37wVkTqTHTKhuBMt2qOM7FS5uOPjWDLGFsZgsY048BbjFWWRI1ixBpJU
erBIHcMbjqp/2WnDvKS+tQttxohg3nR8Sc70EW6Zyrkfh1BdDPRVyjDPy2EurlnPWhH/DhnlZdq9
4MOa04idr7wr6XcHYscSHOtVZrsjKqly4Oc90x2xVqyTScvbShT6iGeJ2vFDyox9EN3/sIn/vln+
cXO02Jr/eW80ZFVVNUvWZUvsnX/YGzXLVp2gQfyJS1CdV/Pp6BT0zYmG/IMl5xEjZ9xSkRiElwZp
wtsmUXnUJEwJaaARAU2DO3LHO1lZ9+MyIq+bzaRwOzxwW3rJoiHoC2zcqJmYQoCzsTejlBqJSa3E
8idUEa6UkxE7PN7FQzYMP89AnZ9lBkygWw5z8JE6V2cwnAb3hAfIlm86YJyKNSB3vkQep7Y3b6wx
IER7Ld/16DV1Pd4NNX+JiWlf3avyXA/UptHdQ+qRc63DEa89yngEEHVwSeGjGMPyX19d5X88ef5w
dc0/X93WGtMY+FYkfDzFDPliFB4aNFueUSvCzpRysCm/NR3lwGGUOHp0+BDVziAk7V9/Eo7Mf77P
uqaatmHpqs6B++dPknWSZPd1zH1GqYSLhLLTWO0jVqXIb4QO3S1LUNMN5ECisjxm7vWpxm0MzCwy
YB9CAlya0EjbZS1vpWyeMMssznEOj+OhKu+FsS2lNWCwFDIvW8ag4rK5KmTQ5Pb4r7+KOK3/4TR3
ZFVmvYpvY6vim/5xxUaaLcs26opUdyvno22SeStDkbDIt6lm//q9nP/xvTTT0lSumuL8w/2rlMQJ
AmHF1OuYw1FyzhN6zXZpALF91P7D//Jumni9P303hUJINqmVZFM3FFU8rX/4br0tD5LqQbsU+80U
qWvL47FCuBcXzJbxpskVvKGHuyqVLzDRHc6MXnKgrt76Hga37y9yeJl0hQelQxIZC61WsFWVdi92
eViDYK7xjYTj2SAVHz7Cn3TlhMFTpEXLjIe8D5tPAyNrL7gStbie4LErtYrJKDnEKZNYPkWSRKfa
7uEClis9u1uDMddGt7LZLAg1gqEqv5eTvyhbGLMw02mIOVxFGSFZYD8R8DrJWvWW/zhe98wkFv0I
nwIqMQP3gYpAp0mxCGsVDUXV+i7AntZdPFxrauk11RXSxSTC1Klzyns0kVmVrNhCUXCxUr1hnlp4
bVLIQC0WJ2/IxxbHg2pxlnV8FU94okoP4tv6/VWNkZ7eZADKHDFGrNPvcJ6w5YmqQeZvJPFwVLC+
DXBtNvrKqzYYWEfzGIJRFJg4uj13cItM4JOmZ84XLFUOPx0YvGGUrEufRPM+1+WpQXrLbCCK8Amw
ukXBIeFT9+BRV6HMGOFpt/hkdbHwB/zS45NUgJGAkasNJQxUYiV+E99LHChp/jyhwbdKonMeSpsK
EsetFq+kQXm1TZIl+MwlZ97IIEwUbF2Jw8OxHTHpCqyFDje5sTexTwGc82IRNHxDmlkPEqnp4phs
Ye+XJARoYfpslBU2dv0+h6MIuitr4TqobbgaEjIQJHEY0GY+E8w3rYNxlgsmm0JREixyn2IRxhK5
n0Rn6uh0B8J3a0KR8z7BBaJDzQ+z2ULL3i4nTKQtHy42kDWHpq7y6gwbbTNc5sg3UtJT56G5/zmX
F7awm4vf6wBYgwLWM28KrNci/2r5Fh7Vpon8r85X4rjWeojDlEdFHKMxqjCzlebiRDLSO6CRPCW3
iZmhggHgiPmvB+ZRnEvSKFsKIRUuph751zjTKBW3nR3NI59wq4IMaEUl8Z0FId1GwOusvnTKsCvi
YN4Z3b7xqQ3QwXb1vbc/VKprhSlWbewsezfaGNdR1tofWt+SqMv8Dccb3gF5msHCz/lwQ7dxUjev
8TKzmPdSzTIXyH2ib3yOMos/rjdiH+h6VN14DUm6umyjZmWSkKOhXKEUobpxIOmIpzKssd3Eyrfg
yAMuZAU8FPlK0jia0QsjAOM4LBAytYFKQ6CuA+eENeVM7BdWST48ineCDMRp1RoK3rPwmp1V1Zer
NK1mWuP/1LcVy2UUVfVwTZsP0URYpfbTY1Rlv7DUewyPQ3yKLAK66PCIlhZx5C+09NzWd1FE9fqa
WaXN2+hU4YETzLGgfQisYBFIEOintxgdtCiKTROrBBwfmpQp0dUcMAAnCico7ln9XMTFSu0Rx8Lu
g9ASOQjpGmVt4vRSR1QDfJ8OWjyq6tpZdApqSETYgRLPa2zNq9pblcajDacpbG9peXAjcD/xU9FZ
1AFU/ASdLqwIaEmJiTkR92sAIPtpLFgNonVwOEUdFppuUsDaFHO1xJgMF1EqS1N6yMNPzDYWyovD
fKzBtXDAl5JN2voQ11wrSpqse5Wx71Nn4vWN4J4iO65WoqNqleRoWfRz6EhkrHz00mAMj+4sXrbA
06XP+LalY1Faxj31Ma58si7FInjz2rc8xDhJYFE89dUb7guzrsoRyKQrbiuWGLc2Iu/iO8wYw4Mn
GWZC7M84L/gMMuz0xJsbQHANyzeoJmTeq4KSnjBPZRZBFhf/D4yZJIyDBm3P9C7Jg00ytTNtCGcl
yHfB0Ashx8JTe8oeY6ZCzVAaZKwocHx5VSvnkjyxAJDt6rTbJPjQJxzDlp73hiorRILjXxsqYnGv
+yxcmo8JM7lW//6vD5ujGHSai0JAHyhxiWI5tCTXzgWdgLNEXZYJodk91gvDuNRLaLFIIoDqKw1D
EahrpYH1ljh0ZbhG33K88xUcN1F0leW+S6DuYUNXLXzGVar1TCR5pUTAqUBetbnPgo+OSxs+2e2V
ndWHkNOqsQswscS5OvwKDNzH463sX3sd15V6K7FvegWTXMjH2nWI3iW2Z04Aj8eHZrXZxQpuD8R2
V8aEGfsuS64lHggN+RcklKw8lMfKBhvZJj8CifEtRBEkbtnU3phB5mCCVjLX0Zd2IUmYNhTx2Shz
KQgP6t8dI8GBC1tH1TWwKYhxBYx9aAbgxJGkbBDGOFa1VvCLV8F9Jb8k7hODs0nF+4OqT5HRYrVu
U5qzEI6Qw5ym+r/snddy5Lq2Zb+IJwiSAMnXUvqUt1V6YaiM6A1AA5Jff0fq9Il79+6O3dHv/ZJR
KpVJJUlgYa05xxyz7aXfoR1MC5KfQMOrIqStpDcu4gktGHdU7uBB4EFi+RNQIWMYJaJ67yj8B8xT
fXay2aGlLV3AKx9RyrAhhKB6xAVXyBXpNqV4SxO65AQymssN5DC5BH8aYjRkkWzq8+z0LDDMLVH1
pdgXQHUm65v0nhsPYS8/P89BMP0IvZcFH1qFuw/rvEK9kmOgDyYwncVVOZFBAaFDYTeJPZKvieaG
gkdnmIBJCd928SgPwLqW/XaNgwe/QV0605dhkayZDtRvBtLKjAjMU+k2cdgdiETW6HcswLYQjlFG
3Rhg9g1peivKyRD8KFqzy39sOIrqTF5ldX+siYP00VYDKxznz5EeiEtzF/lHRvHCKCZPWQ/78vOi
smoPvv/sIDUZR8zWzrM1iJW9Tx/VbkN31r/gEBaQdh72Jfl5uVE81iaRfM72mTH1VY2uYcFYGPZ7
l7jeVn2uPqFxfCQd65yZmW3wa4VA40AsBbKoT+VCIu+pvPP3ButeEAdgR+yVWHAbifdmgSeXck8Y
mF8URzUq5YJWQyD4Y0RVgjPauEz/TE4/m0HUvOZkoE/fJCCiJsEtCm3TMNDyvG4LovLrz1e0axw+
owJJKYJ9FUJDZcKbLvVmYO5Vdtx2GWP9auQBIL+lwCtaEvE58UZLyMMQ9nNWO4fVIbOSY9f7wtAI
LRkRb/zLCCcqEu8uNCOwQeayvJO9HHAknJmu15zdL38sRnaWR6joGce5zbTDFkkqBI+ZSxEWMIk2
6WPQkySkmvdlZaFHzmhIe9Wfi7QoYmmN0TwoahDWgccScBkqetdgtKsKFRCnfT+ad9QoM7QZpy+3
FX211XcOTW+3FnmpQ5BvXUKiQyossHRmxeuULru82K0lViWTkv3qvueWQGlpt8VSoC+j5SkRNFGP
9QSi4EqN2M6mlI4T/b08eO3rAiQXlShtwx7NgkudN7QPKUPFJBB72+GHDLPdpfAse7bieSZ4md2t
zHc1u7mPzqByVnDE1BmoZ634MJJHfqQcdzuyefzLlv3NRlB77TPESG4H5r3SAoS79CDn4YTOhEkF
HRCqtBysRUMaKuHlGkRyWYAvFRurzz739GJ/FZf99EjIAOT43z1WiBAMbGzBxNL36ZXLEPZ1XbGQ
1BlKVdy25frt9xr+6lOcpXQJL0UW2P/DQN5j3FcMJsyt9cluG/TFlvjqw30dMzwUTf74dbr7/5MD
Ef/j5OCefv+YflR/GR5c/sq/hweO+peIOMnHSinIaG6gOIT/e3rg+OJfnMv8IIolB/DQ/e/pQeD9
SwRSXb6jvDj66gL8Z3rg/stlrODxHUKtYhX9P00PxF/bDVL5grfHpMKLYz9W4u+NE9s2oJrdgmzF
uMiPI2NlrDu2XYO73hugWQXxc5T1hKmPPTcd5wfkWfI4Xo5dfffcpHF8EjC8VUQ/tlPhsvnnnkHw
1xYT7y8QRIe6sZIuvTpmLH9rGXRp3hC2oq6cWZW7dCzMrneZcevzMLLtgT6LoLxGB8hXmk24LR5M
KoKtdPKHrkMMGYJxUpDgXjSyICNA9ik9KtJZRvzfHhiMiNBG2RzXdM7Oa49yJGqWWxWbD936apMU
Kd15EwxbFiJ8e20dbNxGj6dU5x/uIuZbOAopGIfiIfXZa01Wgi71xUeq0JHF/preT9b3bw2o/Cmx
jz52/v/bR3T5CP67q3L5iCIR+IJbTIQyEOJvXRytlpbyumVIz8VGpFRG56+XSg3RWVuEldLWmGR6
A/EoSMAXKTw60mNmraAkX8GGjM4lWro0FfM5WwTdz7JKz/M4beI8dx662YHpXiHYHb3kIaTltY62
em4VQL3OgaU5p2gguy65yZqG7PGIgsLE2XIt8mEDBmQf1oaYat4FJacfnovKhm/rBGRgzPLT4kdq
k+LR2DgpeSKLxBD0zzdR+Ne+09cnxBAuZkYWe9Lz5eUh+B99J70sfZ1mvr3qwbXNM6aPqgegn1n7
WFR+cjsNPrUlKKcp0WgTupUhq3YHqMgjXGnUegUCseFmmCTR1kG5EyPgwKScEdEYdbd4QXmjhr4i
eNR7rwo0A1+/NeSMDeKJE0ArZ/fBQ/lHqLfT7bAVuSjaeIGLFn4T1iWMIEYLIIOpfIhplntFqj6X
qr+XzdQ9mJWE4zXtsBj67b9fpOj+15cq6RjIi+Cc5MR+mFX6t25BPp0dzKGEYX9ThlF74yRMF8rU
Rz5Kg7aI2vJdVjLcBXVJd9mXAnlSN18veXacohw84eWrr9/Ks5Sz/5hj1Qwp2Ww50h9dhvPQ6eZM
AcfZb6EESYNbmGHmOrkc7P/58nl/bVNy+RRjUk+FkWBoGobqbze4U7KT8fjCv40cwq5ar7rNMnoH
q7ugZvPNPnWRDrduVLxQ7l0i6nX1XF/o7pkLtUUS+mhmI58qC7FkGKJHvSJfC/Lltmp8UGR+V972
5cKNe1tNk36FmcPMpFXtTeNx6vdTIqF1Q1OwC2yx/+cf7jI8/uvTq3wvZmPwAxZ8fsS/LXDTWpRK
DAVidmt/BjEglrnJEBMHS35MUx4pd/5G+0U+ZTb5EUCo74XIHxyV/MpyvCGuk2QPX7+1TnQWYjVi
ubn83tdLrZhQqQlpYLK4SMz8/DXpx+wwFWWwiRhMvjp9C8+EwJEyGHErTJikvl7IPDp2zjTd2npe
Hsd2YtTgMRj++mZmquWRqokqhR1gj1tTqbi/r9PVZbCTwDKJAad8ffn1Epoi3LVhBHNQL85tYntU
/1z2DxXL+3KJshcv6CZwixxYK+VtnTjKf0RL+UMkEIRcMbb3wu8OM+SHNFBOsZ1NDIjCUzH/Sbet
V5J0qhbUDSWod2yEq46iQvOyuutlqgztzbBb7dxwfFQclu4YHaevqfJOo8SuPRY6RVgIVVAQXWeD
7vc/X2L5f7jELNLK4/bl+obq8v3/sfwQ56JyN6FbMEUS5wXiurQm1addwLCu/fe0CeWPFHpIj9GC
9To8/fvFR7flRhARPMi0c2DQAzbFugPkAP1izR5kNEXXXy9eWUfXfoXipjbxYz5E9B6nynuflnjY
x0UYXNcThMklHM65mfutyH19VL0vvmcrQWQxQG7FqcmnHDm7wZDgCB0J2pyn79kS/axbGfwuWyBZ
/mHo2uYmlQXtUE0EVtG7KNSOTiHMqaxibMgLBx9Uovo/L6FWm3/+OMXfxk6X9YDZiAxlFLhRxDPz
txHJ7AhvYbRKCiqkOBWAwaot+RjWZtOplgl4OWeZhmPmK+DwEr/B5SUSzz16jYdiCtPbMULpyL+M
OPA/L9qCo5gTfISDIhCKouZFY1BpC4XgStNui2pAXA1dpdzN5Gmp2mnP4nmaanp5qPVTgn/uo7hd
H2uRwfPxE2dr5jW8EUF33TJ+eTDlqK8aGeEu8YO3WPCIOLFdsKxrRqb+70WFRE6FgA51E5iH/vIi
vQl8Ux93Gy2jrR6i5laIJT1Gq3lw41Kfx5H5oSsSd8cnBeHD6eJNO9evXjafHdGr+4Ic2TsVjqdc
C3n+elnXRJ4rJ3uXcxzvu6R3bsbSJ0li5ZDjewdnqJL7ZQnyB7Os+0UM7o28+J/7RRwAq0BEv7zo
foZlPSABnNuVqM6pIdk6w1BSxB0AMXciQbNz6tvAYIRI0kIhhDTVx0CbT2Y0zDts9tctOYnnNSQF
oa+aljDq+fvYzeZxTuExZLHL/DQJmveuGp5rr7XXfbYUD18v7brskYV5p5q2AjpMEqns4ssbWzi/
Irdtfv3zXef/bw9xKMIwZv/x/MgLPfdvD3GIVa9ZxhDOKyGPcuoe62ntiEFPQKhwwW/k6DVnElAI
RPEY+Wb1OFFUlsdp6buzP1f9oR6aTyNrGLlZGw+HMg/fkiZmazfZ7zKPnX3mBA/Ngq4yjTHH4s7s
O+E8BotFWdh7+zxHh/v1UuvM7pLcQ7Ceqeml85Ea2Hx9++cfmbv/76cDmt2KyovVC6lSTKH515VL
090Yo4AmnHvZ65f2+eulQsLAbMh7tAwVb9IZ+18l4cMMmboyKqqPIqfelFOZv0rrNtcQGDFhTXMO
Ch8Fnp0ubNvLd1WipmOFqglvqp+9zkmW7AVwxDVvd0snqpeoQOEe4s5PdPo4udXw6PgMKtOhhQF5
+bLXtcdROYvZJF35OQc+uOWW/W4ZiO3sIs78TR9sqen32AxnyCJAcafZHrtVvxaTAQKLo07kGgKu
hmOV6fe2vD32Wf47KgFbOeWyXcv4PZFEk0I87uXwY/Hj7z0V7dX4Z3Cizwb729qVdMUcVEZZubzP
Phua37ZoYtgx69XCSEqXD22hqLt+uw9VShw9OperVQX7uE2R4FYjqsHKUHfa6C4iUnJ9jweSWJcm
vxWaEPW6uS/M9KMw8lCG5Uek/X2sESEJIAhXrS5pFRaEd/l+LRidRLcmqgfw4ihjG2D1dlVkNxOY
4tQxk4OQPp0zMKtoyyeBG2CcYqoombwWefHdOM9K6adpYbpZBEwTDDy4gXnlZlL2zWk4Ozgj00F9
kVHOzl0RQasfXUPjqp5fioAIH6vwZdm9N61PCvVE4bxkMVyQrIlvkoW5ejh0SI+mvSs62mF9DqvC
w3me44jRc1vvaqMdetDJ3njNm/Z7hPFuviINon3hSr1gK1srCKfwFEb29yvaedo3+V4LfydKcsvW
DKCZo+UhLvCMTGOsd36X/nIRbDlh9Fsr95gvY7Hz8izYiaFOjvi+4qDfBZUz30r6R98qSc6UaO84
87A6AZ0IiwjDGbC7GDZaAPQjGhtAZpgpZwdpuTDI342M6N2OBBB60yXWOt/LybkO6BaeGklS0ohh
22ZuwXma9nA4MdqgD5gAs5LdDMqnK8/8ZDS5A4BtiQfGWdNpCjRq4GqBot+JzwweB+F5ab6DiH4Z
6DaPZnRxeu3HCfRAFHUH5WEgJ6FEz4jlvU6esrhCVDdjz+2QifN5AjDTZLEXMayCBS28V66vKw5p
8mUkrfOR32dDDHeKVe8gPUTbM+yEgMMu2fJy3k4TPkRyvcC7123MLPqAwOtG+fgQh8Ed9vNszDON
sM+KkCYrEbrPtA0WQ4FhAy6nVuomzSqf2Vzm3Iv1ScsGxYHaF6h1CHQ+ih6PJwGpwWFZCzQJmr6Y
wLcU349egalnBDSfoXdasWbhg311XJcxg2UvSt8YziD9cA8Tbc7yOc8uPbFBAwVsw7thzu9mES2n
4W2MkS7OXfxjNQrcH7S4tZzAU7FR+e/FPP7Kwh/C6bG42AvXR4vTNP8px6r9UfPG7Yw5yUEY+VCf
Ut9gulouiEE3wTGkeZgX2T4yYPhQ5UqkltUEy2f+hVHYMuxxonRTRQHd8dwRN5M7fzbtjMwZ0dSL
zItDz5DlyhDeQRgRjb/Wut7JNRjOBBhLBrHByTYm2K61nukmqxCRgX6IW9tsVD8d8qD42dsKXn+B
2wujX5Q0KBeWiVNeymStipt3P19IbuiYEHfqvj4lJxvxBBo7H2rNk9ZEvkcLFpfUpOP4wMBD5eWf
yNnayicfYh2aSwKau5cKx0ZidoOEYbEs2AhXkluYZzEY9U5dkzy1D3WJxyEN1uiqrxM4lu1xrIio
b63ydhR/r5Qezk1sBR7TUEJWDzFGoxKM8/gbOPDglET6O5Sl6JoWzC0X/LOoeF99lzPHx8W7YfDf
Ds74YBnsD0pqpKRm3y3NdBOqhTXd67gI8XiQIxk8U7gftTQnVe2nELHpWPLP1GHyPXXVgAhA7+ou
IRwtYyLTuO2FJT+89EmhMJx3mn8ML77f/Rnzm1g85ov6LMBg4Mtq/G1qYLULJIzEYtc3prto0JPl
beiwiayeJZAmsVAYlNXb0PDkCoeBxZRjGuhtAgSo/hNFefW9LhMmAlD8qnyt7xv/XvbNi+PoR+Oh
1EvLW9OPD/mw09Z/bloMQ0mXP4VDcG0lyblFsR4Jie/3sqz+DL2hiz3PduOomWjxEDvbCFU5qdDs
R/2FwBM9kYpMDrCXAOHuqvyxCTuWPjnsR0zEeshDbMNE3TNgYfrkr9yVO68SfHC+eHQiyr12piCa
F5wQ4uKSexaBJiNzcurNGlcPxYJyDqZH4JTlTdfry9gCl11IHkTdhlsaQO7ec7JNnv/2olUfs4oF
0a55DSZGX7djckmpa10G9URr8Ch0RDDHLb+opircd7OLPSgydwMaiYK7/JnN9lVPyGbjKfRvDDEB
tOKBneNXmbzQ3gZNDnG3KP/Awpt2Md42W5keIQ9zvSLnAOYu80vEkWtX++0vf2RyOBQNCcveQ+I/
FQlmPIXQU/q4JGxECpjs15vRY/iTLFAHnAadUkx0p8YNq6t048uGyVow+uCQGf6FrfrmUBafe6f7
bi1otqaPf7ogNgxjE6TCDftDC7koJzWPTge60mhB4wHRMc1pYHU5Xuoog33bcFHWoiD8dirjjc1m
eWjRWnvYkuvlZuT0TDJiAM50QFoxBjY7SqJiXJk8Mu58Lt1lL7jHEJSorbaITcrU3LWzg4cvL34W
kBxM4eB/WqoEuisTJdkE57jXWCVrDFDgnZFZXZSG3nkoo/XfL2IZ2ZrY/Lo6rK5VaNZ7qAycQMf6
WndPdCGbc1pO9bnBFn7mXIFEeY4+Ud2DVfc3aMYihqJYMYYsdHcqCtGQOMh62bQAbiMmMgGjZ+zQ
yYcHq5ISk6ZNM11c9P70vQDcFFa+2UV1CCkimV/Gwb4nQXHpWtTHqb0ccXsHhJwjUToUpd7l6Pxw
KGCkpFCMmVqaOfred7QJa/9kQkIvaBJSP/zGJaS/+RLuxIQIAdEmsqJp7NyTaTH/xvpBtU2xneKo
4XzPxoev0QvzYWsGZ1vzlr9NnYV1VKw/6faBdApYM82C4E6XCUzeBjZJWWKE6yNEGcBa3nwwDiVM
rV4wzQzdvVaB3SqHkBeFezBOOnvfYcqKJ3Pq+pHpmnShTpNrlsLkYNJEJ3plDtbVN26Vg4JN3zPF
/WeTuyIEZ+BRD1n+wGKpYxYZnmM3O2YhSt9+/J2n6uAQiUFj+dmu5XM5QGUJY/8lXohGmy1ysTHa
WuV8egNg/CxI0MB4KCoE9L8Q7XWJwJMOPGGoQ0eoC+rXPD15cbEexDz8SgBFZNRdV4k3fp9dAq+X
9TSMNA9STjRVD0A3W9ajrKaXdd10cRURYarJMAOcjbt+4bJjo5t4S4xItuuKxr1zYLgV9K9MYfcC
GmMRVKT8kssG8noIdmXHUT/0eCQHkszUJ4aBIysUdrNzMRf5Obu8pLU+WGyoxwW9XW3bdqe/qEyd
gNpFdDZZSCRsQudwIaVkz95s7KFEeYrbcYy/MfgtrhpEPrEADzqtSFBcsjyv4mrV33LUHFrwV/tk
KnbEPd5xfKVKbSiOAKisM/fglAbILqdw55Tg9ZD+veXJdG2r+FAQ4VLXubctRuQcso/zvRPj8Fzr
9Q7E1tsKv6YfzUFOGSRbrhtSWBRXiBFTl1bBWEwnxS617d2Lv7yUV7qG1R44+t1GZNrNHYW8L5lW
6oAp+dweCyeoUeRxtztJALPezX5lnf9YtegK7KAQuHdQgIXDgpMj9PNqClovFerkls2OgW6/WwuO
CdVifvtZW24E7+5bCQZzstdJ4d+uAod8UeYQe2ft3aygZNvGhN/URRiiq0vQjKs5vm0a3iRlPHJ6
n+cYXcFFxJllYkNi2kMhmxVwZ383R6k9tm6+TYoMIOeiqAtlftbL+lEL3HUiHW/0xacY99CDTDZs
VR+y5mvONtm6npTbRXvhBgSHjZt6iq/jWj1M45pcaIKK+QhMrXoEKBBL8I9jQKDT1L90GQkQS77u
yhQxWGeId0cKvelL910whj85pr5kz+j3vvFyWtQkB9ZeTH5HHNwly4+wLe8K4MEo/KGKOJwLlFg/
KtdFoO95uzUFHOXN+bkq2Iq8judtyG5NiqtRrSuk+AiWQVqH67ZOb/zc/M7BLc21iuE0gkLq5pAw
rQIDh61z+HAk3Mi7UvrpfTrMLwGLSjc39dY0/K0opIuWPMwzyjMXqTjxjsXiP045SnlHZcG+Vhg+
F8MJOCxj+ygb5zjFtNrL/loI78NLp6OQtfqSsomhKQ4uNM6Q9eVgRA4EIxmGqxGRpkDGNSWhwwMk
H4yT/aAC33RR8J4w9LmSvnwpPRh7Uy83jg7upvktWjjer9+TEaE8jwXmCDWS3xlc+glLPJEmdV2W
0LjbRL2MdXefSm/9XaV20yiHeAPHu88G3kaTpTddZ6bTkigg+tilx4wPlfRzkIySH24m2MFbc7Pp
GxUepwGeBbQeJ187aPPda98FHzxhqFBjTrOVaxDTuzXU2zX7qFKyL429wryU5Oslm7QMdxXGb1kl
lJqgIBtxieFJL7bt7HsJR72z/APOyPl7cBAHtSRZe36Fe0USJZd2JAYT8Rna8XosCphMyYU/JcSm
X4OnGimvcVwLLLp6LpmZZUQABCXchMjrQfRIDxBMukLpRnj1TM+q3XhsyCdHlceceRchVFajh8i5
QCjEGoIYhJa3THcTWG4sV+tY/0kpSZEmyTSp94OdfrXB3Bzb3hxTXNx52Qy33n00wgalg9zvGGyQ
mzES5FMxMj066PzjYfKxtWQeNGCia1HYNfRH7zVQ8ShKU94w5NyWNc9A5NiOOXkLE0esNgVPUvoN
siT8XflE0tUwhdcUNU9Jywxm8dBnWNTFI60egR0pZ2AjdbmzNnlK1ttsgWjhLrk+Y6WG5E+qHRPR
Aqmg/T1ZjCbOXJ7iOSL7g6xGzr7iTG2NkGr8RPINZ0BPZxPlu2Eyn1kz1/sGEtmUuD/6Nj87NRK/
4rIUpQOCVYMxEMYvmZedJLl4VmgZszP3Kx0BpwJ9nt8UCTV/lfsf/tJ8gAZn0DDVRCnwnMXQDFdm
0Qw7kl2EIicywb2aA0grkoukRtKsbLUbWrUSzLd62BpSwg2QjU+megn9wf1msm7eljrhbJtNiuoB
/WJOxbB0OTGIK7ej4/bsWvfUwcywglBudMJca/CaHdI5efmD/HdT+WiccjuMAjNa/cMEpzCsw+2S
IM1LEDTCsqU2S+dwq9SLRJt+Hhc61G4LDSQHYaTGsQUA1zzVCdlTapwIA+LfgZ7obJUVVKTUr8aC
6uZce7lPnOs8EerIM0SyKdqDawIVYqcDvaxLjIBpf+4YuEE5W2cydlDkWKbMoYO5PJ/v0yY/BSMa
owkKhSxpEXSMorAC1kQHxKjdACBUZxRERVLmp6HUdz6eYVs2JfVIej8ksthJI/5UsNCL1XC3LeOT
22d4gDONxJ84nR7cdFxbbh1adVzr8j3L7gbboQ4vUQD3mlTOJdjwKLyWQTqDrJ6wMVYQvYYAZXJO
MSrWHM2hiDnijViD1uQn0xugiU2WEd2YbDCGPo3Vmt8/dpPbnLqxe4T2f+N4TXmeU9gSPxts4skc
87BJxEBLe5UpwAbKFNFO1e4VBJHWiGes7vno7eoVCzU9Db5oPvJYH5txOHQBBDiEg+x+QOU7jUx6
qnFelsG8awTMXslp9uurcmaC3IeAXEdFul2fHvqJHcmKuDs1wnttDFyKy+jIw+yD8D1/7YyfcnIr
ntPQ7686BCYcTnBru5kZtpj6/FbT8h4IHZq8P/OQOycLZMECrV2CROO4QmIyRZ27oUj2MY9JU0JY
w3tekiubeZTWakBzOBv+UvuRW9pCvC8oi/MF+AI8Li70ppDqw8+YAHc+yk4PQ1qtU+8htT0VOL0N
ZmLgUxumgwWVzWy9l0CZt3amWyDiJd3XXfGY1nj9s8b909cxm0AAad5bwT0IbKl2dfWG9vdLg34b
cbe6K325j6d2JzmYH1K4C/2Dcd3lbEodb4cM76mD+8Gd1I99DlmsdNOfKroEPDnV/RjOIbd7tlzV
iQfUZfisPJfKm/S/ZIghe9X3YtD2FNsSlpydkkOdquux73+X4lOHKcySlEXE916jUCQgEDNSICaW
iAs0rmyWbeByFOp0vjXjUD9gUdjPYKAPAfiZFN7FEh0l0dHu5IfEQntkWazIpOcl21y7bkAPH3YG
z78B/gJrYO77mAiyF1wkpNuOIbploSJAP6CZYqE4CV1gW+VJM12M2vuAQYjvcJGk8yTymRIyr246
y9nLFPQHRiKP45WOTqSekqG9riXT9ySKX9lIWaXgHoS2qI4OwQFidamxk4sXadZ3zsIq1sx0k2ge
SLq/E+nG7QyJmFrQLYOe9ZgSR2CFVF3/UVjXPdvLYbAY5F7NYpPScfkWMl4Ix+xmXgcYYri7tybp
5a4xII1m66MSoDvhAyLnHdMNECVutaRFhAv3J2bucAhz/autelrEPeZqauJUPPkrHhxlxNFUZBZp
dOrg+gzlbHkQbF7fWg+kWarXP26EmhpdyoFGQLctbWCOhcCWV18MMM08f+TZdCxolINeRZbup3eV
5x3GZWCdDMq3CobwOFXpkxvMRzvDK8oD7LOZq39YJ5mPw5NvAn0DFJR+2ZUKnGkfWa/bj/FCXpy4
jwVAVu7EP1AXYy5G6Y7MaAqKHBRbfxhiwPKviSj0uZ3cCo1wFfX7OGbfr/OAuuaDtYz/mMH8Gnqn
pY7uFsJSiiR/wn1EEcoNJBNWTjvwAFYG6ZBBnx81cUtCCUF1NQlXYsrPngEYqWf5w7lc85W56EGu
zj6C2MV24JAW6gRXLcCWvkcbTeDhnmHh5+Csfzp6gBuOXh9CUCPXOVlLTn+/oJc59WV9qGJqpUam
uN9D5uVzEKF/gDtRWbnuqmH6Hg7kVLbFzRrjJ8nW41pw8CKbGN3dK61rWhytPHsFPTprwo855LSc
x8AhRAUZZWb8gRId4NpCbhQO7X6fwtbwoqyF3saIQWcI5csEFFDihnfe0ANulbTunG3HwOIpicf7
SyibTub6EZBdkdrqnrwpE1IKhTna4NCkDSoqYmj6P2Uv+ewI4NjyQe6nqH8YihX2czx4HJydl9oh
Oa5PApwto/5kAgF6KKs2qZw9GJwrAUlB+FmXkKMjcSfLCFqsgaDZK8plRpvofjTYb0tLK51Nx16W
vFHwY1qgXhkTWd2EXf4rKpdgP8KZuUbSwW3ak+oRU3VahOrO4ItnG2nxLIp271ExY2WeGS9FnNFT
J4Ap1bjLPamYp0Y16SPbx3BkWs89EGREqvWzQ6aRm9xKCpfbyL1AYZsVPCeMlTpd4jMCkuHWTyLO
Zml7nYvQ3OLrzGDQccJyXhvbfaYFO5Bo5XDNwg0pziTLfqFy24VB/EdmxdnTkbkuLr7NEV3PLLrs
vtNVQ5+yo2ynqQ5nafrp2PbcqIUI0iynXVcKc9vUQoIVH4ZfxQwlVpM/6TfuPmU2uhtiJp0GzwIt
o8ZsTORiEdRj/RiHzUZTFT527b4edP/IoHA7ra2lB0aYNA5fzLAev9+IO2UGosZSNd3lsrR30aDM
YYioWcfiY6wHeV8UpnjMwcmdV5l9j3onf/x6KSaoelnAod2P4yM5ztUtdJTukfMBsocAFvnUJkyk
c9nTA2qaXZNn8z4R3fJgsXTfjxVHCfFjQtVwytokBy7fFQ8Ohey3eUjA+/JNW9XByXF6pjHT1G0m
XTA27QLnnl4XHImxhMKgswGVc9/vwrjsH+PLi+kDnsHM3rolzLK4XZIzPzxk1BrkTOn6JxyK0VMS
/ko7zswMyWGIsp1dC+kQ6ecH+lqJraPA/xkLQNEDJe2u3gQp/mUhuPGRM7V9ylzfbJaOaJWvL90V
Rq8X5DXW7PB3O/LgXxF0aAlarySg06BsP+GwQtzRvXmOGi9Ex1jHCKb5ZjpoVu10fV784tHVWfxm
PUG6XKPxiq6T/ywt89Qpd3dJRAnqFv687301k1QZNE9eyiXkLMKqnPbNU+iNpIUtTnBbk6Hklt2V
+t7OUfvp5UQ4IWysbzI5MdhZHbVRRTrfxllODHmf3a8p2Cz4Dx/+FKh3w4QLQBGY2TKIHpqAIcc8
qd/JxRzGphPw0HzMVfaeFu70YnxiNPoufCgih5iLdtDop0aCP03f7C/90+tM6uKEo3w819q77oq6
QyDrjZ/GeM+ho9xHkDcePDhnSi0RcfXOZ0p8Hfh0ygOiNdcies5SwjIdR6IdGnmsZ3MbFoyVB4au
V7zjZW8HyGStecEcp59KTkpC3Iz5Mr21ImlRUoI9w4ljRG1PSxqTdKUJFhyom1TjpkCxMVZW8jki
uMj5L/bOazl2JMuyX4QyaPEaWkuSEeQLjOS9hHRo4cDX98LNbuuqnOlqm/d5KFYykyoQgPvxc/Ze
28k5IBt1vLEV5+YpSX6yFGw/WdgTgqwk+lFJu22Qcum5KPCtetG8CUubl85ocW8F0bKzGUuZOZgR
n9xOi3Jrp1q5C2vip4hN7IFxrtySuHoZgD/sjMpNaLplctngETzQXgF5EekLX8Ve7EZSPyK31UD2
IYljTD7QvUhzJFgEBVnEKeVWVa573EBXoiyzMw3olSwb75612S1LCmKtTBDtXZauXJpIuP8Reeht
cGjJeyBfsLkBCpkGKTpjDzcvD8YoLEBCLPuhlSIgheqgmu5eeMw9Mr3rVkZE5IdumBlK5fGD9dff
OAk56W0U41tp7HWgeOKmDU2+qaYZZm4/jbq3t1aBRLpopMmTEJ0QiT5jyoVTXrm4yTLhkvboE2KE
fTdpEKgEVfjT15p7+vMhk/bGKYWyGZAIEvfxu2a3asaYiXvpfCW0EawUgouVuYxiCeg8ROxFntJW
p8Rzifnygt1gR9ay8uyNx4aHhQFSqWtzoxYKvFWNTAsjCGCiQE2OPPuSKOBY2es8tLjKoQhRwQyB
IjZ+Qx90lDEORTMiMbErhr2D3Xqu2RFngXKS8vqyXmU8x9sIgGZQlMa3yAwyOgnV1Wr1kWqkjDIf
RAQRy+Ru5fZCM2J3/+dDHqGTVgKcTSK7OiIwb5kewENsnyQJi5XKGGUX6Vq40fP6Q80dkBgi/mXq
1BFuMNhXF0XlLPemxs5Io7Z2mkMGgkeONVLHLlnYia6ePI9WTFkoMPiTLLvYKroux2rChZoy4Oew
VX3qXvPLO2tjX9wSdmWzT6m4cvCjpkba3DA4KRqWyiXWRzirOGiR8GXVXYjfWZBthmQcznpiF69+
D/O7RKuuxMMpkhwq3CTZFpEeHlKoLgHG36OK8aboDOttaDLrULp4nmNl5BEdiuMYRq9Gw4SvTwLt
mjQ2o7gRc7NigDrMZICBRRQeCOEYznrS0otuDRogSHdRRhRXpDDjNUCLfOtcua9yRd/q0wEl0aLw
mDkQrRyUiQAOlrbeWcvECPxDkekZPTy8k1aowhBkhVp7xjBcR2luw7FwToEEg5bXaUPEiEXdiWUx
nv69NLIKHcTMrBPzkuYMEr3aGOnNN5i7IkxUWtzqkHSnwD0Ola9BMfXWY7M/DJnp7GUFkqMroJ1E
NZ5vd/DHt9RUSVrXo0+MRVp/xOMEfA9QxFxTnZhRkcJD2Q7Jts/TbP/nQ+rHNBsynPh1jwDWI7ne
c+Mvcu5bTTgZ3CPG5aznYOBLw79lkU9GXUKjSfOSVScC76W2a+8lL991pmxnc3Rvo8YSD604XXWy
MNE8o2UcXNXakXd54jTP2bAso2u9GZnnB6mhXemLKUeNFIa21YwdvDWDkT65FUy516HLe244LtGd
UUvXqcwERFixCZH3EM0hXgR20H1Gi2zhp/ASbRM+s5+0xdlqYxIzNQGD4CUUstrXCYFAlRo8+sYa
CI8Irh1mkB+Xg2hJJEKWkUzdjZa1+O86J++tLVP0P3uC5xb6h9q2u4yR+sL2hbWwKbB2hRsgMIa6
yU8DbW3DjGort3h1ehXQsuK1C2kIEH56CoQxRu9nqoV6YR8ChdgQDORJipTKgWZsg8DEh2hdeK7g
45alXEUqiH2ROlCkzYG4AraefRTWzjxuGufF7vw1ogaS7ngy3oJxpdrEAhi5/TsFfktibX7TQjK5
OMkVwKMcwRlFyRdpq2I+dkgy7YhUOvp4sTv37jFszHLbuhse/agqiD7TMKULGGTVofQRvbTq2SyA
rA+VeheaHRzAq4K0eFZOZK0Kp9Ve/AyvGEcKerBj5O0Yes4bXBNwlB06dyq97Hnie8sgoHWEqqI6
OKmgV+eTvQOyJ1/Ry2fSAC2LpTFmLuL6pTNPx0I/Y0bG6NqExsYUAT7bQgK565SEUOCSWX8FMGj6
TPdLjOGe6sIMzeJdHvmfptW1yM+kTW8ibDd9OOZrxIHQWjWtuJXwM29m9wttaHb2qBuOacjxph6t
Q6AXfGDMBNkB9JDWBd1FR2h0cRMAoa5hXQKzvalOBY7TBzzfxy8E6+qvfz7JjHvhKfo5DfQXi/r4
WFgTUCgevffBKbYcYmBIiChd11bpX2sCJ67/XgHJjOdv6nzHMgDKGPQIXEvHqjVZE/5Jul0mYVd3
PgKiCOEL6plavdqx7c0cIyJjJi6avTeZISINhIXa4gfOCHBZ+OGwtT3hkoyFlZgtJZ8lZQZLyx97
2mhoVkLjTcRBSlNCI0G0ItGtzguLzkvu016sjD0N6UmwsUJ377io7Z2kOXI+Id9Xxmc8Sx1gQD4o
kmFYJpHT/PlUjb+KiEG90J1u7wfuou7qepN3rr1HlBNucaRGe88xje2QxSWsqw+rY7tqMYbiW29h
bptx8xR4uZrYFZdu+hDW3NujQcxIxNAJKUuYpCvDoLNp4C5Fs5y9pl1j7d3QQi2TdwhbgVbIFk+p
yMcZ7etkM1JykBOOfpVDM9ZbiGALfo75bjjeRnGKaQQHBN/ge3I3dtdplzePTHZilidpdir6saMp
l8u5kvj5raVDvHDJXl39ufOM6OI6jXIsA/nUfRm/MZLBvyHBSjfGQyKsuf354JoUYzhr9FW+z8M0
PeV+Ux6SMFw0jpLfiwaX/7+/f/4P0TDYQFx/jmPrrm7Zug0E8F9unyxycrWb+iOSKFe/inKG0ka+
xFA/Ku+t3VgwRjL0GSpfE8dNvxMei5uu06UqsNnwhsUrJ5HkmTEHPIZuAa84iKLL4FTZ3AgxEQN1
IZPMML/yNpUcTRBOhD4CuAIKA5bCRdawf9UChkeaFCtfgzjC4ZsmtWZcQnwD23//ks3pJf2zG42X
7HqupqHV0DzL/PtLVku3b4qyIUanxRGO7jRfJN5Elcj1pa9Z5iqTiBxrneO15uvqwcmshVr70blh
bz5HKsK3XK2aXYQervDs+iGjXNnlJZCtgPrivQ2mkUd3Em2CIJ6wRUpovi8I7VNIDIzqf4xZ0Zw0
ndA9rioy0lyeDQrHR2i26s4vxcNN1J0mGGXgQfH3mkDBydQq3tMTeHAiEvd/f0n+bl9yXPhjjuuZ
DlcFm97fHD5BoeshOdaCCorcFhpJv22h/EClFfNSmRr0GuqAzgroxxta9L/cgn/8Q//yfvDbDZc3
Anm3oRnq325BMyOhJIpUtrfB/EyV6EPaJrnAhFaXI4GAiaaAGALgVS0ZwmI4N+WnmbrAhpu23vy/
XwgaFMCfNA9WpaP/69PAMqjEhCtNO232S9YVlX20TbqQTB2lJZFBRettji2YBP2vq/D/zcn6ZNgF
8Po/YE1vrfjMos9/9ib/+Y6/vMm69w9MxzpsUgvjL6hS5P9/WZN19R+Yp7ClYXgwYIq6WO7+E2xq
uvwny7KdyQ1haupkN/1Pa7Jp/MPGGuG6LsNPvhHa3n/9ZZe/bsm/ULP/d7Cpxmz6X92/jo4txsT4
a5u2BS9M/bs5LqyZ2/gdtMSEY9yibt0YxnJw5im3tmUpDiLRll6AqtL3Jko/IHa3tI/+mJBdCLdm
7WKLtyJMV7VLfgfGKfwynGgtJpR6TIO4VwYU91ZZr0ghpimf1NqyZHxeCt95i1yabRk5fiW9Gc3t
3aVINqZpInTQ3wxHC5H7WCoDwO9Bx/4wSlLAKp34mRT56siBkIl9vbRVMk7KpHZmrRYeURGnjIC7
HHGM96L33pazP3EHPlLQHokGWIybcErzqGj5gj4Y+UtTpiKV96Ijm2/Z2EBzeG9oDkwRkBwLE4KN
qoq04SzJiafPiTJXITfiSgAzbCAPDB1zSbMKVXW9KWRto7BrEHDX6i0Ai4bBAj2QXRJKRUuBEfHd
k9ojBWMCroVNG3eHtzSSTpsbFVaXwEEZ3o407EeDaZXKKNYg4dURfMGY5Mgu3fQr6GVzLZR8k5Ue
8EwnvmkZ3vK8B6Nga8FCYtA2DBwboV0t9bTNjuMqIoHGd4iawYsxgdo0daWgoeBotmhr91HgWV6J
KRlGTFn3GEcIqBsOqsuYF0g67a/DkKcXLXKNZTcwP7KzkwyrLy3i5sHoGqz82ry3lanSyneYBg/d
e6P/WLmX4xNrIf1RL0XmsIkYBjSINqoGmIfdMzsbJZhchwDDuvySCUSoQUvJtvR+JxUDYqsvUF85
77Iw/LmjpwaT1fZgViVKNlRm0GXVZymx+0TAzrLBJDax8+tVo7v5XpVg4ezeBAsdhKioAGpIxdiq
hMHMGvBxq5w0HNMMN1EyHmOUcmu3Kj4D0+UsyEB3AwiEENLkcwiCesPRn2I4D7F10hpR2196m1iL
2GxI2Wvp3CCpOxgaDgPNO7om1ZjIfMzAksTFPzI5+r1oM5v33vc5VXburRfpkb4KJVNKYnHdqM82
ApTRRR2gXQy7C89S/Tkd4YDQPyoYBw2K2S9CG47WmDIOGgpiTU2AbUOHRL4jAdQgaSbyh2zRFToH
vFBbtw6t/37IMvYbdJ+hhMSkhQkWaWBw8PTFigPcYogxBaiDW4IohGOHdW0X96S/Dm331NsWC10L
b6QvvyCRoXoHnwh4OP3sMpVegmyW0xaIK8MEz6nZKy8Zn25bE1jvYGOoK+Oh1gbriPOajKHOub55
LbiyoSKgTRUob/00usi+/PCLp6LJ915FsxLk58xHY6sNPgriTJm3EbNSO420xTWTBjSQl5Se4zx9
loxF9z3KszYpTJyVabQJxLX0VkOVGW9+Sp0DTg3PKzf2QJdribrpVIlGJZYFYl6ukF7lftaxTVBQ
hFwvMtttjeCAeMv0tS68fZuMC7xoxCIg4lA0w1/ldFgKxKYHDhR2k+9G0IqexMoexVsVRN8fIypd
tgGof17MGcm99ArZ3qnNgMkqzSd12nnsg8vAyryJFYmwHF09g3TWPPoY86qcBDwOCcudQp+7Q1XF
LMgxUC/XjvUdjACCoiwv51YAGb1TkHL45PlEk48Cj8Pc78hx9xrPXUmju2nJ2G3QczMaSNW3iGkJ
STdeODciKvI0GY5qU34WZiQ3vTa8iASKbt9wtAhDhBi9Fu2t2I+vnJqQ/SGNS9yaMUXbMtD1o5Uy
KGTnuZg7gzBZFJz7aV8PACC4pUwHmXWpfiP6MnfCQL0lIm9h+gCQcMcnMOBeRkYCF1KknqmRHGU7
0m93w192RRqe7WGA9gNr1nop/UTGrUs9wyPvu6QNd6JYNHrUXutCI5zDZTBaD9AQeuEtTUST13ww
4Fn0A+xCrOqsiSJfxh0irRqgRYAEMhywkbqGEMtBcAFjIi3WuQP2bnDUe4h5MPYLlVyOQCW0wbnS
bcedqUtlrZT1l1XlNlHqvpwXXfscGTbMA99GvTvRlctRexoNERFOmD98LagOXftCez1mJjsS3KEG
gFBhLHcRf1Nj4VrR+nDYmR0VoW0P2txVvPqYMJ5fdFlRLiwtay/Y6KTJBoxN5TUsDfFSZoqzVJRi
zagfcGRcFaskCVqqeJ3+GHd1I9h6jCBxD4MYX1SXHCdtpB1X+dDAqaZPRlk9EmMIjqOFYw8oyd2x
wm4Dr65g/3oQ6hjsUi1cGI4MT7YbTaq1K0EIuBU49GzMQTLLteN3y0KCi1JKueggixXXOEadba7C
0Xzvo4CW7lDs0P57RLTntjDA8SX1q8EUUU1kdEJZvUjVE0fk4tM0cG2DZWrwTK1o1huLuhjtuSxH
MTfwcW7wZ+tl6a5MoxOvJuBHFVteh60W+kKbAgFE47KT9rcfSuBQlCiboUmqlVLJZttXqjPzizi8
NTznG6Wicdm0w5aeu7WqnDK7qXqYz3Pdlh8OVsNWBgBsx+4zcKQ5t8ooOerkqM4MbdIo1S5JLFXY
PvPKutJttPa5ampL6pJTR47SIyOOzPXbZYZ35WCaRnwMjaFEo/nwUoSobrJjSFY+azJHI6YYmyKk
6dUYRngp1fBY2LR6EA6T6txYNL6nT2uBKCslmGle52p+bKoyPyJyQbOWx+GiL0CV2r5RLF2bRcvr
Am/f9whx2PXfvanFD+mgP/z5JzM3lqoFW2+hYgLE/cm1cn3dXGdZkBxD50tOQISkUQtifdJlMs31
Ih2UCXkXhI7ZBo7suCR0nqj0HdyblUeDryNsbRLXli6K1XCXEyhGM0Ph1vBz+LdpGJlHmntqpFv4
nRDnKEK8U1f6V0zGdR3B8Crq81g35haJy5Aowakz83xjcX6kdyIYEo/BxqYHzXh+CgFnEDvrFNRM
aVtOIw+0iZR523L0YKim/d42vEdJkm3YOOvYRF5iDhqNW41bNb83kjDmQSfBI30VrFqzyLBhRhEG
MNeRa5tA8ouYub7uWE8Y12c/MNOJH/Je2k/NtS96iT2esb1BM9CfnAVmzSkzseyXNpDMfIiUxIpu
0ws/e9aHVEpGROUy0zJQAQO0OchX4yJBmThWFLMKmihWc4fSrCClJTYQ8ATJkgYKoqdOY4ysNSh+
8asoBll7XoPfJXPLByN6HkZL+03ytbqKy3HjCZ0wYgMCGoaylea89NlniFKhd4NjizsAm1936IAl
Dm66o5A7+IEzL4DKCIb5adtvROmuy7LeWKztqEM3eGDXlfJsQ3tTex49c5RPicJ4FBShAkISaxKF
ZnN0lKbjXbMnJyOvjFw4HkXkPCkWumEc4S3nmbduKYbH8Nsu6SBhj7KYe1T5ZHMnGoFhU8+wXoQk
AZdfJaqyyMYv6F2Q8OOaAamGi2Midqpuh/QOpMyOYIaNRkiWjnl/WjjNTF8CeOTiNEgIPW/eRPnC
tOVG4RVqtHETsk9Yjxaof2cFur+6chatnczsluRHMdK8j+m+RR45b3pj0NkjAEd+x1oD1w1/LlX7
SKWhEquE/xwe7cXGrRMTKko9VkEfVXvMcpLhDy4rgV9xMrp6enecgJ9TCG1RjPMwEx9Sv4oJ0AlN
nPqMvrxmN6ggsSvX+asD44HCNtmo+euQ4clvoMw3Mx/LYGe1M1/R4dYxCGOqcgiAlPVJPgsJ1q4w
mpk6jVI8ZDHDmxJxXFnRLnW8N1vGH0lsXOMUkCLoHWQr2P/sdlynAsS5KBPq87IB8OfteBPxOBN/
bVIDqt8lv6JSw5PJRKzVfzWGyoPwzHSIeY03s/QW4ZTGGg3FEMuHUsFFZG7Z5sz1eTCHkWDloFtI
apuRWO5SW4dtvrYJa6ilHi473ZpXDfRlARvJjKHF6fmMMTbjUjZKjozkF3NoULxGmeSe3B84d60Y
GyZdOBV5G5prb0Cq61JblclwcBprqYSPqvXuujleHQRTcHERBkKuaUv3GOFJD8+Ww1iztEl4ZH3d
otx4HdFjz0ywe7Oy1glcTm+IBWGTWsSejcWX59MJ9hMXoh54PVLVBF0xDJZFRWDpSDIyu2XPJKG4
qv3w0ePAmhVmelUacUP0gSiM7GfSNzimUh0jjxYdmTVMAbBM1nhAlOBsB263dJL2nMJJnuGNGlr9
M7aqoyPHZ0zEKPsJIj0jXLal/qwwszzBikwrAhHcsBwX2oAiTNGhYpbqU1cEI1ukxQovEdKoZEzP
Pe3iMp7onfzms8CxlBV6P0elEM1N7EMRAoNlmQO6yMQPhz1uNh7DWDb6OvWNb78q7XWeBb+q2l7b
022GGgJwhcf2hVsYWGMCEbjyX4PIw8hmF1+NqJutDMVPWOKUh+eF06fUOJmpy5jG8dZULHvu+CmL
iZ0f9EZQoQ3Zm6wVY+cVIANJvQ8bS7kOiceAWGFOHzO9pC3O32jrIXEUg6VvcBDzKLLC691FgkSW
aZEtaNwmy1Ik0Obpoi8ZEKwkQxOe8LlIXWIuJSGnlJB0P+zkZgfVwmkkcwLfvAJBvgqHZaYkFDDL
HHflZzoHjhRtCSMTSsQToDB3nqUNXogyJ73CPGs9rTdhCQVKN2RRxM5YsEIJh1lCpRksmDElsZ15
dg55KJv46ZIwlOFawxgNECtgel7xbCXGwyOTyGeS65JRNCXyMeJFiCRRdEdTmvdn2JzaaO/2TPuX
I//dK+6SM3lPAlIQRvPCPCfEIhU36ewqkpKUhKNr9LsuP+XwK5BXDDJVexnkLhmeXbYl+lFeffeg
easaaLpt32uonzL4qMYfnZwmk7wmlUAkTG4LKkHCZvYBp5XCBos+pTyxXUb9e4w7qSIC7zMdzl1N
JhQdmTx/IXuNU/AGwT0vMUxulvjIbTbCduMqp5UePLvxEbbbZoqdeirRC+0JzvwZ91Qzn4KxSv82
sGaD3uI3oy1WHQ7yIHHRaHIKDXiesvwlSB7Cv7fIrit0MkZffwbeM3aPVk7E4Fvi//jKdwCnoNcf
0PBnDu5cye7DozIrg23Vr8txCYU+Rdtay68pGIuMD5K+H5bcKf21iJcFZnBz6TU7y2U69zSzR+rc
jjLYI6uMzD2cAsNvJ/4CmnqwD/3bVKaEiOEh/6CQ3YTOxmE4aLkJfvLTMC6tYC8aVLb9LcX3E8TP
SCdHhQwynM6zpl+p2io1j7XCGsqevomRfRFelryB4pm1vTlbqfDMFAK9OuNTkHgG3AiO5U+nHipJ
gpW3lfZNK2skEfSM/M/S2LXGiu1dEkZi7WoLmH6AYaNA0FysAw3VPhNYEtiU9jLZa+i/oD/ctcNH
0H5WsIVzDQGzdnW9U1K+DQbPscvUxd0H0ZGOttse6uZXpJ8bYZH/DZQDnx4odQyfLDHZvsNVZEpO
EoW7GvvPxoJK4X2hr57pmP96u1nSxYlfJU2l6WF+D7Vb7WqzgYw6l6y6aLha5iajMqIvMh/SNyt5
T4ODn3750UVQI+UAFIryy5HLLFuTw41hdtSfuGRnnX0aim2GFIWZDcPnov5SBdZZOPYn8ASaf/UT
ssb5k0eToR1cdhirPEULQ7kEtUWikz0j20fqO8XaqxlWchYuqArYsffwm/xkzfppQ0eDFk9C8Qxp
b8vZYXSedvIRU/aa6zz4bdHmUZUfBTiEsC+tsS+yFQRAz/ylmb9ihvGcZ5GQrmPmAuMUEhEpG7/f
Od0vkZx08gqD1r0ClFhU1T0hzXBEMmuFKOYfvXIr+h/SknYkJlImn+vgztG8JBexIh+Rg6tLoeKb
ytbEgmSXH52x1ZszQ3wDSa6C4kyQtlhYnyp55yDvAwUEr3Tnhbd2Y+YY5E8jug8im4VxylOZWy2Q
sFxbm90rXyOCsyYvVrtDhM7O7mHOb/O3NtqyZfs9rUh2MitCYcVr9EqMtRRWnXrqgxdPvCJG43eo
3slxMPV8OAUgXcq8KeHHzb718q7F60hcc0p26V6c/FYbKGfMWUu5jVbGK5NNRs5lWTygZPKQBTkH
eMbBL7r/Vis/ofztNXsF4HKNrYkOwKIZLn74UIxbZhJYyzGwXdjk1ngXmLVA3q3uWhUH6R3gWHjK
mzpQq/8unatmXpp2OxDhDFW9xV2H0eya1pSpPnHUx6zeKfSt9479mgznJMXbu+zFUjOQbm8qA0sF
iaG+vSvGZ5AQ7HXyxamPd3RQ+2yvc/4rRI1llCXsoPbvdsA2t8Hw2YvPTi/2A1mlyO31bNG7C5mu
uMosgBGiZ361i1BTojIwXEKPzIPmH72K790iHWmzvQJE3LxVOiDziWSPSz/6bMuLsPfIQTjiXHOx
xnjeAAI+QI7xiiMWv6Q8NS3uk6va3tCsudqaV2QPeBUOXX9RoveGEUf8HZPsKrqraVyG4vqw6A0F
rMPaSvrzTP8sgve2u7LQDOKcuqcufopoPw630nzUxUHJt30D5HHej9s4fLX7wxTI19GaEr+d4DZ4
d9YYIXZCP2rhvvGvZvGZW1i6pgjbKWrRo8jDpELbaT+O90IJ7hlXuy5/wdGYFmRvERKMW6gPt/1C
xDYLit/2uE15qCM0l8MdED8VqW+dBD4wG2vqgt5GAgkjR0C5pkcxHxvmFNshBtzylWnE2C34673q
TjKJdSJeQwhihpIVV4qwIr8lxobcIgSfggSSbPjdB482OKNnFdoWaxnd/JaD15q2pVMsOPhxGQXk
JcjwswyEUceLiiHy5SuT1WGtkmSVExcHzfSgGTcP976hfBB+XVE0KzGdb/loE4Joj3b5XcrXsX5J
o3WWnGsykKER0Fya9ZYFbYnlpjc2xfALdbGafZvBC6EcTdgSp0aR7UlC7cnr2dOGz4MNitABb5Y8
A1gDZkPuRHJkUzb6FffPgjZvH4BaCPZcdSs5GBWat1eNM37mfbbNDW0T4sEkhAh7Y//iyjQmook7
78oIhE3XNma4czv0XvvJNBR99xo1D307b/hqCklCBciy/m0oX115ndTbVOO8JN6CMV8O3T0F36Bg
UDePItiZw87HJdx/CbYc7t/8yd4XI3QcIc0QU59uBuVhGb+1AO/bTpIzVS0dzHLayml+QPjPtObU
JC8SXnWcPcd9Vd9b7810ljmmlWJKrhqQd5956AKxMdyNr27z4bNzN6l+gNeduCTGfjEnl8p36p4d
72jae36pUsG2x6F6sIZvfJFcWUAhfoZx9xwUbGPw8hR+6B3nKh01KnZIm9yvBm2/aiXphpBBnms7
JMgsp6n3NSavsXWIp4fbWWf2GokOTh76HfyLbgVVn5qqj9AzsL0m2Z16w1C/erlLkc9yQ6hrF4Z/
EqrzTjQLwq+L5RAszBHP0bDhU73AUyI5+nOMJGaEBzVweNTJw2SWwt1AYY3qeuiOlYlF5a4ImwSY
dl6R564N5hyh/pIKHFDhwcMEil+ar+P9ciAHOt2lxkcRK3O92ybYI+RSdT/tSmGcdXf8A0fzJF6P
FM49aWUfCUw+hz+LYL9WfHfKK1lTM624QuHOtJWHLaqHEGWJWy+XlXYw6fKAFlePpRQcOh9D/9nx
tkDJjQsSlqGjXNopdVCqK6fcgVlGUt/3r4J0uPpbTTdNs4U9ZZOJQcSQgvTz2kOvVNl2ot+Wg7cF
t7S9ZjjIXWz4L2m+yfs559tUXUcVdQgbopKtZP0zhqtAos4dsKxUYOdooi4tMkespVE/u/iVpTjJ
cGf588o/ts6CR1bvF6aGAAeTIZHi29aXm5b6jSZaizKf8yz+TiIDt/54dN0Ts0Wn3lTc4uqtFti2
OkBX6qIlWRl3+sxd87Oy8ug1jBbtZ4kNWD+GsKzss5Pi1dviNkySpSg5yJWvSnZs5VEm75XjzEJz
o3ZYEZe07WdRfImN1xj8w6Ia9urOXcdQI1IW+nthfYnoYVe3PL+o4Dmg7apLw93lcssfYufrwdk7
1m2kUtBpaaMoWzn5DrHMwu1eWmVTWyfGD7OGM8hIsyqO3/vkEtf3XCeZ8pWTGSL4PbEq+IKMdm3y
HECXDm6G81mDMBHoh1bgPZe62MJ1z9otenaELLO092YGJ/p+PEv5EOldJ3TeAKPw0TAVTOArtIC1
CuZyl8o+1PUh1Rf6jzHeY/tNzZlWEXdQxz+lOjdp4JkvdnmR0S1NX/3i5DaHvCLTeFaimsc/AWDl
4Da3aDx35u84WpTQ3crd0C1t7W5qv+L4HrVHd4veIl6j7CP1cu7NyFHSF0N4bA6+jWP2vVCQ/R98
9ZjCURjXVX8Z+x/0rMybWKljsl/UOZ0vKZaSugsFVfS5xL0JL3KdvmmEMzmzJloV8o2jmw4FBl8r
eVJZRGda4ccGsxR/6Jvk/3rjQUbNnEMT6WxP/O98xYJmD+PBrR2j9z1F3inneBZpu4BxrPdoYkIE
FhGCTevs9t2M4QhGxadXbHvvKcUBzSlQ2zS9kp/Fo/ztsEJGyluTPw1lpG79KMlsIwU921fZuYyf
gXJoRs4pyY/hHdGRkgjatTt6FX45l1j17HMwdecD1L64sUNsxhavC9OCwXlqk5IQ0K/19uDTFx4/
WodrxOqZea+GenG1I8gkpdhO9VdNQqmz56hCX388Q77iZ3aLrinB8c7JsoAfFNkru1nV8kjpbt0H
ZiEaPLkO8A8HKdT7XrmsCO2O20ervEVaMZMIoXI4RYP/GzEvTb0XLrjoX3TiSpt9gfN8PmXnoJnj
ZFz8lvDI7IRFTLvoOtrKY26+9Pk6AP1sIh/dk0ojX6wJU6gCz7nWoJWZ5AX2SRVvnp0gV9ulzd0N
fgQDnizGadu/DzSP4/6SWKcWm70gNKIBbSJToFAx/aMc+Toh9+k5yXaM24M9rV14B5B73pvQn39Y
0SsB1oG+Drx5mS+VZl+6B5hkBFhwSGHvwFDL8k7jAn/w+GT9p4O9/srnTKOGJTGYyXSbsGXPsRKE
5i/fBiYyxd/ou7E8KixHwSXMj7xZZrAhkXIMX5SMQWvHNvO7VdI59x3NgjMJDchfl9FSwaO6wH6Y
UhOnS9bfYf5V0xDtVgz940fhbAx/Z08VbY3X6VXUOTciY0/+55eIud6oR/L8VlhHNdo3ypNgWMJi
2uPUuN7F6s3BskwvGjvCLw6qCK6voqcED39UNgGZV8u0zw5eR9/WvuTugV0UpOYIFqY+ZeqrB1Nh
6c0FI1U1uaDlpR2DXXCl/QdL57HburWF4SciwF6mYlOvrpoQlgtJsffy9Pl4kMEFgiQ3x5bIvdf6
qye6YvUdgjFBbNhIeldJ/9V3FSw0YDwQZzu+58FBG29a+anhzO5Aj9i+nues+wzp+s6EnyZGkYZT
3Jj2EHnLo1PHzmDsUgOETz4vGxBOughfUGx9LIFDBTFGSesROWVVW+X5KaZnc3Dl4aEFj9gUAYFz
h+LpFXJ6v9fhPp5XI7/L1bF3HoRq1Rq1R/b4UQUY8n1D30/jXipeZYCVhviVjfkqCnvC7ggCZYRm
Ei3VzWy+zBIdjRRv+GKBzfco6CfCc1aNRJLcOg6xG4Bc42jkD9ACa8tzRWwMfTutvpX7S9n+PZs/
xcDobwFHZFgQ4apr1o18N0fvBXbC4WdpAW64gUXyZUI3qb8aeVPCLIx8FGtJejPnzxkAjCnCkTQQ
4+xTMDbkPoXpe8lzUMikXsgOMlXt3wANPQgUZuVbTfhYcDFVnYi3KFzS9ZF1Y3ucKF7bEnDZUuw0
K7z1vCILE/WTgkdbwVYqX6jU4+WJGGKMc6oXdhzdJuNdsDbF6kF8VEZqm/GixW+YrRN9W6gHzrdU
eYsaTCz3smbb32n62qzYedam+YkZx446p+b8lAJADWA6+WbSJRSIFxE/tLWe5cdEydeSQKGC3lCY
wDnKEBmcCIHDtrfmyMq5R+OsWeX03oziGWZX5g4g+4YkF/nVUO/alK75SEXq48utxsTRO+Sf8lLF
2Hxzc41XRE/fAdcm7UWa93W5JQ1Ni3W3hbzoq2XmIhcQRJL3VfoGOxk9ingaFFGdOxTbUEztjJoc
Smgg8RkrOem1F6U+DJR6JiU/rexwQCjUXf2Jz21N1j+0fOUb6aMXfifCvNTxGmLOM+AElKe4kvvX
J0EK6nTXuFTKoxL6dblmfAUKelbkCNZ+3QBBQ9ShU2ZzqORTIPuG9tson2J2y+tD+nwtJpf0sOjp
6MN3nTzaIHXj6MT+qPMq1LYmO8TpRyvx9VmtGUsFa91Mlzy4DNm6iT6oVgh1L3p+WZjCy8iXBu9k
kgGfIop/iTHu0pMofyzvvQXpyFF1YNFu/nSdqjjb0t0w2HUkI+X5fqzdnvSL0E9lXAcQOjDX8jPz
624r9T64nAgGGWDTIOTZmwll7zZBcTH110LchT4JAcK1gmpv7srTcKJU9SSOJfq2HZ1n0NoWxq6K
DhqNZplBCZXymaevopsAIas7dXpZpFL/oqOWQ5xASOpAanMrUg3Ej27Mu5xzJMnfebAbDDkle15r
rfv0NZpvVnIn7U2vdo1y+nsTzc8nV4uyYKLtWR3dsV7XLMpZBTQP9JWsWvWtmhRPSKmQCkAl53tq
PDQ6ODPpQmd4WwEy9reBYiY22Q1PZ2Pt6d6NlhTTDKcfZZ7hb4cIbCBGTkGL3PGH8KJieoLlPhl8
nPHqHGkM1RNHYXujPhBf9XWcb7M3O2r1jXHNNhKP4BdvsJxhxYSEhciIcOtQDEmGGEE9OnuluRJg
wkblh0ieUNpkpa+oNDF5qBIxuKRMYUEV2C3h/Sm1HOMKjBdSIXYR77MjN08kLAxrCbZ2m1JMvneX
iqXqYsg/5EfYI3EhdgcegIqof0mXlxtqoR2hr/EIEZRLiox0LqdbKLqD+6jENTG3APIg+12NDI7d
X/YUSiie60Ehps7GmJifO/Z+8SEMb312SBcQgDZQfXiRyMiPeE5tuGJHjUwuHI1bmsjDKLO18R6P
6A1LaIfnOyWW1NKdll8nYQMhNQdVR6YfJSJ7QRAd0dg10qFZLnRydWQ8mxbhkY2LmHtfZNvmq68P
ZffBR6X34PjqViYfwTKvaflBJiycGPF7vB123LaeQhAzoXzZ9KHSHxW6AmsQf3wvslav9IHE2Z9Z
uHX1ydS+tMSNp18q0gF3fug2o4PkmlmPTPgy6N8ra3YNm29s2hDJ2O7Ujd6Tv8cnaoFfs227WrAZ
XHpTA2DrHuRL/ZPGWzK8hsC3lrlhxprkCx9DlboWBlXW9H6tLVi+9CXwSOQpNcTlTYGISVyc4/6S
2rFRvOdSGL2mbDqmn6zBrb3hKzPia1gdG/kghh+QAEO8Bm1tl1QWIk7oh2dvrndq7mV2SyGqP6+D
DRMjCzsXo8htQvr4+AwWM7OtqMipptsYPkJKyNRqaWA/qiRHx+1rhInKiokAoHWqAZKuMH4gPqsw
rWRLXjLZX4DMcSjYLWO63r9WLgkB9IH4NJ8W29IfkL34g3VRphfVMlZajStBuoqAFympnvTyKINP
VhjoXikfkcWCgND8grzrE0U6wVs+971im/RvFE604gce4UzpXVn6sdaBsDe1D6ub7IbE7he1PEfT
+3L69MmrXOxUf3DFzI+ND2KXVmNiEqGX8ARUiGJfRg80vLqUjgpa5ZPwQbqvH3sBWbhbPaAxXeQO
MT51DAIGfUaM5Rq5UMyoqNU2g8Gevnr2NrR2fbJkNy83CTWH+bUYX1ThjzjQIHhTJpqmt3qHVPJv
ag9S8a3Hd0WidXEARnlP0z9srjSN/Oa4Gc5ADgBwlnZgp2TGCEcwqs84f5CrjIruFxnoKrJj5MA+
dAY/eeES+/68WCAsdMu4ZRdhilbJNP8DOWLWp1hxENHcrUivmLezA+MeHzqXRNvyLMLPSX4rkqCw
JiWLhnNwRTIk7RASdGRVzoPvsPkVx9dKPE3KZcxoHORRqbjdtVUBs3XW9EfCX2XaDoDDHoZ9Db/Z
sPCibnGAR4HubIuUlXX2WQiHaXpXUy8lwq8mBPtZ/tWkOvWh1+UfdX7Vxo+5PgWtZyJDUKQfGbGT
UK2BhHMO9me7adSXquH3pBkdmWAE7UNA7k4wap+T0SFZY7IjNKUAAXu1OHMj09fIOnQyGZE3kV8S
3tKJqj3Dx/QWI31+iIt1F+zG4rC0A04N2omQkKTyZlJu4UV+iBnbib3hx/odXZIf8EERZ6Jg8G66
DxoJAtRSgy/m5175Fgnqm2kJivOznLmcot2XyRXWA/3XMlE4NclIjew0AGSz8JC6j9a4MvHWLCOR
SwsJSyiIxpXuu0jyJPNNZ6unaJXZxVf4Attyn+g+/cTw2oSmObwgZGRVzUdQvpDjXJx1BhVaBaSC
hOdhAYwTux4a4hl/Y+0QxhuE8TwR9CRjpEDzu6Ja10LFzJPa3zhqR64syTqZvLTBGmoGpP38zK8d
HkXTslPVJdNC4o9PbyUsfAMZp35CASG9IZScc4zMaqNwFc6qeFMKZO4VK4znK7E95MpGp7nAsTAW
ewI2SVPI2SJy+iVxNDkjRdGjeKO7boV7/onmzI82Wb4BT/Eb3JDNDkNaq3yr9WNRmomolrqO20gC
DB3pCYfxNDl2wncdW9Tyg0ugJ8OC/cL5ReQ3lsv8nHWOUSv0uycEdrWsQzx+S/BSXW+rfHZlckKa
8CWT7k0ieSCN6DDWkvFISUIerkm5L1VfLe4l1il1PHaqG8T7yjoMVPnh/QRrEDNr02as1rg75eq1
zj6yfAFwvLr2epal7L0zfjrju+wfouz08gGVo41rqXFMbmyHTxEUx6FEjUhG/+mYTpcQqIJ4Q+cR
4LGNv9XoLesu1/f+eVFxJCS+5MQuow5uVFdPtikVOxn2uoFRugWDNW+tQteAsWbpyQjYPprAezm3
He0aK4UKUWyBrJzfCSwv6iwOXDLqer4EDfcvV0Gd8TdxR4P1qKaNLtpH2ApthByB85fG0eUbMjCV
0kxwqsrWnaBTJHjuUrrlMdj6VoNrpwdYOoTZEb4DsLpnWeAPpfIRrXa8xS8NhSMQGfARXw2KCgbg
j8YVbfTfqxDQkUCA+GIwXAR0mcsYGGKmPTH2rdaTuQrRQQz7TMVEm54JAOtnPzKwKfHKHQNPgQTZ
y58VM2KE9tFAR58+ljgejvenw3XgS9YnSAHE+UuQfotjvB+x9E/5VWjPIF/UixKdNEF9M9xyTZqX
cSLxH0tHt5psSfrR27enz+nbHuuKDGZkLSuVAPnEK1NwXO1RhZiCbaat4FEJu7k9SdZbnrEzyRwa
4i4gErEpb1WggqssATF2BPogemXtpwhDngMDCaEVmEPLFqec8pEav0YDGiieW7ZwrMDZ4IAYZw8A
59XzTgQI4ouVwatR5440rPHLNQi2rVnzC4T1NZVAGedqxA9V8z8dHH2a+NVUlcveJrq3CP7UUEF9
vx6sQzctrBgHS9YRXozK2PRJfiAGFNvk7Kt6hRpHsQcfaG3BeaLf/y8Y+Q1N0HOj++lw+3ehQjbm
VMJ8lzxnxfitlGTbS1sz35XWJuQh7v4i9R6uoDpOrOhLiY7PD10dstXJQiZVh1+S8YoUEs0awSAh
X3CxDumJfxLplXWENLPHy8Jde24Ny+b3YQPrb8RTOXHKBRBfiRRI5hNFCxDPH1n6C47tCMg14Mmh
9cl0Vk9Kf5HOInME6Bf6RNJ5vVDxsyUalU81LP7YYkeIhuVCGcC0beqRkDTwNuDqzp7WitoIQ9S5
XzekTSFwJbMZXTMWtfDXJCvPJtAOjHPajezdPE0FDy5DV29kTra6T/+4OpQ1CVwtmXWbGaRMSFta
zXkT8QK1DwMaPLKpIje3i0QzRZg1GnBu3uiEIK0EgPZvUlueYrpNC4tMquJrKN9Rt6yUiKgyVK5c
g5rTubSGJyLs0DrimtFLUFNcNojTHcFg/QWNnAmGDD86+RJP96r4kbGvdONdF19qbEog+oaj10em
tiC/xvCkPaKABXzTCW/M2ezE/CsUaKJBeRzvdSzC2V8vfU4ojrMwsBGaAVr/NTwCmU3FcXUPWWGA
s2Txg3BHV5t3KFiRJyp8wgj4Ae1IzLFF8qcHMJm0f9d+pupdJv25yTaDXU7HoXzTlyL3hijb8geL
Um35WgSzfxhQn/BdV50H5RFKjpp9luYx9lXHMF7GtbkJ1JuQf8jxdm51JL0NiXlQeBoSqevIucwq
VOCBAYa3Y9777oJHdEGE5Ri5KneOFr7JPZGz0XeffRkQEPQR0Y+e0ftNx+uGE3lB3AjxNbbxdJC1
FzIelfKUTrflP20JdxOEIUcONJoJDyEi2ehqlZTQstRJhM7iYNWvbAkqjuYl/HWHOlKXPlTodSjS
JPwb488HTC09Zh7SPJaNjKIjTdy0SEA0EKK021oNnX0OEuFaCVyFIwqFQdHe6wCADuqoiG7x4M7y
mqxZa8E7JujgMfFyECxyVHBivRr5G7vAKnu65EqO64Q+Kx9RO7wUIzFBrnaFJQVJM7JVX9zmmwE6
3touv0pkUJNA0kH01aFqvDcw1CR32any06EQM6L7zCY+9TND5Pv8AXnYJO8S3y953Ai004gFZycI
xGsWHgaBGRl5nBangoqBujn242Ninaaxh/1I4Sd1uQyjAy0DyEBhonI4S6iFicDInkjlHf+vfvzu
kZwsi1BaCiC54Mv6ebm6tf54Rx6nwpAnwyOp38Li3Ignlm81+YkICRafb9F8ZdeXos+xpiOQGxP4
gmgvOEn6WFbYgFZt0MDCkSCF1n5N2wZs3ZYdDi5biLyES7zhSOBurXqCWYdvre6d5WcBYEW/JgFb
dqdlrieVBYfOwgl14aFAzEvzJtEl11Cm7SteSZzM/SsMWz3vMfuhgBXWD+BKjYmAN3FQqYoZaHxZ
+hNgXiIRzZlrUotjInj1heYolZzoF9UkFIO2xLz9Mp2e3KAVP6PPmygBPkfaK1y8SEVoyaCZHSn7
qSaRxMbPYNzmNBIph3Y6BcyKzYconkXhlLP85cTCptvOQcFsnXqbSpTyInfUjyt2UW1aIB7Y3NWz
9ht+S/iPBWtyiU2BJc1wG+FuIvrZkP/k7FYTrPVZCVeUUaQywvRekzbjuHxRaJtBvgzlANxBI2lV
HWnpUaGdCuKkkdzLhIYrInPITDfRbTkf1cxfdruIFCAHy068K59nQ3XSyTcKkvQqJvl6J1SbKvPl
ZI1nhUGoIl2HLL8ctQXvnTQC/7wbOolsNwPJapLQWx2/KeZnFysrA0jyHJouhfL+FNoQRMsMhe5s
TO4JKhVn9Kp4ky4v1ocUHwklcKvZ6XCW2bHXK55l7kPpIUQ/rXyLDdYbEt7uAkY5soRBFExkRAGY
L2qGEGiv+owQ8HBEhKSU30k464AwHM3yCr8r4bO8Jj/RckZSCxj3wmFgl1ieMrRYYB5uWvKWbAqQ
knInpPu6943MS2CQk/qHLZAn/mnxuMffuMSiyOusk6QhgqOShtGkuJqaTxcCvWPAHyJjtoN11lKJ
tVlPVuQN6vsAwUQs2PPlOe7b8Vro60zfgxzBM5GaxRM1WxvMODSIzJ4uX578/ZlMVJ0e+jhZJyob
OwXyzbqb7dGbXH4W9PaNy7fN52luRmsjPEqg7HHb9m9M8ShuVmR8LYNwgm9e5eywphQMmAF+km3d
zIhxBufhfICPFTxYaWwlfAUjljRzeepzFqCe0aV9YgG1Q8JrtJ3FAaLhmvrCV4YRd9tlqOkEYA1z
IIQZfaI3SqDb8x8RoHD/sXWteb1qumAtRrAnJRbxkR/x6fXr5/jbXCiwYUhXbbZtUuee1qLnSEaX
BPfJmIAQeZmr7Qy7wjYGxYTO6jZTUAgmagDpS9mBiQGroR/nBk8DIlYIroH10oWLee4l4R5Uj0n/
nEqdVadzjUBetQ1gGyKat4SJr4z+BdkjT2CLnEGHMGGuRGk38fhO2rhWK3XV9z+GiLVpz+GK9YYX
t1/rm17zK+aTle5PxMXfrIkNID/q8WaCfZU+U+YzaGuFzYNqXFTh91Q4RbLCNehF2R7TmCK/JixD
81XpfwjB9DUSORekON2NABEDGkwlRtpesd03QMx8/4jsouReK6Bu1mGitCukkiPGrzX27+RK0a2I
gmlc3GarIv4mLgyclTgLx3L1565hiICiW/aKcmb+YSBJCfjp4bMJMW+2WXG26o9l4Cp/OOLa+PNp
sGSb7H45r/wCw48OpzC0xjiQMVSyjsCUh0+EZRVGCF491jvURGJzb5YvxfAfceJzD6HocjVtg4Sn
xec2bpuA0FmG2To4PwVIixWB5Vh4Hmrwi0ACF6UBjXlECb5c4AtkbT8MWBKxeq7+IWjNvtYfNWmr
lfypJJDjG+iuob/yGHSpP93z7tZkRxFp6lBQUEziPBr+hoMTYorQD/AeO3CiaC/bVPI8rwtxROsX
gUmgzOeCUhGSTti7UF89ZCIvU1vWFyUOHaFVV/lNwuXIaBaXHvIXESGEFSjolkC6l2OuoSkbWg2U
c/E/O7zMkra2zJ9Y3Eb5JWjvE2z7Eu26vCcUbzMy1hVhYek3xTGQv8iNbwTzehPfowdaMa3QDyi0
I5WuFp9zG7vs7JDGTHOQnMGsLcfpDALUNoswhI19au8xjAdxM/N2IbyL4K3kgRAm1FMlvCq/O68N
Kjp3BPWBQ4i6LbmgVcFX5dBiohrnEXWPxs80vHToR6w3XtiGaOxgXSnXuHwBpcIGZAgcYClW1HM+
vsgcfVH7aqpfXxNQdWSr6ht2bDtU/jpvAJWl9lM5hqvviiW1oSt2GhobBqnQnOaSRosWWZRA/1TI
0dewu7dISfSRDxTxucWvkxKPXwbf0Phzf66zA/13afOX5z9dQKpVidy+e5gWYaS+yvwmNardfuWc
wRuFt+I9RnKPOfRXgoQqiYc1TNAVXgceL+GDM6ciYr1bU6xBR1LV/j6H7VAcWSqVPbMCd+uPQk8V
adXL7UcF72kUbwv7H6/FKoRlADUcLhCYolXZhEdR+pC5Q43IUNsmnCQq/9zloeIdWsQagExkL607
/UMLvzKIQYK9+R0BFHD/QqGQ0XOvSEVdMjNTxRX6LWeeqh9pywPjPi3aBrI/uLzeLIkIeZdVvIfI
41aZe0xJ/Pm8EV7m03gkezHLBFhpTGdBvBgqABkV8Jw1wymgj1TvNAuZQ3A3pb85Zx/z0XCs5vCA
Cg3EJbO/W9Uf1+16oPBt3id4rYf02EfLAJLHqCI/mmqTCH7CkaQ7GMVZ+6vbEouaXRbWRcgBOE0k
W/A+76gCqvJY4RGs+i8AN5pimvgdQG14sm+qHmIq3mazhPsa/OWQfxLJvMjuFRL+FIDyfJNPjpCf
83nTEp7Ndyj/pm3A35qgSfRVm59jcUcq90r/XGpC+3bH1EYLayE5UU3VIQWUNRL+MDVZVS98aONz
X7ncptN6QW2C7o1qWiTrC2HiIVaIKEmOsDNBJoTYBVE4cQuFxt4iqJeFIX5PkOgON32C23NYA5qe
5SlAtwhhtzj9jlzKMzIuoX4hInhiFQvYy5x+WtdIaeSLIvl6h2yK6YOpa5n9UJcPrhDuoUOXUx+9
a53RPgAG1F/LeWck+0ZkuWM4nI59eUC/4gAri7C7wE1C+iBhAtfW+9LxYHo4snStRAJ4QzsM8C9j
E0q7D/1PJm0r3bSmL8I3zgQsOtx7Eq7xfP1EAm7gcaZKz1ZI2nRneygPhFo3tEbziHH1YW7SjL/F
JSHQrczPz7bRwIPnMfqcCMrOPKfyIzIvPJKjvCGzwTehxlQyPihqAMV4N1wiOwYCL/H1Qo4ml+U8
5eLqESsMf1G5kTmmWPR6R+BJElcHCXK4gZsplR/B+jLrNzr12P3of+7zdSvFttZ+LQlBwMcRG69W
/HYeQR8B5/1oA32g0g+AEbEF9IHJ8W5iVfvGf+nDLrKeTC73WrdfdHFd5ivIG/q4PjT0lyGLkFY0
ABG0f18g++75ovOnBj3q8StH/9Ld1roF+PQA9olRYWEgxGtE/Ucm915C3xTVTfwEs2GDwOVH0UKx
Cb6m5RtNO9HugzcIaY+5qOt+4Bg5gw1to/NfzIEMxbFEKcAla7xaiLkin9ihOt0949/QusjStPoi
nYJ8Ymutz7ugOQTf7BfddyjuCLIrfELrNcC8mbMOOz2BhMCoNGJSrFpSa7KpGfKYGIdEdJaoBUx7
gNz/YD+wFHatttuywq0IJFiW1QYlqVW+NMXv9FbL56LyBshLngXJ1Yn7ng8aWv/mo0a1Kb8ZNjte
egXFqAN0R1/ZYSq+cifyNAVCP3GwZo7JRUNAHnxbpBMOkKFwYrg8OLV/TWHDqCzzNT1ThCqCyXYM
ISqw1jOfJbsn8nYGZuYC899YpYlnxGqnmidMII4JeW/PU/FqKvXZbA/TOfFRdaqbxi98YBSufawu
B2aGQMIaH9kQPH3V8729kYNAmMSd300kkpDwfNPTwAsLIixYtqOvqHu00v0fOm29tojWSBdZBWjm
MIvwcFfxOfIsWx6sPbkWnF8XnXc6l45LN6PDqDGWpwrBKzMTQ4KWnsYAWLJG6Zi+cBclQEMZXbAR
CDDhOataSRfAW8Dmtki6BlQnknbI7rHFKo/vAgAD6UzvkF7IiejpPgmBGDjYv9csA57Z7Mj8cuIZ
N8GPVVJt8Tk9t+zKtBQO0roSjgugxF9ZNZFyjJztHkq56ID+VApAmJoOTDeYlfdE7rb5Z5HvirWI
yMGPfuUY6pcz58tU1n2A4ub5HXdHIX8F46g0b/qa4g+NMbX6LMbXgQ14YaoXXWc8fCHV4LhREKcB
5lfvkhrYZPsuEXx9ZauOaf382/1B5BNivlwiU3QoLB4+FOoMVWDfjTt7PRwKNnKIiteJl1+4JOJF
KA9TsmbA0xGokR37KWh3ORuh1qdVZAbE4f48tbuQFTdrIPcaitAT3L5eOOZB+Fsmwyz+EdtT88uw
C6VG6Sff2msPECUMN0LdV7N2RTOsEqSib4P4qMgnsd/F2SfxJqhpRl+NjrJOyQKkSsDuFp9hD7gH
0paAj9OgfC7kSZNzRjB264ZDqgaDUbbBpGybyYEuxz9U0u1n6Glo9ZFlqAeyX1cV1E7I61cjGqLz
CZ4XeJcVbxHYzeZXI76wzRgE0Yr+AOKEJrB0yMkIcQwp/dsU/cjSognHX/NeqUcr3yzDz5hfFhEY
cqO+307RRUed3Apf1rRLK3HVZq+xRoQR5rTXfn4TGO/VZnJUsJrK2Df9eyNs9efVSo/prAGN8uYN
V+BFHAJQwmtV8JYjgJHRgrWpK398FAkWrm0zAknQ4vInDOexeVdQ96mnKjmHMzffuuy9Z8FYsk8n
F24os5AT9JOdI4jroJBchZYpAIxmHw/IbQIvbE+zyIS7N8xrp9/i6C9+vg1QCR3yLuBLHpFagwVj
xVX59+CWCRrHZOnyCvGLh9VP37ow9hwYXw0CxS7jdK7Os0DGH20kF105CyJ1X4ptII5fFLdpc9OZ
zqPouHByyzJkJa8NisZEuYQScfRrY/Iql4sElvyWQKywUbclrgP9nCq3dmKISB5x/5N0qMvPsABo
nVjbRsxvWi3BDv/pwrpvdhKiZ3DeypaTjVV8Lmu62FwD4/bzMeqaE7jAFdq9joGbu1+0bBM6iws2
xlHeZ1zvT+ErGb+KIyz/EpjI7FXq3wuFZIDhzNBeRo48oI5Rp02rxbbYEXYQWztlkVrQPAT9tjZq
iiY/6vK9w2RZvPZ8NYr0ei4jytfoUwNjl5m1u79OM5bnXCJdKvIN9s5le/IbZpl2D8RUe7RuINZG
08rhFIY83aZrhb8ET3jQ2zW6aJTJGAoxt7R/RLCuVAaQ1npldyKLXZAeuGaMDkhbQmixGOXL+1Ju
SwbyqsJiO8lHIb5YFcw9Z8ECNtNz32zb5lwmh4Yw/2IbeUynXACjD7ahJ+6Efa7kalkwEjo+8Tos
BDm6zQVZUfhCpAQ/P8okEiUDwIJFpmHzeTU3kVDcuf4SdbdrHNho9VzlKMtf0yezTYrLPQME34bj
y1Rw5GHUWaifrmKgAxuUnWXEgCpEkUwn3jKzqcVaiNbgR1p9N+uRUeJHYrk1Hr0O82t8Ky0k9Uop
N2B4T6iokJZEDUfYHB25vSww5gglDchbrKCKWVf6YzIeCmCBnJS2LJx63hmtfAN25XJETlvZzL7V
67Jc93AjY34PBwVujqp2/gVd52tcGsvVPcxus+rHc6syqK+WQjXVU6uN9KQmCoNEHGNWaP7YEJCi
rKQqcwyCQGd+EI1NuKHron431Z70lt384PdfYAeLC4VdW4wHngOO0Jq1YqWdZOtMhEnX/RTia19/
5MK2bNcRyRXAmMj74Ed1khk8q9NXCvP3mB/08AX6wJageTqOhrrkpYLEEWuwd8QZNS5FQXybgrOe
/4Y1406y14RtV2FdQVKDt5CMYpYRe4EvwlvIPUHMeNj0/sRl8XQIYBkvRJQvOzCxwkSn8BtCDAf8
zmn3MwIbJZLTD3eB6RLGWVI2CLZDxYtS2/QxhYOsB6d/Cov5HDOWEjRjgk8jRhKVzwZ8J3iBSiWq
GnW1Du1kFJFtckQ/89Ylrd2uiQgbEKcbJsAJ+WazqW3TGbV3jf5EljiWP/q289gpHTJxan7jhgi4
f2OART8OvXkQx6F+e4rkvvO1JwMsZo7S/BQo12g6hdlds+znvE0EgWGZw8mGrEZGakduTRLeCnOE
vKVfblpIDkcXh9Xvd02I+tCQQiLSLmaDLXbUiOFYSC7tdAUZK0BUI+PSKbd49dsz/eOiRjYEbuRV
62gzki9evlbBLrGOKDX56MnDwfibjP0CNCxS7jmgxiD9MKKXWP1u5ZcZ2Z5qAxbE7VpPPfk7ZbNz
ELJk2F0cnQAQWtYho0uUocPVUPZK7xOui06crjZivGplj9ofjTz2ndaALuO6VWI/ZWmKAV4bJLVY
TiCM8rD1ZWnGNIjmlWN8W5VvfBWRxa3N+VKPdGMhi52Ac8a3CgUQXzT0gwvRxADDKgjkPwD0Sd3V
4hYd6tPgIDiJnMSA7HMGaDy8WexSkAPr0O/736F8jVk/TN0us5engTxcuyBOxvvrPNl4w+V8Yqqu
xZVasCu7rNmkTQBigbQhMmRwH+BllfuofiQQR32ruEP1Yk7vOsGOYkwiy28WUdDiIT1wlOJnaiuE
eTyt9GwLjNhiAjyweidspZILr43q9fJ8mayicVlsTHPe8Kw5nXyU6R/vLhD+DFob8xNlxXKgBRWf
7G1gbZLnU0nIR7RwM1GJm7j8SPrTcr4GKP+Ic7R/BfQUavoVSL/JkzMpQvnRHPj0QHlR8e0pcdFg
hGiJQwTV2qNSQgX3qO17NzWMVS9dFbJ6w/FqFBvFvGBMqLE6hCpZi9d8hPeDBDFuSHBJF+Pof26J
TCKS7WNqubrwcDupRdLjgv9b7r9PLlfWvOM0KSIp4m036yM+QNhnrj5gDviCBRdUuXWrg+zPnjGd
BU/E0eVmxqec/sHO68934gRC5PqiejEpjC/2QoqCinYvijoYAAOujzKT3KmpvGhiRkBOWYqvQfAT
TbnX4yFEXKkKP6r1FxevIZEI3Px8rsrTI/htNSlbiqZ4nDgzh1vChoqZeJbelqlRie+pzcjSnH/Q
lhU1K0hsJ+OVqjCiEugeH4+AFx0CkfanmH3UOcsX0VY49VSZEB3SYahbywAOv4UAQzYPhYWeqz9M
OK+THMc+0U05quUU0/S8KzgDI04WuNbaJfplmcHyZD2cOGEwNZH3/0l7AHqv1VeEco1L1Cm5vUkA
A+w3HYsTvjItpxcyToDU3oyLtbum2gssPvyUUO0mI6mABcYHNhr5RQ22vOXCF09bxHBujT8puIsF
4BUB5Jpl8x3MwNoN8UK89RE5S4tthFCtmj0EyegndSdoANZjeZxBAvrWWIXDOwpuweYygnpcDCtQ
xsN6IQ7a+NEai8PUzN6acMknsoAysMbwqjfzIpuHOkQYhx3S14Pc742LmpNuiD+NPOpvgt5Q2yyE
pX4Zk49xIUs4axf4tsYfk+4nvsVi/OJZ59UF7NB3MDU6rF7NFZ5Gy+WqVHAXX/kjNMD02j8uKx6i
2G2eE6O9bNOvYieYN6cRrIMJVW4+9Ok4++Gmkd8FN/Zn7bAAGVXqBz63LvzeIhKSyPTpUGTQwkae
B8IWri7TvMXLD8FdnxMFB2YaeEF9lwVYFgXNJYk7NcatcxeiczH/kpaABuWPWvMxeTOeZ740h0C/
gMsC4Ye5eq2DY28H3ANfqvYAtqd3GxfXLnCQLFNFQZqUI0mzGw/8OHx/5B/i71svh0aEtBQii2Gj
VX75Kzx3eMHgPRVja8a7UQOqHEDF5PuknDOBRGP6Tga98Qe5Qhq3ayLkOWdgQ4e92JZMjtIIdaKT
0O2bbpQS5TwPR2/m9KJhzK5e1a9e/16c1Xr8nmP245MR4fTT5aTg9XyjJBtpAiIhVjMwDlJc+Ukt
gN7m0qMnKordchLUBklIborUxZwe8sAnkWCLN+55TUp2g2JJfRD/b2nnp/ofSee1I7mRBdEvIkBv
Xst7b7r6hehqQ+89v14nR8AKWGlXMz1VZOY1EScOUrLL5T8ru2kCZ8S60/uIip++9GDK8Oz62yo5
VfT1NJ8QSoqNEd3SBPfvciDgb1kyoA5k2lE+xwQtesQrzCiH9/1e5PuiODfGt80vfBgJZENBECti
6FXSi9QIF6iAJ8600SiyuB35LYRripw1J8YSvE3X7tKLr6N/AeQTIlSut257jjUxXIUn64/wCdge
FgAekPV463FjNRiCuAEqX6NtV1kfRbOO/VjBTiA8EAYPWYSs7CqeW1bBQTksbVlaCd6XgSLf5Ljg
j0Agw8zoHPoKansoVz07/ppiXqa4yqbftpiSc7cFEMTE+8MWbEBri6CriCcNK0RuvCnZLsjrWLQ0
L8vNYAci2ovJpeYdGZ10jqy2JNV+CBR6kQdUOKP8cJVXo22y8sSiXs8vOGYs5xXFFr+/tBhCGo/W
n2jy1GH3WS88uks3bTGfDVObBZPbPXETMjhmIvdJJwvNigkjFeMR/3CBzZmf2cPcHLAGVtWbYUr/
NN7GyEjuQOTWNGNJF6ntxNlpDdlidCy0QWaxFZ2QO2IV2uQEkLAzJkR+byJtY8dTqas83EXy2pAW
kH7lx2is4PWaNt0v0lCeSX38tJCCxqt0jZtD3QEeFM0RJuMBVAriztpfWG29doKLXiEaq9mkr0j+
4GkKPFyz7LrnnfhZZI58iju7ZQKKKp4kDsy9s9Z+0e4J60HGtyzqYULeJr30kvJVlPiUzbdKuoKf
6h62e8Ch2QUgModp56D3dsKJY6L1V/O5FjcztLtzi0kQI37XoPzC8jAjVF0vvhqJaKkb4/A0O7Vo
OTwG5QZSQYVNLCMD8rr3roWw/NDFX6pNxQn+s2Jmg11TqKosCtty+KU25Wuk32Wxa37lKQ2XtpcM
/hAVV3sbMGIpcPtdXL6P+NMPUcowiW0XjbWL27+8uKqoPeBj8WzB+iQo4MTlDaQJ9TpgR0ottrDm
LEPyIREsMRtR+fDt4w2iTgNeslLdfJrw7YOg0G1iCDMco189fsHJu0tJHmUgUvyU/EpDe7eGq/g6
SvPRBfucPUy0dMqlrmIz26TDLmLoqwn9KbtGU7ZJKaERA/YbtlyI2bOEnCRxR2GMRA6YBgvtCW9C
HKcg6Nk5O3BcQGczR34QlWFnh8Zl0+nhiYdrXWCWy9cwTXPlHWiUFc5Wkr/K9rvRmD4SkaKTDCKQ
TjkLg9xCQooi0vO/bXhiXJNIU66xuI5JsS0urrovUiKlayTe/b8H3uOq7egr0jmQQLR2hvnLoNXL
LwwydG76eK45ByiwyLYE69GYyN+D/UUnSabDMXEZ+H2bw0eofhlyPTPKp8bmAEAOY8lh1zoBpAIG
QYhXxdjTy//EdxpIT9iT0x6bB+AhTNRrjme+iJrkMsafOCoSmnljpQcLUsPc+MOWPnLnz9S3nAqZ
9HTRVVi5PBnSJ5+MJCLWaeLi9pSFBzPnm6/paCKYJMtoHi5CQAysZDS08yhzAo80oLVlvLP6S6d2
yf3LKDFwAIczY8DFXFxClEhwbDxeFDoNbWC4GaJ9DEnT2/GfiDFQiB6xpWKwtacaknhKSaPNIEpZ
PnOYmWWvlGpNQGfFXMYaD1mr0cREKOV/ggTlOIoO6oeYoE4EZzEJKt4G8k/K0DGUWgQj4bSW+UfU
a2p7FTImDniCYN1ur9U3y/gL2Dj49Zkli+uBBUNKaJ+Cbue7Z6+6Y0Vj4D0nHJNgWInfl87OfcG8
E4oUJossJrgKouzLbfe+udeaU8kgKPmJYJoOq6qkrKztmVaJHJ1feway1P1BoDmNaTfDIEeZA+Qn
FCMB5M7GEb2k6HjbSsVGhbkvRZpZI3g+qaCzCulTq7RJaX2QfjqO5ZqQVySV4zy10YfENxDeGAJm
jMyTAv86Sj46CjThqXGpfBXDQbWLS2bV8O1zEDk+L0M0kmBa/ebBn2Pc1PImu3fnb1gMBEtvKCJJ
QcWmK8Z/jrulVi9xkHFsTC4tSNg3A45iE5JI0zgG+4G9wGCQ2D1nsSbwYcZPq85MbYNLIqSXnujm
jkW15H4I9brVPrTxohpP4ecbObHU+htrlmjY6YfD5FPy3/7w6AasWlsCgVteDh5KFXVwZZPUwVGd
Yr13rkGFM2nf92drCKdJ103vbOuCvwqNaPWIg3NaBnAzvvQE2NMkp8S+ggtHDIKpbwXe2v1DzQid
FLyiydJsuKX1VS4/GSxQhy1GjWHYskNin8kfAZfzcDe2tX0uuKI1VHsiGX6lczFLx/qiyk+/+rEj
0kTnaHR3XbcMWjE59ObmTCqvvnPmV5FBWxT6BLHJREUAgK/RIHwrR22Es8TtWJuXXE1rRd10EMvR
6ELFwq7BfTZVuKu/YGz7B7k7kLZHI89zUpcIJBZ291Hh2eSiEvcy0wIkWgs53cUx3F3OMwCf3o9q
9QzPMebxbvTmGZCgNznpCGClrfaEFFS6mL3ehKrK+SHPeXcYrEvfVv0xOnempzW7FpsOrB8PJTMW
l8n/I07OHYPErsTWMd6HYi0Nq1a9JZjZwnJiEFhA3i+E1ws106x6ofMCuAnMK1s6c6HyGJXLgKmS
MbtaO1NFbWcOy/7UYC28t9Ut5mY9+s7Vt0UzUSB95HdNYY9h81dB2IRzEIRyuEuqNUqmNt+G0gE4
9qTETKusshitOqelQRwDYkDxvWuBM9X0hRGs3fRVNc5kcLyVxRRLCH5rl69KmvPBibIrAzkgvOaI
GaSnmFnhdpjYrB509yA+CU99JdY2GwFMsvUf9llQzqruVZnwNym9LIdMmB1f7+Cf8D6gVS5RqoVo
vWv2ErYEwi6aa8gtpPwgRfOmf1ioW2C0E9j1urO6Ts/DLJ8q0brIj6lKs3UUf4AweBLOghaMRa9y
ZyUGPJjNBkcGwhar/+5XAeMjmnmksSfGydMIUmMhnSo8G6jjSVpWxnzu2+wXJsQaErAXs805MYPT
PO5shwck+SKO0tGrqZy8Ev2SwIw1oEd5+ndaHbT8OuqfPhI2FU1cc6egQgsifYB7C7oZhVBQL3Re
8GJfz4hXJvbUJShBA61JnhmUMBWnD+Mt5TfXLjW+/nCeMk12MSJF8U1hgFvlG7s5sbm6g9qdGMa7
kvcpfuKamD3OK+9jKB4qWkchf1J5GFMNha2BdJ1RdctuHW0CyjgO0wKpd5ivrexooAkPlgRTUDSw
ZAYLyPbG34YJSdvXRGZWO/1y7BA4ESf5QKA8KqzK/XTCvcSby9gWrd0M3IFfbHT9KoQrcvAhPlun
w3xU3urgy0nwBzKyK8HOzCC6crN/DvlbsTYN4Jv4XaqrflgHwX3onkn1IaW/Yf1ODW4h9g1Duba4
nUIXucMRNRXuo21dPDPm0+Qx/OsWFRViNzHBcIupj7nbs+IE+dArf2w8rWl9G5kl0bwPesoC5+0p
x6zYGvrAdPaTbKwWbZPcvOVsy8CBCzwNXqXp7lukIv5GZh4fkrmJ+SOKfgt7PgaYSBcWcER15Yvu
/1RlR6m728Y8swEOZOc4WdkTmpX8GOl/jWxObayE3ybyvrs1N+bw/MTy1/V/uv6M2HMUH6m1aZ1b
gbGFxAemK188Z0WBJNlaugF9Ix9DtRHDIQOdBIkdNFmav0BPMYinHdVA8QxRlg/xoUo3Zi423u3w
FC8i1o+BOSYGZgUaFR0ISYS+9Q55ICTlUbBpbfUfvplRPjQoajwb1Z6KR2KhFOIG26rZXkuW4XiU
tUcukcc+8ix++sgx2C4tFOCIxjzZGcZHlr7icW9pewyFZfSRcITl9hnVDezVJRWDri5NC4HRqa1X
fX/KLZQLziLK70QgpCghaMsrmNv/W7FYkHDYJ/FGzP9rjifdWIjEl4j0kXlTf9pElIGLEjJIlKSN
uUAs1RFcAtJJOuI9GLA6UzERg6Zcyw7w0KsqeeyETlTsIjm+5qNBu0IbUYU1gaM/vfkm/GsWMXyb
E5LdnPqMiJRtb66Eky/81HAf4/YFpesuhTg58vd9u5TapdOyaISigbI49041Eiiqn2/rI9p62lY4
+glLFb9xXa1teeWpq06fpOVSk9/EYzj1KYCEjWoHwO5CtkkguWfsVRCWT0r0L4zKQ3X1S61fY1IS
hzR7PKv9zbwr3H1GboHMBoe7IciutoUglW1FtageVrUOGbF5ZLVeLOOIUyN+ZyBIZCbiDKAK799k
07H/1x0wh5SPMG7RaT4GdWmoFCn0DIum/EyQ34Ll7g8salt1QwIBG441Al2kDOydpjml6Z3En6le
rDSNQmTbN7+UcAhJmezywwbpJQ6R/XYMLO5hxkXDXWV6wYJZE4yMQ5B8cz34yc2C/CP9Y65E3Y5t
K5qqkHmvshzhaN08eZ/zEJssh60el+ZrYJphwbhWyjPiqURepbLAqUrRzlnQxNTW3gLRGLY2rfg4
1b2/sj0IcQBECOTafE7/rqejmIGF6csie0F4mkbgvAa2t+RldEyisFxj+Rz3SX1J85trALj6rksB
sDrkiNRNpnaVDnvnbecnDWm1tLHID/IPDDWTaI3Dxg+gix1rfUetlFQcQhiTcPHmS/lLJiAI+YYj
iA/Af4iFYAJ4gwYQ9z+5u7WpxAlkKJkiyVw7NUufHq4H22kquxSVyr4MIBKJmQivP1pFfLR8novR
PPbghVCe5uY6a3eWD+iNmEd4h90jp4pzVK4Clv0asXwrzD1qt2HAn6Pfa5iN6QzORDsT9/oyIAEw
ynBHxrOxeoISc5O3eKALEj1ijcHWHFqiHZ+aCkqcnzLiXwraoMM4TbBYywGTSLXzCsYQJ80kJe/N
Sz/1MSux6+aArBGHaspn2WAKWDbNn4fJmmKJWOIaxTJKB1y3YpuaeleNT8d3Tr2yHhb6wvGwy2do
h+q5Zz1+v2X+/3SGcfejC61GaZNx/uOyA0MlOWtRznXytnM20KdDkpwSRNXOT2f9iZ/BhGnhFt60
qs5Vxphx7lIi3ooZmsfsW/SdDdCw9hYyq5TULzjKcr7Dnw6LSB1g5Ti8ctpy0M+9dB+BOVvaY4g3
nndGo2jLe00TTmpGIt42ECkXS52s5mzXK/e6ecTOs3IQn14z+eC56zzYWwwPpyUIuTUKtkmd/URc
32N1KfS5rv1a6V+qgWcgs2dR159hcXfit+rc5Ik/95oziQ3TYaFNo+wls1UQOkcTXYPVp1RbGabV
Z9PsNeA1wdYSIbUL3HVuem+ZDSglWds8RuRMsumWpp510gyMGOvOB6o5Q7Q8A/zCKYuVZfTmDTMp
Zv5+vdGpCbR6aXyzcoVZg8YQGpAwjJtzXgTrmxEQ01xUOeQFmHvLvlXJJe6+g+GUqT9doK7r6lKX
GitlcECE8OjWV9ztxvRQsamNufVGVgS5cpOvJvqHZP3v6mQz5l0F+SoxnwZ6w34FSJpH+gDkTCuv
drZraR9KJ18AvAGSxRhZ9Clq861j2Biegv1Sd8uqPdbxWQYElu1kRqAMs+yZgfUj9JjpcVa6qYAv
GxRfvJTJkvs6bA/tsBsr9LYxhGNeKeZmMhisA0eASQ2GsCK4+MYfhwLMFEtfEWHjer+cBgjqfkdE
Gj1DXQoVFzuk/ttSM49MDzsWj5H6gjZgsIasKiq7bhtFm2ZcYy6YBn9xhYjo2bqstL77aq2wrMMH
381z5Hn6M+YX1k9D8JaSrcph0YEY7K8tE5RCppoFtaAju3XSH8k95caiGpEjsfzaCa+rimmnWLcS
97XFmX34J6OSbkyPpmkBe3PRxFvVW9vSQzXIiVli1VhHuL4M1BwNL1B8BvKnNSjmBZT2PAbHjBEw
TYJgeOAzFU6ATgbWtyNHK90FA1DRJfLIOcSJtH12WN2rdGspO1BxZb638nMzgUmIFgE8TH5Tqwtb
/xzLuYXefBYmC+5QdFJ1dyCedeB+kRsCcqgdWVRDu/toqBiz4lZVHwP1fHWxyovDJaqpK9iBCUO6
CI2OGFQV0sVQ7+QDWc0h8Mtp0r9anQNr/GbNL6DdNWoZ5Pl2W+GE20BvN9eMv7v2RcLCFJdCyqiP
wQTuQFpCrTg7V3fAX7Aitx2u3Nly/2x9P6KPzjvEfZxYst9P/PyoEoysIU6g7lrp4dZpTk6/g605
sHiH3840M2qfkcd5Vx1sGnmVjIk2OJpM6/O0Rj701LS1lG0S/SAc2GO5VOfJHNuz0Cx4BwmtQyhE
BfQX0SJJl9DRhW9G658WY9YIBMUUSUzG1BnWcbcdzRW58WZ6Uop9iFRLOpl0cDli84dhfCrDJZHW
qbM14HdVDEiVaiH5BTQoG8AGmj8sgfWBknCamp8Kp4DlvsS+DFwv6lQr/Qi6I5COiZbsx2ITYSqJ
0e7Qes877Wx//fsAhyuW2jn5f6G7l51r135BeuGKkdw90upUQd6HlDldipZJj67Czxzy4shYOSv3
qThfAVKXCiwyrwQnY7ewDDx6W8//EcS5EjJAtknxQDrah1fJS/TczqaqUUbBPnesaT5vkqNfXfJK
uIXMTYOVY1Cfuvtd2b/IZmY1gkALubc4VfT6yBrEDmlrZ9TI0KvA2Go903QcywpARFKYXBTHm15j
UX6peWHMXWI/8mcfQ0+1cAzRX8gg9vi2fVg6PnkkDQIWl8ey16FlYDhJ+VtrZ/cbv//p7ILpNA4a
elYsZixVSpicwkKdEF18GEl+RyxULSKeKneJ9gdXEr+3RoXAdiNQr56y1Wm4beNkEm4l9HwIZaDj
8vNmPlgDgp2mZB8r5iZh4JAyHmuYm+Ud+WTgCM2Fl6wz3G72ThyjlTNXFqxnPurhGTZrm/aov8GK
jCWQ9gZrJY01wDhwPO6pXxLmb2j94xJk/ZlFw5TzRbZ2OWkPM5THrfVyRaMOAYr109yBhizDld1q
FzV4pPiDLGx3bBmDE9S+ITjkzaKyH2hokN3zOmJpdYaLEtygSzvMTVXfPeTqlwhr4QRqKFVgCTQM
S4E/Jf1Zag5y9ECvOvOZM4OZirbISgPzVE39BZZxA4M5Ge3uyqtnTOr8Rb2y9YNP273S7XkYHanZ
E5AbDWJjGSWMuCVa6JoOHjquCL0BnojDFXG0YftIhME+vliaaQFIB6ox+4kMnTuqiU+68YwzXiUL
OXB0jOMbQgqYvioIUBcogbXzxeIiYg0PlYoiGZjwP72QzysdHZp6wcSKLi+JMRMsPPfRa0B5D0Oz
AgMVoWjqypW117O9NbvTH9qTcU6IOvWEhVmG+JxlGzEL3gDV0CjWs03r32wk75Iz61xSlT4RGYZT
BpLBWfTyaMpUBrPqoTQYlT9qpA/eiqVd3u9ElY8TVeJt443n4RzbjTRswdTyMGow9eCnGdbq8UlU
IFxHuUOcfYrbZSYIW1CJnHucLIT7L790xDV7a26N9y+fxOjcmAzx6oDMhmv7D9iHXBeoLYtIC/lM
RrY7MOX+BG8BK6tn2NMUi38G2F4m0NnkZjS0miiDCXX0hFZyATeP5plnsnWInVu10ZmVyVODD07z
jIgRXoRnPDPeEH/8jkKC9YTPAconbjh3lvX7wd/EJd2zGMlCUmqPpNqn7VLrASPBDiGqBvQ83nrc
1Uqz5I8NkaZLnkO4t+MtEnQXzIG9shE6mRecI9OqZuO289DIQwRPtE0AgNggpPLAIoN5vKwewopJ
LzsRcuUp3iAp8wdgQhyj8u8o7odZjRxGjCeRqHTRckw+UoB3TrUNho0wICvFXJiZVXubV+dAI5AZ
lj/iThA2PK7lvcKfS4A5RbpMfGVBu7BxLPo01AMDnRWrfY4qtT2TxZEPl6wh9d5jFynAFCwjJIPz
AtH8/9JohZKIb6+HMApIPZ9LD1zKbbkcb5AiPVSmaX8tdXAl3j6o372zbIVjlv2j906ThZIfzWRD
OAwWSfymSNRvYz4Tgxc3mUnU+Oo+ip8dS01ABaqyVMjNpNmjVzRAUQkx/6DcGuNDeLHCzwzVtz2e
RTdnBQdpFk6Vdu8hs/IIBXl4xXpUVrZ77x8pQ1fpKLnXsthazk42lmGIzRk4Zj0guLjEQs3tM4MJ
nw/AAmz+e+07cE4mi+bIeoVLfwnpcAx+ComjLTOnvfQXw/TLVkUDzhFhcJXj3nMuqbzVO7ID6eLA
7R7kYe3IMxkoxCC0fsq+qd97PoaaurQqT2APs+FckOXT68cw3stIbPUT4pe4qCdMAsT1G2prXt6i
+CSfhq86YmHgEUIl8GI+T2s3F77KrPpKiB1UKfo5NcGhZQgMmPYWFIZetqxpYIV+UjpWCD2kq/gD
NpAEEnk52E+PKNMA66WaIGGBihitEKA3JdrGYWVEC0l96IwCCEERg5diZyEloxGy8Dn6a/LkJjVN
IMqzNuAua5+6DxHePYbZUoPj2jtYILDtKcjdAAwyT2xjbij7aM4g5RENHkVTm0OUwaQAF4hJEvd5
gp0yGJasxrhKmeAsm2BFbrBWnrE393T0dvmGwyeU8PZ1FLVKy5rUuAgdc+98ixa7WxfwO6pPvenm
KXbNN2+Je26bbZvsFe0ubMNMbL1oa/YbVQf/PCN3Zax/9eKjMd8eaocMsa1SQWBm9GEUi0GfG+bH
wDIV9J2vLkXbFhgX4V7Si5nk7UvnwHp7WaE8Zq0DpkDUyYp97pQPhvcW2gAPGh9LYI7Q4pEZiy79
Lbo7BVF8pdINa7inQtcbBH+1cgncR/I7hsc3ScTdAt1mOv5mLW2NkLNuQ8Ib0nXI5yUTR8XYTWs2
eTKtHFxgMsvqDWAqiJBMIjL7NHJpswYkarN90B0zszOTI6yRCIAmmh05PZJRsoh5SPvqIrt76H5C
0wVjjTqafy1AvLJgAksWB48aX4Uo5TSVV2wv6FCMoXPMMgaKdlbKz1R61c4NB7PB4EG9pv6rAtpq
3tAZNOIGDnCWo4/e6DYpD3c5WjdiNGCipq3PcbFJkc6ALdapqod3ViFCdWbsl7zfjrwVC5Qjeh4h
DQcRR9Fj8T8RM9qHHDnsqKFosR+Hp+UFB1FvyNGbhT/sD1Sr3Zoh/5yMh4GZVrNLtGXBhFml6Pyu
/I2eI5VF2xWv2P44xh645KQuNsKvyPZaTLRp8c1zCYJDCYEWaw+tXNeN4CYb8aJN+IHIGPkrZzb0
WXUde1+mwI94e4p1/gOx3WjIj1zngDk7trL3VBFYTRYB1q1WgereLE9lh8YyjvvYY4gcZtlUpSM3
YQh3jgBwoeJaRGtaBRfVIg19cJK1g1rzuqVQPnc2EAhGF76xF4bpqPoUj3k0518vujnND2xkNWOJ
AXKR+XF5BOMuhptacCGggC621k4OENyMKkBD4ADJSmwWQu1XrS9JR6PDChvRkr+e5bsgPRjWEeMi
UbF3j60c9cy0LWi5JDy/Fs0K9OsyeEjaoXbRJnas1T/1eJl6LKcCjFAEXoNokHSkSEzklN1gsnNh
6FWkPy0cJHXHSE4L7r5xyaKVqW4K6VplaCs2BkoXyJH2xk4Q+mhz5sq4FTkzqnCbt78D9W8SHuIW
JXhKO2p9lRGHdLHuiQkirUx0WJryVSYpGJlXzNVnEaLVsjCFtqUHA/YS91GaxZeqsOskDnuNHoy1
S4czMtyWJkipvORDnGWddysN+1BJ4V9TFp8kl3BXeak+MyTlNI7CdUStmKTyn6Y7Jz8ZH4kMgKpU
gDQwz1dD9GO+tK25iMt8TdzzQbFWg569u/GzI03S5svVenK5POlgwpIfM/NZJeDR/HZpM8/xC2+b
wbgPk2RfUkkGcsNKVbmjF582uPjBxHQXGyUp2FWkhfjf0ojcDUyWBfQLd9x1vsplig2k0FcOy5Sm
5YErIw7NYUFrvUD/P1UDbb/3++bQys3BcpSll9uXTk1kFi4N5+88Rxuo+RK6GQyhbXTx+3EpKTq4
UWcpR5SbUn9U2UUiybAzBzKRtWhrc9HTZwnWZsdZU8r1j62HrBqss+WI3Q69REz+OcI3B93YkGRr
K8AvCuQPmbnP1MnML4UKKXaARWf2wBf7eZhBk7GGZTaicyF71rWRXoGWdL1ymY9sgFlF1eqbw1hq
u5WSkDmoDZtOlvaxn+7yNiA4bFzFyAQbhA+Kx73JFmFIOrLXHF4qpD9qsmhybdnQcxYAXgOd3jiL
TmNi31sHq0drGqd87PZ+mC8ND7AvemQrVmZ9IWJzchq6Ea1hjPBR2pvBRk94IqiwEnxvtGBO8hHj
Pum9/uBhCoK2uTNgCMhRMa8tmKJwH8UaIwuVc+WAYSOjjHjiRcRrFPjFruPRoDABoKeSaVksw8zC
eAaWCLQ93OJFawPSYn0xKiTXCxFQSRaNwk2p4Pm2252if0nyewSokouz50exANhYRBBU8LQqlp5M
TF0qCp0LMKJSYmkL0vHl/oiyJEa2YrDX70+hz7Sc1VKI2tA3aJNQBkY2i3KDtR/URvYWOnNjPTw4
8UdOXzU4dM4EbfQHqUb/QDDkaEKnAa1VY3Q2GKiarImHEZ1YDfM5iWZhQ4fTg3dlrZ4n+lQlm8IG
FzZwZ6uUG86Xg3apIB1MQUrYIVAQv49Oh5U7L5div8mbuR8pEwPDFSewJ9Mb02kG48Idt0P8KsZq
wQ86J2ZzHhvI60YK3fZHr5kpMSYJj7a1c4NtiuuDYSqV8gxpklaxW+f8sPAr9KIb9W++sbIUMsDY
XBJbT0X42Y4Xiu4keuR4fBsyyAILkR2zCWRogdTNPD9ZVqQ72HwiMV6PmAyAicugzJXtEI+dhRBh
WOsA3LxkXqHt1BmESIl8Z6LYcCyKj3cUXBuiECQY+BbqakvnY0M7L364gIY2zjgftGdLhlEn5Jf8
grlJqRLShwpJS0zaIIsxEk0GD8k7do+BmqqBtzdgv+a6brOZ10lzNUBv6/aLFAneiFfASle5z/qx
YrxGU4kwO0eiEAxUJaCBVPTsqQIwFRNlAgSqFZUaj1KJXAu9AAQBNA8tn7merjSgXrkb7fRSmSfl
QLdBA8dgcF6Y1zJnDxb8ZoCPTWYYKk+4oHsZdTIbWedmIgLSoY+u+AA53MEXlsMlqOmM6UQUi7Eb
MtOM5AwHqUOOdt2CYmdBMPapl9Ff1X968mVjJRZ0ikplHsyyUlSs7O+V+Fm2IGe1LQyvG+T6ik4Y
IBAlYvotBUyKGZErHZcYE+28ojS00IH1QzX3wO3VX3WytQCg9cy7KnZzMrd2xs+qASLRZGvVtfLE
DmuUFeEUMxaupow3pS5R0X62ytv3YIkmfMznzibFlFaymqs9tpCRcIBO3cblR23iCmON0NXvzn22
/cHx77FzzLVHpu6r4EMpXkAr7PIuxXsefo32UumpUgwaFsb8SBNylXqwAjNA/1HTEvT8fdYvmkrn
ykBC0bsbp3VZT/3oHRjg7rdBtCYmqGImIoePmHsmt3iA8FOeU76UJDr1BRt99Su1mT3Eyj0PwbvC
HMFqMQshKbgpZoOMUAJkGxkU8V7+FlQLlpmGuVcgSg0WsOOBW/Se5oj6Ar6799idLPMzQQ0dj+5c
mD8cPUBX8jYgqvz56q1pFMgWzNx8hrEQk2pcjkHwFVRM7YmEItog/esaxJMmagflVWE0yAGHKL9K
9Gczlco/U2SgIc3cTU7euBS4AkiHPEvRUSlher0CVNXChKdeghDsOuY9pcxmkQqYLZmsRxyhxVer
383+xifR4QVhZQxaLpII5AqmqbHp5bOX3xKCdIEfhVsiYBWTHCHeQLbeJB5l64HxkOwvEzaz0UmJ
ji1ErUmjfsgK7b+08FkIxnxHwC8s+jgNh1pRLQ30bIM2TQJ3arMJqKlC/QJ+tEyIiJTDEcNAKvNZ
4Kis2RYY9gf/CKEf1ifzK+GU6TOqFnup8dD/k2LHaP0wmWvc2I3tLzTP3Kb0u4aVz3xGcS4k2yiu
2CtBjOw/3VagAeNJzR5YZahAU4hgmFBEFtr85Q0kEbjZqs+KVVTORH4IjYjFxh1ZxZFRlRQRpnLQ
iWGjzUhW5L1BjQaxPLES+oduT87NgISyW2QbfI5jsoDNLCp29c6/KWXzYjiZ4c4LLhJ4PTTtzVbG
vYirR8/WmQO37x6XPyO4VwnsZ8OYwlBu4iFP8s8SW4rHj5w5PX9JJOtCEGEfToRswNQppssNk3EV
og5CV6HSPcUyKP0Ahbp+18JiprUn3c0WmnKR9LtEuqSmvhX3ZiZvxXuxKh/N9N/RU/k4wU3KdqRQ
Obqnuv/KjVdaHhrLg39kELRBe/ircYJk5yAl6u1P9Q86iaTitUyTX9m6q9a76reqe8yBz1jbFCGM
ojFd/I3LfDGojyjaSeG64POtvLkW2AtTQxOh/LUMv90nrDOgsKW75bMM7B3TBNZ2LGPqrezsiOLB
d1/Z2xK7ZXItxDUbfOn0fYN2U/JXkiCy/ePP7Ay7TL/yhgzjR8Y1mw7fHUK+pPgE9BtHVxSGI1xM
+aDbFQHdpCWra6u/V9QBCemHlabvbRYpzPxrhRPxJXP9hDjbS+ckN8yo9m5xMZvvtFgVvY3Bl74l
wMRHaHw6cu2zmSryu+pbvDH3NHsOAzio7mrUF1EhKDJa3EWGfVM5pVEyM/2dqlxa41ozQ4nhFl9a
k3Szjb1QvUPYXlSK92EbFvRyBxLS+XcLe92BthhPPvMRV71q9qvMlanBnRpHRwxt7BMdmV3gseT0
Kq+D/50kX0qyYqfZ6JcEfTfNujEe1XqNA09TtzJpIUq4deUBU+2yaJ6BjNhxF0cnO9tY7sVn8AbV
rnO3JavK9pAXC70CvrBpjIvWILKU76N569AvKOkBCnpJy2grDG+qY4Zhhw/eVZ51uqnyfay8gvEg
91edg6AJ7jwyCscA/ufC+VUdY6eMiNm4McUfR6MXrdJ3y1rXim4MTcCwB96f1D4YyyvDPghZnE5y
sAiUZJ62M1nWYV5kieJhOGR22WW3XLkRL4QA9miGWJDwHY4nCSykWFrcTHtdMwzSdzFe33CRO6wr
jB277aH5SNjIdzh+6GyF3pW6MVq6xpH/UkYn2bmZjGJtgxFlyomONCE+GeXdMg9+CXPo7BfbxEfF
v+5HJJEr4Hq2f/KRLxIZ4WjH0LBnrkwVvuSSYy1uofrtoeV33dmM34AdYr7RrEGXR5ZLn1NrcXq2
V4Kw8/Q3hq9Z/ERcf8ne94J5g2LB9q2Z4j5cfdWWaFAWBZYl50sq34P3NYZP08abKu2c5ER3MFtS
gfiwjUvO0kz7yblrbDxYPWqaKkPL04XzgO1W5n0Z/3F0HsuNI1sQ/SJEoGAL26Y3ogxlKG0QskDB
m4L9+jmYRY99b8QmiaprMk+O5ENT6pGGg7azzC5TTE49HWjK+iEWn2n8WvZvnvdSTSxgNk2xwQwU
Tifdn63sw2E7X9xH8ZPLf4OUbQYKVnfn9M8m90ryzeHYumsrwpOwUqylwOjp+8q5Y8DSMinGQIjM
FEHCZ46CUoZPAQu0NnxKBPUT3A3raoU/Jh9A+cI3os6fnI4P9K9iVoaIkY/eRqQL5rY7OgjLI761
D3I8ReGn0x4rwXys/Jiib23u3IHxd3U3jJeEuJj+kCT38Ixp4OWwJ6MOczUHfPq7PE3dQ9vdRdbZ
am702CZEzyR5M+BvUkY59nffvSbmrkY1yVojOGUlG+KDsl75rmbVd9sckOWNkszR/F+JBIlgCZwk
pBozPHlVmG0EWDvxWOOczDmLe9iQ4Gwhta88OM859DBGoWvKwkpGq0RKZlW/ywO2DA8qzazwLnFP
hdhxtHXOa0UGAPpFN/9rWOMrMibpAFcoUUDr8MoqcSQMOTIOpse0C0Uqp4kcjm3/jg9Cz8y4jqE4
MzwMcFUn0c1ixk0F/K8dsArzax6ddZfkKzpqMlUPsiNw1P51lkAFapoBbV8Kv9aUi8qeE9X3H2Xx
5DJYqI5x8ry0abzYvvmiS43guUvGsEth1KMY9RvyMkLUV+ci+7VxJPWMfxXGQlc9D9ON9q6k/Eke
kvyRoLYi3Nb1YnrII7baZ5leney3E6z3zffR+a7c77r8qxH0FysxkCp4jIcfLx1XGFyX/rAzfpbM
w5w+rG+ujvUGF6ylCjEY5sdPGFYZo3/YJsJNvKRkSWWHUB5zfQhbUGY7QaCPD7xqN85kwz/p9Col
w+5bHFyy14bcBaiKJow7JHZU8sVfFlw7lL7VN7cov/kheirh4ACqWRizkIwfKqYiimXimZfreVug
BoRQejxxFHb/eGji+o1nILPvDYxZ5evEXC/bW+5+KghHfVbR2YcJTY3SHBv+oiZLd/PiYI1t77iO
qT8acOOIcMlGh0zGp1PjSGBDwz7qHxs86BsWKUFqx18k/nPCgIhzYvJRrhxc8iVRp+kK2IdxsCdc
FByMWVSxRmm5EHhkJqTwyr/tnWraOFOCHiT46PP5LfCs18psGDKxrLTmTxn2C+vwUXIJWCicu7y4
TPzKLvo1ZeqmfOeut7GNDhJsUHJsbZtHtkTM8R02LhXEdHBTGHHBmB9yWZ+8kdqgKs8hKvpcsiWW
wPQMRN9IAUZQlWXWPHh++HCuuvzcuf7ixtrEZuGi3/EeEt9BOUe+Fb8E/V4CKUAry9pn6d7O29M4
2OfBSPHQ/ZtluJ2namswpAz8BIQhKsoYQkh8G0NaFB8zINoCHK0719W7vCeEoqmIr3bFuuqfIJDt
Zz++iDB6bGX3qEcIHMFEy33W+TUCKt1/6mC+9BRHOgYkkJqbjtK0q8ZjrT5MFAP5RF0L36mzdoXK
7nIi2esCbYqLcJhQN6+/DznrBc262V8xCFT+/RSN+5zRno6BiCC1mljq2DCAEv1plo+LfFfhgklJ
jStS61/NEtGwntNmggM2vaVJgXNnPndoOMSIaVKfg/lFZdF6LohGKknkIc8rdaaVWWlUydOhTb96
XGGMbFIyJbD67fkot2WGUSVcrHHldwQMmXa0wr6S/rkMQ8gEhWplIa+Ldik/KC8JqaXRnYCoYyRe
OxbCLsD1Rj9tA/LLPCK/XFpDl2KsQujoW7iWkVW05M30NVB+f0M2M+cRHzSzWIu6MRxBT4T1zA6X
ACI99FfTwP7XZZw7rTc8YXLr8yejmXelIqmsi862mI6y7a74E+dyPCPPPJvZxAMl7otCP9IA7xxS
6nDW4BqFFDGSUw8/oUyeTLL9amm8ZdNwNfTvKNV+8N0X8LqunJ6sKDv1VbR3yNHSGHt1Zp9rp3k2
6uTXyIi78hZ5bzucgxd/rD7rgZheb/hK2uJaCb471KXY/AfZPQzGeBmEuBTefIlTJMackjomZo9N
WOAtNmF7+m7hO3UkGy0afHOD8KEgBSmrs8+2qThEWFuMRDJQ0MhrABlspEVHMtcHTwKaWO2yJIe1
7BfqpmtWR3eAzj6ZEGyEkX+Q9Iq5fz2o9HmKzb/MtgF/pf2lDf5GMVx76TyWjguJtl97zrwfSP4u
3GEdmOM9DjNUESa0MdtBiEd50fOi895lp4AKukQC6qp0HfKdHjwD/Kz/juIBJ0/+aYdn4DJst9xF
AuNAxmwDopsEvBLjzVL1lVAbmND2OY/qaxdgPssd61ZOaX+y7qHuc5vW5S0a5gYb9fdoTD/jQDAK
AsVDDXbuzJUZMJUPGB9mXfevqZdyA5FOVhLOVqdSncNwfvFVTnbDpB4JQETYZDj/SlJ9Y40jbuAE
LWoCdm32rQJbDpE0Ozg0V6fZJ1Qvq7liVeO4zbFKbjYhVQHCesAD5LWovbTivTOHR1s2h2aC3Att
BcmnrpKTRUvbZai+0J/kknW7zI9z7JJuNEDrc/YedIrAvOtJmwpt3HcwSCrWI6ireId2slWHckjW
c4XTXjeP5oRxPIkBn0QrnCUH3x7OXgQr3zTWYey9K6BcWZiv1MBzRvatObS7xuuIzMQh3PZ0YclZ
0bBNqjyC1XkSBLjz5d/MPpZkRyBDfa6dbj91WJ868yiSt7Hnyy0a8TR347sZt+R80Gon8b0pxHeN
SLc4yTBEWQhEuB43ddYdFikAY/mON425I9lrAOTH9NOLWK477DuS5iGqmmOv5u+ZhASe8YfA8Q5j
x125INg8bminWhd9j10JbzxqGJHPd63B5+3OZyc2T25knTofuoeCrk+B4LPdd5KPAdpVBmMpR6YS
T9TYHqSf4dxVyaVO1HEAOTkKJLegEbAOhtV0NzJsjF29t6dua0TQmtxyl0AIyHVwoavBn3WIjPqy
/G0PKLWvElKEB1Yc6uJ24b1mJ9+M8yaTBkO+8dAmLRohfZxZAUqmnjUofCLjt0CViCIV3kqD2s8i
8WA1gHXu4/KYxdvQvhCfzB9j5wD/oe8erJI2mjmLvpAF2oA9Uuq7GtHngTufgp/WfmuWNjL/LI2d
H94q88V3H/HWiPh5VIIhMECL8Nww/27qL8U4Kkp7huwMtrx33XjrjOHB9BBzjsWwJmthrHxIHUEs
4KyywISUhQ3YFDgoggf8s11wHDjYI/XR2Q8LvN4NmaGYRweXV1+8LpPNKHgK6Bds0Bpj+9Dr5QU5
TEZrklfbBvyZ/xlx2Gpm52zYabDjjpxDWCa2etS4x6iK9IS+/Y70LDz51EHnmOCJqGa8X4MgTret
8cEPIXshfpXFc8XFU+G39YnZ1auAS9JpA8Tk53x69OtNZ+5n2lkqX03CttO8pmLPx9FmRyO8F9Fn
4/xZNvLyZ9/5rJ2rZ9O7Qu81Ue7aV0v98H3PI4jXHzlYy8h/g+mG72hu0Yydt2ohyd2VQAnrWK1B
9Hcj0zJm894W2TgmGJMVcZpeRlRebgx9nEFBgYHB8Elj6Spy/3jAA+Of18ElxI+ioXBoH9o61uyB
VN05uyUeE6Q/fiOMgAKDcezReulBR1pcY/LOyJ5LZseyxxCi8MUNIJvbxR99awkbtSiQuKzrZdbG
VNidv2xAmBUTNSJ7HGJ8DPnhp4jR2BflERKnsFl9JfHIsZyu49LbZATxNKznPCMjozrYhA+jzUIu
DfZq6jDjoQnnzUVXSuICTxH7nFEXOzfMtolenLPN1mN+LXv6hemA9INENBbEZHOkOHjt8AZqmdQH
kLAFkOLoCDZ5ZMIeJjZaJL2KPAI0sL0HT4P8jXMuRZNtGOQdh1GyG40snV54+5OtQtzWEZ9V7kX2
aFgvYZKzo/jMk1/TuomOhuIhHA9k6wbbhKNCepdEflQucKDo25keZH6P74QVIoX8XEElVl8L2s3C
0tbdjd1DwQ5mYn31f79NJyfz90j9G8RrAexvplvq4SBk9WsR4fq+UUbl8icy3zwLnshLylEtrl3P
Fkbj6fdyWiSk5sOr5599PoY4bE+e8ZNp4oRf4/Rxpm0mKGO2X3g6pDzFxqOanyPY1AxQMuszZekQ
zbeoxP4Kp5qtPifNKvHcFRcqM3M2z8aNMCjE6Nc4x91kQAm5jSxlJcI+HsfgsyvN7ZwKPFzPDTqZ
JvsdSWfpBYeu+nNzl8Ufq+/JwMi5MhyCqpiRVtkzOniN4sX1PpKMlzZHQDTJs2Io2/2mPoR7pB2s
M7G7IKZfK52t2eFtSy94mnS2W75KXVxvFgaZFpuIWmMZvbWy2rsRGsYRwpfoyYOFhJqiPkUYa21m
K94wVcIsE2Pjwf5nFZugsg6BQeoget7R40oV3Xpyw2PMtCkcnNOYVhuPfWplADQjB9ULGEk6wzbh
Ch4g4jrJSBII/6xdbPhHUZt3QzQ8jmzjMpeHBfNzToLnGKcHembSi8hy6iUr62uUcF7OzkU51V4g
3zBCVPOUGL6It9LMt7xqMseLbdlQKw/1rki8zSwzhC/ivVKwTuqR4HDId3I3De4lavBqlTEbkEUA
wUomeomgWsgUoR5j3wH1B+XBuoqSja6vbpySykiqXYzmRm3jmS0fduXQRWGHwDejgTZNA9pgurX4
LSQjT7gdnuriXsnijAUa5EhtbL05eOX/OkD3JFQUz6m3mk1UARZcEAsiVp3CvibmClKI60CFA4SQ
A2SaLfTAIwcw8siMhVE5sGrDglNlG7hFqxYumLuMnnW9LilxqM1ifR5JgEmK4aLVvMlReRQJ5LuI
7X8v1oOeNsMQHg0mQGhzBXCphp83Dv5egfB0s24nJx+oJyt227zvmKXNYb4JVg35JU7obAw5baaA
fHW6bA9IJQ3Oxq2G/TRge0GRoQO17UFHmkhdlW8hXppx4dx5Hsp1dt8lqLdIy13NJIiRxSRfEpEc
81ru6Us6s1z7HdFvhn9r22BtMpikTucXQRV8TZL9OLfHWJL/uZqNs0dD51FWpSwfJ2YgAeAfk1oy
Ijj9d2AS5KA4GRaL8p+RvpkVU6d0XA/4YlOf/RBGxUBhh+u/apg01T1kWskOzvZW5bKiTjuExex3
iWiL05tfE1D8oVjuTzhF/e7e6d48tkRleGi9p9T9doyPnp4/NalmxGOTXhO8u5jzT65It/ZjHN1F
ZcqWcO55Te2lco1nlTQH5jPlJiWJumjV3dIaVtW8DvDrjISklE82QJl+myX3PUiFTL1b43Mjvvzs
zu5/3WI/qjfT2Cb2syTBs9il5kPTfOfysIzdp3I4mHRytnFOhjUI81C8hhCD60e3Szc5ySqi/k7Z
mSmN4E5+duK8mI4icOkoQE35VQwowp8CNhouKsPQWSQn0Up35SbwCV1/j213NTDKS9nNDe63uXgz
MTBtnbw7KgPfnKKgfA3Ml9YQK/4E8B5WhLtzAjRL2BLcx7rAg5ifPEH2Auo42kAP+iQliSdwCJot
4UUkhTdEGLMFW35MnmOe8CfWkwENxjLx3iuF/tzuyVm/2sHDlMDYp7jUwL5xILKBQIplevlPx25c
2O1Bc4QaqctqXm0ztpE9XiPj0go0foM+Rg0pLAlsgyhigAt3H1ZkCRmjsfS6wb/njKzDvJeC+7AN
Ovbv7U4U824M7M0wmmhTx21VtVfD/gg5pn0Gr2DKVTCs7CBB/dXugtre9l64tkO1FdpZ96nc9lWN
JvvDnmhL4OIEwaVVL6EV/5uDh6z0ker7UD7HbYP3wJQhh6qN7yH71h2Gt5SXzypvbKkDQas7A2E+
xFJn92XqPDAaNqeMN3wpNbB7kLE3BASnoCKukZGyyQU3CauebBIa6wKdSx5PuzxkaB+9F8idEmQV
kfNmoRVGZVWTfjbX5X7SAXgUdzOm8JlQW6iZfMdpJLAd8T1m16om24xEDXJ6cwvRVoFhnc1VyRo+
4HjsTSbTGhXK30gFOpB6tJwnCdzqkd0v/rdlzd70E7fwq2ZDVEjWLO68aadwNVYtsX8YKXlxGrNF
R8ZkxtZZoWixTlbGo0x5baxii3/AVUcrukvVa5WgfsPIQXmnjVPfgxP6qdiQlRbGm/zP0pTe4n3u
OsKTojVKs2WgWm37xv/n0IHPI9F1htpX/rzhziIX6KzhdnskjVZRd24GeZItFgur2ymCM6YcdKhT
CZYb7GGyc5/GJEF1PZfAfA9y7h0pSM7U2Z2sYymKO8tv7xUvnI64Sej1fLd9yBznc8rruwoo2Czu
HQEbxufR+GfV+CKWi97NjO3ccc20jEqa8ZIN3a7qyFXKxCUK4mvdi9fFeWQrRI5Wok4y46EwK2wh
RNRbl+UJEIm17yfzh/zuu7CMwJnJfWNOPGgaxpcHZk1dPAH1rqyPw+w9zM5dGMRfc1peQwZTudG+
Ma9j8lxC4tcgJcLuB2RjrNtrVjooKADO8VMNMX0vg8FOd5c0gK+ULLyA5hIRX529BB2QrQDdcvaS
B8nGxxaVJuNrV7ZgTqhWhlsGtKU1nEM2sSNHEYWsCnNhOm3LqL234gqRetaeeIDOvfDQmTicaUiS
XfEuEGIsNgOjeTd9dlfuAOl2PokqPTBIRYGFaD1oHpRHr+lyg01Nc9fQiKqELDsvu/VOgzgjsn9a
WW/dKHpzIvc1FMNTyC4uMJ8JAHjKeJMmA9RWwDztn9pZHueKpHkk4PV7QNOgHaZkmXdyJ3xgSboz
G1512VxcsXwPKDsL8VwGiGHE9BIYxLmMFm1TpbI3f0520qEy9py/ISoPZlZvxaC2zRA+jaX/yo+9
pk50sVFERTViwQHtppHBqssp9j1vuA8CbHodpTwbr8dGtZw6qH4jDIdNBXkRKXdsf8ctyWENuUG+
ca4yuZXVIwz/tSQPIuVhS9hztnV79qFi0akvW7PqKUI9PrFFs7saL/GTPY8Pc4JVDDuf0aAiX/Cm
MWHyCIgYxicZsBNWlD03nLDUXdnPN6Rw1OfTHd98tIk3E7tzxniTteVmIkW+c2nmZv+aIqAwrQSc
a3qHj3orASp6xTWP8h3OciOabhqRQhI7WzSuLHrJlQ+b55kxfhcRfWlZ5ykN7lzNJK5jSlyewpnA
8AGGKXRFD6yoNyL8sTkWa/trppkTmLPCwfxrzGwjBnef9PZpSu2XLDK3buceqoqtJxmtgP5RHmxz
FT0LrS/oIP6i0lnbsT5ouPH+sO35uvVEqMNoz3R8qFGKxGizEtLFUivbzq7+irXcDv4TEr91X2eX
htpGlecpKFgQsfBgKguz/OBj5ZrciHFo/lD2ZBPU4cs0FsaaguR+8M4iEETGK8A/gqaN6ZXpdZTM
ZEmji7bH/CKT9nEs98TIwpEcQ+OSF0BCbQQpX1KOe5vnd85xGgLfUGyNJdG4KZd9MSNxmcW5HrDF
dSZCXveED/vN7fy/8c8n2NSSzKOcOzajAvoFE76VI++bwXuaFvumdn+X6ZqVhieL/UId1w/17J/N
0LyU5oQVc9rpERCXRzJ22T8s4oGarmowZpjQxYMsoOsVIKkcaWxtr92Lqn2IBqAMmLNFkOktzci/
FmCAiEIghT5URnurQROIqT+BE+78ed078q1ssIKG7G/KtF0xk0D5Nm/kpSiQXUvq1QhzAr6V1EEX
patrgFJN5agN0BbaN7dvtiOZB9xWrPsSb5XK7tizg4ZhL6YUbE1A6DkujjRgI96FT11NF5F0w7rO
p/PISojE989akxPXnmSR792gPdtjf8hs6MzMLHs3OTcx0syOMHd5V4949M4iRp9UsL8aXAJyqoM2
oPpy6RgK1Y/HHF9bK/LUc3x9JZcgmQcV6wLd6Uv4miFYTKbvrsq31RSsQMnZo97nc7lN0U5NyiHq
SsIWsMFMWKu+8bam2W8r8Oulywefs+sK253pIH4px3UOgT8fdzSTh5bUXc2M3yPmu6Ujx4d5rgmm
MunKagwLZfrug05sMQCBMZUftYTifjOSkk4KbYRAkRzFaz7irco8pn/5OlyMkyj+6laDW3gfyWYI
10TPB/j1NJTaCcz4UnVXDDZJjhpoRF2mCu5CXMBVp5iT2ItkDRF2/akbVFnItxRNrU06a6FwbFSw
HWfGYGzmFQZbQXOUk189xzio+2T75ttwdUwubB3AvKmxDiJfRSRJzUBkynffnAsW3TL+mJKvdr71
y4goB2PoYfSB58dv87MwunVJkcvVhUuvZN9YbqWNrdM7mayhVCOZzzBwN13U2c+WiveGeLQ8kvoa
paFpUyDGtiBlp7PIfc6XsEEiGspuxocQ0IEJB9ZXZVT9oWhx9AUKGZDbAbH2YO2P5c1vZLx2bOr1
+C2fvS870e8ZSJi1MNXanzH8aqvm5yfRh20llF6FuFcNGT++TFGUSvgng8GrBXxkpYg5Wsd69Gog
Z7lkWFMCmqv5LZSpSxnoI8guzBQSTV5dRK0fWkiQUa0Q7XaFv9X6bIRcYZYzypWfo/I0CFTt52Wr
kvElix14KbOS1bYgfsTOhLVX4E6CuuJUE4i+ZYoOM3GKhH0xZefoinjvcfmQhkoxCeE3jFLiFpFW
jd7gM9pO160ftucSc6HlOyR3YmU2fOerHnxQrSNBjmH2LHwyK4y0+wbat+4zb5sKayMtzMoMmFaS
BqFQyAa8H69f4CBKnXmSFgqyB9C2CvdWDI+L+hdrM5n0MkAMqz60X9ynlfGcOi6gnYievzzHgz4n
br3Phooq2kNI0M7TWeLfirP+wBsrtklOzeOMD1L716QIIXRYYQ+KLrkGcfzoi3yT5nj1Z8+mVdcm
6xLEAXj+AU0iBBwM5AxCEhY3LuhRggeUBz8kUv4hwtNsCRwbtZZ3eQoOS4OyNwncGCzG1pYbowpc
/lAUCStTH0BBNHKHmIh63UQem461alxdrdH9s71HEjmAMxou0T/Rw2zCHU+8t54YW8uD7s8rT67a
yuExjZ9jTmQCm+RyVziQ0eyYL0lUP9tJhQ3FHXdOxsNlt8PJ8Ht7FxQnpZP8lHfhTvqMkXOfHivK
zGE/5tG5rkCvKBUiG19L7s3VGMH5TEyg+EVGINicZVsxxYA+lA34Pew3usGnKJlUr+zJ6XYNT1G9
JB65zVfU+ekmiudFg57vU3eh10B/HK15Xk8zHk1vUTmRyyU6NWx1YYwbWY0/Q51/a4tIDk+0tOhM
8S3G9Gby0pD6fchmSSBXZv+GYClrj2V1F7Kztdv8aNaIxHzmh7Ws70Ras1TvoOGqFEBX6mtoYTgp
JAuBlf1KCf0T6RIHSzojbxCfxYBEe6jWScHsrYnc77aqhk0DEtJ0eZs6+FoDpBIxk7mYE0/R5pkF
9yZFOxqwf/eSd9zJz7PfWRjVc/ongtDMmTX3JMJ3FyFAOUffTY6iNbVJqksQbwd5fqv6xNvbKjwX
JYs0D3hWPQFebHxvH7JiWfcFDZ3tOFcTwhy7vp0gW7TyAeszRpv3lTZ/UW7M2XM9IxyaIvCLo5pt
6uH5IgdmOm0/4K4V1EJECuXq081gtA7hc2/BzI1Zb4oSkWUvos0YE+ph8Nw72vtKrP6UNCQRFLNL
lCLGCav+G8LwbxLMA0bqAlUhnqtT2lKUA0WkYCX7l5ZWa+2byPED8yNk2jOOSHoSy1o706KmtjAu
Kzs41ja4c2H47wHcvB4iTetcU0kzYbvhL2dNzoXFoKJ9cvGaiH76EXZtgDYhXhBqluWDiuACy0Jz
ZiOSUZMEL0PLk1GMH4mHzTiZyYUVjn9XVs8p4ykv6QWSbz4Ox2f8Z+xKquJ/0vdWdhkB4jeJFjYa
QtaEUYTnCJuaDVFOLiy2ucxZ+WTDrQ/qjQvMKswNGja0011kUdmUGu9tX6GpaGuqhacgLU++A+i6
JYY7SRUomx71bFj6aJGG7Vg4LDSnBPDEbJ9HCd3CquJ713lXNjiAMAQ5Gi66bklsBISEBBS1cHg3
aggYvj8+abs6245lruuZMFO2W60PxcZiBSxp+rOsfmNNe5/LEihwaBwskNpB55xK3nFOTmZObRZe
e748MD+hsho2Dg63rdezvx5DKnjPYH9WqDvLcGYiVR7r/9+J2kk2VmMf0465UdsQltZpRB6u8VAj
q8sou5if4lnocuxdI72NL90OPehTzYwhQzyDha0j6MXFezjUeN+XSijV7mvQIu4M+oOIKnynyN+b
iKmXaPRTJjD7tBbFSt7MMJnA9SC6Ek757sQRW7QxwlSXKtqoBuoXoUPTrA+2au11YXCy17jq3Ckk
EZvRi1EgvRnkR9IiUhzNglW969RoQO76mUAQSwaM5Q2Ic0iQox4Xogmte3kfCaFfe6jAWq95atH7
wFlis+QE5a0IG7ZgNgO6+KHxzV+WA1fZNAQsBluifRHvB0OOHhQXnedxuvsC5WDoR3vFJqdsySFL
c6IdVNMdeS4xK8YY0tqFqDNaUDDgAk5Jgbq5D+QaBcBLZuqz0C7YIiJBOKuPDuJfmrVbwWPKdixd
xYqsj6o1m41pEjOs1Y/bk1owWTU9Hzhetm/1qmFeXBvunieOTdnIVz0cwZD37P2zJGLtgKHJKo1N
mfr8e0eg4UP3Vk/EGQXNN7JaJqstHMcUUm5cpq+9xZTW8PAYuvRPfhQi6WU21PP4MKN5crIiW/eY
XynAy9UwYCwKki5iGyGuYERLX5krtwkyAoqZKxZk06JYREmdMKivrYp4SxEAkJj7DR7DKczNte5+
3CKkCHT6m8spVbdwbDr2PG7jXAtE/r1dACqfem8z6RIWgnyMRn8JGJ+hDfRsqzMkG3Fr3hKbysgR
Q4oQGmVeh6KWunveWIW+YZxLnQTqgxc92lXrcJAhX0pj/+R1bH9DVmPdnDYrvqSYsvtLYjLStlwX
37blgtnKjsQwYDZkodUb7d1ouT/hzP6hd3+NqTXZt45M/zPGZI7n7qvskA8Q5HX7XRkIVOZgYezT
qXTmDfHrzB7QDbKd4ck3CgaocYpvopMTlmuoF5FOAcM95ExTFVxU85iZ9ZIBAhgq7vANDf34XMEe
cFI23bjIiR2yknn1NOs0w/MZYiN0kNG6Kn5xpR3tPZuZpeoDb5e0GUutHg9EUDuHkCv1bECNy/Lk
3S7ch6kxibuuf+KWK9NILf4b+kuVlcs3bYY6ol6qQkznpniIypBPw2RO042w1XwJUYqWtY9KzFVW
REQmNglTsRCZC8U8EBTmWEbE+sIVEFPNcUBsppwZsKXtabCclzbMAfE4eHtVYRZLrcj3hg180rUV
/sURT/pUfvjJEsKYs2ew8FBA3GWcbkZPtlW9sXeZPMo5I4HD0zcuA8XwMZN2iGtAPFsh8846HS9x
L4mVCW1n0w/pXdpoxlZS3VvpiBeLuitS7B2ypgWe0XUEwTCfrswPsijUqvSsiudyxFU1ND+YF1HH
zliNzNDepH6sj2HmPVZaf5Z9yqQN9d6uRdbQdx5d2eg9+D4S4qEssUXRhgSZFLuwo4IzmbZVHOpO
SYavTqJltmEQvqrlco0CvhsD9ep28Y9v62lrNuc5xSLUUSj/81gw0+EAmtIuTyTDgLyjmWz0nTFX
96Ph4261U7m2EgLZQugiLR1iEubMiAZMTXbLhCEN0OBOR8/WJPaIgHmLNO9TkwLejuCtFjTQTYY6
EnNgqApWe1G3Jw1nndoGJBdB39tZxCoPyapCpr0So/012h1rUowGwUybaST2pmr7I7j2TysOMFo3
rKDSAs6ayYWCdcixaT/1IoVryB5wosoEHug9hw76bhXLf7KVWAKrOV9bxqbwp1sffxl1/l4Y9btO
GBaEAU6WUrU3GUeY2zQff9Q6L8J9Tgro3tBeiQv0OY8GvRGp9TdTuvIYcyMkRrOKSTvVIwzDVNsB
Upp8l6lyn7ctpENcBlg/SwMPnBmI7USWNJbHf20MfSO8q4YGbitszuXfDyVlIjJDQjvOwxKMpx0m
5SnCvDVo6TCA5ttWxiFZlBbxok2OQ9w67lJfz0yVq8Xg3rXtB5Hr3z4aJnOWJ9Fn66FzG/RqFCOM
V9ZdT4SlLKmQp0Fcx4gFOSnuzA6+HVcK4Fq8ujz48vKRWMKJUMpYIQFiIAkXg2hbtZS8zBFZMpE7
4Iv7VtofKCm/qrm+ema3TZgvrbLh0bD7RR3ZggYs34oRhEHMXquNZmQD2dIHjhikbUFet4aZovSu
A9yAuqQdwE3mCU4Sb9gGESyPSRnEhncsYH1QS511JsltAFFZJ7R+cU8LbcWsi9tEQ1sTSE2cg5VU
Pk6UIt8UBm+vn+BrTqWzFwa3yDBYI+mz0V52EsG1aeOTknI7VzjjEH3dxrz4ikvmTXPDkgTJ5Jss
Wyxnzs4YE8I+ZcDKg5mjKsL9//87raINMc9PZW4+25H1zAbjG4P6qXOprC2btjAv/u+S9nFc8Daz
i+yXfHcLRqWZ/EWdd9/W14RBAYAavmTT3N9qY/4tbFQxJhbFMH0ZB3ofp9EvpY2ju6Asa2d2Qemj
VTukA2YfJcmOsi7XwQwToGBC0OXuf9Sd2W7kSJamXyWR18NqksbF2OgqoCXfFy0hKbYbQqFQ0Lga
adz5RvMc82LzUZXTldUDNKYvJy8cKbjCJbmTZnbO+f/vR1MS+fsOomzJq98E608WFnQom91kZhpC
OMZCs2glreT5pnYs6lt33EuLmAEhsOBlEZoD22a14l/Rr/rRKu+tRM2apuqrKiPItU/+iI/TC4pg
E/nI7nSKe7JGZsjGxfCXYSdLgellsmlU+z3AXlYp/MONQJapguFtrK2XNsrUXn/p42wie+2CF+A1
UAslZgukpWFsoDQtqESNMBWj/J0UD3dVzbgptQ899M/UrIccASQSp9zj+Hfb91g7AWicvWFItgBe
wQKFHgHxtia594Kd8H3o1GPq2acu7zF3c4DRPrQCt289nMiIhvIpSrZlwNaitl1A6mWIGaGOo0MT
UbjUoyy3vs/GHa6XVOc/49u9d+Ox3ZQDn1kkuxcxICBbwjfb8l2mWxDHWav8+XuX4CX1sevdJh0/
kt2nAAVV3omc4nLunfLcjN3XMnopE++UV9VtgU5tDjJ2u6mgDYgpXDMDLSo9b5eGSryY6l+9Cb86
ycHE4oHf6JwnGBSnAGEbhGL61+lOzxNHj54WzZg774I00rhjvrdE+pRG89qFBIdmDeFBhIij8hFq
+sJhsBfJtAljDsli4LCtkph51LRp4Jp6YfDVjB40VeHpDTvSxHjfZY7J1sVcjzW3HeZbwa9EfzhJ
tkTRP/s2TUxmnS8JNB+iUGbmHKuSzy++dpLmiJn0yHzaRLflkHLFd7O1aajZl9qJkS+MP12Ltc4k
FEPTMh+CGuSjCbna+prK3wsYcfbq7BecPaZUNjeJXdT89esJzNnVyvpsR5wDK1VTyjji0PnjSulA
1RETT8NoJruls4xz2dG/FoOYoywdinm/fQ5y5EQIBg56EteIRR3HJO9ME/POBaLA6lduF+JbQIiO
EDprSeO8AONT0hFtmlTuaxiYU41zqvB3EzQHoeyHykMoXscWvKSJsMq+g5NSw5KtbWYvnT9vJ0Na
LGdBJ622oapjhIXfi/Zl8Tn257nAMecCPRBYVnGDcq/5zFCrEqh+C0WjMhrBAvd07emTMxHy3CVo
j6w2PFJab5KSy7Hw6IWMGbwildAxGjumRbTi8ESsyLdEImCs5vGzdMPwVFPshxn9aVrk2YLSNcBK
3/ZVdm0H61PHOrbPp+ZVNIzbnJDX9YNenyfG+W0m+LxszYnVmZ+SUOtjNIXnpterwPq+0nZ4Shlg
3vraOc+KtapWiTlwPjxYhkzopKLJa8cWpQIpUEUCndafvXC3tCxfopi+RTba1iBs1E2kpaSBjw0N
4e/Wz7g9Uhfase5hd4xcmYy87Ht4B9lmqjCcmYgICz3+XGqOel3cPPQWpqacsaaWZD1q4maqHD1e
2nftyev9RzkP+qlCjMYQv2eEdUetA1nfBoccK1we3Z4Vf97aFaFiS/2N3hbHLCHp2XBEnxdsnnaB
n5ENn+hCc4Pihk+0fqINJaln5Tc/du78mX+lfIdC2YS3GpHCLfaZAy1JHK27QRGaMdlNj6yEZtFS
T+i4fFItcwr0SamD6wcA+hz7W6uEhbKgPy2xea9W7UJ2DDMqzaoA9RumK6hz5JQkbmLtcpqZY6gE
9bCNuStFfswDvpYuLHGYHGaLnp/1iyzRJve+OCg1e4vbzE79mXlt/4t+zoKGC+wjS22FKDoqLx3Z
unJ0dmWtD10pfi56IRawZIWPrG2Sh5/skhQXb1pRjcp+GztASXoU19FB7utU73FSj7fTBB9ZYDp0
AT36TsrgZ0YMq6iIG0cXZN3W+9qXSGPzlqFnlZ4LMCBglHHU1GH47Pu62efetIFTkhxaTsgIRqJf
OXfadkm+icxUh2TI11+ZMplS67FOBKPR0cv2uhPkgxPwgLTLcjetKsmpFVZ5EAFit6abitsaAJuk
bUyyL0flWb5hrKoGB2qOLN64qkCELQNrf7XczokHfN7HBJdQ7TnjiOK+LbnpWxYX06Lg584mCmjA
7zFRMFv+hNKWYgWGNRq3uATdkdNNuZGGM4yoZgIBVN5i+653cd59t3tqo3RQnxc1mENKLJdP76QN
adKmcX0t8dGpBplssiArmOd5vB0bEnNy67mY6N7IthEH9h7mgU61TYgON2W2XFPPwTWfLCd4L1vc
FOSiVtFbJj9PDQTqwEa7USf5Q5IOz+UsoVhpl/ELat4qZF1aqlWeWZSvtWOuQ8pExim5bBo3A4dS
PaoCTbsbrVZ6JV66INtPYv7cV8Fb6VAvxTmKTG9iZg+LqSesZsy4MJmBlAvYOp9hrkIygPrplx1D
Si8FCSwhko4omlarXZ9uMgZ1+yT6xpLZ3TqUXlhpaE71VX4bSfPNn9i/hc9S3zrBV9XZzrkJ0eO5
LYr51H1lr9pNHgBP34MhkKsaLRWSucJS35qEk1c+7IRs9UZHm9FHPhlQxmrDQZtwXMlOFo3E3yjo
WwlwRcswL1ASePu6t+CI2XmM8UlCPadFPx8WqrBbvvvoV4gwS9YT2B7+L2SIxQCIZaxQgk8d+uX5
pQnifp9xr97IvjnmfkwvMKL6xS35UIXBi1ME3dZfcmaOytuqBG5MbxG+GiJc75Il20bwOSYVg38M
PKZ7Sf8pL1ChYsGY9AwVM/w5CVqwbaR3xse0MSfx86R8kpYKNhqvV++12/r0K63TmMTE0GcYZIg1
VCZmt55pfuQT0ZsuJ2to9ZRypqftGH1yS8rSuCt49xVKnyGYm30zXeIoHNnRbRD4niSIrZTbvlmn
eKaI9/NC42yu8FTIvGwOsb0d9HydIzx9uvKOgduPR0An94P9uVsqUtCHCiG+ZgPBjEULINQ7UEF+
zR1lCOpsCacCefA2AbBtiuYXA8ZsKxLr4I8uDOCI3ir1kHegdsCZTbM4Tf3HsIW8UGMCwF+PnnK+
V14TnFBRDsdlNu8Zqg9YpoW1mUdqO+W80IE1KCw7VgTOwkPnk2Vob+I5JfEiUNt67NCvk0MsrDDm
e4qHRXfDLkXZHQJu6iLeT8RjRFqM1VYo50up6mrL1NEKg4ggv/bTRMRaC2GGVAySsUNUqEvRvaec
ek5OODxapHRsTBF9zeP4R9Ka7CI6siKSUMXH1KohoCCUKzwC0fDToeLTrPDKpfcZOMluKTStoYEC
vS3e0C6AJ3Vd8A3e1BwCGf3Mx+CYcTuyLrX3I1k1vV2A87TQ0TPiCDd9dC49foYr/bOSUE38ORVM
GEOgR5YN/m0x1laV+bOcXWD1M0hqrd7MgKyvygewY9zthe1HQMSnY2DOyhuTh2nBnb1wmkWIV7BP
kROU5MybE5wwpa7uvdEuN5OicRnjBziZqcM/yA7m0snCyjcDTUC9NsJI2IcDUO+u9g6hHMqNj4Kr
8OA/uG4MdKiiSU1vIgihtAa1wVTKQBRHVP4tcDhEeL07boKwnXai1F/NW7pE+0TgYWlx6Q5DvS3n
T0uUpluJsHzj8m7KHKZCkpIXl1TpZqmRL7Ehv3LfvxIclnOqnt5nzyO/ycIftDBfjhyrviiLQ6oF
ESJnAJS7y11lwk33Zgpf7Pygffay6rLg71x6RuvYmZgPkizm/XCwiW5lm0PltqZP83KVLfWibhbg
dwVipgm9tQOAUSeOeIqo6j1FqIOf+Ze8p8BMvfHaWRBxxSrJnn1k1JSVHRnPnBV7JG20MEP3duWG
WO7Pcu1sY9QDs1P8yHCDI3YAR8fGvyqPUYoqtJlRRxemypBftYEIDlQaKsLdFbXNcmKVP2QhI1X6
o3TE/OqxdcW1WQTHzxElxlrDFCgwschRyuvGXTYKlqrnTA94r755fqhZAxXecr+GfGfQDI6w3SPe
GN0OxzJ2Zu7ph6JH8r5YGGi62IObGiNT74CZrjIxOzMxsMBp1+RBh4BUndC4gnOONQ11R+IaGA24
dxTcUUJYj4fkvY9530onr3DKG5ihmQN6EZJg7rM8oJgjjCbV7S4zLB/j0tKZkCXLRcz8E5/dThj0
U01Dx7NTHERh0yL8pIyup5H8QFRioWOS/Vx3L3kDoQm757ApDf83tu6LYW6i2rbaDmF1ZwGM25hs
2yBR2yCrThFbsB2lUdlebLUjfzi5DNClWbkMisYeSpqhtWOl+zph9YmCcjxkqrv3hpBlqgpQTgby
OU5KROwdrZG+Adsym+mSu+FyCGyGuziRrZvff/uXv/3bv7xN/5q86wddMGis2r/9G1+/YSY0aYLs
8J+//NuXNE/r95/p68c/+49v+0/ftXn69+fffmnz2/Vp9/yfv3P9ef/xD3n9P37+5rV7/acvtuwV
3fzYvwOoem/7ovv4Ifym63f+vz752/vHqzzP9ftff39b64f11ZJUV7//8dTx519/dx3v4634+zux
vv4fT969lvy7p9fqt+urSSv9f/2j99e2++vvjvsX35E0lTxhI3eXTvD7b+P7H894tufb/BcGbiQi
//ff2NQ69dffPfGXKPIiR0pXuMgYpPz9t1b3fzwlI15Kun5E0cak+Pf/88f/08f0j4/tt6pHyJZW
XfvX30N+ev33T3P94/ARejKK/MAJPN8LRRiFPP/2+imtEr7b+R9d5lccY2glR7ri2D0TeJUDrA9+
LD4uubDFwAxRq1wz7KN8uGTzu0XREVZkukwBdO+yS3YWmY8JMyWHyRAtz3r3bBKByL6k1iZ1zbwT
3Lbto/oLtu63JpzMIV9g+QIzK5kNhD6RXzQMKOf0W5m8jkHzpqIGSnH+NLfSY1FHxN4u5tJRz6De
nBQuINYI6tLGR9GwQqFJKBAbt3S34TptEczRg1X6aYe/Qih5zD5K5G7pWWPZnYJ5l/spmHITMpcv
B+hyzgGWSlJemUD+Chp6pQWAfG7c3dzeRWN/dg3nx4CzRSk4Jfn1YxC7UJXtzX//Ltq/6/XKav/z
rfHnO+Nv/9/dRK79X91E/86cMa3T//U/i9dE//Y0vBY/Xs3Pf7qh1hf4+w0l7L/4IpTMrGTku2w3
XLJ/3FD2XzzP4yKWNnJk6fv/uKHk+pQt/QDyvh+JkGf+uJ9C7y98KYLAdeyPJ/4bd5N0/ulu4sVp
/vr8ZkJy8yLg4Jf+891kx+hCYt2gEVp5jSXAtY8Hx58W+h9JSci8VBg6nINDEiFKvZmb864sR32f
o3M/BlFD+1h73r4QfXsHE+SLW4Kcpq1y7WP5VSnq8FLEGKznGVJS0QNP6mf7cWnB0g60wVLRxCDm
EEImgyKVKAz0Bm0XsqpwJBg3Sh/80cJUvTD/KaVc5aKpsY6EhoZuqe+cag7PFiYR2/GjxxieitVn
auuUCUNFRhnPVe6fOk2JIruD9rpr0lO8p+XgnFSSk15oITwQzK4foPaRXxIxYCsVI8bYy2jhY/1C
Aeselab7pMuQHc31GXarXND9af944FyzsapeHZ04wnEeQ+rpXTTqJluhiQKTrIX4Z9eEnTlnXm4g
B+bsnZmIN5Erk09/uhT/WDL/vESK9VL70xoZRJzcuHQ81xO+cJzg4/k/rZHSlD6e187ephIdRDs5
+ihD2jW9dF7WSCrvxDRUfl0ggOz9iFbIFNl6H0+rOppj6jQoIPOwT1vptjefMsYMj9oHcecDBGak
PQAsUs45brzkKY0COKjVpE6DwF49k+XgDf70CcmxdVyqiY8LwOmmo7Gb2nJ6sPENCDH8iFl1sbSQ
v5FDearVSOQAp5Cs7OUxyWSNnqJH4NfZ4jNlHeyRuA2IWgpRFFarCC/KLk5o9F0ZMujJLeRiY9WL
x7i9z/ree8jXPi8Ks4dhqtxtVM6g9tvVb0Tr9QHl/YsMjHcPCWWv6lDdL1FuDtUMluVWu973pi3u
6TKOl6nPsMAMwiVMcus4cb2vpMbN783lntM3szcjbGTAxBMGQeKTl01Uy7mxCSYOxpdOhf0p7oj0
qJk7TSF+l8LrwkdEqKgKAr96QhP+oy7o+kA1dG6DWXe0jUJBfhCSTkzRCKcRoFgdHCJH1zvUwKtm
i51rprQ7iUo1UMIpkZ1aMGpY32gYg9VD21B34U/DwuhIPlERx8F1mCZkIvRlNaYVBlGUFKL+KkpG
UmrKvwnGJps07jMscjOYTH9Ud9cVao2gsJz1rgFjgPSkHffL+r5P2RzeJnTcNiZsiA13pmPUJkRP
+q08KZXirGTuzR6JNuhcM7ot2JnCPsN1nSh3O4XPRYjjvrHcNX0JDkqUN2esEtSq/vBqehI3Jg9t
QmtZpPtNwxXbZXimE18O0j7X7vBrKS257+0JKuwUD7vYQU7lR2m8y9dPx+7k+5IXAg5zwE6qKF6b
+tsSIQMau0o/2pXcsvhlW4yA+m7sBgoya2m3VD5U2jlZXpR0z4UhuSknd0SU0XKBmSZRLoJ9RFWU
NP10cEchaNSm89dQk0qZZvFjk0cIAdYXdW0H94OLioGWUn+019kRvymgyLDGRpzGIAecrwx3Pgc5
r8XEQryELg2uOEYZ0MizZxfxdQK9cNPQfx0m0jM+HtB/ILZ2KIMmIm+3DWO/72kc3kZdfhcudftc
qzWgw1L9IacHe5uYwtkPCIfvGP+DmoxDg6LZbCuugm9tRyZlHZ3rCcGTX07ZPpBpeqcCEF8J1BB3
HN+DVTw/hqbfT2hzLz5KRe4KcMP5hFO1koH/BVLpEykMxEKpR2MhcF7a2Kbq9UR/m2YZnAFLFWeJ
yhgQT//iozvSdXmxlDddaCNx2tdrXRoTaRFVkX0JqA5WiSjC5+PgIXeGU9J+MqsmxMW2UxKcx5JQ
EJZSD/qKbKy9XSaG0ArWGlk1XKEwEE+IlDajJ4J703glKLTxE6ldhzF3+yf+JOfgpgwQU49CRtfM
iEVctPdVHaJXC9N1qnT2LeNfcwmGPVz/rzkMyTDCNgJfN0xj8ORGXOjMx/TVRodgrF+WCtmodAsh
1Jt423mvAf4EbkwveckeBr24J1l2cMXkcjbrQ4zlChBU8aoaxz/TXCO3oc8TgoEYIvRN2+w+3pAJ
S09fCho1Yhx2//WOQfdwPTb/41jNluEHvvAim7OIzzldrMfuP20ZoqxkMi/AhTzQEo4lwuug4hrW
LVWnH5qSXpL1kkFSexTMTh+zIP7CVgnfFK4wSGrfviLiJg7y2Lpr6EWx6sRjNjl8O7+aKpOHmlbH
ne9jRh0W+TEKma4xHsgQsc9tpquafpu0rkbN8LRrd7kRfUAHMuj6Xd3m7an3QYtlhFlKBGAn15LM
IFLjAll1pn3s1aCGXPca1wVXJVqM21pIUoF681USTtrl2n88qrIwhyLhjjAiVU/cT/neyhYMDJ6B
VQqhLNeOPE1FeHRjy73POmVfLJvxMl3pfschAUFSU5mNeLPqvLrOVRydufhpYBG54EnUgIJO56Yr
y5RJa5hwRA/aT+mIS9HHj9HGrHciJTasfDHCd460lr9FWKa/MqkC5RdlKI0Tgf228Yotmwqm8nAo
nt35vs1Vdh9nLVpL2qv40IPsIbFi2oZQKjqlrk47dRtHeoAyI+Zo2OQQX0tYBVy72dUvx89W12Tn
Jha4QhvoT1XJrKuNgxc8PN2d13gt2Qe8YhYkP/gdGFTg0ztbCZ49V2XnyqomAKGmJk2b+ALNwDUI
JBiVSryka/qIpUeaC3OudsV6aBsCURK0SykfpDNh4FH/GY3EsQ8bH9w2gwLXxTPqOF57mGJd7JC+
Hqt+zJjKrZBuTwM1Nrge20rKjR0iebZPtt2J54Tpzl4RBAKNOIhJDBx/DjHJnYU13JcV8+zRq70H
ryxhRc6ZdU7L2SbXUVyXCIJxAtjpJbDyR0hT7CZN+iMW4jjlNhi9yb9WUSI/OWEab/O5J0wQJFaY
V9YRm0W8V1n+LIg4uUYd7aR57s5Z1GDlArIBPAmGXBqT8RvkHA+kcw7HxTnTVd5zvTU02m2gP4kL
d7pDmmExVLpPnNV34nD/yHJZqzfEG8Jb8qu/PizNMevWRl9m2/vOV+K56/d0gC1Uf+F0SjF40Lsa
cUlzdL+f6zo/sdYUN7J4MjqentoafkTsWTh4DOQHoOHpTYFA4rYuLf9ungR6FT+YHlxaTTeLmqdT
QotwZ83OF6WL6Ij5kMWgrHIg8WMK/Kjwn+yl/qRM1p6yAsKhkMuz0QbqQUrrKIgx0qW0v+/LdIUe
hNFN6BGQRS9XPjPlLntcqiHA1DL09F3A6GRYhi/B7I7f+whRWlEhpPA4eT00Q7dLG38Xmuxh8ifz
s8C4Yy5jiNMLHGl0nSkGbuoAJ1hgD8yhhrjfWg4FSwUb9ow2Rey1X8m72Vnk1vLQgAfQQEUlSUl0
K7b3tIoOMer929Fr3I3vNO4WR2+7IXoAnX/WN9/K0rf29VC217xlcmAqHWxqYecXznv5pWQFsRvy
4yp+QBtkqJWJ3bkkS57CQUXaW2MV3y6jqwgncghuL0EdbQNHlmdEUiWUS9KVx4CIr2CtYei1YZKl
/9rK4GWKe/dUuiSRFkNzZOJgbTSyRDDXmPjoq0UPoXVaOtRatTDhjxxBpqVDcUYXDqbF1Pyeelmu
upi2SATbR7y/V2RVpDUmvfU8lJxwg4iVqYPQ0PRI+61FtfdWaT53UYQpb5Td7WwbWpM4r28qd1UG
Nnb7EkOgbYf6F+ZUfTBRZEOGn7HGWYy14oiJTh/nvzCm27fJWBY4wstHHfcKfWG893HunZPlSBoK
7v4mK8moK9Jon5cFrT5O3JeI6wBV2fyWdS0gnvp74AUhQMcIPILMxI1t4WTD98rIMCB9ACv1nVyZ
ex/31Vh9dnXqXFzFLezOMkCiQ3QjxQrrVtH+UKkd7iZhnEvPynNZFclDruFkt9iOGpkEJxulzy7P
2u+JWz9Oc2+BB5QwbrqJC02m/bZpwSl/PICYm9hIHuIYAlBHgb53Rp9Qagf0Bni3z07CiDCd6Chj
VaLBrmP7B2sI+hZP3XfRDx326/HH3jYdMTLFUGJ69Kdo93FhdShGPP+EGVme5rHAi/TxZtWYV2JB
8l7E+eo8l8E1i734VGJ1ODeDfz/VfXjR0fCEtSs6t+1kHZnTDVExn9BFuSezPgyxwNrhr4bEuaqh
lqVQt4CUxD2c3WixvVNpmnare0+i5ojQ1DsL8jG8xDEmCg+xwU2Gv+lIfyO6VBYuvnyg+G/M4N73
pbMdAvMuVNkdMsJ7Z/KfzMSFhx+ochCpGIU3wmpUROx3X58pPzcBc6/r0nqICGdQImxp21wv0yVd
H4zDxBTC2l3VYMssAQhtkGJ8T0c2hprCAmBb9DXCDBPZ+1FZ6tx3HmyBcqJQgGPmMlvcTTP3aGs7
D8ayQX6PyrlqGX6yCoUEGxnAg7Zsb5dPiFNJIyM34RK6c0p+Y8UYMfKYKFrMbo6qEACB1geGZtR5
aryvpvQ8jA0t9UqeavRmaKExNkDGSahc84TMoLno8E3n5cHOOkT0XdByTpCQqupMupePh7EiidIL
mgfLkJDW40RmUl0z7NbMaotpdmnBQMNnXd8XZo6GzZQWd3WIyKuKZuvUpVjA6TsdEuPf2EMxXO3B
Ke+red7HA/qjdvGZ6yhSh4Rh6FbNQXt1+89BN7ZXjOjPc9tNB1UjkZHSg/yJypCefrdlkMlQTHnW
lo5kPLQLG5IOrxZsxrpV+tALD4Xh0jDdrtt2vkXVjDtznK6dN6PVdADx/uMUHjP7qrRebm0ibw7C
EuVTVbcXYwGf7brqTodZe+jq1v2UTGyxqsleSj3eG5Nb58bghvqoOCANISJjp16GWZ6bub5bwNcf
5PAGhLe/U3up0+Bbo74VyKa3Ljqp7ZBkyUsw3/lVcRfWIUELqmquAkYJysJdsW5noo9KLIDbxHGS
W6vsq9tlrcFUjpIgm+fX3JVocZjEVxlt5jjIuQzcYKtpUX9m3PAQyFk82HtUPdMVD9N0dcHUKLCg
pwCby8X2iAp1ODocjOMQyuic83IYiXxE6VaPQ/WEabQ52PTX6C0nO5JFZniCXXuWUpAwG+YHD/nd
1c6K8mrP3Y8cvDx6pwHniLswYrdq+yxM5W0bA+Q+1T44RRS0ZFxlwB0i13yReQfmd13gSNpIj4yX
kOX68uJrKwDHxmaVEBHecgoErKjDUxeinoVxh96NspBsLNPfFVlTAtoYCkKGQ+8ypcyQeib2f184
P15cVzguMB/hmnU5CcpOMaBD4nVKZ8e2b7HVwlqwffh6YI0SldxbbnChNbTGCHDazYEUX7uozq8c
y3+KtseJ53YDZ08EejdANk+IhvtD1PxoTUOt1yeaDKcEKNPHy7eInTAJB86DbTNNnztRki5TYGDJ
mcVrfFVkfpZ6ucR22J4LjAyBUUy1sTzWcFquQCfHCygZhGtg2tYHj0BWPyE9ftIa1nxfmR0nPSz6
Vt5dyhqmkqmCdu8RGT0Eo3X2Ojys6QRX5mNJc5lP3HZdbiBz8ScKFoGdmm2FNQ3HluPZT4U19Ztu
NsRBZM7rANaIVdVnIro+WDH5hgnLa+1AehRxOMN6y137zmLABzwaSBytzu+dky17/hCi6mbGbwG+
21ujBUvL+vDxf0M0wCTXIW4hFEC7oqdDkjmpulbEk237lid8GeT3pArBmalGWBROehWSe1QOU3of
hhwhWm5WnYV3TT5PMFPTe/trAYnsa7fY9jkZopEWx3PS8PZ3Q2I/UjfZcJLnaDOnwZdZaPUU124K
Yd8/LB7YodpGwLCK86+tgb8k0LNlnMru7dZU9xxLz62ZTsYT47XyW/MohnjcdIppxhzaD5HMnD0m
qB+9qoZ3gmPrk2T6kjbw6mQRkR6snqtuch4SJ36wEARsLCQCaCbt6OrVnBepYE8FEbVXU6CpMYWL
5JXzVmNb7qlqJveY+D9mRvhAVmBG3IqCu7TUDU2uQXwpcsRRPrsSo9aJLPX1uOGA9rguFriHuoBX
oGbAiXMW7ke9mMfBOPlDOTanugB72VvpfOBKdDYECFn3E4RUk3dXBgZ0uDSOlyIa7Z1crcwNv4p7
a+cB8p7QJ1y3b7DuL3muzo3Cl5vwnm76vmF7rm0MY2IZmp1rz8k+8YZf3ijCixgDlMFOZt16c+/d
uetDEGq5y9mZwEEC8bESfeLAQ0Hm1vO51syfsowg0/UBB+BwmEL1q9HWmihOuwjMYYbYnbgDzR2j
5tYjSICz21IQxI1sFeJjZVsnoDvbPF7ic+F+6WfBPjWnNDhH/bnAI3z+eLB80LBIswjFNO5+GT08
IutDHOcPoVrFH21PLqew+wui+vbYYMu4osQUV+6Jg40ywRo7e5c6bXVVi7e2MN1lN1ohyOUU7V3m
JOFNg2xuFyqKSGmv1gn8NWv4cJXXG9+2bqe0+zp1EfnwkVte1gP/jdMzwI5irFh6QWyH4925CQcL
e6BqOyhjYm62jhmze3uUWFEd+9S3iFggOcA6DWf5qTXh0dRLfa6WbDrFC5DUOvzUTXPySNNsoPNT
oGfSKv0mxev6aec5GdOR3X8nk7vZ4F0jc7DNBxA8LnKgOqaccMS1Ev67OwTuy1wZcXWXB9m0k3/r
oKiqE6r3wFbdXdFIRp5VI3c1fhXCO1uOoNlsNmlGdu/HJ6UC9+t6+Ds4ctI7VTPzcWu3uMYDbW43
onURFz5YfmtxjyB+n2ficam1bfXkG3EJu3g59mNz56WRu57yyHIp52/h1Offe+hZPsEkdtF7eyqg
/KzrL3HRlNfGw6NIRpo3RdFe9dOX2nXEqVofcNg5O6bJz9bixWdrlhJIATJRSuTqREF0TZU13Nl0
kAn5/DQZKiSKqeaSSg2inXS7s72SoJGknpc8ABgohmEbxL5/LjjiK8O2ImqP8MjqLrf8/CHO8ZKU
VoBeYv2ya7vwLo2+UIwNlzjR46XoHHj1dF1vBk3gb9fnMLtV8jjt/CW7KtAiP60UV+MtzZY9NEP0
STjSnrtUjp9cRIc+y1dYeGuq/Rxdsrina6swaCZ2F9yl64PFQaCJFgCIhrwMzVv4US1NQ8QfMxlD
rVfrHQ1dCIw6Gy6piR6jTI7ncUnGs7T0EZyaIoSPbFAu7VM1BQVbKQ9JkpeXZg0rM6MCWrr+UZgd
g13cAIqMolcH1/feddRMEh2wjnYikMT0Wjy6YMNul2XCMliWpzlSBjYnOFVWweXFT8b7MCmeOhq8
D8IlIDp2lzXbLIsOg9u8eV2S3TehDo9LZiPKS5IH3yTwwIM18dyyMb8LliXaLv1VV3ySfjX11wWo
TFyh1FJItRuASLlSTB/MiL6u99wdTTeJ6rgTn61+vGn95IRQZvopivQ1D0rwMjWQ3cTDox0E4rMA
YVe69pEzy/+m6ryW5DaabvtEiIApuNv23o0hqRsEKVLw3hae/qzC6PsV56aie6TgzPQAhazMvdee
XnZc0eQzuJZ5Yt31uE5eLqX/imxbnykD9V1igJcAjv+TrD/zQx+KYG0gZGYsiQnD4Yjmxnl9basU
JRxdhpVm1f5Bl20Kf+zuGYoKLTN/Y9oCncBUXHQ/2tkFx1y3CiHaO+NbqjE6ZJ4Pwd5Pyfkh9swq
wc8ldrdryiE4o9vHTuRxobV2YjxqtWSuPGV5/63s3PjIRVy+zQILAncw8LQCOKu06wfaGPu8LEXP
0cqJTWcTCaQGcSUAzNJZ3Na+Q3w0bkAlgq/Py2DlaxmVCin/etgtj73CMTkX4kjBBXQuqia9TMXA
DBBt+Rhov7S2tHYjOP61maMkZG4UXyaRjmzvkwuFjODZaciK+1gn4UX40z40ig8e5u7Po8Mo7QLe
Uu7DyAF432vfhUtEDIbXeeeh0a6r0v408Dcy10uf0iG+yPezfwbdHi6ix47aZhuLSxzRpp+d6eoS
1O1BO9+XjfuG4h7HmlX1F1tE2kaYnFi1UWtvcYzxzEGj4fRpj7aUUc8K+/N3MLvRaYZX8BIBgkM5
Q4G2cS7ebc9tN7aJinKgmwJjtpqvUrPAwNT+dVkIHyWWyo2QFybIiYOwewldVjD9IvI/K/YJDaX0
Le/5hNAXUpxVKUYDzeea8LxnEniMxbthz13jPf0cSWnU9da+cEV4bVX55gbZP8TDmqsQU/Fq+UCj
bMzvNDvJN57nU51QbDalQ3WPh9MlkNATaIeZi5lIQr21x+Wzalt93oYFR2uDo++5ZY+EP4/eUl13
+DO6BpAFO5OZAKJGECLWjdd9s2Wu43lja4F5OJ4hCWBrJ7BAIW/0RpwjV2drVFvJ8spXm2Qa92A0
ccfA/aE2H8bGP3k9xoLZjsbtgOGN/NeJcZqsGX+pt6bT/Ay9otwvp17d8WEt2wNtmgAo+KbpEv8S
GhxLFCfk61UUg4KsnfQcJxvJcEbV6ShHwysf3V8wRQIysrzs2GuZXE8CvHlaawfmu+j50NDDQ6KN
dDGhoK69uPWvUWz90VtaofR//DfNKO+hNpBPUk7noOVRMU0OsFNlfemCPgbF6mfXQuvODR67SHPR
RaJg6+gBU4gpUoqkNxWner027OrNaIKMUDP/PclshxMVlQcPcJTbRRa+HCaDeNNo8aXnKs06Fabu
0HbEuRIyL37T0SB7EeizubR/jebOayV9fhDfGwy+6B+4tYjcYKRbYAbYlhnydjMs6cuXvnvMopEs
yoiI4AJPSebRcqUnS/apeaTm08/8Qvp5eRU5Fq+wGKF0LIguCezzrJZYjZyaIbkbESD6mCBO0pcd
IucjIEzTq/TgToFMhyA7h/R6TKKlAZ2YRr0Xk4shyWgEIaG092efloqBOJ2GNqXFFLnaoRfUhP4I
pYijpv+kRpaH2kesTRcALAY+9AxB9n5559JzbaPEXfn4kY9xlhYH35TzAyjRxXfrBP+QyBnEsfhu
FR0EbkCe1u21UEuHQNTxyQLUpFttdVva75jszF0iWthTsZdcq8bWL7S73+CBs2sMfFJTl+KVIS2E
w0yZ+sxo8uwztJ30lik+S4RvORC8W75EQf6OjsKGDmsG+MJwPl9yzAYEW8Q712mbUxQHwUWQ63bQ
Q/GyaF0xvCar9Lwsdo/GNukNf8dG0bZAiuOHo/XVoTqQrlpdRJLC8levuqi5V9EcH5j/RRcvc6PL
8iqbo2wvHfPXpDnNsRfGO7Po6bZsPvShW9wMU7Arzcy/as3o8zgmt1e9M+hFrF2E/lDn2e5BCjn4
WRqeHkTaIthmNn3WE1NAKlQvRYpytlb7vVTts2yp5NXiVH5wzo3+KkTwOeK92cGGBokxNiNPbuPD
bOfwbDS5D0FoaPY654ZN7lb4wuOhxLTY5Zes9gVKDjt3jiZBmjgGvHOhFnu2yQKPk19JrqnhVSzO
ViAsyNHAsIgQPkZayw/ookXELA3gJelCOpeqcNcyH6hFxWBjGZMuSyBn/ZLKX7KhabfsG8sCDqM/
pj3Rtn5PrVfI50Qg7icZupypFOyia3a+mzqjUjnBHQYkW6TlfvkIfM8hD57pNmQmw3PIlyQrSUaN
Ruc+7EDPOy6m5bG921XlXtIwBD0V6yFcrCH0v7qHSwuRHdNtB/PMAx58DPskYn+PIiGYko1rkP+3
LFR77OHKLhQN6T9lG9ZkEf1vaYepR1U4vGqdKViZpyNGYBbL0957z1JWuNF42gS8STE8s1bBUhkj
kz/gV7+KYDrEdWxs2qxC1M09+e7acp3RB3x5+BA9oLkicsZi08Mu2AZaBzm76NwTAmL35Pqatcsn
cI18x5snpuRraaZ83xvaX3oT/SU0lOYdbjcGoNNHAbdma5oJs38zw+hqeg76CWAaXSXFs3Y58DjR
oD0HHmehg5hj7m39h52jlXDbMLpkgO/0xJHGBiU7P5pV2yeOplmBCTPfVn1lH6XSJCwLyjCyORmR
ATEhINLVmVojmuiyRhU0Bga0UebbWEcu0hKb/C4DgcUuFs+4c3cMvY0THEDztLxaFnT4a6FxOCGy
I57YaUKjTW6NyWzQH2RHJgIz71lGtygax5fu6cEu8ZjiVm5n7stRAZ9qN35mhoj3U9kA3e7kv83f
Ighhwedejt5BL44SAMd/D5cahR0QMVw6H0uhFGYF4Thp+bDDpjr3vT0dlhGRyDHZ1Q4mR8vchxhB
GDJ14YmHVHMWUU9UxhTcBnflSshd69Fr9FtcJP49bciTJM4ZdGoVmjs3dwjYVAOm0i7zA+51ptFD
rd2JZFphWY7e8hi4hxcVDMWKJgDf0rS7OYGrImXzO+5/gagnTDZj4A+2P1/naKbOVskdXNbpN+i2
6AgHGT+W0XBVBcDKflphULzlzkx/3X5zvQwPs666u2bv/bbr2bulObm6EEXlE/NeCyHJf/btOJ8S
G66I01I1YYwdHNc7N3jFYJlIUikTyvLN15TPSd4MZ2hP9Iw5CAQNlmh9Rl8f9/Vpaqzk1AFE8ySw
Sy9QJwhu1JXr0rONlYZkUTmlqcMEvasqIA7Ua8ti+fTwqZbogM/exotMIpMbI6BbSzZMnOtpvAlG
MrWdKNK3pQzd42B2v4bEyx9iUGNrX4tPGhNPW6shE/ZGfYTckD2bPPjltB0tjpFZVNkTqDtynqxq
1XRikv0zGWq6XIVzx7Xbr0zVh0j70Ll6xrf/rhw+eHnSsVABeBmT/DtdByrS6RzpM5VdJodvfU5M
ceRwYWTM80hnbF84dKqVbQU5D0JEwwUxiUwORQDZiJ4PH3bY5ucCuwPmirI9TjgFN50pQZs4kbkW
XdteXZBr1KdasMf3x9Cuacd3HZ1zPTuCe52PYjIm+62V5S8Jt/HgMXLbRymM7OX5bxoyOBgMXTa5
Xv5oxmnY2lrFaDlyYdBkOSwjkjruUzTd0PelT0P0f09x2hOkk6RPv69pTxWGsU2J9+Cf916T1RUf
foVYyUTYk0p9XiGHCO9I1LUbSe3ZeULP1sKyTilIwaRM0DYBtv9jYO/fVHURCobxZngs/OHP2Jvf
rNgLz71q5NtY6865wwSchtRJpwN/Wl4h3cnW+DV80trIMkLEtCwhddBZZZ0aoZ89WxwTK8G86xut
ju08Q20QlPWbRoNdFNrdeC57dyAFlvObGJJxFWtmdZ3B210Ntbh9sYu8ojjWaTidjcAcz2hnP/1h
dBy8U2O8DdSTdlmcpiEFTKMq26IADuAPNc1DH/SOoMqqBpktXp0I5InYxB5ShNLs1ch/TwHNxkuS
jruhm52bY/XRW9uDE9NFWu+7RseuqqGvNLKyPdTpwE2naEh9HmfxZnQ4QWBm4ziTQnAgjij7aLJo
OM9sfasZMzWoH+e4lNDLVVtlpEf70pnJUeO6mHvEvOvQI2KAFsMpJKPctsk3ykZONR327y81KHV8
u2lT5i2It+DvVTPAV04PTQBUzq+5R+jAAC3NLSbAGdEIBUJFJdJwDDKUVmVTA+KQpYuZxmd/gS8L
W2iT1WC+w85qP4vPgd2hiA35bI2JqVaVxl/ysDkgsw/HEd1bk3NY3HUeiU+DfCB5MnZhjVLObMqD
VcmeahLITuhaBEAPjJIi1/DWYc4sXG9MaOl+gvauTEnVqGpovJ0JF0cGGPk90FYns+KgtPWCcj4R
BSK+LrRkZnLcBnB5EpMt1lRFUj3GcMzr6NW7Nhgb2+3f0EJWr34ms1U6J6mEPElI47YNVc4i2/Td
QhSV5RphRlP1Iyk97VIb86kPmuqtMPEHTyrEKiv67hUY7tE3SRjqGhFdnVTo+0ZW1JdIVW6Sq3Bj
EEraC/8hhOnsB0qEoz5TfHczj5fEQMfS9Ym9z3qvJ0cRUx5WVOgTZcc+FncvsBYwe7TsgEgVkoZe
dG/V0KIiskxSLubGQNpEu9dsdFz7drJDZ9QrVSUQsGV4ntdMKuxAe+tD27tnZcQ2Z/L0XEaQbges
gGeT9aUL9HuSMEfjeyBoX5jsjp4yHAWa/41ZXffIEyhGKUrbN6z8Jem162xowt8Bz8R14+j6A0jy
uK1Q+ZiRbn6ETXgQrm48x3roX8wj93YMCKTTx/do9vYY2I1DP0B41vTAeTQ94HV7og6rCjFvZ3VI
SRkbCA7DX78JR/D6Zqu7DVXk046G7uprrgWWOSm2fWfWXMJ98cc2u9+0R1bLeISUKu/RIr7oYfFW
eFrIX8r/fdW2GtY7Zjv7MbN+W31Z8CQKjPuygKsCJ1oMRK/o0e9ZlsZ7XFnOq8L9zF+a5IS5td8c
E+8MpxLvI3ao1HSoe01XmwcE5u03owY/igr1oyvZhCDD3jQLqlZdtsjceveVdXSma2C8aU2qBwcq
84NEBUKRidSRmNnhTkfVh66Y1UE2/xp97VHq3u8pl+w86gdtLDL3+HNAjDYRRs9csyF/mBeN0YPl
03dECYqBpiJYxBmT4jqkzV0oCWevowmtQzgUGjOZOR/NzSJUQ7pUMHaQDeIK82MozGiX6qK/uQSQ
TRI1YKKkvIHRvyETheU9oWgv6TFwgi0I6uW7wv4jxGqQf+GU3bvgbNFF8/yvmhy9joZ23UdS5UBj
cGTefbMquzgafjRsaishYE0rSzZIKvMKJ/AGS7JDXpvtbrRxdJ+mjml5SOqd7qHWIxDnmo3m+OqY
oZ08MLprq9/N3DaPQn0zkN0csFwCPL0Oi3aCNjWMyDtrp/pZmdXvQfH8hBO9Wa6WrccAdqVhWvnZ
LzqKFiRpx5pO7LF38h8Gyt61nWvBDomU96TbkJ+zTvtZxcI5BTnHB5LLinctJyqhJe+uM0V0Kqh4
ADXilogHR5ycsSXhJqw/M5EG96RBb4+TU9sm7fDNDZgbS6MgNYAjyDpxke7GuoP9Q0bR+2TU8VOF
WEhc03dyIg9TxgdPxFkj9kBvEsCperh1TTIl8Lgy/S49EznUcibgqkTQ3md0JSJj/B4VOB0QXPcP
u26ZCdVzRZReB7m00/bLXmk7aDM8LTqKFDWAbhAUUUd29heJHHAM0gSydujygEYs/ZLR/KRVUr21
mGT/Gz3j4UcekSXgBhEeft2GpWk7e10isUNEN64BJ3+TSNdIhS4j70LCK11CUs0ICyN8IXAwqqVZ
opIijnEPwGe5lctKIyfbdo+RErpFUf9N3TwHAJIxxb78p+j04F435KcxlsrWAway3fK1igEhwg3z
alaec69wNCeoCxgnZP67y+yJorbMPxgAzevRydwfSf3p1U/ZP3gozT8jqy82elxVl2pKX4bU/sI0
76C1ys1PtMibuJuzUzbo6TlMtDtQ2fRgJqO86GoZojY/YLR+45tJfSVho2/SnLNfmMz5ntYaO7ra
0JzUdfc9z17QGq79sH0QMMpCsywky1qnGrzKXgCvVAgHCm0WJp3aNYvST5/HfDnJap+oT2bKK01J
jyBlZWjEfbXo/nTy0T2dLPrsu9DUcelRc97KyErf87AkJYqRAPw/LohxnmGO6Ib9GPTsB4Mj/YQH
yH4sSyLFtcj0/uA0oC4HYLgeLQi/y+JvPZBnfsM+hr9Ymfs+NqOz70pinucoWBVsA5THytzTg0tv
07g5Lk2dpHDzDgyie8iyxsEwNdXHyOsuQilJO0bwdSDbo6tKSchKDMXSujgI/oks880zQkvzvLzS
Rr3j0E43Lcn3dqM3QFR8XV6WhadmuJ6gTm+WYysDk39PsXDqtE3odZzEW4+G7kDRcp3IYbjSztPn
EB1VIJ7k2lr7pU81D0yCaQO/Sb8zAVYTqtHL+Ni5pnOPYJ9bNWUXFfVVScHBmVp/Z36Hu1ctaWL9
+wr413QualKfM2vA4ciUeI3aV/QoprLU3PUV/uiOG+3RGRYStpkUVchQZsf0aEDJ8XSHRO6bmR4z
4pGNVof2hf+Y3JdpE80uQX2l/xCOZJBTaqfBmeYLsLB/l+WtXv7djrI9V9iOgM6QAQCzVj71ieM5
bfPfTiPH8zC549noo+ngDtWhzkCOaC0HKNmabb5a3lfGGxKD9lR5esSAPBwS5rqg8HAftyvEJvHF
mYpcDTx4hLgzIY1Tme6K0DfIqO3c86AWVE7uObE4guYzzu4KlPDJMue7n6TmPUDxeQ9pHm8cB0Hi
HBrmPvOB7SyTMd1KrRsW9s7yJGP21kSgcXcqKW8Rjta6EJ9zAl6bz7g7gFv7xGhoH2CC2E9N0OXx
2aaceNNVXfo9d/Vgn7flz6wxEjDEYfWt8Jn8dpUnLoXAoxKPIdJmW5Z70TIcXuYQy5ynFc2T86dF
Nl/NyCEal7TC8dSiuemQHwQg8BURNCZUXKpJvq6WpfsfB4W7l1OMOa9IUIz8b2mGABGdJKRcgMPd
LQOG0UZdG5hUyswdzDc0IdpZLsI4pyi/p0UU7ItFhdCZYbUVFbG0fTHBcgarjWNFPy1LiSjw1JvF
HqU0U8WuIFFxZAgj9MuyTKLXL52SgpoTzRyruYJML27CINPAdBIPaSZvs0qIVTciDPWtTpgrsl/w
fHG5+kPtHb2EPvH/tUWXV1hGkEfAUITv+v/duj2qzTUzWlTUaoaxqI6WJZHpP2EVCsTWWfrymZAd
TIsbbB7JnM68/udI6JdHU/kN/dVnqNEejkl7ALzovLRWGw7VoP6+dSdp/+qckjBtb5YC8L96MEpI
3IlKAwwtj6LMwu4ISWDeNo34FUR2fFuEBabm/PJ0WMQQ9U99QXBG4xcmucwURZ5C9S116cApbGXB
ujraY1NtYgP0QJfb0X7Sk+gUjr51SAPXQh7VwQhzOrELxwIFmwd/KJ5sfSMacz7SEnnSU+puWu8k
O0QI4TropXtzbPB9mocTb4+yq/+d0TuuMFW8SJBw8H42mL/4AB/tRAKTDP4pBVwPpDfRB8yaiXuE
Dj9P4OWBE1eYkdB7hJvItT5mvTd/LS9SLNBZERAz6iV8aMxax800hEByNLPklBcSpjWOkw3h7kLL
2ZmY0QmyTVVVKRhJ6pZPxE5KjEtdyBDvjtscJkeemBanhKvaeFc99unMkxC6lCIExkS0kQBgVPCw
9+pyd0sblhQtV8YbJ63C/dfR3TJ0WA6q5V8Ec3EqUX2hMOrHS6JkA8uCF5Ju9iTh8flPo3AGUBMj
f6SO8hbfqtLl+Bx+M55QWsU9lKKhw0bFmVJ9m2yqdaZFiXY1Cm18t6JmJyGgKtfXYq0SHUbJilZw
h+947dlQyFdtbrnnZ5LM6XG5cZZ7pmiYXTuECZH7VIVnWy3Lq7EOw3NISDbkCjTw/tiEaz1348Nc
+zr+raS6GomLG8+K5Kks/14EjBObcwJLns6g/CulUbCGLixXvoDKF0eOjwaEZQqhlIoq9TflVLS7
0hvIAwT9RJB34L17U/pxPda+nbyWBRgEWmPI/1nQDBuzZOZMT3uuT9YsDo1Sci8L6N/unLr+rQo4
aazTVhRn0JPDTf7fkhnZeQz7jdZFf6OvyDk28vPcgxYOLck5GltQY99FmWsnf6B7kdJJvaS0kQgt
htUJ3nidoMRAa0SXallMmHqEZ6JOzgg3WOk6ucR9pE8PsBf+tS7T3/SvnUNr18ETH55GFrg4POu6
Qp2JH+Y69rZ1TUORH3M0aMelH022tuEHV7OGH1l7KaJ3TDTQCAkodOYW0GhSY3wLhLm3xmlSMnr6
30vzQg0s0tqTh1Cvi52NUYTZVlT4p9ZaESODx1cpc2KD7a+viWQsQcpuXQzAX+0HjAacYvi9hRKs
L4tOj3L6TaGmvzVzTQZF2oibrIbsUAYk5o6ee+Hr+rXp6I9pxUfNNX4M+vrCMCG6JOoGWJZAvQVx
CLDaiwckxPAHx1IbD2MxZ1COLLUN2H9bof2oBJgSH1D0e6WVt9oaq5frKtoy8gXku4qEFznGtqEr
pznSPZWchlbJ0vXTBPgIK7IOlW79HGvNfnoIz6+pn1yWdyk/2Vk3wn8Kg9TmPgN+bNqd9VGnOW9d
39q7FnYZ5g+56g8v4souhWsf9TuJLJMPUU6/puom+RZVo86C3hvjHuPo9uwV8FB2QpZ0oOORx5ne
7CeGQ++FHpyKRLj35V1dE5UNeAbznONul79lhzLt0c0D3W5D7q0Cl8IE/MVdN0kYn/ATI6FStSsc
GHlkCz1EyMf3QVOS3dZKuZrwuxLzhWrYGiMFZiNDRDTohwL1NSlNb7dUGEvNAeeKUSF68zCxp7PH
c+aQuT67jWQbhqrk7jQxADGawGzxH2irjzDIcyLQtvh6mJ/QySBjQwRPTgEYW2V3n4wRQmdpedi7
hvi3F2LgVPcBBM6DnTkp/2JlrTWQxwVnBlJXeEX4G3p8I7TfNLt8AXsLflioL/iou5WBK/OxLLRl
faxI4UfvxYdmae5rPnAlT2AUFc0NrHRe1P9oJUC9RV3WaX/lZqe9UJSooOwgf7N883vhIqEi4AH2
UoPlGo88kcPezGSw0mBFlsNkbXSvDk+0z6LrjLhpG5V/5qR3zjBswtdYwngW6dD8bEv3OWTppw2z
+ZDKeXrBVAs5JKnHpJICwVNpdmNFlZtxzdqc+5+cpe0DSS73zi6KQ5QEPigxS37XnXxTWv/gn3B+
DHgfd042GIfEyk+CRKsntua/RdgVR04y81nr9fShKxdenjtkxSBefixfI/XnPFF0HMrCZ+wR2bBE
pxbtvxbqmz4lsSirmoAEv6C5lLH7R58hiqk2IQHGAVMlshw7GOZkMdTO1WTecoUPCJCwM6edW7fV
hbN3dZlniWrSH2BWRUwLSH8MOeE37TX33tIa70Wv1MIxbOGqkhbVdUi0UwCK/z/zXG2KeFWWPFq3
XL/1ca7lNRCpfESFSRkycFkieU1PtWt6qKlnjaQx0or/G7p7kSc2nTHAdzVafO+xvCxbreEE6QV7
3gXReb+J267ZLl9P+zW2Gv3ap5YyoubaOpDUB5THwTqPSWZ2UGydkWVn2NpNggzU349I7YFhLtM0
NZQsUoMnQy//oOe9fgkislZNEQrgBXRfuw3h4xkWaFr+JUOF1EHOjRfK2LY0t1fLgCn9kmizn+iQ
xde+m6FlU0fD5ZCY6+OLGbax00b/wfix3DtD6VewHWWz/kIYeLKpdstoIFYDhahVFAotV9Z64lsi
rmA8Yq3iTmnuAXgHSlcOQrs5LrJD7vDgrZX9XreAmwlATKQt87YfCAgeeyjHUdJJvHWxxBmaMcKF
kVEktF07pm2Ecvn8HGbNZCmqs5xIUfIYcRR5F44/zoWkQdek/62WxetQdkx5ZjN5hjn/I31gmm1W
jPQlw3SOubd7N7R6uMp4NnZuB3gHGkjtrmMtzfZF1X3mPZ0XX0Pz08w4DIZRtylY2Z6K0YbRXbC7
QrUzxRFnzTEv6ZGB4vwIW3A6sWJ/Oq6TfaRI5hn+lKhW6XJtETokm8FL5VnEvTy7UUeEqwWvRCpt
TKRUMlkQi1PTZj/8NNB3yxkvCMC4A6xTKR/7EZ3DNBnFWzxUxRuaceigKq6n60zzjTjBYeMlerxt
+/qP1g/iNeiJTp4v3VGJ4eUldWZcJpxzw4yPwFdPpdXFMCX735ijnHhvKJ51heup1rsaxpH/xzC4
JGylIlmW3Hlm8FROnm6iXsYWBH/I1QaEANRoWd9rJzMv7vbSQYfGFO6TrNhNjdQ/m8R/oGzJjiUX
1NMV/p8GHfNOV4QWj5vsWACJTEONaVPOM/GrzW5wpkcnR6RKezOXRwpCAQRZI4+oKsO1MOMFX2va
pRkMc2NhLtjVWpZ95m2AUAVwVs6e9whJxSPa87P3mNpao4fgVC0iE8OpxjVXmVTVgWFihEJR+4h9
mqGOWf9k40pORRt8EJuuHaWSJHJyZXHNYzdk8jwG8gPN8rD3kwp9Y6D1Z8ptQhsSXB2LV2dQYsI8
SP52ov6t5PRxHgr3AmgcVKhV3SpVWyJsYuOugKmhsP07J+rtknR1czZwTeN2E98ZeKNrHEifK/Cb
jQSsnCPiiRAytOXemJE/lpGD8BzL09GEp3Ft8Oh0dU9yBPE0a9Mc/C1IDeT8OVAeAB59ce7H0iJI
Rf4TlDKwt8RuBGBYqeKQCCWAIYSxd4RrQoOObHorCZo00eab3EHq0+i4Giq1FHXFCYomNISP1kIf
p0wP2IiJoEN5TF6yLU52XTLqNfQBwTGYdWw/9olWt33inGVt8wp+sLEcmtwE0tbg/UHOa54yBA2n
5ZXBAfkoF+rN5LyG1mp2DDtJS2nSYcPMV6fbguJ+9p0npvE/RoOFtQbfR249uZFRBwenQhVgt9aD
mEBTRSSUu0XisyzMRgnhToikp9W2TjJJsHhcDSaCP42sOVgeUPoi89rt8pkkUMv+tdioqVhTEnYY
+ZMm9OCkg44VpR/XcxveAifhvGP12YGT3iERnfsMRmkf6SI3VBm7oSKwua2cD590F+YwcU1UdaOD
S0ddSWRD29q/wC1W+xF63bDSXflBngVzbaXDxFBWnb9eBbvOqq2Lrga4Ui2+n2AxQxK6hvxROVsr
m6DjGfwc/KSUySh4Vj6DmR2k4RDVSMl2og3eJ32Cg9ExcgKLYjxp7qVbx7H/YcoKaV0N73wxpvfa
s49eFT5qbexvuXqY6xEOPNHo3KG5v2UKx/bXe+3ebeicf7XSraqZjjRIczBH094lwPfDd1cV2QwV
9G2tJ2fQdceXr5Y2sU/xDNcldM616cb3YYQ3GUnmkDnHq8t/S+T0uGEb4m4CNxfn/5YMxdSqDpHj
aP6cX5dlwLR/ieJ6usPFUnj7EGdgYj2FxyWh4cNrJ2RpjepFDjTDT2igHlOEQNw3de2FcpAuSMCs
DhfKtVu6ParH06pFa7PfGqL2I/qj4tU4AEIH1yG0GhfW2aI0Z+Iu5LFHI7788FWQ9gyTWZJZzjs9
N/5Es485iUHtmexJmzR0LHEG9o0LoZE6TQsc+a9uSBHmt3nBVY9VzcdUtR3rtmFU7bbPvrMuaWen
EN0c//BVeuswnC8d4Q48s+bzQgWJSNk9yCw6Mfbi6a0e4XaB8wegPzdL3GnHMregrTMr5TjKWxzH
3Wk2ejhyeWsfSjOe7wsVwBDDCwOONibtNbHEpyNn4/Tf0rWeccoTNUp0i6uG/B/NgzF+gCsjpnYY
PnHXE0RZ69+R4o4I3r3sEoMFuDVGOzAbrf4wCsIVG4iGWZ4X7AaGfz8kh0UIze4Jv2W24fKjP6sy
slI0vR/GX4GyMC+L00vviKUbKnA8g9wEE7ZHlr/SM0H3bRjqz7ouLhHKux3xJkzZRR8T2JdYbyNn
VIqURH5Hjb4yZ7hDWYcS3m791FtpSRXfxipa0wndR7HrnFNoO3fdyhDMqFfMDleMMwOX7dTQ9qky
02ZapZ2MfPKQH4Z9vjYS5jKLatAofWZpqSyiK8DUPPZalILUARBAXxYKw10VYljSDe9hE+VJwVli
QOTyhjIuZ7nxmf5ixrGjm6eW5ZVRvrdtiJnA96/snxwapN09Sn6OA8UibJ0CXkVvDojW0vG0vCtS
07wyQ8LVFGknZ/EpqwU3PiomCnvCgoLfI46wd2ULe4d45IQoh7Qosk6W1hXvQ0c8k9fbn0SqPODL
cmcX5U0S74j1y543sW5UdxKAlB0jjPvmVhYkq1Hh0ok6MgFJD45V09UqRqyPJTPNRWrpLrCelPaE
YCzTKOgumTv9EyckYNCkgtzmIPBMh6QiVwDNoHIfL8tEAHQ6QLUxS33cujWE5zXNcWvFH4EQh2yG
EQ8c6ZvfoqT14lm7/jsoc6ImYqeCIk/3u3m20Qgix8pJX+v8j1IT5UsXpJMSCoC9DLsnUTv0ssIg
PAwt12ETovG326ImahCITGAKWiKFLQ95Uvx0yBr6KZqjHKt0P5qkr3Dgi3kguf6hcQReZlr2iK/4
Sx8aIW+ZJMis760b0cLuqqeZscNjwZbt5HV2mMwy54jrkhPCpPLXIHFLUzsgKVOdnaQ3wUUxJ+OG
R/EVIgZDboCEXWpud8wMal01O6sN8HzS6R5eXf39daRlEgME2jAfiyB6EHEBnqjPr10zmaR6pjzg
NZsUgDQs7p5aSl23rm3+e+7QnxZljlavwvoOcil/NkRPnEERqJFCHtmQCgr8O5xD5Y1J4HSbmjak
LMFXjHiB5xAcrmhTuzjZvXai+yBT0nZCYP4EDZKlJQjLqfLZQvURn2d14kvYZbTUm45jWv/b/bZD
Q5yl/9tQ5wBLLZ4yPk8+UWairsJtp5FjvRrZCS7/UzeMPyoNGfJ/IodF3/DVKG0ddNddKVuSb4Ct
X/8fYee1HDeybdsvQgRMwr2W91U0IkW9IGRa8N7n19+RoG5rn7sjzn3JKLKlFlkFJFauNeeYGtQX
XKjyFeoX90BnC7JHef4sC8OqjpYH59utF3e0iWnNX4AB5pdYk1/yfuj3VgXHorQZ2NzNzh6UQKl9
6aUZn9mmCQs0De1sT9UrYKM/cs7F2iAHDIiABZFyCSOMX2VMdzIZvkMpmIhz5gPOwCjccqXK7CTF
LNGbyHVzSWnVRcaPviu+/ZbExeQKqLQsSY6TzPXPYcBT8u/StFCJHc5GKdK1RRoSjRykvAhvRo6M
lsiiAtyD5xsvNAZQ3XBF5w5Eo8lBI4NdxJiaE9Ty515N4ZaF6zS7tE1yo0xxHrYakGqRkz4m4MEZ
GZFOIPwdCaPDrZhJKKNZ7fKUy+rjMhyehPZmUSfCFDPuPdX6bUDI7i0qZzcpaFqHJVEqyj+Awdw4
hpzehUKCNZpIz45WqGi8KHsDajrtI2VKLTVNXJzEQc7qOmSzgoSq0VZvSIOnexSX4/sI4PnznMvn
0++56B6x2YuVPxP54uvTlxoEy06MQ3ZOFJMEnUqMd6lomJwGxAIMGQEYk+MdAMX98c2MdBSOgKgg
P+IeFArEEzbxiAGVsh+TGG3irAlfOE0fZ0+gq7MmjOYDOfZ5rf0K06Q4GQ5Ui4rKywkhVrP9VifA
gIMY8BqDkvKj/FZqhOHNqNGpjQw44+m+cw1ocBm9ZyRoCCcn7KqD38JqhP7WM0F9se2pg3YYXkVc
bzHKJddUy8c7P8B4lxi0d52G/2P53oQO5lPORyMIrf+//IpFi46ChpQa5bPk6ielRp3ZUjraN44G
7a2RV5I6sF9aGYVoWg4fRkuMJoXieK7xvp9HVADTYNxTA/ZQhD3yFjRptdfzuL720rmXwk9feerT
05QxI42EMp+Ei/zWk8uzphIBv5tAbVjFfU7odz9366Y265chl7+ETgQb3SSkdmo46U3xDeei/tRz
OtsWuQFw3sX1btojcbr+pF2MCoPoImu0qoTC1hvJ77X4zOIhPRthtjNjNJm26zJfQL9NXZJD/hn9
dxK55LZX2YR/j39gi7DuJBjUBh/jXKUQ3yRUq3RkoEO+coRBSNnVZe1spN4NNxzrZKhnAgR9PEFc
XM5C9YBpLfeSkIg9AIciz3YNEQVni77gujfzehsqv96yZJXfXBw9+Al7ytrXXZzc7EwZVmuSXGQI
2NIGUuRj/H9aliyxj8nQT+dNngITY6saSP4JVyicEUEzdTxzlvTOJaXZNjHxXiYT0r96bNH/qVfL
4ikKlbTIhTOUmN5Si891ckjT1EWYVhBeEVQ8c21E6MfPbw7W9FkMLWVQHGbTeVDtKjVVn40Ijxgk
ps9XDHzI2ubjhwnPD6AGnn8dGNJvxcpL3Ey+eQWj7OXX0FuSEAc7uCyIOBxYxMWhPDgsT67My+qV
OQYYQ9Mp4UOxzl0RjLdlEdWgH1EQPMd+Qfa6ERKSicj3siz6RPN7SLlw1KQOvUh4dtSsSqil8Qg9
Tc1DqIbGftjqJ88FWbRykY5s6B/hfxtCeZ4622Wm3cwbiykrP8gwo5pAq+lUXgKWoWFjY+fDfQSY
CQMNjbhjUrsbf56is6sW0GQ491sikOAuxq8WWYUo3FvE2LZ6iZLHUANlk7gdZCkEDZknJNgmxDIG
z8R6vMSODrlZlGgY/v2Pyyu3c/LdZxkbTeaBv9Uh0cHIOWHaOPttek+7ptvT8aDNNU4iO9PRdFdi
DPKNpWxstlpGle+e17SkRYVaoqumKxekPA5wS26phdMlV7GwZliDebUi2A41RliH/tkXxg5k9SIp
egFITxJ1w+xfun6//Rz754F2NjhdKiFAZInvyJGanYm1md+fhcRt7H1DmO6cIvqZjMYUYEJGDp2A
ucNAQLLcMrF2oCRjisoRU8kpfR+HmFOy8hAXFMR2AhyAuDm8xYTsnD8f6lMcEQyKWXxZMgw1l0g5
xmt4Z/tyjp/kHnkfljGt6uWZGGYJrSp8crUq3i9uRleRpZZXi8NRG52UKGz0ipEFUR+E8edCBjDd
5S5AC8Cvaln6nwVtAjBdabwqk+Hn8215yC2PO002BFKgyjUIQ7pMSdOeSu7W5atYIRVkaMJrpQBM
VWdlUfIUElOKg7LIrurxsKizdZukJKo85/cEcONA5hbBeCY96Zn6/AEKYKBL3s330L8jFKvXxEyk
W2Ek0WWwyTtf2fCyThA9Vv+PIKKeLS4RBlubv3PSulQRSpHzbQB6ePTt+T1auhINfccdbmOxN+Eh
b2sHPPToWtbDihPxgAQcMUIp6Wi60KOZAB47pAn03A25q/jIhXI7kW1Wfi6DsjyhBajOXLDsoNSy
G/jG82VZmkbKw9Q1N/athJ5WxyOwdM95GTMzoTuzWb4c617b6py8V57AB2kdU4OHRNnnBFVSj5cn
DSWYAn9WK5FU3Rl1KHcKoKWTmYDUCgEuIS9nhWv7g3pes2yUMOOY0tRkMZTpqTQi1a1sw+c2bhUk
bbyGXjzBwZqrnZwRONZkC+0SRsGvg2gc6qQoPw02DX9E9NZqVncnYSfY2SJ1t7JX9xtPUrb87fEv
r/QGQZmc8RR95JnDKMxKpzMPt+k8KtWSYxfGEXM09gsi/VKtvSfADpBZ5Nj8MSM+tRhE9iBUJiZp
tWJHgRdq4AjilsF+xvt1WL4KXetpCiuLsW0irr2aMUeV1Z4hFG4WG1op5j+uNMKg7+y2HRpp61sY
PodxBZjZpx94IOoe5R7csk2TeuZ+aAfcx94J7b3zXCf0A7Os/Mkju97UVfItLXnjN2XNDMzy2Fwp
5PrnukSUMb/ADBiuWWxNL+WQ6OuCltGBMN96pxnI27Dy1w/DcAmuZL+EXhXk15z+6TLoWEYeUjVN
/ASjBK4XMw5KcJPoZmb3regZgAhpbAICPAXe2TE3xnIPrlAcgT+RvEZPX6qjvTrEnLDuEHrbs4Pm
AehxRbbO1FOXAG3Ca+a43i0ank5E84WI3tDlxCXNut2FrdmRkwMPCvagtiv62bigg4kO83vfTd3W
5dB799Vi0KnDtG0n29YNHjwvk/eiqadD6UHVqeJoF/m2vI9B24BPZPgGOTi606FhqVSOn0risP32
ToA8ZEJ42DzcQES4PKJuPoNdYpvbL5WtGfy/eztYyWwilSU5Z06FiR6C8baqhLyQymafDfN9TJkF
G+oyWFQGi95gavvfRJLXR013CChhgEkGGTxnmJDONR0R5rjGbsB2yySke21nt3j2oxjQZ6TjzWi7
E0El8OOpBQH2EYbju5r9OVtZBixDSeZn4eAbZgoA91DtdAutbimrck79nIbx5ZGC9mfpLKs/TATa
MAiBB1IxvAqIZMJnVOFhIGmw0HysMEbAQYsDtnG3NSaaevKlHBrxgZbeXY2cFm/oWrtDN6A1iYnj
Zs5oOb/6+AM4+qs0lA8dHfTDNSCxpSVyn1nZpbncNEw2iJ6jGuN0Mps/0X7q+6oOS/h0Ur/7jSCO
jEJ6vXSakP3Fnz2nzA6rVezaRAtOzT6JRHaS0o9RxDhsTgI/K9hnhYhbxFyubhco9eSrrn755Q2p
lKazACh0mudjKz14QSKF1kb0Gab3hTsHrrQ+92m1S93u/lm4AbBIdnBR6E67IRIlZnJIYxWadFlE
Tw6nCKeCgVZdH0ghdXaMHp7Ab0xHXAjA+AjwIe/K/RYxN7/TyK23VG76wRC0tZpUUidCOCGsk8n7
epnzhWWN0qb29kan/Y5j1OtD4DdP9kz24ZDr08aGqhs6Rv8eUI4sJLtMdeCWV7lqw9UET58qZqKc
VofDAqkwI5Jpx2AEkqSqI26OXR2P2Xk5uCxHGEaf9rEhnzYbXTqRkWZQ5HqatYo0GsSpzpGTblOx
Ah5grKuOMcocdwiDpkGMSB5dVPEGDek2fMphKzxch8KfPqtLRRnZp0hK+0Qj11XSNJhmMsDTDGvF
yu35lb3t7IFAWXNe9l7mSCRPWjtugBh4LyHtA7yPrru2lX96ASMtS+x+xGHMZC8d3uEAewco16Tz
sWMONyc/lqVq5Kfio/ZwFSyD+5ATPnEMbbYKnQTwbRNte03G2xgw3VvlOB921spt4hr8HkU6ftLE
mFx5FzVNshqkYq0nEbPRPT5M1OuOGLT7soiKwCC/qZMd7k13M1qCS1xA84O7iLR+NKFiMHO7Lq/K
tIb5N5Kxrhk8TaQrj1ifoL/1ejHSTCcJUYPHt+9J+/Raxlx6l1d3XfcfXUK+Oq0o/fO52VQFBtlQ
yp0jPHOru1iwSJ0ZH2/jGKDRKcfqNC3gycpqPtTI4yZHw7gN3eBvqnFlQydbu6oBiQ+7ZV9FvLrg
mZbFm/rxwPkpWmlEkVfkg+8+n/eRk5/+d362Q7rNf9GzbVNg/7BNgyMDCTz/Sc9OLPS+42z427ng
QExWTXbHpf+aB3LusTUj7VuQ5MuwlFQN9CfoSzi0eCfKaXvrm/WvHBbOydezjqdd9GwiBrlNBszM
UThcww6KeZ8t/Nq25m3uPRs1WFGd+h4DHvlkqT8a68WJODfYEZmOMDRyIUIjxCzPy6IBYd+4JflW
S/iFbHMD1jK7qnEbi2C4LiEdTIdaajgSLhYWQUvZwjCKRNyCoPWdVepfWzVOlGCDTi7syT0BeqD9
G/ehiyMJXPoJqjNOyynWGP+zRZpj/d3k1EtHzXEuNf7bEx8VGfal2PChZ9tCH/LjckMYxsv//qnY
/8U0R9vlWpzuhWELl8/nf34q0huEZgKJ3loVYvXMHbYo/jtm7SxFPdoqcSzZAGT48z0DMii3zhic
lj/it1F/V38rywDV5WkYr7tWs1+zroVnOkzZblBfdmwzh2QgOnD5r5Y7epcwz8KVrixeYtb0K2z7
59hi/rpZlMUhsZ+bHr0SdHT1zSXIZPkmkvl/v4k1bWXaoBmtoOGG46yNKLtqn5a5/N/vLZtrp3bY
5XtWMzQ4zxndL3/4759bvrf84eV7ke5Un5FanzlSj3JJ1PrP3BFBJs3/uAvIqTEdYVnM0HSUxio4
6j/vgjDoUHg3dbavaJOMFPQHFzjDuseF2s9V+8iE/qsIm9fOIeLuk5oqkZBsIi+D5VnXZ7xQ86kt
QeL2g8MOPyAFy3RFQafOjFKxHicUBR2dhZ3NPr7qRAFEJqKQJ13PIYLCGnHgQ/uEWcDuTpsek1Y8
FRvNw53CjJjOfThkpzQ5lKqQTn2dLLaI4MoB8uBpclVOICcQBnzt1tcBBvhQR/8/m4XJvvVfbxQB
lpZBE9c3dM801XbyH7B9YcY9ZbQV7jW4xvtU/dbL4tWcPSJbC0kq5M5MpgldEVyxyMM6beFoWlxs
evAetyO8B2VxskIwFJ5JJEpgNlDCYnSJcUu0+mzJh4GyCvQyrM9eR8vuZvXVmfFdF3n0U6qNokHM
cRy96U8DizfuHymprf5i1kbaOavGoY/acvqeGjhUji3zYyGyn7Ts52dTj4nsxZR54baIgD4Mzz5X
AixPoT1HmGiAbi6thVBbwvTK01JKFWr+a8U5jJtIB/BEcuGpB7llonKYVlW1qHqsr2UuOK22PYzU
3jaZ3SuUHCgQf6PP9N3GoJtueXmiUwXTZ2YOiJ7II/pifo/DKLs3vQtYFSrplmJK0jQua8hkzINT
GOQLElEPC1z6WMpWutrUqPyLY+yQSq8qVhhA7tYbYxJUYpPgQLWEwAKAyNlspKSsFIQNl/2+8cFm
OLl0TokDUiZMnX6De7cCfbcdpO7iUsakaGiOuBuekd4Gaj6useFObyZG2p6ZB/7R4S5xZR493fhN
HGa053bQUHbH892kBFlsIjGgHeBe+rTPa9p4dF3HfYVvjXl0XEENRJJX2ewhfg4OuFa8NbeItR3Y
r3RlOYCbe5kBFex1/wgleo9iMTx3XbRJVO/XUqL8ODX2HqSb/VQH004WQ3M1fCJsDWO+1W6d74vo
R6GRnmuXdnuH0pKsAjou9za6Eka0tpK2/wfY40+rUDlmQF6PFqm4dwhOTMaRxbbCANhrGfUjIGSa
8//7XOnJ3lPtVVhjdGoro/bXQ2p+L8uyA36DoKCqAQBXKWkefcOElvR3/VRWnf0clnIZpwfAJ7Vr
xOeFdL4u7xDc7jbw7KNjtdqlR/h2Sfwxow/CqSCa0Psn+UgyyhhBQR/Rzs9dS7MaHwLjooCT3KgX
cj8aDQy3lFFFG8ZMAe2eQPNufOkjJdwI3DdkErvaLcIL/SrJYIMbwGdfWpIsNF/MG0pJY6MrskbT
kp/bV+UvmdNq9f4vzSj9/VnhQH6Euh3N5GsUU4PeL2Zyx9TIc8hmQSowHeapPTUK67Usi7oEs/6H
L4Wzc6YsudSWzx1tOqtAOQWtu8Fn8xh5+pH/9NbUwW+myg+ncSRjmYqmjcPbEE3xq+NjStYKz1zb
XWjtPX71FY/HHJB49pEqGVCObmovDZ+cOwu27cKc6hxyTmKsqFu0myVRLUCzUYEnK8aU4ubQ39gR
taUhaWSi3lr1ZSkwlsV1hulYMvaBGBac/i41FJaoLOfD0iDM3HTYG2inTSXPIMkFZ11CX15zPhTw
r6e70WVmfYdLMW3CuJn3Bn3ldYAzYY1xIdoNqhce9OCo3Uj5gO2WPB4zj8H1CwxBp2j8Naal+SyG
13JAlw1/zbwSpPsiyDZaIe2quXoYwELMzDb+SEgMmpKbWwbD82AA+UGxeOVhz1Ji4xtzqyPPIhHk
hGi/u4YYpL9LHRlfSt2ad85g4B/8d0Edb0FJ9ApcX0FlbaXnfSQ6/veDLzR/45lwUbChkWSTNqN1
0BlGS2bBaPUnL0PgDeb2LYnafmciujsti7R5GIwJx6Wpwo4dKylS7LkExSc6s+8WT3bDtsJRHwSc
+nKQZIQJXKkb4AVFiRtrwqhbzugOY+8+E9CNpaS+lG3pr1paEYfeCbxnSS7AnOQ+WJDkzK5EW15J
Y5jNW2eFPyyA/h5bMCmc1azh1KtXtYe+Cpv/QUdTwhYMOhxb/y1Kovdc+P1+UNwnoZAGPcNajq3m
x9j7byKHSFVFdLERbOaXhO7sHpqJ/trH1ZOVzFt71n5Es15vg/k19MN+H5L0hc4gPtv2bB1N9u9G
Cdk0Rbonl3rkOj/7BmkMSVQJmjYy2BiY+qAqTV3Mg44UZgI1YtrGMt41KofHcA1iMpDcOLgYM6jU
VTNfXPYIUKrt9S9LLdMF0h2j2MtoXwXjaxMLzDwtj/VB15qj15jGhSgV9JYptqdiNL5mRvBzZuCH
g4BYJq2wElT8NMy0zLsSPj0TXT0CpWhEdy5LsIU6G/i20Fpv1YEXlXKEy8/GS15aA9G1cO9dk3QP
p+8RDDiHLI5AkoNq3sUMtR6Ao7EQIEzbQHwcmV5mHu7K2H7qBVZbRxhnUUPw7wzc0GHxgXZuTtek
r7wtA/VGjMluma/bff1eRciFZFoQc8mbtaEn+2dSZXYxmzDz1aokIbk3PsLS+FYXhAYwt7h0OX1I
P5V7TNEbgg2i43LAnqoOXHjIDauH/iOQtEsBbQG/azDddEaOW2lkEyGVa73sN8sypN1bYPlVsCnL
18V2SFa1uytL4yeCNffo5O0eZ/R8r4vcusSZoIwne555Eg4MLwZkMAcTYMSRiJAaRt0af/FETCbE
S+aGzomaKt7YmpPtx9acIZfY2VkAuveJPryPsYBqz4BxFyoo1GiozrmOH6NrobElppV8Qh4rlbQV
JtnRVnpOifRhPapH9IKhpi04MS323uMChftiM8tck6KUvZwaq/P2ku1kPYR1o/J9s2PAjMsO2/wx
z3j0dBOW2yizH3WHbXFBdPk01OsJoaI1R/bDG91fbcekrjbnb75u3RL829B9hhOxJdwIQ/oAPx4c
iiGEOJvJHZ2s6lAyKFgnAMafyjySp7Qr7vkkp6M0zfA8qSXieG7qsrgslmy99p4d3zH2BrmRR2yB
m7940XaofwLOxsXs4rJoUujjkwol7MkY4YgUrMh05h5VwYklYIddOXrfHCcloF21n2qzQJRgbFxc
t35nXGn1NTeJuWBTZtgKFs13Dq/vwNhD8e33woeXUvVpAgMSKXdfUFdayajhlQUvspycvQwwWEos
/TL6sfT4V0OzeBd2iAv6GlNlYyeEIdr209BTGtmwuHeIgKO1puFe9GQZXjx93uekFrxrlovUPC7T
L21U/ALlSXYSWShN4QZ4ikhMxqbHaERpiCoHYymqsvecNjIB0uFJs+fxaKKEwGcBGICy3d04k6U/
zYGhbei27+M2UjAzYr9WHv6N3O3yJy2DpZSHE4KrMj0sOC+0GiAkTXOFZzNGgT/qN6F/4M9gXmKW
NkLCWwJ5QmmcWyQ/OEKIpAVa7Zy0gcxth5nyugoMRp1MCw4p7Z6dDR6VLMJ4oHvHmKi1SWAChaHY
EYzcsyr8qaFuWjdU5lRISIxSB9C6qHWcRKSjZIlnv8VG8BzlwbFVk+m4kLJhIG1d/SJMD35YfEV6
bO0ScjP3lSVfAKcQD5BE9npiypXVtO9bxTgqHGs3+xxWFpqhXnq6ohlJABF5CgCH60ZAlQYrYO8q
Nd5gtgnrvtC+W2CA0ITOB91J7UvuNA87t82DrtquIxL0k4s3UZjGMJFj/tXijt35jf1jCX7UOwSX
MWhQTcWupCpqAeFvyKmjTVYcDDPAX82TpAl36ZI8QRZJ4NtUT/Z+mPW9b0/eNSktSLm0Z7bI2pdw
vxbcy2imEOPIgNpkpPD0Q/EbSlwKQvcpcof4a1v3J+aK8VZLxXDoW1Lhi1yCZJkcnUdaEe/s2dyU
bm/QWUB2abf9NqgMY5/3+ZkdzL2Ksv6HOQxHFnQZ67zBIJMP4ndSWOJSDyndDHN4wc5Nv44jzrYe
K+uLh2xt5nR4EbmvbxOr/xlPWrg2oNPxtAInapY0V7HT7dpSL6+hzQPT1KDSxKF/KBXiqdRD/AAT
DFcfZhU6wXid0wA4F/OYbKysLy4WeH00o3AklgWf4qaPDMFNwBw4S8lYUlRVEEa4oYa+XeFXlBCC
yrvloMUKbDIbGT3uO8Y6zyDzd4PV9Lsabc9W89p621f8Q7405nUOzogRfj5cKoUJTiwE7XoQHkmZ
iiF+fMHYDNGMxjr/GAZdCbLMSAZ5aPRCJ0A6kCdixbLhu4Xi8jA6ENvqckpeULwN/zDiJLuD+KYD
LhdinRS9wPanLwNq4Jd8pDmBvS8v7K+ReMU++YBUsllkIKQh4myyEuQpDCuHovpuIxRBtB3Lq0bH
eCMGDyJ7MMiz6fbI4UPrNYZIcyWiaYYplA6HLnd6ZuVBtqXPixYHH0fuDC/2TMuuhDUHC7v/0UC+
WXsNTIsxjrKXpMZAps/FsF4zfEyuvVrSlkzBJGlbTAN6uOLhpR0yf4DWNNX2j0QKfi5mGZehNfv9
0n13B8jkjgY1VSiHSaeCTaLEineBJxG86qXcplLYt0ElB7gTrRufSLAd54dNUzntpbXZcdVlsozv
CKRLzggo7pb7UQ9mxPUEZtVWfit8KvhKQkyXnVpCrHl7S7d/MPlnjDHhUJZD2q7DOU7d1UxOI0Ib
k7lKGqY8pZhxpCgCNh6WA+CmObOpxC5Oekuol53X9Ytw458mEYGHfBisi90PX1KNkCV+xo6/5PsM
650fY+mbT3FY7JoM0bMOmfcpwKBBtO/Dtv1kN1rMtHWbzA126PLVkqG3iSvzWVN0r6QjKK7txBWv
jnHuosRV8Xb7PqKNlKsJF7X7G2+wv2vV/Jr5S7KRnZzWn85hV9mHIwSHU1Z3m56/cKHP0VzI5BIY
ITelUbM9mgfNoRDWvLy9DOgulWl2WUhomXd1FKK4UsLLZQktUshCa80lrA0dgzZpjo+ww4e91B48
rUImpIjhZJ2Dm2apmJDw9CTCw/NPwPDRscdlda09dC6DG/tb2krEC8WpGRxzFaSgzhkgAyiLHdF8
n5xOgSE1g6RhOBEnXR1NlleZ/+AXrB5akeMHx3ERaum4LigMmGvjUcwp6FfYd6xdbyJlIE+Prq0X
IwUssiedMIEDhzsQDQ3Rd9AZftWqF71UGprCFNdSnoWI6lOf62cbGMM9633yC3zzVbp419TUfJmf
G4JwtKSywFUocf0QY8XXLO9V99Dc1iiONoNDNJKbJvoRjjiCXCzc0lG+czf9SN3qW1RO6aW0mvhd
ePHpH3Tq3a3yag4LDVRwT1BoWVq8k3kAnMJu35dnSqEBYaay8p5Jr8+k156BfqYnsBPVM8ovFxsw
uZfFeWjS7uq5b7hw7GPUyCbndpweBHETZ5FhBuMBF5wMcyjWo4EX7i8Z1izTDhmk84iEzeHQluOn
5iNNkN5pKkJtKTqBbjJ9XI7zIglWvZr5B4mYjsAv78sBrSurj1RGMDWbqd+TLXXtKCxyJVfT1enT
IyR5hs65MPfsHuTm3GKpSI1hoGANvyzI6iZFMzmAxybFjDCcseWEQFuq2DYEGu+MPvUeZUnQpUPc
6QYlR7ZBAEarzId/EPNACFQip204Pdxrjhh7IJ3tVqp+IpA3n1+vnY6+94WEUMZWGVOQpRiAYono
pqmuPTooTBZeScO40TemHyJexu2Av68t7HhboZgmPJHLP7YcpZCBBjhYorkGGu20rhp5s7vp4UG2
3Eb8YHxa3+Jx+lEb3cyhEIoADeXvXUsQEZdwQvggf7d1TP02efggQy/VtlHXYkEEGF1p01cnzo9V
NLnH+DdNm+BsgzUFIgpOFNjYz8Qna8jzaGz1o84vBNMFJYq8uv7ws7b6Y6TEQYXhrCAgVFCCrGwX
it/AIZrLVBaFtq1zLXrq9PRHM7KJjjyRVtI1wpuN/6mGsZV6TnwWMmFvswYSEuZ7YTEuxxJlwDUq
Zu61BkKJbkdPbaGsiszLd2mWHp1AI14Fsm5dEW3c5UO56Rzetpr4yqaQzZ6T/7CRWnLqZ5ucznj6
wY9i7jibbn0xERUzRu1Vb0qPXOt8T9BqCdWswwuud8R3xJ1YRUdH3a9C99s9cR+UWEszlu7gKYWJ
hkKrJSLznNR0KeJ0Bs+twxVJ2rsHNY7qqM8uEzXPRW9oS8RBHnMU5u+OEYDFUTB85bQ9nItScKQ7
LG4XwXH4SPEs17UN6A8HyrD1PiWbTPOuIKi/2G04Xy1z/Br4EV2aWppbT4UAl33/oplddjBlHx/r
MDgvhyDCq3/55agdjUbXN4yGCHcn3zybU+0jQikHeZ93SiAg1fnfyQjdXdzSL2s7TGyFV0kUvK23
J8DsUQdDsK9TZLUg3L60Jr0RTK+/Z09r3+2yf6ejSjPEtuVOqtZiYMl7ibbmaKbUApZiHONHkye/
NLB1R0gcmBz7+xiJxW1ZCj5BCQSFcI18HSW1dZ9a3YQqBLkr0xm8j8b8Dyig5KRltXXjXL7GQFVe
of0Y23LiVsvRWKzCahxofVNS6LW+m4c5fowa1iGf4fm6iZQE3wFXyahmvqRmePU0fTrAMS8vWSSs
7TgLZLyKmNUglth7uv+WWt141WRxiE0qK3JyugMS0xwMhZE+57ngoBhGJPvoWMEzjEY7Oq0OJ+ln
t4XpplkzURlTY78cCEJ8DgM8pbz9pFbldLhnKNNYg0gJdQxFFEiQVPGqMM+T24+3JZ4ZQcARRIKB
pnDQ9xwUmD2YfNDpkL/ijETwgJs0SZg6uVGljNsIRWqjOpIA/QoML9w2O9ppEQpHJW4sboGfI9Mr
8uqROeXVI7ZHKa9IaTVdMFi6YW2C1OSEVybjU+jlXzy4AbtC8sFOSgHbdP33RaCHXGwf6AxmVDYR
bHkClzSwzrQ8upOJwHTtJ8AjlP9h65n+qz5EYh8D88BLg7cBdTLGrQCPYQkVnrx19K2nhbXMKI2O
Cylie33mBGIje5qh0aLUK9euL4RYh5qLqNaBw4FomyfWiMhoWRAONYcUMszfdszySncakqoCrACN
S7rkyBDrkDWSQMjkOfN1++vMlZNwvNwM4x/ZHtxx0sBz5p0ob8Up8TwGD2Qi6WSKnHxhH3vMKOux
pIz1O9Bly1InpLZWAxrtRf5h+hmxPKHLaFlPqNEbLcUu1Yy7bDotnQxbGtMBP3+3wkY+QT0aOOQ6
BWYMpjQLfhXNOEkZbbKfC0ZQbKzXKc7bO11Jey+E8cAwCUbZ826VNfk314s1PtEP3YMCbdNCwrUg
xNXWzB9aip+nyPMAKpcmXkhhWxdwsDeoU7Bk1IrjqQ62qTriDlPwag36bK9F5lW7WR/Dm08aw64o
AHH34QuabAorW3tKbRRIeSjfFHBxb4Upv4jSUybJF5wZQD18Lb201P87fw6KixeMMCvE8JQm0DyH
nFtD+ik0k5TqP8vLb5WyAQlVTyyvpuGsLyoONSIBkjaxt+OuAtF5bKlI7mTMZtBEZX0m6Gd4oSnP
u1wwpkMxNRKHS7D3FMRI8nsskG0GMsHqzPEycu+dqsTd2uiEB+Hr+941g4Z40MBlMqd/beYoP3f/
LhIrLPdwVmFWS7GQfTprrQKliDZrPg07640wLutBRq3z3CTZqkUCKq2yuXltUN+WV51hr/oSE7kP
prJGqyaiFZoRexc4ogJwMqXutvFpgAvoX5zkg3ZPIk/ATcUA5V/np8RlT9Jt/vChJR9Mct4mUwCx
ATLfH0uLiE7PcNBbzfTm4mhM91M8vo64JE/L0o4Eo6RieivguexCZcJYlsihb1tnGTIe9T1f5QMk
lKZRktDXVhvHsnsYSiTt2/nNK+gpIz2xkYmJMNmJgGACzPwcBCjw1ouCfNGSz2CsONHiXcZWbyOM
GTxEUuJFA77IO6z3tBD7PN2kHMdJAQqS+LDYWWvVuEe5RxyylZYb0MZ/fMtdl3l7StQbBafgX4/q
/Bpl3fcmG1u8WbUNibjwb7OPbLC3x1OnWzYXNI4rRD3RmgthXC80zlCUxs4ZwaksX/ZcgU0rh1NR
eeTULkefYQ2MwD6lxkUMaX6Kq8ASyIiYtXYxAhhTlX1/F2NKQTfNGZQdZlSTes+HxURqYMocbdPd
a8Kdez50Ou/Cp4q0s8Pod9GzwDnDEE96HO+674Ioiv3UEowKl9HdMF4BVKj4AbSo8lvTf/BRbw0S
su9J0dXPDM9/F20q9g3PkRMDg20Zdri1Jn7bjKCfTeJnBRScziNThkPOBkPLfPJbiIJ9PRJ8EGsM
EZYso8aIMeBn2NvSaNpMdDS3PL2GkxG12X5x20QY/ym20+NERUSXgYlxGeskYQz+aVoGZ1micQsa
LUlXXnwp1eL01dYBeHn8P+ydV4/kSnpt/8pg3nlEGwwCGgE3fWZlZZbLMv1ClGt67/nrtcjumTYj
Hd15FCDggKeYrqqZQTLi+/Ze25r0zd5EuGo00oCZ3mNrotashibyNwNwkz85TV0P+WJGSmSOBKgi
FOGaKvVSDZvu6puRLjE0KuAR99Up7YRFPr+7ava9irC6SaWD89IsCc7rxxu7C4yrQFfPlQzkCsor
aXsqrOlykrKNoENWaIrlckZKzSQV4sjppMRIt3w9sSS5RHZ+BadT2fd61ya7qY0zr0ib6fLA4pb7
ts/HUO/rDvMmTER3EGN3V0DD+qkJxsTRWeKcQ+w0zS+USRgZGlTmtMx/7pKyJgJEt5aIZUYcz4p5
ap2k37io4te5Be8NJCTdFEbexsvxbFUTVRypBU3kaRPrdrsycc9w2udbe5oTjikgfmFQq1vkRveI
N9ndABo9CC32buS0AecHo8Qb1V06UsKLsQmvCBuS5zAS1ZLeNibW3rDPDdBjw6ZcAGXeXwc1yofZ
FS4h8dL1nF3int1tIzHcCT01j2EyWihkWn9h93hcE0W/81iRXTlRx8bubXrCT3MiymzYteB2E4ha
OGsLve+OtcPCt73wSEaXsY19434Aw98uhukL7qaN26NBAlmRrAmwoGJMx2w2L2lTlaXs9I52EVR8
RAKHaAyVvRtDg57QwS2Nh3NVuA4ddTvdpAbnIt2P9A5NpL9Lky5FuyOeWr28BfpfEuVw1OmXXc0G
fILuwYw0hH/KzH0OFKltxgK9qO1h3sfR6Uo4qBAFramXOm80k781zSTtlRGZrT65SmfOTGAgIfl2
Syl1olbyAnMkV1BZrwevIGO5DbAEdqOrbV2tu5mxdD/Stk05fMRTd4WCWQMXD/q45XEazBsEM1y/
+g4Dc8OdYk1rAYNRTGJ8ZCPNx3pCYLRiGPg7DOeqo5t5ZRDGRQ97PYdT/9CEejKkxOaOwdKd/QnM
scTKzajj+pwg3MDFCA3CjJ9hLdGRsZAMsQaa5Kg1kHEX9Vnkll9c7g2bfLLpwVvqKMpku74ySMbj
qkF1TGIMJU9FaWKx1nXUpnaR19ce7iRCTAgSFq1JgofkUgPAhyqgLUmwpKp8IVjT3iQ5cJKl2eBX
qME6pQRQxv57jIwFQkkgTl0W6N9Uf36B9C+q8HYXneHttMkPoijbwAjuYntsz51pUZDq9IvOkvLY
CgZG5uremWF7qd3iufRM7U5YegpYSBUQmkEK1GgjltILjK01ph/DwGhtCSRGsF4guR6KyfJWeltN
4dow+8vjRiWsUOUsnScige/1R8+X+Ms73VyNToMDntb0eswxbY1Q3VAy2zk++rYHGKWmlIfMrBx3
rh1schMPxLwR0zXKKtNHrUHhkFT+9I9MeNkYVGu6cM6xgvOzdwN/P+/xJd2GJlQ2wwUhGegTcI9K
ST3iDKljTvpYafIbTWncsyQZCzEnynPK5TkJlUsmUD1lXZw7ekhdYCreQo1NdgSO3s5AnlofiB5X
s7UN4eNUNOiJvTyEwQ6MvWzJAQA66cOsoXMxTvMJE9XElV0YVx71/91MCjKmim6v9Vd/Lr40nd80
bgLiAaVZywFgJjXnd/FlWKugqi3WHCoJRAtYoKt20p/Nm8Rqv/807zJ/GsjlO3C9IItwKsPPG5Hp
NedaexvWUyG28vOz1ZrmjooFly01wOtEsZsrXz61sdIYHreZc5xRU9CQJp8hRC1SJFDOKzA/Xooi
KlG6ErIUdyE6dM31oKK+ckjkWM9Ln2oygBxDTQlfaiYDrXKoqvCKJoz1AOcZ9y31W74Xh8oUd956
rukqtrv88yOnq7/LA4VqaKo1HTxdcJn6XU1ssnDSrTBptyZ6VLRzw0lMm5xV0GkUnAvYCtTN/ERm
2y9OxTxIKHZ1mDe1FtXffpp3zX88EcuRhTvF15WG1ftbrjiqUu1Qk84yP2T+I2/8x+78Eyoqa9Vn
SbWcd+fNOH1IFe5Uer4Hi7wUsQy8PriaN7FJYwDIK/eKyRPfT4DmH5sfj2nnSsc+Oj+lhTHGAA1N
haFWd2g/lTMkC3ulTdSXeTeAQWkjho4PiQGicX5s3jh1Ive9ln+BvrMQIYXguFLQdtJ+0o5NhcyD
ggzOB9IKirXiBB718qNbAUWwSsxDBs7HOWJ4fmjOGZ43ZQkJ3I60p98e96F1f4sj1jVCDiF5IlT4
x2PzW+d3jGHJBInS6HpGEvsoxw+mE6Mua9DW95MEe35sfvbHLnYsbNvz/rcff3t+3p03yQjpeP7p
2+cUXbaP1XjJAie8lmSATsv2clyp+AGWdM7oAE2bQaeyspp/9PRJ9hLTFG6n9/x4jT7xyX/s4src
txb1Qq+c0momPkJD7+YI2ItmpasCCJ12bU+kFXO6GFmdi5U2zsb+SJGhP2rI4Jfw7EhZmR778cSP
3XB6wrf0FmakHh9CRfonPS5PepZyNyn9c4rahZtWzKxNq1lwWWY7lb/V4ls2qTfNY5Rg3BGfGezH
ic39LbN0+mneZVacAi6UpO6JD6TMxc1AJQiBHsui1IEagCq2QkY5hOBPps1Qx8yx3drfAKq8Ailv
7jwAGFdz98ZymI1OhELTX7k7cSqQya1dLzRWMfmHN8mU00BKJISZScY9P0aRpz3/+fVC/C67FppD
JrtlW5rN3NSy9V/VxBr8Js1KWJVocXmTAG76qpxHwIL3zNy8b81vrM0uS1lO+qkVPm9gcwKOTLCb
k32kuytC5b4/k7cFhigyEsMNTV6KNZFId6zUaLkPqnbTVbl2A5J/PKv6/byj48+/7jJ/rU1V23lT
Ta0Zb6rB/re7Hc7hRWBwghfRQy9F/OkbqN1w5k/KMtqHfu2IEwFd3ze5j4S1hgU4PwTz/PvjBnot
ypk0K5JcnMVE7JutZdQ9dMwfVJM8JsvWVQyVJcksxAzjtOBzipgfuSn3/4O+2/gvvg/TRHkjbdOQ
COF/+z4Gsw5pO1jWNmAWdUqk1G+9DuNgBEclRkxyOz/kAwe6Sq3y6cdDYeZqu6BHEhhNb6pUG/AE
U1o07PTf2qn1PrfjXEbcvh+rg54mUU9WNU8Uidk3qxDu9aIymQf99BR36GpDFEO/tZIuXBfgmmhK
A6dc+FMWnFM66z8fkeZkrPjmD9h//O2vk9KH/2xd1wxHGI7UfjsCTsSNS5WluU2BdZbxh9rCkZo3
hRlHU2Ti8H1/ftCOfMIiEB0tJNPmDcVtH7WXGl9Q79lbBNfw4+bdIFP24NCJBWOiqLp0kadkwswL
6NEl81bOD4i+w6ztbaalDmrhkuTC+YmfXjM/+NPzbuK4wO9Sua6NNNgWSLG2ZlJ3L3ESYXzxjUts
6taVffM/HKrpUPx2qOCVaaaGME3VzdlZ9JMVwLWGSHNaYW25Q4Z7ljTxPSgJEqLV+MPzSy0Doc2B
aSwsrGFa0vtP6bvBV2EyCwCAW5ytMJOz4bzip3nF7YB1IaX36MQGxl+RE6Pce6u+JxyBc8M6yWlj
DKHFpCI86T0LqapHoV5b2aTumZ7Vbv1Ajj+9cvoEh0Rti7noOY3Di++HYu8nXUyAMg/NG41+/OLP
j46cHCM/Hx1b11QW0rrtqKTKEq/666UtrxHgtp6LwLlOw/WPG/N8sx3YX/oKlWS+N28kr5z7+fwa
3/cTyujtixpa6KltDL/e8IXwOGQc4dg+EEoLWTYIq+O8a6F4Wpl+nmzn3VwrJTAM5KnzrpYP42n6
IEyK7cP8UO29zh+GEeK//rA47H7+MBBy3z+MWLDxRLvwdv6cnozgqQ/p1nud5mQgg+ohAJa/7Rw8
M33RVg+q2qB6K7SnqBAdKoDhlFmivJ9f2lQyWkRlQSr39FIvxEg86B5az+mDEixbqNUmIfD0rNkC
GS86ffvtg1Ld2QndSW/m18oc2akf99p+3h37gdx4tXFX866mtCAc8D99+yRDsfV7WrvzcyrN1O2f
f+vO75cPrhy2rRmmahtY6VTjt299+nV233sFcUwpXGSJkmLehJMquFKCl5qlAcUXxLSoECNUq6TD
3+XoO09ZhR+AwQRfSdTZpfVd1oxl+CwJFztgfhXLVBl3DlxgoQN2R5VL3vjcnZ9/akVFu5KECj1E
Zha58T1CgPY8b2D+dGf6dOYy1WII+NMTTDvbczlt6ip/D+xiFeBK3RdT/FXJsDp1hXlwqGuBoOah
XM8CJt9muLWnx4hJSq8DxYFoYnfHSKVVak7Kxx+7BXq4VRPm+bKY7L/f/HoKluB5V5t+UquXeiy2
HLEQp1WRPw6the5Xq/JVnY/3BLZkxzYrzBOCGlYTtVs+YXsqUQVR7Ip7Ir8Ks31CLbudUOwvVDHk
pqHvsa1K0szaFD2ePaUdO9NGpj7VF1kAOQ46chIDxCmLQCd1fnTSmpUwWJ0D6T7fN2mAcnseHP/2
i8us+o9/Z/89ywdQ/fTIf939j+vgvURu/rX+9+lt/3jZb69a3f+/h798zcq/XN9vHn5/5S9v5PO/
//7Va/36y846pf883Daf5XD3WTVxPf8S7zObXvn/++RfPudPeRjyz7/99T1r0nr6NC/I0r9+f2q6
beqW8dN5Mn3+9ydPrwnvWwbNx+vHXz4+4788vtbB+2ua/dO7P1+r+m9/1fQ/TEuaDmQkbobcXTh/
us+/P2MyQaS2aQE21jFMssCr/b/91dT+cFTblOA7hdC44mJJqzLkrd+fUnXJ6yVlKslTfz8IN9+u
1d++Hw7K9/1fTILqL5d0LuiWY5I+I7EHGrZQ7d9O7jpXdI9cU42zFGNZc0v6rlu/TnZfm3yjdEeR
1u7vVaadzu5MzenOCc664RFLoK8sg/CNJIclJhaKAxWwfEiLRyN/tIaL313U8eQXN01drMKtg0Qt
7EHBwzy8Fdm7tE/Uf2z3zvpuM/2XRuT2M5u+per3YfbL8PxfNyBtvrt/+/t3/U8D8jpL68/00yt/
HYfTm76NQ139w5Ca6qgaxgHJuPvHMJQMUF1Yqko6ooPs8ccwNP6wTBUf2uQe5QedufWPYShNm5Yv
dwbuDQzTf2UYMhvlt/w0t2AgSsMwHY02Nn8JZ8lUwPp55lW3pOsQlEmfCmkcV8m8j67UtMXJ8NSS
AKPb4loDkC5c8ZiazU76+a0TW0sl2QTE8FKRRRNnoBBA8nPOGfXLsIB5ETBviNT0oubF1qIjQN87
23lot6hmX9AEWeughbMcK8GT9Ns1xguUWll4qYnAWXY1GVPGkJ5GBQV/MZr32IThDRYa4PTJrKop
BMQm+aWIjX0iikXm2/rCT8JnLPaSFbm6Ant+I9L+tq2ST8eZaOQ4W5ad6hyjMUMQEGTbQBAB5cXk
9abQuGRysHvYm5aTk8sns5e0eumD6A7VTbjQQT6ib3cP0kMCQJ/pBRsigMwKomf5LNr0vop3YZC8
eP7wkOlOTVm3xchLnMNKJmH74ntIBYeCVlDRBscQ0gda8ti/ioPkyQPi9agidln2adOfNb+3NthP
quvatfOdCzh90HK0U9WDH0RflDK9FA4q6Kh8weUjlg0VnhWWFNS8JlbGAkV0oDBTdgR6OfIXII/c
moN+GXqckX2NmLClnnfG+rVSEf+4DVcQIsZ8zLYEqlsKbXrWryOQL/kCSjTfNI57p+XjREt7NMSb
LULMIWaMi9vKlz3+Q74YM1qOfiVXWnCn8CqtBelHh2zTRFmDwFq1iQBBBVTGG62XCj0prkCj/RrU
0QoN6TXOXp92CoFhkvUHTah+E1jpykUksard+N0fn5CNkXtZ3AQRgfGy03L6Qf2H0blXRHRFizC2
tpUA0acHgcm/kEmfkZHAKAg6Mj9HRePenLhPfVVf0//bVAllbx1ck2mMz45ID55JVtMQPyXhlAbi
ZvvMi7y9b361tMg5SFA9WCsFfG597WGc3zS282qL5HrKDEk997GvItIYBTkOmnF2auTxndoj4nM/
WoGRO5wyutSovhR9OoWUtFAXc2+F0+x5rMDZ+v1DhtbPFs4p6ounkjuAJBqU1fG107uvRmyARBwv
wsyviSoDLBJCrwxNFVp3c4W/MFpWg74nh43yfLkHBXyGoohpSmjvLUhJEPwviqCVEecjtBuStSF8
XJfwbvIifpZ6ANkng/gqyMNr42VSmfXKq2xzoaLnn/6YNh7vcz88mHxBmMKYQqWpTRKA+KL6+k0Z
cTQDE3oStuO3jvG/rsmKDmvJm5naO6TLRZtucD96+AmB2QdgkCsPcF7/KU0VFdFlLOTRLQpt6fj2
lZ81ZA4AsRhvEQFsHM6dPtGJiagbzKkvpa589aYPoRCKfziGs9RdQrvYMzdbWWFXI44rtFUqxI0m
MuKldQZ2FYmPaHivzLQg8qC6V5L2JIf2HvrXctDHV63lUA39PQFQ9YIpAZoQoj2DJw5enQA1KEpQ
qPBmtd5+c1TCzdL0NUnFuFFK/bXyPbyReUvTrST2obMBD7tLrWNURw5j3KfEacUZ/zqENL39JDKy
GrPrpDk6WoF7SjlYar+Btbep7fRgW+7azgjw7ehbCWcrHe9kgtwaChwieEJicw3Gb4PyaCVtdDpM
C+jYr62WFjg9S4wAi4rKKe19fvvK04ddl9/oAhtu6F2CzljnQXuswPyZIPt1pccxRCYuwgf90QVf
ndAe47Te+YZ66EdrNb1T68y1tJKlDcIcz/daH8ItLvsrQgpDyulmCxRCOWvRRRgvJpIt/HBbu6lW
/H7gBKswfybc7jD46k0BEyMlQq6BgWJ1wanByeWn4yoNnEPmwn9Bgae2e1MiUwqHA8CHq7AVGzUm
DjLn+paaG0wp6+mY0IJDWy1WNjkoeV+fmq4iQg0ej1Zup4+D37bGfEsoSJ0eRsRpnDHnpsJAq1jH
GC1WkY5IgpJrp/1KFQVy28qLbnL6zeYA1gsPT2h1u0bP9kOW4RK097E5LDIuZnZ7ABHMGFB3Zdit
y4gbSO5tRj+ej5YLNigp6KPy/1bxX5usO0EzqKvntlCvPNAgquddVEgOCahOhUJLL9z7Pq+2XiO2
MpyQrseo6DbTcQ0rnq5h/XOcgaWuKVCugJEir66WDoJmFWOd7p+z3t65rb3Ls5yFGv2BSNOvyMVY
yCF/9zNAHHaU3YS2d/JT/I2Gg3pj8uJ/jP22E+51MdFEByW+9qJn1P47vyyvC65EOjdIjNIjBd7m
khnxs9F1FyOuv0z7ZZQ9x2K4UVTj7ArjKc8IoM5pDZeQ82pIzH1yY/bRTaR6dzVuPTi5V0615A55
zKRgLeY/jMJfVg72jHy4ALE55bpxcAykuHl8U7bqIRFoM2FQ9X17ITTgIeIiSjIuhIOa2a37oge8
bmzpzeo32ojGn9zaCpXh6KFsBLu6b6xFGWhPquZe6/1bCee2rdUtpYEv9RC/OUhreh3ntObd9ptW
D58REd/i2bchODSCJbfqLwejvzP4DKV1WUkmyypSTtY7etD12FRbrR+WmqYe6Iyv8lSipDCZz9ym
4AJCinRNhcAqwuyZqztIvMzanaOIu+uBvCIZbvWquWuNoFhmnNIlWhcz3kqpkuoS3MINh8TW3o2e
yUXUe8QtxoIbOTH6J1dT12aUXQH1o39P9drH8AlfaEw/1ReZR3d4z05pjvuzGF7RLd3FQA3y+lWJ
/CcKcC9lFeWLLlBvEvWZvlCNkqhQAGgXFImsFe6mfDhwq75L7P5pkOHtdM4IRDYiMz+BxoOmzJAB
ajeF0e/GcryChhkY9zVS5gryr7T1Nyq6XzuqsW44HvN8fLRLnzU3TSuz+RIjJOwR9HuoK9AZ4xwk
7sMy1m5QscQmyorB7XfD1qY/WwLCNgtlVbbVKRzVZ2K2A+cVS0w9Xrv6lMJSLYXjLxLkaIjUCw5K
PSh3Qz5cl+p4MGFwxV7mMbXpiZ3HFgrlv7EZ1nbgnQnBfLSjCOFS23+NYvdLEb9Jo92U2lJqVz0o
b3VK3TKbe2LEbz11fM5Hdw8SXV0wgdkrNoIqf1fGuJNK483sKbKH+kPtK/ybOOfcFnqxwO5Ij303
ms1d4OtMkGm/954CXsg0EN8xGzAS8rvI6nsr8ktHZ0zL0oMQII0TMBfgWiymHba+Dtzo2fOdnVfl
Z9x/a0A4x8q9M5NXg5wVtEzNRSuDu6CJQH+KHZUiLpAcPd/Zq5V2NUa40p3ypGjyNIzRTZeJvVLf
cxs7Ihy6+IU8SZOvG1xBZd1zA7zQP7xkor2YPSdFWnN1+YqI4h781GqIlV3p20cntC9cQO5jj9m2
3e9F7i2F7t6Ho0ReNDzpMrxp9HhD9ODe1ZmyhclN33HtICsjGrxT3CEBTyuKunn+zmJF3eNIfu0C
ppBWnYvliPF/MURbrXrQXQwGCEo9PKuYLj3/GIuR5+RtaQ5ykTb2MQmj66q57ZpdlPkf/lCk62yw
BTGcuVyFEbB3l9twVVibGkh8H/bDVW24e4h512VHNi9/pIXE0aU0lHrWreryKgznMX08ZOYyv+st
HG+9T+GNM7Bf+NpymNTUzLlpBZYpnGI6byVG48PgMNdRMFgKHO2RhyBuKBrmOna08KoGr00plQWJ
wYtQQXrQxiHKr1IBxFPam3IgmcMC1kqywzHtCJ1x835cGTk6NJWhVKYRaMT06LrWkUSvdoVExlyO
1jn3ipfG8u6qZDAWVli7wHIu/eDHC5agzgLTw9r2HHdpqfBjre5SifQ6yTlF6jQ5IRvC8DwKubF8
2EBhtMiTck0RalipCjlok0TfN4JTP1J9kGacbEytvEo1O12y8Fq3NjfkWmFt4wcWOGatfXVFsQkM
5uhI+JYqsUv8GWj2fYnTltj3TFfXalq9V7SJjNacXN7pqY44Wf0W1SFdfrAE5bh1+JpDsJg7mdEb
G9XiFYoJ0wpaeX0jJQbqpZ+Ao+q5qQPs9neqTXCd3UrKSQWKX862+E03Aoxz9O42bZNzMi5bvXgM
XeOr1vqfqquGK1tgipeowiEnsxyy7JvRjtRFpozxRnH0hNgSD693WWINkFyl6LCPRHHmwJjqr4EJ
Y7skbP3cIZtZ8C/pF11ra9s87/2NbXvI0wVOJLur9pAN+l3Zp9GCRUmw64rE3ejaQFDi1N6TLuvc
pABoAnN8SeJWsyr7XD+bQzy5spO17SK7hLC1FmOar8yMwKSZaV0Y+kOMEmBp8G8lV69Yq0XbHQNU
RHkRXbIqZP4s+nZnkR29zkKt3FjJEG1gSzYruwhCsKxNSzTggNU0HPEpOW9kq7kLwxCfbgWlVWKX
lMDxqD8RKOkEQESEyVhU0k6sLaYD8MUm07w33JLt5q48w8dQQxj0Su3w33cRHgHd3ahd1SG2TABK
RPExD9xubZD56XUObgKMGlIb6300yGKHPWpf6GRJWtqtk0zYRBlEK89xWC9pLPQi7zK2VBOMVkHR
lBjUBxwWjzr1flm7nI1qvVWFVy9ZERo3ITp5H0vajiiECqbUPtJHVlUT+9k5R72XcMFt6b/Rvd+a
NoAoWS2bBMR11aWvyGwONmjmhT3JgMMxTlbIra6ZV34lKV5zgU+0MmifoC09itz4bNvQf6Unjgjc
2ftu2S/rvoFPi7xmUWjc7e0+s45dFAzb2Ak+uaYOZ76NlKWPsymavZjA1LMduJwwKvNPk5d3r2kp
M0BJCgztsU09mW4H+iZ10+lkeWXuscWUvHBCZbhKhhSjhG8wSPpkaUx1Fdfz20crLTeOn+sMEk/b
+FXU3ofxjUikvmccD0t4xG9QKax7cmEtEJeFk3AfE9G7ksns0SNgwtPLs8/YPLQ9AaveoFp3QVZS
jEw89Rw5hDwUDlqyOTKMita4o4O9CAajPFZ+FhKCqL57I/GheFHIitGTXZIhP0z80LkaRh+4rmlu
RhqO10KLujtWXIehxESv6MW4cdLiuXfMZBd6xUUJmvxW6p8AGJVbPtpg8aOXu7pHJwo/MYVeAw86
Su98/6nTc7GNbf89dWLnxbK0RwPO/mehj8uqHR+FEe4HtIdCwENqHWRHFhS8tIgQW+lXARk8zASI
MsmqL4KbQ4bOPyq2mP2/0DX7ZK6zgOj/BeXbY24GB07vDY2YLfotOKiOdtuZ5rYu1XxRxddRS5qf
X4a0Za0dmuL1jGszDxLZMimuzkM1+RSxN28SG3G4YUlCRbqKRk9GtFHJB0CLsmoA6Y0gk2JISS5R
3l2IoYGgWBxWn+QzCszWGb+7wVOYIILpPSrGkNTCBTFZADSNkQCsiiknsPJkOFoOZ83IJWXZ+BLd
Lq2xL0UnSbsIvipO9kVCqarG62DEHdp+4DT5KPPymRvH2kytvWfa+6KM7+N+1w7ul8EtyF+lmKQl
1B2UgQjHRvce3LE/K/gy/DE+eiEEFivrHhTKC8t+Ah/EAOpajRiJPnmDUrDVrXEdQNzhqrIVJD5f
U4xau6l7UC31qai2sRJ+LaVxMu1yaXQErKTNR2PixArTva1oSLJd746ryU4J4y/AHFXao5LBO8Vs
lP7XjiDwBTfV28DGf8L/QZ3AAvfgNN+aWfBGW5+ZWwrGzY2m1ECMZNgJAmIxBABkkByYWgcWpYQ1
EkidsPa0VGqd+Vue8yo7LZ+TYCW18gJM6lg39sOUheiQFdtpqOdr51pa56TjrHFCC1dm6X11Javm
MHzPOnMbC/KjzXGkrl9zZgeMniz+Emf1Tp8kaL5FMTUc6jXZ2m/6aO0DTFoE/ERfPIIjYbmd0D0G
S1Lp4qXvDmusaHsUxhWZIJe4oLAz0uavRo5JmsQ5UsD2QVFx4qk6qkF4dz5iMX3h9QS0GOMEzCym
/pq9dKG7MLDi+7Fx9q0a3BMudRngSxUlEdElXwZQ5EUXxm8GjJ7pX2o76U0UlPdlUj53cblTPOdD
G8RLwpe/jFIFBAEiiYBCpy4f+ikpi0PVFJwdMhMbO6O0l7Vvmq9ctYm5C7X2tk03o86Yc/SdKJS1
IPFpUSXJkRLBOwImaJy5/9Z1FpiH4avNK9qOY4NPZwNLZJ9p0fyzxHGOdX5pn8G6booBsLC4VWXC
hYfOuF+n/iKwrJ2ZpKzk5OtKVt31CHEogBdAV3FPdMBd5ydrCzl1JWDxN8atawlSGRCBN3KFgHcR
qECEsGbsU907hYpNdFWECdUgwE6sneTB4HyWknQT5LuSPzTF1IyMEzxTmt7UCMDgmDH9y/N2p8Te
Q2hxtexwocPayhJyMII+527i7/wUmiS6s6WTiH2VMlJjrpJGZ6/U6Kmuk3vXjCl39+exLJ7R1pIi
pST38J5vo8xkMltPtX7p3DceBwfwSrysVfuhDFmc9DHwMqcQu0GDMpGGRHry9+W92EeCNViG8FT2
b3bA/KFWcG/nvAcMX7zEz+sBIspHDjuJSsUgNwpRRqC7FzRgi2WtcawEve0ARxjDdDdgsF1YPard
vH4equgrtAVvbRjpY6/GZ+ppW4zaUj90WvQVQMSqU8D7ceDRH381arDyhgCJiEavLvmTCQE4IozY
FSphTJrzaTQBLYACnrX036q3JFPpbOAYpsDrK8Gb18sTIvm1WY+PGjiFqS9e6ognQClxc6gdsp8V
hwjO9Evg6bdQldcelbrCYpwOInoDhg9uyG+vp/BjlPUB5oWwXOaasgaRMPG2hjvKDWRDxWCLxalx
0/tSN0nuyu4dT+6bBjK79FfpyDVNzV6J8FiUjOl+pM0Ch+0ZKUKwVZvo7WsG6BKt18I1lcMQ6bcJ
AztWlXQBH6RldaHfSqIcF1qOh3hsXmz5WDxpqUPyK0uODkokoC+NjJko+Iibftta4AtIS4xd76oc
8udw7B7N0j71qP4ql3V6LxG1hEZ2Y7CSFEH3aFNQKHCcTQejphDaKzF/q08/ICxz5nLWuqzH+7FK
783G2AUZobsZp3jqAplU3tua0TvgxjQK9Jh9C0IyuAYgcwhaBUZFELxR5U0M1is2LpLWfxdNGW3s
ioux0YkHLCBXrlbtW3hAFM78BUgGgkQM7muW1h6Vh2FAAtFl960vNkWlrAHXbl/RP6DtmKJJx0cZ
jY9ZFq8NV+ynIZvp3tswgntwuF32FvySoVvmhY3HUewJLH4IUHFNt+8ApKcZWEAj9Fuu8cwHJFdM
pd0nTgOQKrvREgq3Kh8FOoPwB2M7yPpadKT/mCXX+d4bnpgOc04KvGNN9dwXxkcKNYZURkYvtAsC
V+8AbN60yhBTnJSoWFNrk8KUXcBG7xkBaWHtoLlXSwu9CpPRgDQn6ogLk/oOlSwWWNqaoX8mDzZa
tS1I/FA8iNDrFgT92EyeCCKvMC97YwTJBH3tDhrS1oIpetO2u8CrsmWU590SA/KUhG2sKoeqTsu5
uQ7jzl91OgASZmWfc9v0/xrIuo2y/b9vIN9/lm/B6y8ihukN35vHxh9Te9hxNAgP3wUJ30UM8g8J
JHV6BpWQicThR/tY/KE5mm6i38H5gXaMnu7f28f6H7pBJ5a0SNSy/2r72ECj80/tYw10r9RwQ4Eu
/ydpWsO4HHMaN/ikrxsTp4LZAGSV1M5KmRWrmh5nY+fpQk8i4Hj1wShDlp9JuiWMdiTaRhk2Clbx
RYLLRSQ92d15+eENBfyuwIAPoiW0mMnmHTPmvn4gnuQQ0msMvXQnJPFbHRGcVLxQyetr5ygdsS10
sJpBvktrj9W8Y0TMS3CZKqW4d8LYWUrivdPE7ZYAZ5RlVZerxOQC60dfRoiHSw3yMQnn/VLx3E/o
XxdLbYm1d1mg2CU2LK3PVqkrr5NQjqyj1a0a9yeXFMdFqQ0fXcNEtMhRZvdqeeckNgGzNbm+uquv
lK4nlbONHmgbIJzCPcVDIANTCvt96OpTgA5rLAdcvJXjyA8A4wiDrtNOKQs4kEzTWS+jFo5IA0Fs
DmV1ujbHEexjxe93jB/4QwAOKgVX239ydB5LjiJRFP0iIiDxW0C2VOrybkOUxXsSSL5+DrOcnu4y
ksh85t5zK4O0jPq3aYkr0FwCzgVA0NXpM4IL0o8YY8Uuk04WrnJZ0MCXBhhGk2rMSi6DEzM3dGbJ
yk7LdvHa/fYFZa7hy2NGkvSBVQ4KMcIT81d/AYpoXIcEl66afwr+IqTO4jPW+oR23/lgHIOtyVq2
2wbcCjNmNoXir5pialuiz5ZxtIPZiq8ewA68wBgWnR5T8Wp+zAwabU9SGg0ZBhBcFETWH52WiClQ
UEyPp25f0ah2ijBZpHnJTOBgR0JS6qNet4Cd925vhc4YQxOfmp2o4s+Y3fpYP46SDsAcgEY68ObC
Jb6VM8BfHCSJrW5b9kGGfiyn9EVOFhWYnZ+IYgssiNL1VFN7M7HZDdr6qfMVFCZKxPHFKYtpxMV8
basKpxr/LilzeoP1Pc+BlEJGHIKphjOf/Q2Zc9E160MbtZ/ZTI9jUu74KHcEaM+4uHogVCV79FNh
Z4pVaZKGDOK6oBsoKE0bNIt3O050onHkJD4vnyT42O2cT61ZXxTieDIquZYQgQZULShY5wukkvva
9q7Qmd5salb69wo8sBUOs/WY9r0MLLjHwMGnU1dPf7UBkFKS0NmSlPD/r2xV8gF7e9AYwC4M8Kmm
+9gb7mkUf2NSfTkFIJXSfk4WAswmiMjap+Oow5zMhJja6auTzvdqIWyLWFd7eMAS+N0nMYhSfHt5
eWuRZLGkz9bc7XjxblTdPYxddpITaeSWFVQAmYga7olu0J1b1jlPiUP1GcsORJiTBG0p3ro+eeCt
DsW767RfYhvKQk1KEMtr36aXvSUDm8AW+OtwIxObmeEUf5BdOOOiHNKQRU/NGBVoJcHYTRpSmXw2
g3kalbzLcuNk9hXJ1gBxnP5TY1WM5+KdiZYRxDRELUeSbzt3bSNOPsLKdos+NbAfEeUemLq8APW6
70HBh27h3gi9eMkN6IiO1mBrxJ8Nu0KxFFveAVcT6k5hVxLgGHpL8XVkxEdVOYxvWV6++l5M81kQ
uba0UTNZj1npbBBJZlZZCk5xvu8NUwUmSVTR4guCjgRtJR9DCMfLK0Py66SDfZN6Qghy1wZlZn6x
49iXGxUXJ9dTB8oocJr8Z00jMebfsmpPGjwHUJ9Xd0IJo9veXdb1EXYa/iI2c7nOfB3ylv0CGS6x
l5s//alu6tdsRoKykMtoheyNRqSYQetQWxEy8mGuE6XLsMFHPLYZxiHv84FOL7nNrOqMIuJm1vml
SpxztCZwmWiaENufBil/zL4x8VMx8SqUiYC54lPQJjHxTorRCvFjiZ+LHRqUF8MrvzJYvKyvYQnq
DCToC+4X7yvZ/rD0xdvgU1YL4NsIQ0B5J7fIcFM2/vaFHLSD3H4GUq12jBKu8wiPW43G/eR1N3aS
2TtOVGJ+l/Khc/XQmRykLMmHkReK4zhwGyMOnbJ0kS6YXjRbPaXot1rNitHujF1hFklor69Ti4qG
LgWB/gYMHvLuVa2u5AlmVUJLl2TiubO0j3599YHTlstPjMfaKjb/KvK/1QBXJZHg1M5nRmwF843u
QFf2BqRLRlDbbhloosbIoL5nCK/U52yRiGSl1n3GwSwWTQvYiXLoAM0K8Iu/pgXDfeyyKOZRUwzE
IrveExkO29Kl/inS1A/ihr6CYf9lnj1O5tEh+MrdRgV0ObHJ1EViQ6RTzBjVzwJykR/J1X+D9f9X
sY7CNYQAOdYV028Yw819J9XMZ8N8mWz1byT/Z1/bzFsct74H+/oChkwFji/d3Zx4d6qd03DEY7sS
UAT+xy3hL2bv3WhpNOEegVrJj6edUCyxRRCbwUvV9zy9REE6dZQW3G1b1H1pb+lEmEl5ULVvUS3P
Los9kccRTl5oS5YGJXdiV1R68xpY8rQ5yPaasdzhP+AoGFEE93MRuROkNSdXoZd3b9nQgrHy3Q8k
2Y/gMZ9hgRxJva3DZhIeQk2GgoxaZM7KUjc56tHe0WuUhyrmFiTS1NnJLkeYAQFYB7V8WMx1hzWr
hgLHNmbSpc5MTSCGZkkMqjSIuTmxkzF69tfLIFwATYNWR9YWmWnAIiK1oJ1R46ReWAnnOlXA66DQ
/rnDwo6kfV1oF0XCSiYunYsm3Ac4l1Yksu/S28j+g75f8tXYk79q7nwt/tI1lh18aR8aQrZzWRgd
Tfh0XKCSPRyzV6/vjF016pFZ9A9Dgi2Q7BcQkTlclSaGMOUbn83iI2BRxJatVAVJYUBR3G7MmEFg
DJW8H1+1pUQvx4A1bPKFNtMsCYmoXU4cYYYmISRB3jAprGVDhkrFwkHqDzmSf4QIb9RDBay11NiR
TX82jImar1/c0FvZErEPTD2OXG48VivNzD1Iw7YCKAr8rdZcTOsWtCzzL/AdJRNp0BbfdVKvoS22
scjC3jP+tob4l2sfZrOxAyyB+X0tFWzp4dqtW8qdwp2ZHK1FB4VXpdw5HWQatpdAA/teu8n7cic6
HZJ5T5abjuuOzJCOeGU+UhMSCEBEg66+UoafWkljx3djnA2+oj1QEEwnFkQPqmQFZ7oNLAFd0Mth
bsnjm34tEQExNw8I6H0cV7wLU9m/swZ0y/QP7wLjH8RqSfWdpPY/N28DiFlP9vbh0spyCJWdfris
5ifX3GvLJoNo+nuq6lNb61WoFvsnh3xIusTdUKVsVQ0mY62vhdtNWOe8Ldjw4ErSNSuE/LgMiIm2
YyZvXmVFNSxQ3jPn20+NFzJzD35rP/PJhytu90R/tu1955VPbWWjnstge3VGf4s7/FOvezRZTMkh
I8XhRNYXODnOrDSbnjokOzRQfPy6JomIgOoW55tIP58Cvt9N3KZnWB+7ocrX2zSbP1udn7mfxyu4
f/OI1omAzUJ7Wrr1YVV0/ekKxiXrJvSedvWXx+0tgSEk6NqdCnKD7ezUE3OTYnxXjLWL8cONOS65
fBE6qQp0ruAEYKnAhoxrt0rg1ay5gGYOaT6I9ZkzF6sPKGx3j6sgDsnSg3sG1y1KySKHLIp4a85t
4iI9nxmvHqbFugSlU7aHYWm+8zWmfjFOTv+j4sKLdEUBMGp84BUDt751qz0Trvo4TGwNxhaVJoih
IqxZcof6jOWiScw1Uj4iXhaq3CHgx0XeIzhP3vOWea1nwkPBXcI8ldzD4yBUNFJoH4wsfoqp4/eV
QbKVXmc3djFUyIY8O8hrEG1GU578pQdfbuehY2TbMUvJDNRVLRmfpoSRgmPUvwuOu3Y2bxcw9oBM
9G97QZJnIHjlcHYf6EG1XVxdoKlqe1kxHWmbI7lOe+loTPH96oLhkF6xECpczZQe0pZ/RmZT2mgC
pW6zEB5XWK8ENLBkZCrliJ5kKQYjlEpDaLpmcdJ2djvtbMV/a832CzJzMsi6JQGQKRcvXN3gqTLJ
BWGxN1Xt72gPxIRO2sEs1XucCSssTe0wKcJU6nbVd2YyH1Tv2kejrqGKWOSdtIBFCK5gOngkZy4O
2xwkjh+Tpahtvt1cvzau/a47s7ez6xo6UfrRwkQjRgq35jLnj2ownoB4IesdFJpmjbLOfdNnM+Mi
69WOPcFhEkZ6FsPRzfpiJ/K1uQIYHcL8oZjz5pEp5L1jFcMZQP+M8qUN5xnBb18rH1EAuWFac4eW
gKNhGX8G3yK1i2y6DnB+JNBykwEgohYXR5gD1ETEIpAPlzF9D3KhuPG8i+sydecj7aCVXN51UEah
oywIGQly0HjrPoyNmQgCjJFk7e2NkpyuNOmPa2rmVJnGTV5pqMFQ1J1nzyKmpsGsi/zTbZpTItQj
YILygI2Uh5shquPIBixwQjZDlyEoXrpPuenlxkl7YAyRo12if127+sawiQEhNHJP2ocvXLyRan4h
XkkFdsssQgcoxmpeZogRki3ZtF+DyuLrsvJnBeVxJmtYvGXS7QQSqBNkjbPDpyts6x4johkhPYfB
ZkManzMSg1GMoX5ntlwWRL/otq0HBE6m/gdaeaTmU1PD66RRqo7SVrtOn1lV86iF08gmbVlF1MHa
PDTkgPG46HdqKh7i0ibNpLWiztjjbCNFsDLbgCmrFnoeEvdUAgjMSYvLPfp4xywBdrENn5MlYias
M5w3b716c+1zuhT28ERsuE80GjmOntH8Kbn5nYWfh1qv7a0MqQLkqgGkt3kEdbaGmxlz16XaSyL2
bWb3AelELVGBXgeug+MZKvHsodyTZYHuBjEmI1x0MQbNDz0tVnqYtrRG6qde3Q37yeAWTVZE/DjM
d71ns7mw+hm8doIQ17xVLp0lBlq1a1yCoNX0XGrjEnVVSeVJtoqb5oiF+Llcg57JFsiYaKlD2zFE
uG/IwYloY7XAdp23fmHOzL8VacKVnvZmyG0ZTiavjA79MiznnGRfBqfsDtxjxsgg9xVCZ59Y3JGi
01rq+6UwfmeJFqFVCyvsjGxN5qWI0TEsABLmFupvhti8E8kRj95btbR/esfjUdWN2rVijMg5wk5K
Ks7q5MZGiXxHLozqnQyZ7sXxJywDcUVU+bxpK5tr3i7lsZkgy5V448JWQwRfpp+UZU0dL0GBkyko
2vg7ZyPaljOgO5MauxRDhILyDgPh0/9DiXFm6dNl9a5jgU2rox1JPXlcpKkzMtpV6LTwIqS7cnWQ
e5fE3swbzC4zEDlwHu4dQkfXMb+HcfoLrMLVmyNHrRXadteH9sQiRsbFzST7PmDI5beIXsvZYzzg
spAchxczUyIEcl5E0KhSv/hN01mj7dBodXX32AwpQ4p0NQLTTz5Js55iiKPt6+jnKbeS/wyw41sZ
RhquPP9kUCLCS4ePQXq4bmdWKywYNYYwemMwLm/gUcW2FsHTc/h+6K6We+5eHnkjfiVpjwbV+NYR
eHolwqxF138KH12vqfGhoIjnTJsPncEz3csCJGFzdFKOLxYWCKUQnVka/8q1ba6CnLNKNvW79KHa
VzaM3rrf8F3xh0849+yIB4+trNlZ72ZxP67WK0U6Fpak/5nz/tkoFdQlkT0PTdCbbGwZcv5m1fjm
UhMGhZnTwnSPqXT+VXr+Nwr9ay4Ildq+c5bW30KBiKrLvYnSIhAiQQ5INrg52t9WIqiU9KdVmQ8y
S9iSU8rndXyE4hi2RLRAl9Q2tJF1YKnx6Jn5q957WFu2v6eq+qu3jDed8x28kbevdZMTTbJFIArr
CJNoQRgue5of6+jlNFyEHjCNxXW9M/MWKZt1YtwZjPAHWHkV+H2mfCSxhY/DotbdYEVtKsXFY5gS
m9GacczHCRcr6P8aODj1oi+5OiMsmS9dNkLkHLvdiuUpyvjAUxsae+Tr75ny6BYmGzn8axcPm0fk
f53PfSGKOHR1ue/WDuVK8qWPzkdrmyQIIFob5BbtPQ+RznmHtgliY942rDjENmBFFTN867Xg6ZoS
EUAY+s5oLUhdeSRX89FvkOpNE/2uBngx1pnKLdLuI0HaAbQh78YDXx+Lb1w0HwCd54DoTxRvoPmD
UmZnA0gbwJWUMs5OzgIlCVqXr8FhdLiIdtxZHdhu17z0TFgSMi3IPWK9O/HqdnN/aqvkOjTk+gAP
nVd2Oca+3f6/relfcUxwvJJP7Yg2X68PXuf6gVw2O5S0D8REkwLqrxFVUEbNbf3NvA9g8QnvG3mt
Rc5Gq3pOB+uZUHEbn0XCH2TDm8Zgn4wa7Bj93Lz3Xv7uqs91nN+kTW6I5EliTR9km4dVYwI9p85T
o+egaDzjvGgOE0ExMi9LuDotPNdF7dNX9Tzlqf9XYirphumcMK6ICbsMppQ3Q6E2E4v51QFFCIXB
ETwRMWCsAENMNLoG+R/EFx3jmbheMbKJBTR1X9bLGwCpoCTBlDETXjPDH08uUKuIGO2zzRJ3NQfa
NJ9ALpr899FK9tA/G7LYzHAwqZWVhhIl0VuygcZbo5JmhGC0GIFgE0+ihW41krcGlFzDaILE4+Jx
Z+0dUlOVn73gG2ChPXouulPsNrTw6cnGcMJgGt2oMdxocjIPMTDMgyc5cRqCKjWNB25crDtYoVg7
KDhAfnOET2wLuhEtdunco0Yaz0YMB3hdKUEJTYJCLX9ICPGi1hHYnHpSJJpW/7Aa59mFuhxVPajA
DHXSKAr6bIRdTOWyfyWBzOSz3+owI3HXeSg3i+VqQlIOh9h4qryt1Gvie33i7V9jeQUAaofNyv5k
eHVQ6EOTpEtF5BLymvMEsBft6iaEW5hRLpGJ5VFD0S0cdCwgeyuPLKVpR28gI6Otr7qbdCFgXgB+
gJ9ZWq8hdG18W0YVEL+Fm6vQMIbLaq/Z3MGDa/1rpY0cQtXNDqnca4mxq4ytz9LvGSpxYGGiA0Fl
FJ+JifJgWbXnEVxU2JrjGMaea/Kzz9Rwab6TS/3eVPr9MvTUyw5qaaAALMNr9Iam+cK4ovMseQb+
BZE8twizTlHpuPoUZgYBL7LJqE7t7LFurS9VWn5oo+xj60/qhQvCP8pWcD5ObxPSafrH0bF/ASCW
9G4lphlyRXhlIFsLVR/zBWFNO1E6Dx28JjOFJIowbV8bE8xyewEwlHQveq8DHxl47XH8rjeO9pN1
yaEWNXXpyBRAEN9geqAyfa+8G/3xK2Oz1rHUSkvmhwocFHOFBm2BdKrdpKtXVZCJRSJrkNrwbq2y
ZpWiWHyjKwptoz2LqhJR0b1nmSSuHG1RHFceVbkRoI3kZbcBGU1O8xNrn31xl5E52uH4AIN3MXKY
H66IZBILFkoWihknE0G/ZYKZQGgYgflr/LOu7hVN0XRKUZt0HfE32cKk26e1MiG5kDJ4qZnS017q
WSC0BA+Nwn7i4IC2JZEoZmJ8VKwFWVxzfG5xXbItnnLNv4u1+XmenZdi1LcdW1Vus5kwqwmrEEW+
oGA9FBkMH86VRRG+Zbm7RcgR1UhLRdjl37GdBnr8PrAj0Pv02bR9hmG9+bfE45cRg4mKvSYymzUO
0oQTX/e4Z1LMsqHe+ZAI6pgrbXol7wykgmbdzx2/lLZ9vNG7IgbEQNLhxg6dNJb4uxiV5KN7gq6I
ap8ZoeU7S9iVkP6RpXsmmyzoy2hhOoiToh12cIHrhUJ8MGggvNx20OCe68xIoqRvgxWR8Flo2j6V
vr+b+m+/Ve/e0uaR1roIvnOmsbnAzmL5xGLY82lqHAJf3erK0fwn2kJDDvOhagp0xGFcKhKPP6o4
QiMjLikjTJLhc20neotKPhVd+lus8xEgx7vvVnZAwZzuWkLpUICYaASr+FLIewUgoe2q9Ej4i4tF
bBMNJGCQU8M4O9giqzX0Umu6yWf3kifZR1HLhLal4IVyRu0Au4UVp5+dM5en0HArQd8Ad5RGcddY
UxEhdjXM8SIr9zEtoTfytuu8WvWMCo6qvItaiilVVGbQqoyRnXrvXYxZqi4Glps+960QBOjNT2Q3
YP7NkOhniBraloeud1ji2JX3lVvsPYZZf+VGJKDI4Zujd7irWuRp62odAfl/gr8Eliyrv3UTZInV
YKAzQFp3dSK2pQnSqlb91VXpNyzflHKC7zLZ/r3rNEtgFQk3JuY72SXagS4Zwd38r439S1tvSik6
YaYVgjy1XDzACsLK2NnE1iI4T4dvR/Ofegm4fXIY8jTFRbDmcorkMCW3GlE2O8kud5cC81tW5yXp
IF/GdO8oR/XdmrgyAJIlgWjyybIpbLthiHey0EAPOyMzwNWJDOF9xKJ47eSUXcmWJEFRPzoIB0K4
taCGlXwvbOMX4fDVpPbiJuZ+cxlhgxWbQQvSTxZtd7bX9B85hXBOSWmrU7owWSGPY2Y1CZ0JO9ms
xG1s404LplCfhX6R33glAYqxhwGuMHH3JN7Kg9CVPyChPiQGh5rRoUhYYq/mBfky3p2ClIq8nD7Q
tA8TU7rRan5RlgbdkjBYxthq3sN0mPkkAWmhTw1GqeQuj5cHmaRfjYnQlRXE3net77Q2T6ln31r+
PjaHKRIagZhxtm0YcXYNb3lv8Sy55TNsT57Lbso/kr6k5Nftbr9Iq9zrefLPQRgDB1u7LpDfFsrE
XbvNvMRC7ICDJQN/XnvKMl89dIZ/SJELnhtQmY6h1/BYragaeXwBi+47YTESLO6buHbv0R+rotw3
un2xV/XgOkZ1oF8tcSvYtviyOfD3ObErgHwgsBSKTnrQqFtmJy/3chx//k9TN+zZOytsLHbWkWZW
4oOAiX+xMssMJs3pzumUjAdy4q5LvF4TXfr0g9MY+bHNfHLZwp+sIfnyanSklau9z14XkctOCJw9
dECz8g+HDWDnmCEBWemuWnL2NPCi0XfPWEVog3e4B87OOFySuvYunIzBZM/jgdaBjDvRRC5vVlTO
JBIj8kpwDNXCeTaQgvv9kD20mkN0xxiUzSO6KhRHLavFfsG1jAMuIETTY2B+OyXLwjQhNdpdUuJk
newNidWbbTTn8lgmihjl2DaP9aLjA2mYxkpJxk4DeqzIppkgefJvRIZ7gV8LU93oJ1G6UNDPBnKt
Wtxm7azfTbO0OTuLlddYPtPmr5wBFxPpJ4MrTvO1tQ86BngYAQw6eEmG1SMoj81WJM36s9SsYV+N
MG2tDLegk+4S86X0HKykvbxxNfB9Of6CbN6ylyqmwI6znghKf6nF4IQJFA8cIxCG59KdI+F7H63j
wcfhtS7HTSAiVc9EpnNvizH7cIRts+Jusen2YLb97oNY0p5nkELHJpMEQf+pT9c6WL05PwNKIuRI
oMkpnddM7/eJa5Jkn7qnqRxZfACV3nkW+UerNJhBkDpmgqIO3RJoLe3Mwce5HmwDsSQJBUS6Q7qu
tFPW8FewMVtlMxxkRoU6GtWz4UMIVt1IKz/CsBdVX6LS4E0wFsQ/oiMKkSCzt7aGdZvq66PrkS6F
0ufF71BBCr294lG+49x7QybFDemxEISkzjCtO0PZfWwH3gpz7f6AKlWhXbtHYMSfY63ATHcYOH3E
IGDAf22+ZhTTakeGti16Xb1F21++oI7H5IFbXnSM3J1O/2f13UtB/RuZpXvU5Koz0PEuRJYj0AQA
iZaO32hg/LavvP7YAysNukrmO82GH9ZBBk4n96X2OHG1GA+djspxIgU5mCPUAsNlKfoSjbZPlOVG
fF1MKpA4f6xcAy4hxM/S//VUpU4TcW0IKPq3rJy/Y0cLbRIszlhJp4q2BWp5mTJsHaD9xs6I/WE4
t4K2acEjchpn51C5uIp0z8gi1bME7rrulDdy3S0aN6erlSJUbX1PDGASUg3OPCeYHIxiQDM6OFHa
CKwanCNj2d5Sdv3YL0Y8j+cYrb/X9q+jw27H5q4nBgsCPrDqnW/ZVFNuc4v37FM4HgfFrB2lP8uo
XrKvdvR/Cq/6y2zsj323PjaauS/t5VVWCytwnip88qykOW6iWccSxP4LliXuo2w9YUuwo8ma2ABa
d43uWDeFOd/NC+tPOZKhWZXrV0qf6jUMWtZkuOvI3cAjZPSRRjwSYs1+e2hjHtq0CIXHHxVLnaC6
ze1At9bsMpnVd9yNmE2NKYmc3kMP633GtfFZIWgNTdm0gf6KkksFJDElXXtael6ibVspiXPked6W
mek57lmiH9e5ANdtshvOiHPIZ0y5mxp2gLbCjXmtdC4eUY/xwdf3U4epiDiVijmo8UlpxPJ9VYwl
jotQLF/Jt8OTnL73nIAdvShrW3IZY6TZEe5VHf9aNPb+m9H8b6cJ6ylnoAkxG597RIT0cdDpSYqE
BFDJ1vKymovJtLl/6hqQ8/D5yY1acitA+Gkd7fhBIqpLepD8Um/Qgsn1VjRNtHhI6xt5nRILCY/z
CBLrOPfzWzPXXHjC/yn74sg1fVxj0mscOyMMQz3K2vjTqRK9OP83ERqyS8hhKvvmucsQ75o9XX1W
yNt5MkZy5DfzxoVbkgxUc7FDDwsLPXb2YqcthWux7Njls+O/5on8UTDBWGbxN1o/XqIKiXIIJxxw
9/fUsToxClItQWFu4mXRnbUXHZf7yW3Gc24XDYvaSu1HGsS8N37dARyIEt290xIMbQhYpe1EQNoy
niH8McrVRjOsYtPF0FxQZK3uxdzANoRy8vrRHeNGR/rLJHZfJho8sLUqdq5FW7GpklIl4eQAKyhM
GBMsKvPk2xH5R6uTKmSWNVa5GEdawiBqQhhO8hdd4iKHnZiy7oE4vyNRT7+mX1dfVrU+uLXUf8hA
OpGd8D5wR9+X1JJUznN9wcSzJIsObiC5Y4/QHDO6Dj66Lg3o0LYvY2aeLN17ERUfX6U5y16f63Of
qPyz08r7paZhd1rp0q4O5Lov2LKZ2LHTX+/G8q729eRGdt0XUrVIlJ5NUA0Tb0elvxBfTpnh9tdN
XhabH3GxTkGz0k4tcvr02uW1do3ixCPtBQWnKcCWQsfIbz0njqLZaJnsDCvPb9Z6RM7N4tWeWm3v
5/LJKBpQDRzep5gncImH4t/GeclHxmu96hm8rLEKGYlg2zd2iV8IZocgOQDffhox/Sy7Xs+Hwi27
27pKhxvX0kaeuQrYiZTaOSYMEhcJdu+WPe0phPEPHmSqCSxymohxk7pZMyZ2mig+B3fi8rLinwzv
qBTdy3aSQTdSm7XU2Eymc1J+IQHYrKfzZkJloL0vNlvqvBIAtBlVkSLMm3E1w8HqbVZWcrs/3c3c
mumbzZVmQW3G126zwCZ4YYfNFKs2e6zAJ9vjl2Uk8V3jn23w0Q6boZYVRsAYNcE/GqOLw3Xr475V
uHARK207XbZ4crPoDnh1q820i1SHFwIb77wZehOcvQMOX6JA+0u3mX4b3L9s9Tkn8mO22YLxDyBR
wilcbpbh3qlvTXt+tvASo0PkQ467GBCWH8z/G477Z2szIPebFXnEk9zgTVb2v3qzKoMcn7Z68yJx
MXfUYCuuZoxHBhgVjM7VZnluN/Oz3FzQWFAh27p7bzNIz5tVOsMz7eGdjjcTtcbVFjkpY1hSaCTu
UxeRGTurzXy94MLuNju2hy973Azay2bVZiDMhxQgy2biJsOFDqKfVFBr/UNXIHiRjHc83QAynrr3
MhmPpHTcWrN+Qru10wf3dsA1zu2ibgYc4j1+8nozlmc4zIWD1bzeTOfomNFH4EOf5LGX9yXe9IqR
o6ajBVpwrRe8zcRbXDBthrJjtwGekT46eVqKg9ps70TO81U0vO2OZ30iBCWSi4y8duyRi+JazfHP
g8di7CefBb56H3/99kPGDhxUt7grW+PVtOLHDZyhUJFy4ZK9R551kj7BFX6eLO9CmgvgHO6GOn0q
rT9fyaO1khCTqefFSF/wcD1X0AAWDavB8prACChhBZQwA+LxkXEDCN7iLoYokEMWUBAGVkgDm09E
S9hKuPQTvXNMIRLo25Ui+EFnUAVm9dnHDz38Ao/Jgta32BX8YwrfQHPEzmCCp+AeKKIyoCDQ/Z+x
CHI5Pcdu8SU2WAIqQFA3wF3nDaSQdbSsKWwFSA0PjQnTn22mv8EX/kefDPAYKLOfILjiwGTyDK9h
Ssk0wAQPxQHsB9ca8i86/7cezsNiyceVa2k7EFhIgiVyYUK05VcOIYI75c/ZkBEz7AgHhgQCEZYO
UCW0srmxmGAXG27C5Anp4E8scCgGeBQtXIp641OoE8TsYMO3EK9HXhWwgYPTf832jZaYb1orr1aX
7KY23WkWEG97PSzLGKYeIj/oGILjON1wGZjEbr2Nn1EFhWXclVA18MOfHSgbDRYXH+oGMGuGfsuf
64qv3jFuB3wcNpQOSmuIHS3kjkTnX0Ly2EAyNmQPe1NqQvpYIH6UkD9mCCBagzHuVoMVChukhREy
wApJWiLy3ib4Id0GEjEgisSQRVIII8V4NbEHIZj5rOj3CjgkLjyS9R1r6W8No0Sm+wViSQm5hKSl
Gx7BnQfRxIZs4kE4aSCdEOK0U5BPstY/V5BQXIgoK2SUblPO4Jwe4xbZ7fDQGBmenFM3SuLj3Ysz
TnvbV8dEzKd4MUOEWyEqhV083LsUUePiUmL26EzWc8oks676Q7atpT/1xr9yE+5IcOxKDAytSD/x
n/HxMZydbuOP7Y3XDTXTxCOT9PXRNolJLI1jB0IqN8Td0GnPmsPYjc0H///Vs9WrRxOm8TZu6Bpf
3fmqg+Fkvho8kNsDiFbtnxTDzhHFvoynB+Gq17qAdANMY/v/PmIpUk5HHGCie7f/SSu5J7T5jozK
hymfX4Yiu05FcyIX8ZFuJMThSBCoe+mN4RE93gNUpedyjO/VRgezrppiA4Xwt9bls1borzCsLKxz
eqLfwQ2OmBKwpnEu5ZI9qJQfXk1XdFzXjE2WKYf91IP2MdOHtPeveum9b8eINzksM4xg++kXGZZt
Bl4qfdhOEt/DiQTcxCW4421u75K+eJnt6pzAhPPCYRmfh7/VR2SiwoRHgzq4nK+quRsMHH0kyAx3
dv1ME3M7Z03UM3WCW7Ai2WHk0O+XTF10uHNjkd8teDA7TZ3/F/Xl2Qt+9rvUkKSAeO89MzOvHU6G
xTPFCjK90/6V6x60YuRJ9bAdc9tfZbf1xAbo2Zym5w5pSDnbt7hHHjqIRSxuHhw9e4A6fE2m5AXD
85zNV8PhZByzVzbId3Jyr2WZEVRr3Vodhjp53YBFk6vualP7/xcbhvTB1Kxno2H/q123n8ffXs+J
OSVVWT3DD6zP5sSaaS7BsjyWcXox889U9edR+dd0yF7MPLkStPK0fSub3yB34Ge013XNbzf0kr3I
K9iZx+0N2L5+ZQ632n/sncly40i6pV+lXgBljhnYiiTAUaSoISRtYBEKBeCYR8fw9P0hqtrurUX3
td73oiwrMzJSDBJ0/4dzvqNCx4zvKIlO6NBeR3P60UgwyVx0UZ++m3P8Njlojbn1PqXjYIgfn9cn
SlfeZXK/VgQTTfO9LyzYE/ioUdj7RUEVqO40/zQfqI54+CSW9pQ5tRtNuCKHu/D4WYPzuP5abkX7
pv3ZDiXaZfk2y+UHSQdP6x9qseSN9q0zmtCclydWji/pMDyj0P34e+kI98MwRkpYFsPJ28peksR8
NDK52wDAzeE2D9Wvsp2OJOk9tyCdE08R4PHhM/1bQVlCaz6TZUCbDHNGBYWfU7knL+tLKLJ87/Vn
pUcf6zeK9+pRH/QfSo0v+RCmCiK4PsPGe+pM9Ty2FuZW3Hy6emY3ALgw3Q8RSZ/op/4+NkK9rk9v
bE+YfJEvMMH1LO3k1/0zmp73ZVH3VBM/kNR8VDbVq1vcmtz6QK4RTqkd8GRyQQAnm6NXoyoAMg2v
6z05WkW4+hMyvpE1yZhRr16GXt7t+FtxJFtm/GZp9tET2Iv4bSw+/16vZRa/DKJ/HNviolcgxmQc
Tk32yzKzz/aHt7RPURCl0Wtb/JkjsM38CVe6D+l/j3Lkp9vDK8vDx1Xcx2Krq2fk2XChPPUsjPQd
SuhNs5xzO18HH+pWO91pdysWbcn0twxZX9bfj9FHDdphSTJRlqGs5efzC3709vd1OgZhNS/xIn4n
TXxngECd97n+KZy+fOcEfiI4y/diXJycZTG2Zyt7NxLxo+ChaCcHtffw2g8RhpHlNCKZ8bd5171a
rnFtObeadcGYzf7z5IlTkQQI3Pdey++AwvJgOqhGykDwy271asXJ63p5GcbaZe3MtvzV192XXsS4
3+ObQ0fF8ih+Mws7GDhBY1O7d1MZdGjNKveBd4v6tguLaiGiGEKBJi4NOAXbj/cpXLeUmtSlY0/t
4Zy52gvCikPhVifWH2dbh2SBz1riy2/G7Gm92eFO74E3fCVDvamkG45O/KZriKY03bpGdruJ6+Ji
uquTpa9uY/k+pvrvIdeokwyOxfplsspfdju9Fab73Y3qWuTXSfPvuGTBoJgYhtVLanDaZt65Nr2Q
RMIHn6WFHt9JtXhwStLYHHfvQoUc5mq/NNNh9sajRFkJZD9GcI7/TPfrvSe27sTIawDsgbgIHQvB
1NZZFfwGpE5uOYMHNTaEN89IOmbOBoDh/nBe8vJmAksE/3Z2U/0SVwSxpofWHUL02VfBIm/Kg+TG
JSEfGaDu82g4Y/Y5Q/PZ9Qyqe3GSUO2ixEag+rtOV6Oguuf2D7718kr2OJE7LNNgyDjx2YqbUx8r
hNBA+kQTCmM+JIhlBGNJyJ0ost7iWJ7HqtgwqXtc5X+RZ7Cbj150EgFsg2hsSKjMctvmmx0q5aVN
FiclDFpPIapjI2EkoreoUXhW2RSs7/NaUSJLFH58RtdOLg2qVOVzHMxHW2WPMTWHZ/9K/e7uDPI+
pPMTZgMkr3Xo25xpLMJVfc3L7OYhQsQfxjJnQdWZ8EpiVgnoJDaWg5BIfcU8RUbKiTSo16pXzyDp
H/IUCp3frYJmg6kHzLKc44Yfl70Xs1bwYeDj0mRYT/NFJVBNLRRiV/dDxi7q6frUMNqaHP/b6sqj
zWzCsfVwZoBWYUjy/d/ueS1c4zRmAe2FBseZEt9p551XdWXvhql/MWykOU5y6Kdsk7OkRKfBKCEC
TJAERlfttPVV8s+boQDbCi09hWpST1iVn8jl3PTutGcTvNGhh64vJsYnkhmvJQCUnsFBgUZXo9d3
CyZj8RjwX904QaaMYDVzk2HPCNs7mlq5T/TlohjeRp13wCQ1zRsYqTvDBSA5YwnKmMxESUccbb7t
rnVK8LWct200E9hUnqJo/eJqm3ryjrj82w15U2amDlUhrhjEjstYHMwmCbu52er2DASOuGC9ghwZ
gCh5QGG6y0jmpWohsmtH3njQGvhyTJxK5NWL3x49uM0XSPFHinpu7t8mEleUAjynSF0hV3rz3bMu
6zvA/1vr5fVTKGKL4X+77edly0rvji//Tcs6CBvi4oNGqXaT8I+SKESmCpKBqLwr+HSaWYZ0/R9l
srZqyRMxOR9pdE+RMqnKOrrAWqdr5E43lP0fEQNzuqxaCXQ2gStONl/9pYKm100vaMnOQJBvCnVB
DRI1q0luyQ9p2oXrUwCE4MJ5k2IR+hodRjW2gS7Hmp8QyLOkpuVZN6POah2ZwWm4B5+SM6v843rh
9Wgw4znaxYTDtxkD+1ELxqgNW57CpL17Wc1GJy0usBrfrBFMaCfJH87g6U1fkfBZLM9HnVeNNd4y
XVbMBR26vW2xtui0q77K9jg88Nxem2h8ZmFy0zONI1Bc7HpEpGpt0OA+lJxOJo6dtTRtYgYcS4Db
+DLadrD+Mjc6jFnv4A5ca9hfCpfTFEzPjAODIGochDQK/L0s4H/Cc/TKMVA9oYLpvra0Cx3JQ3oe
o10xx0w5ksfJWUJ01Lu2Jnlz9vfcQDtgVjt8UqtLCPfwLu/yrVbM2/UfQ8M7ELYW8tV8ZJeuOAxW
ybkz/1o1FTNCRnzB4XoRAq9+mlVxmzsLnKsdTH5y0pj3JU9MBI6zdY0VYsEKCX/nPRaWC1elvsrU
vBpeG4rID9PkuWaDa8aBHQc46HY9Ayutu4/RdZnpBu06nLUldJbmozbjp5prT0LUSuwzAk8maADA
oVqUWhy2/FJXg98sN44LWMDhaJV4LhVZj+m8VQhDTXIfO60No0ntzMI5OyzGxwJIWTbuyOA6eAIF
65ScU94Cf8QzPe+dkTC2rn+rUz44CjyJRH7t5uhYIMO5z6z0f8glOw7AjI1f60PlNeA7EERDY/Em
2M2JDC3kKOnsfKf5YRQs5yYDIF291ycz+NsdWv1zTCuT5eZ7U4tTL5NQ06F/JwdrLHe1zRzPOM88
KiVNoofD2VY/C1uDQcgGqM0vMHz2zUFk5s02cCBb9t7UOGEGFfAbi/3YY1rj2IHotqqZDm7hh0Xj
Hda3qf+TPubaTnN58wyYUObD37ecn9VZC6Gp+gOzxTUWA+vodn2R0Fs5/v2QicMDz8rnwD8zsySc
sFQyoA6i1sASRRHAX1MZ7YwR5nD1kZtR4FTeYdLiJ8Myr52wApjsT1Ibzg2eQyZkG85WNgiEnUDl
cqJXbUGJkczbKan2qGQehtWSNwhGCXWwHsxqUPtEgvziUCVs++9ZLfjQfRGSEswiyA4Yze+GBA0t
ADvejTmFPV6VwegkZ7vmCVYy1FzoHPEIHgeFkhwCsltOee8+EhdzzAz1WrOGyxZAT8ZwIE3yiEmf
65qozshCMewTY4rYRu+wC0wBYeaPeekd0SqeO6lAni2/+7bl3yuYyMgf65OcQdrFY3Nd6vwy1tqT
41NrWQhpUa50LSFviocO9gW76z2KsQc9rk9G926MrKpUF5Z6vS2SXy59HeSBHBZ16p3KugzQT4dM
krbrB924SDdksZ/t8pg/QTIMs/wlrqFV29ZVkEqKAOrotgROV+oRJM4R1sC+nUUYSbxqEdFENnd0
016Rdl+j/NJW1U3KEg4QKWbx9FxnND3QeifpH1orP6CXPRea3BICGWaIbAgW3+ZIKwQfA8zyrbF4
+7lkZUrJ7S3nfgZ2vGD87nJUW1Zj/c6N1AxRGFVp3SBVARZl39qUfAAi019NktHosAnWOkWTl8CJ
qlkQF3QCEZr6/88HmdfEkzX74/+MBwmHn/PP8uc/gvZn+fXd/QcoZP2d/+KEaLb+TwdrlHA9EEc6
mRHkPPwLFIJhkzQJwxauzkrOFJ4NDuTfeSf2P13bI1bKI2BIt4XpAx75NynE+KduuMLziUIxHILc
iKf43xkYt/8570T/zzAj20G67RDPB8PXMTyD/8ER+e8xE26FAtdbYug6/Qji1/rAHsG2xZtueBgC
iFybrO1+JiP8S83UbkVhnQdt4JipEuoYtFf/Q7ySjhHtP9glvCYXFDN/MMMmaNfj7P3P15QKm29y
PqG81tqTledQD0oADz0XqNHHgQEIMCnLkKsJBmzi+aESTPOEYpoxPC6piWc5pqQpIgrYCmGs1oiA
ARz6Rj9/z/RjoZYy1KoeQb1ZvMF5/HBi9PzOiGKb7Net1VVx4HTV7zLuoYY0Sx/4I9RNqzAfGYiy
6ye2FkH+eHVMTrTk57jmPdhENhF9SlGtV9OhqXsg580R3+B7k8yvsxkpsMrq3AO8hiftoQxP2Gd0
Ad/o+djN4iwRdhwTlEecedG2czSan9mihzEftGrqtyLxXtzMAJ7Sk9zEcAoeYu1vku6ofPTK6566
YL+7i8bmCEjlG3u5tmR39sYq5ULyHOPkTKZ9mc0O4Kw/BiiAT92o6VcksVt/YoVcmAiXWOTfrCyh
d8MLLFWhhXHb3M3cI43BRfVQmKNE2QPnUi6q2PU1V7OI6bfz2d4u7nhqcVdv0kIN28VcrmTTzk/5
CLE/c4sdVga0fMXZzdNyo+VLts2EzxW7RYU+bBrKUaRGQxa6eDad2MNB287+cZzeagPJcyrXO3/A
ykIG6ckwB5yLYxLQxd+SfFSbaGU7Lmne7eJYIwd6fizI2d7N84yVIPpJQiM/ca9NyEjWzRx8gJFR
zlM9s+CzNb/dIk76VfXTzu6YK3jsZh9MK7vPlfVWElF3G2uYYrpZaVs/o2v0qGjZnKa7QvY7BIHd
lrBTHjPq8NRcPrPa8YEUs6UAvrKs0zh6z4UdrokQxNefpxYdG8MxH41DzIXM0sTJnGMFcwf53iy2
/kfiV3XoJM7vuIaZOqE1QuMyPQhnDJjGkHYw6eoBxeO9JcPE8NiUj0wWd/XIJyAF8dyl9L6NzidO
hOevg2OxwdeN99cx0UUSt0DmEnqTCUKDEesFwvtAOeVtHN03DFBfk5Ml29qeh8OyHb13dzC/43nG
x+46bJ6XnTCzn0iXFyRK/a8iE8hv+va5UMln5Y8IZtasELVclgRTuD2xwt+gVLo34OUtZj4Pturf
9XiCXu1eLVQ6O9UzAk2BROvWuG7GfzoGoAtlZmctam7MLnuIbvFn7+Cv8dpvaxnwQzbtabRR+yDx
UDp7uUXMZ31qj7OpbCb1yz4T1bCZFzAqDanYSN0RTBui32qieIp8ABOO4nTro/40Ri5cPgmwnwQL
0eOho5XnMy4V5okl/55N61evsF2o2UG7wGBJM73fWi3udjl9dzmujtk11vAd866Jn9OchHm1LqMX
wpwXBDVKoQlBG0zIEPUNLsSIcwEbgADekp0tRGB4/fLmZVxR+5M/XTqh7/2eQPjBss+EFCi/P6pV
ZiWNPdFkP2BfRFEFGbGlbxEN6mjdgvIoVjcLGyDvwdWtl3pq3vw5+93V5W9d9ulmNIn1WdAjqWag
FI29h8EhDcAs53CsSB8v7W2XkJ2mmcV3UhAQUwvcIBFCPJUl357tXNihiKfFbc8ICs1AugxuhI50
M2rOBMt+zg6vyYjf3ag0wlIwjjA5PRkS6EVQqyNH2c5SqkQa7fY7Um1++4UkFqX35c4ghCfw7LQO
kgxtXJpFR7tnw5VAbPsxqPEPNvowNRO5BQn1LQXxk+1sv5pm/qzUdGEeUaOCRxBXJRyek8tQ2Jov
QNVuMqdHNvRHVip7aVUHOyVKXiscxoL0mIlrL9s00gJEV5BdLARlHUKPa6FH5HXYHsnM2hIUmcvc
HOVEhOx+nM0msInkYOsNJ8HwJOSB9LPvyPJgtWhujKRnxoq7UcajPKxjcN2iK9VezLj6bNulITiv
fY5ZnktRHWoMmu3EotwrrW03AypqlI8Zw3+pGctIldyKQfyx4LK21ll69R0NABmIAwbmMVfDyjrC
xlr+KboakjGgeYgQAFOsCP0Krv0W5RWiGzwkAyjoRcjyLVIepu8MTFjTkF+OretklUz94nuZyQ9n
KmxCUAqafnc1rZNL4DGJMXt/i+s2O7s6noB5GuaDryfNhtfrRxlzJAvwRAYVFWf1TVaro102V2uQ
eLWW4SXGwMbqLqY1QJHd92xlWg8vXoWt04jjs45D+EfEhpnU548ha+qnsQvKieyoZBR5WEOI3nTD
r8VjWTtimDvAWsdHZFPkS8vb+dBUDGpk3Si+rZHoAZiyG8e337skrV5zT4mbLJajI4BJJFP/rrmd
s1+W/r2yrYeKMNcfMweABV01zEY8bzVB92ZC98MIdkpM0LeKQKAWCtpR+si9hPBOi0H35nngrGrB
HLY2UqI2snZmjKydmX482/7eTmKfaIJl2QGZYTxf7+a62tm00e6qiG85CjI0Y7LNy0POJGsztB6H
sgl/32jTQ1EM8tkrQK+VbuaH84LNBz9WofmXcdI+/bSnyzfjIcBA+aKoOJgxuXR2ReejWjnVMtOC
OEoe6x4LG/ROeWKJR6QJZg9FEfZg4tt0XKs9sDq+9oP7ZDAIEK0yX3g3eRA9hNB5K0OsBr/dGuOa
bW5sTARMmIetavwmGErMryiivX01cXj5PfgLjAhvFHM4gtNxG6F3JuP3FYEidw5UbfJ3ImA7C7CT
EziRMzp/7gK9PQqPxWKba3hDVI6dvcfpkxYu/3p1zRPEH23BzNywG0lK7GQgGaAzLus+bBxWI3is
ndCR8jmdaZhSZJuoThza6nmiI8akASphbi6Uk2TxpNNJHww4dhEhP5237eOKmsO+F1P1bvnlE+HZ
JP4hSvfG6oKG9KfXSg5AU3tIi4E5lk+UktMcCAcL0tzTTjpj0FnU1XOnsU51LFhCmpfvRnzFm0V5
8c6pZXvpGiDS6aAVO+73+EmOy1nweB6Mqf/Z2oqI6IYvQKcv2W7x3PlcO/keIdhqlB2To99D7NY7
PLI6+ATNEeiH4oqZ25gn7GPT7morHQt7pObt3791tYwIlRXP0IAvYxm9yC2eSEk9uJyjYZwfhWe9
G0YeTtyiu6idwUODZbiR334+dAlChHKaNMpulIMeDhPGZQYAnViAEfBy7wFJ3QH2H5sBMhtBiYCt
5GHetFWd3AtNO4i43URuLR+L0To1XeztZWI4Oy/VT4Vqo+cSV45Kk1c76rWLRjcdDe5yYD+PzVxr
dlVydKwOJZQGQ18B0w6qOSanBD3PNMd/YlzbCPwIi27gDuueIzGGwWOY7cYgrYQ1mGDW6zdip5s2
SiHJvIs9Isj5NiVPK8vhgRPZFY+zR0JVUh4SZv4GA0CECBTfFTadMMfbJvD8DqhNK6ggQWohRwAV
cc4KgxLN8/YatUjKCqRZkj84rk5QRsnKwrELloDMh4asgnbAyAuNeFPkoj6h+A602XoZpSvuvS9+
AeLJgjjR7Y1McShm+bLwhenHD4Q222ElCQAQsw6xp6331vKqatG8Zpq/ZQDK2AD/zjUeq58IMOpg
cZ/E0AiIEm530R3QOwles0MRayfQEMnWnXHr0xbSFKV/JMGoW8JpRNBYWNRGrHPr48nbq9U1UcXb
xEX0BrMiCblEcQMQ8pWZlkFO8JtdKoaOGbNo6l72GEL5+8yfa0q9GeYFG59UeOXzgbeje4jdxA9I
kzBCLaaoWfL+1BZlHczMBfXeku+p+CLM6FAPY3PTplI7FTWJaqW/HPsRodBorjA+CZO1yLry1Fkq
yHOUPTbCtD3CmJRlm/pakDqxk2/rgP1sHZqo+6K5dnZtmrMJwSeO7a+1T9ANbDhCFWsnLIHzSF2o
azzhsZ5/jIKJX6lnaITY5FMc1uUOvlSOAxHzfDuI5eR9NCPI1maZ1NkX8oJid3p0zaZ6yIT+Vo6+
fnI9nIN5MzundtR+p4b3J6pyK8xIIT0sPeqKqQS1BN6QDJReYSWu3Vs7pV962ddBOjXjvoQMtTG9
0t2ZE6tG5eKryo3xTqQDWLPkmWdHD42cGxW43VGx/WznqTj2qAuhlC+HvAG3hQjZPg2zqve5wFmr
7Euq9ygYKON3puvYgaqzL25t0L3t9Jk0TvIi4HD69S9vIUl7meWFttW7sSQkuKHwd5wNzS5p8VYZ
Zhuxp7BwGwq+YJOoL5EOFaqnGAqrwgWIuSTUVY3/0dSV/YaI8SuVQdzjS0RFV1+yxPvK5QhlycNc
2cE76CcafIFVjBNrNeVi0DQGv2WpNT9jVh72U6KzLYC7oeeGOPaTQ66BVnBz0YdQgIa6dNzHQbP+
ZGBrhBwpsCROgnS4rnhRshwlZ4xzKRbelcz0kWKRQzGVzPiMm5N01d40yq92LowdlmISLmwXyVdc
l5uomH43DR14UTGLcCludzZz5LFm14UV1nx2BIkyEawfmXbmhW/Vw7ygNBwL4z3RQM5Ds1qFxY95
qjv7lqOhU5MWEEM4JVHgFSNKdi0eNrFTgQes5U9/iH+Qimm6RXMg8INv7VA3Qab3z7MDc6qigkfJ
J+moKBhQbt4I5rZ38EmgogLaiQzzM5P6dIgd87PXU21fNC8zzn8MOO2PeB3512bzxH3AoSahrlpU
wxg0dcVRxZcmMyn9ucgpQZCv7aeOKbv7p6yaaOe4IFQn2ocwK41nx41uGVZSwnMx47egLnTMGOxs
HSckr4HtLeC8PENjrGKQiFPBvNblUh8YzgM2p2opSzPAtf+hGdVXVonlImr/QVElAmI5OPmMJ9wo
mKwL1pnOMuW7ximR2MEAHIviA+oE0Sesx2yUdkogwE/0RmEo6b77gUJP6tmJyfJRVYN2yHz3AU0X
5sKooPoQmdrMIz4AMj/zU42KrZqQj2IvoyrozW5LwvthIkfjYokCkGHcycBVqzlMeLfSiMA3sMxT
3asNK3HfcTIuaAftyHjFc/+6rNK2wvMP2N4YryWX1FLcdZNxR63+3sEC4WvjHfmxzBVSb0s6XB9E
EXgTU3SvXKdkPM6EphWUCpL5cd7Bj2tM3eUrkoNL4o/a9e0vchzcwBjW/A/FbCpJ3O7YAKzcwdkS
22zW5V5DGvlgtf5bJ+imMjuqVk9zvVuUgGLi+x+li5Pe0SDQ+xkBx2bM5IR6vOmpFlIsm5AD4vcC
HRY0U307yCbgioiOfRs/Abr5loRwIexHeQ+b38GwQuxGOw4gdqri2pJV8uognD8NHHBjsnOW4Vi5
lPApCNFw6PO1fRn/cAd123VQ7baEBCR+iSYL5bRkdjVZGjmAKfrOiftjE7fGJ0cobWwG16eLZ4Ya
WUtFvXy6onaBo72mqfmqV51xrkcsqS0gSArz8tAxFlhtnNlgPMtlGTFYRE8sIMdivg0Wl4PIkopB
FamphfXtZqA4IqNfjUUNm8OMonY4m3ONbY3Ro1SZfeyEZrA5i51jUVI9aDXxkA44tgYqSSRK3F5I
SXKYo0tPISJN78VfhjYYFArA2GWsxeqhxqPrElvvlvF7hx9Q1tVyNYu7cnL85GODsFQz8KK2NjJn
45t8EXuf9j2oYQV8IV7Y3eccFV2M+arTWRppT9VoGtu+6DgwTT3MvG4fxfhOSSM8lJZ1HbsV8pQ2
LGpMjFVapv5wNu3dQuWXChxCn4756wjipuHhoh9l2trKEdQiFNyqKdxT75h43lHw50n8IgXrb77w
rHU629zaYnwbELFilRGXDnCp57ibAXreQ4uoYlQx9XKv2wi6uyBzl12rymnPs/9D+iSLjA37Knft
Ylv3abac3VII0JTx2i1ZE3C2ISVOMnHvUAKSEB4S5sDIcLcV9hZQqFMRqlp9FyT9ITXUSOO0wICh
NaEwQP9PFeP4sjnVOuYF22B/EvmoIg2mN8KoOsiJT3oLk0oS0i3IiQgpDGFnlEGJe+gIgTi5DHLc
YX6RJH/h/56lPFQpiyCnQLFgkS7iW2/YOG/R0PVX7NaME3x9Y8lOMuygVwKFHTKnQC4T/Yx7WFKF
8LRtrBhde9b4ZVde4MiSoGFr3hiCjZejA/3Hjj+Yyz5qtWvfE3GMg2MjJr7uwzjqW2p1exd3fPWc
qv2VJopRoffRlYjlSKLMY/DelIZjz9TeGvwNIrHRZgjYl9MrLzuwCutl9lCNDYgqeseHHixuZT9i
35v9d7TGPYSfms109OQlabqbzKbdYsndtnZBhehfBXDznWFiABnb49irs4OQw3RY/lq6QHifcmtn
QOO2itZ71zY1XifmeWVUlHjhuWhKN92CWpgBwmnx3pH+RztcUobjs2E/Z+508RuC00fr5g4NvoPO
rSkCo5ehxQwTIey2EwE3S6zf7udFZm+AMo1Fu1YFY4/c+1HjT30YrTMT2lNnJv2ZbKxLWhMRkOF3
5F3+3fEt0e3q3FVoukWd74C/MLYVDyMree6Q6ado965N4vXAv2BGHhLe6NmY7TcOZRruGdGZzO6D
4HMp9eU8i2zalu7M22PcXfLRKrp8QmG+Y8N/zXL/0+j6w9h5V9GOd3Y0d3zH2NEytO/8qMq7lDnh
vm6OHVWqB72LdzlRvY6BYKWikugbB/5TRHwClMriYNsVKwXjsTPzeScLZnpeLhnVGtW7njH0Eelk
4iePyUPAdpwLvhHxNRKST/uSyvpN1e4rMESx1XxGalFctSeTHGHd8/eaXv1C9YgjuFTnsTenzaJb
Tyx/7FOM/eiCYeruTNrW8eyPyLaAcAnMTtQEDjPVqkGVUzBMJFKNwnuk74qM5mIODm+ZDjtYJtSl
q2vIdj+mCo/f4KAPtmJsWuVo/VCW4RyHev7manR3vaqQjNvGua+etCriJnb+EHjxPfRKbUuHQW9l
or/1hlDkGZaa2GUrwF651WDUkaPB9iJhWxyBeGWafmLqDNqvuAp//pQeEi3hlMj1y703GF+1UBjl
mF0mDhEYPpf7TOBS33z6f+GKvXqkB8JQhrd9M7BLydof497Q8kOuDRCeStYEht2GWdORboibEKdO
djVvZdFnYV2QnlQ7ya+e3jikg5SatVqh0rcU+nnAh/wSj6P1oGnovWo9pn1z5HnR3lIjuyCh9/cA
ZhhnuHYD4KSnzcMBlPeg00aPoUHeDUeCV94sGLQbc3Ju2bK3hG7fBj2hjolQMEbiyawHzAfJGEIS
v3t81xE5jVyZXthH6VOpIDzUUh/XYS8qOlYfmtVaQeOXHqNR8ahHbrzVpQVrpyvYD+Bi+P+r5b+r
ZdiG/7fd8mfFYvmRZ7b9mf/j9/c/Hl//8V3+A2xq3RLe8V32sv+v/8y/Fs2m+U+fzAndw3fps9O1
2Bj/a89sGv+0fdPVfYtVqqF7LuvUf6+ZTfufhjAs3ScoQgge2v8KpDAt/nuW6QnfFiuK0bT+X9bM
7JP/Y6frsua21mQLw/z3nnnNq/hve+auzl2Tmog+Q++ejIk1TOnhLvOtdMVtxUdAGM9dagU1GeJ5
Uf10OmaCFesQsgj2BDceptS/yxFZIgTq4wLFFyfwqym7lilObDL+cS6WS260sLUXA1OWV1QfdUqI
IRGQFJM8uiMoEiZzRBi4+LjzR81bapyZ5mGs1y698/Cl65ccQOYa/YD0e3khnQVRttke8N6gjjHO
ZVK7l3wsvphQwjqG/rjRR2jFg27dkNV9YTp7cwx1ydP8eZLptDeA/FCNN+QbIeed7JdFW4OWvHO1
mDujZ/rOJdMvP5bGfizg6JN/gCJwhXen564pzuhjTrO1PE96/Ejk87Zg91nM5AN6zSbvJJCBsnud
6/gQd+hawNlYMCMR7x1MATgQ5xqjhTLlmzsotsNiu0BNSgXByFm9y5NP0/o2GctgWgNLAGILw9nV
R+bqLtzFFp3Aop48x3sZV5C0yrhyXVTzozfsJj26TT6pUCbj+KX5YccjFx40Bk88mzHTKw6YbE3Z
Kk/14v7SG+1SlK7c6VZyzsrn2ulPkVvaDy7A5IfSxFaRTSfiDbdzzH4NGtzGMe1DrVIM9O304AIE
0cdx3yDkTlEGDmUUjFrETUjcKHFsKdU3kPk6TGbIeDpDopiSPkNIWUUQkn2+N+zyQNhl9HeMSzo8
acycX+sSbfECAFrUfIpkoFjzMAfAb4D9zajVB1eiooevluVldxQazZe/3FuLCXeTee9MgAInz9iO
orbTLP9LSyJJRzZ+Tak6MJxBscUs3vRy0u1NyOVL8qZYeg8c9pKULSJBtr6FLNxKHYLA231Tkk7s
j/XvpDZQOLfjS51GJH94n4riDFXBZ69BU+QLC7y5in9AMf1se51ewyWMCCiVzaamLLYLuXcmw4yw
kHoClUwjatB2Dsxt4guPCqRGdgUlAnACQ0vO7/TiFd5B2uWFWQRNqvMd69bFtep7pcoddv671t9U
Gt1m0/7jJwO8c3d6SjqSBy22cGN5wD+7DjAR9DYnkRLx6Ujtmcftsy/kV1nWT5OKtv0k3n36OK3R
v2dkk2nS3AzQlQ9ks9AWE+a9lXHNp2j7z+wvaEiiNXeTZquZaHB7ipdmfklcejOrPg9ohKlyVtMd
hkAvtn5GhRlKE9Qtfve4FKz4pkfZzhe99V4Gy/lf1J3XjuRImqVfpTH3LNCoCewssK5luIcWN0Rk
CGptpJF8+vmYVb1dWeiZ2b5YYPeiE6jODOHupPEX53zHg6vqBTg3Q+rO9r4TCQN/8pmHT9uABW9p
21Qh/Shj/MEeo5wG+Eaar4MIqLWupue0It8rhgQQLufv4wXdQbXyXkTZO5/oxapIGG/nGvUFWhmY
N3o1fbxJFU47g459CM9FlR/QH2xUpm8I317WBQJsbic1wqRMnW3X1I9j4FxKTT+lU0zAIZ1OkVZy
6bQJQVgh/slW6+0lTJKnUtTsmN3m6JX1YRzwyNlkjSRQ/LVJ+wZbra1ZE960ViapzDsA8pOy1n96
Mv2hKPobOMFrGRey/fd/c/6aNGTrjmOh1HFs3RCG58wn/59O9tjpbaMXRJwyImSiY60itCAakGwP
yCNCF4bugBjq5EUrhkPjDzvPNmBvdAKvb/EcjuziJvQRZtjD3q8dysR+FwQ3eO0bCC9kgb/42POl
jZ47EUc9AKTnDhwvA0IcD82IzeUt+31PwAZON5ppxL7+5G8nb6CdJ3BgRBPXxS9VjKHQEOuYLnPB
bJgrqlwIZLxdRCCSamyc/tO2r+WT1ZBUq1lrwjY14MyIZVvzYwCZ3IxGwOw7PLlh/mwpcdfYBlQr
5tAaURh5jKy5v/uv317T+lWhNT85XZ1wXJ7SrmXByKNy+PP7K+uOZaPtCjZun2FnvloRSfBN+GAJ
eSnL97DTt5H+Q+cmALZ1IeBjSTeEnPYOQcUhtu4L8jR9f0Ik2E/7trYI7RwMZ1mRFbr0DZMhrc/B
qQiuUajphcImSBJfDeUniG4F3lFSLiWQXQKtFcvdkmkl6NS+6VAuxyRq9KsOQ0HlqXPBf+c221jH
0PZJzuPEjoJPM84IQWQBVDvh/Sz1hE2671Njm/qfcV5uJ9faOaV21FKCc5wUEg4swYAcjAG8WYHr
YwBxu5hMpF2dfyjJR0Ip/jGW8iJQipsB+mV4mwlo01bqT3YTrnPoFTaiAggEYgPH5Oq5/ncIoiRS
3fPgTjcotZZ+glUP0+RCucTLdHLXExcQ4V6ZYBHm6LlcADg+T5whqiFftWxRMTe0kGKiSduSU3QG
ugxoeg5stMpt2NGuAUeDB4vfwmLfnbpXP8xPWJ7ukcxcs8Z7tQz9rBXt3pba16glb75y3mL05WMT
PFYY7qEXECqDB23l6dEVBM+OxKSNnAwaP7JV3LbdSpF9+FnLo6EYac1b9WG2ySaKmKmwvG8jedN6
yHCICHgvBHjsTL9BEtZWp5Hbw8nA6JEXyXvwFBkoxbryasATSMv4OGSw8nzhaNvMIW4+cckcQJZu
iwVdK6caGVpaAYPY5Gw2jklmHpCFz5hkCGx6nE27SBnXIIXfXFjPMIoPCPPPJQTuOkAuAeuMuZi9
tug9B+xKojeW0JyJX7/L9fq7r43PsRyutYS7qqJHWo+dI+mfLFAwYSwu1RhsOZFPENtv08K8j3nB
3uhcJ3y+i8q7CbSaTHge00lnHwhzxAc5bTqNNBlDmfuQOx5eDKqYDGELNgpWU9HGDcTEYEbNyKbx
0AXVXsbej0LmvJ3GuZ/EnQF0aSE9H3lEqpHsEfUf1YzppeIkDzvU3xz0koiAuc4dbGaiW7VBcae0
GRxVQVcfe/MuDrNXn8pjZZh2um90+zIWAORN467NW1TDw5Z3/k0q+8KQEf8XQiBizJ3SgC/j3oQp
4buec2c7pIk2xoYV2QYQPG/Y+B4Z2aaG6ddIHmuRt9dxR2z6uDxYeXaNCu0SJtnVQmQIbWszWcVa
Z7O27l1EdWYZP2W1zpttcQ2nJkMWQQABOwczpJz6cFne+PZnL1l+4+p/bC3ntu14VAuCmxSzYs7w
bVMEZ19h1lLOQjT+2bfZk46O2mJntY3nKDkU5ltV/dBS55GKlMqxZH/JONGIzzqpocOZYA7GqgP1
MJNNaczQLv1RL7Q34fSXJB/Il49bXK/GBhDdtXKYV8o+2oCShEQhBe3y8Gj7CX677FmQOuyMatti
CC5MiOCdKVe5mLZV/QiD92jEwyKX8U2pVRvfbu/SOtgZRXBbSH61uIkObgl4pDWPWeWBdT2UCMRk
dO/b6uK51UZD1t0m/fN/fbobqH+r31W6PxXGhu2g5RWeKYTuuzZiu18Pd1ckOZfNQMoyDE4ko0e2
ueua/SFDbnYnHUo6rWIvU1t3yWA9j9ZwHkMGviJyH90Wg4liH+YTO1rY2qc7Ye6aTRcjwbzsjZF9
GyeX+ezPX/pfCoQ8xx9N2Zbf8n/MX/ZRVmND2pn8qUT+x3/dvPfyq/7rP/nlK9r/+fOvw69y9S7f
f/mP9c8+9xbw5Xj31XbZ79/9j3/5f/qXf3TLD2P19e//9lF2hZy/G3Kn4s+NtLCF8V+qvfdt9j53
4uf3f/Z1f2i9rd9QcTtotm3X5pM1LcTUf2i9rd88U/fnR7hhe5ZhzJrnv2u9rd8sQf/te3Tp9CGz
BPsPrTcKcWTQfFO+SLcps8S/0oT/WqjZlqszgnVpwD1BUcF3/fVaa0wW+uYcvpiFxUrZz56GjJZ0
BRtP639zWf+THyV0y7Y501zb0c2/1CydAbLfbflRSsuOJsJMM5Pg4XzrGo7l1ojzY1wm2wZiGdXU
U1Jb95nMFqTVMrmyj8KtdzOnHcUGQz8G9un4PFnarjYnpGjp0a2Sa0UTkbXlxdG0/6bisvRfb8qf
b5QQvonM3rKZijiMUv5ccU1VroYYn8jCq3u59hBId/j8FtbEBjdCCkIsSkcsu3Wp4uTDqutVXHpk
TFCMTPGdMo51lT0T4HHSVHPDvmrjvVkdmJYgDvcmVPsFSQzJUvegBiNysV0WmmqEY4NzvLojUL1b
Cn1OxcLCkbMiaJwGUhwiajZ+4zEMozdV1CzAdZJ73Co6KsE+cvR5JCfXeiSKp3AIeTcIrY7uxtw/
hr13JMCFjFvgLW7F4FjUpGinWn+uFBA6mc1SWZ+UDGxKWCUhmPHAk5n5FWFLpDSMji78Ah8UV2u5
x7FU5wYQxYKMp4tRt/CSieVLBPDIxnff3TFqcDN3Sy60W+qNWSA94CYeN6A4D6mubTUzfHWAnzXR
PMN2WMNQKQVTuCfWe5NAPvZDGAH9TAlzmHXM8vY+uFXaHO9pIYqdxD73yIMI0DG6xkkzk2sUJbei
0HZ+ka1SI7rJFLN7Lo5ixDFWepCabFyN0D+J8oq2fkNaQqHWY4siHM4g3rF1jiSZqSqpdYGxLtu3
Xgcc7XH9eSUeA5RnMrkjrXQrfFqDkKVzZG1zSONDboDCnG6SDKzkPHkyCAPO5XUy6hv8WasqS7dT
pvhtnCNKjLWqnHdviG6rsARjgeZc7AsTkasRX6uUVyRVyFKoDO8CtkQhiJ04ijGGxURG1MZbMPin
FL+tssQJRxwr6BJoI/Cqc61elWmf8ZXC421YZiUdbKLQyBcReRxlnoLVpo9A2y+eMR/SMDuoAAAO
/rCj6D50nLvUUjjn8zkCpM/gQnnoKMfmJjBtnpsFFyzHC94LbJKWr7O9Yq++iNQEqTjHkDG1cmvT
0+HFbzFSJlWwjZH7L2f8KF1XWW5gxhKmTH0oOTv3TlJuGsRey6mWr2MbfpT2Z5hM3w2GhiYEu6Gh
H7WmZwhTONhCuksqnldHejuIlWoRJzoMy9nX7RBM2k3ZupjvUD82ATfVArJAAsFfG8yTkRXPkhma
L+FY90Qw+GF1k0tcjACz/fqGMLytnnBBDKT/6BJem1dCDnbeWJWuJ2cO7OoGhy2hB0N2RpWW6RF1
/UsZ8U7oqnpxrHpH//ZQ8knLnMRMneFAaXCbF55338IjoYVfeUb1EY1bbWpf0ZheEze/dGPCZEOt
Swz0oxhWyNlu7HRXVvY+1Av0o/b7UM1bLJ+FW/wUCkKjuxod6YCpsH3xzRoZCsFYecbPk8EuZ08Y
WMF3xgQVSvjaI2Stg883Tt6dDXPKTex3xyqwx8lTsKiJx114KTPP2R7qu8fJtN41AuZGTHyt8L4a
Ve+Gyn7Hlq0mh4bMOCV5etVl9ckCfFm5xm2QNzsR6ns9dY8ZM4zKzp6R62a2s8v69Enz3GTpyfRC
SmKXVfeeL/bNKLfhZGH7687GNOCvFHtUJYgQEACBOQWMxUqWOBMiIPZ+m13StGZb0147AgiVJJiq
47rTjIi0WPBYiDVkGz9aZb5C7LBlYHf0lXZ1lXzhYH/vJCHDhOYM7krjd/VEeyjS9NpO46ZGD24B
DXGcZq85ePFiEs5r2d7keXIkOnkLoZWU8elNMEQZg2ZH/78CBfbYlyFMG6rgmhOrim4xVT+3PzKz
sEgUYJCVQcDNRIdXMN2Gps0wX2OcTAs0+RRkuNdRdqplTSByjDDZnwZWvrFz2yBMZeNc3TR1dRME
KHbRo3YOGoqhct9HQz/960Xc9qu8ec+/2r8WaL9UdKv7//Xwt++y+dv5fvPw13/5/2IpR9wolc1/
btxb373+Xsl9fH2Wxa8J3+L3L/5HxrfpCdM3saI5mPQozn8v5wz9N8uxHNd3Baw513b5gX9Uc5bx
m+kazGvYt7AFYeXxv6s5S//Nc3RBnedajk6xZ/8r1Ryjtblg+3PzwOrVEo5OfTWvfDAR/lqnML00
0SEBxGOqhv0ohMmgkAbTvBmLGeHQXKHl4aRNrrrlHe2qeRw1b5sSVcGkGymJ7h/skngUTSoa+bK7
0DC/2caN1iePNlGlvQsqRmnawQ2DGxhdG3e2WgwDInWLuErhvHhTfcqWo0TWAYxDzfkqUAkCgMYB
so4Iu+7kExIHeKFMEzj56UbpzrTuXJrxzCefWy/lvtei9yZuH9B3pms9EOXGsBkIhkalVtqUPyHw
Y7nP2bzQEjTleSofA3D25pjMcMGU9GngrRWV6AJG20/11YM7CvwiBA3V1Vm3je/Kd2+rKBkO+XCK
S/LtYNxBDJXUdCBGfITkC2se7EYjZFetYwSPdxeKjEVEn/uqqnykT0W0ThIaGS733Qy49ofgNVYe
xPtSzXvSieHIQlVg31TkM7D6gL1PsI5Dm8s42ZndR0OGiLhhA6NR4EoDhh/SeNG0F6YLq0ayciXF
HIWAd8XOgMiGUBtXAhqS05kQ5GuC8GodIwyCvIs9fWbEJAWuMtPs3hy3f9cVRIZATaQCERGekp4g
huwUWDX8JngrfXrJaK2l/2TzyIgy/ojj56ZqftRxiP5cHQavQK5dRitwpffzaNOeziTiUXQhFejb
7qTp2smImI8l2bdV2UdlRje9cEOs4MCV6IAekFz7i8n5sIP+KXYBtdlz3rc2HHVBZq+vQ3fLw7M2
f5q61V5zUG2RZT1pRXGrZHYrlcGwaIS2CCbadWpExeCOBWSLBdJG9Pp0pQvSjh7JakF1iI8aWs9C
suYY1DVGL7YIKv2EOhfw3yDvwcUttXTmwHSEbUnqvCh3CGf17glK3EFVRgOGAm0WCjBYw/lPpDWD
5WOus98x9P6+KLE8xOKNIo2RaXvA1m0TXIP5CEyRmCAcsUMBZZuT1BBW4Ix79Uy/8ww8nuIcdi5W
hKAlCYMUhy4WZB0XJxJAd27/2oYEWKVO+K5F5n6agc7og38UhXjM3XCtJVQdEHQeSDSGZasrAAaM
hkLo7A0Se2Jam0U4UdEWxaWN/Hrh1NaHNjA/k30BSY94dQrCZdxW15LgkixUjz//ltEjGkae+ZgC
s6WpfDIDTXPboRnWsA+APtQ/4SktIi84RjHpDRaB8pXuLSsj+6Hc9lX3+m/PGn+wvXqBqcraMGWG
qtxmb5SHwoHjaaX5lWF+u0BOdLHntLlD4gbUujwDG7mhd84oP3kRVoeA2Ey52/S+24xUD6M/rkmg
P6lkWhu2urXQriNS2iC5OuL+OVRW/m7PWXVP5eRyDWNCGkYLeWQIM8fbW2zZhlatRCCIW0drbw7V
Mrfo14qe9EZjxPzuhewBytBajp2xCpT53KcVXj9+OH07L59Caprv7krqa6aKi8wi5w4vCqk3YXsx
BnSiLOKJowtXXoI1anS3PvQmIkJIPejKfl0zXWKIrB4rm1ZImyAQB9pwnfrmLnEjZ9HoNF2ZPJQZ
2+2+05+w3/U7jVc3yECD3n7TdiApcLF2cyw55JXqEV0IKpbsG1OCviC6e1y07bDOHWOZliifohRB
PIz2nTtZh8RJvq2aaiYVNRRXOFkyJ0yFyEqWvgLtOv5R2Y5fYC3ATZjNHctgupW8JzZwmuxxU5bJ
pTBwPhs9Qo+xGNZOi90as8E2nVKPvWz4XFTV24QAjl6xbVeTsrcpzS9vUQCa57XLEU0N9WsRuF9g
i/1Fc09wcMEvDfO2RYtktXiFZHmB7X1TeOCBOayOfWgT5TskXyDDiaPAbhbzDMCDyA0mYv0pYf0D
yR6IFekwS5X4t2MN42JoDGM94OFqAL6yxYdnX+o/RustYFm2UDpeFvptiPy9BhsdmnwvdZ4kCE6J
7JFdS+IlOzwIs8MNTTsnf6F/BVbKDDq7Z9n9OeLqM8YZqa9QBPPEIyWN1yJczhbPaJ/yyREbG8YW
6OTHjD/YgI7lUovZsjMP8KuWPC86psJv+J86WE6E79Lneg9KKsu8WfYds2I+sgfPDgQks+RVMM3m
CbCs/Jg0RvclycmIKnO8JUFI15cEMMdNKmoL7aIp9ENriwsPP5BEPnhb3/zBOI0s1gHMYwsWJGN8
vbD64Kao05PpccW0jr0Gwn5qAghRUn/Xwvqjiw6WHn+59UWa5stEV97hP1IeOTCWVb8JW/Kp2Pmz
26kH20iPrfMq7empqfJX4bNs77M44PbzljXByalWPVRB9mnAEob1CmvaNRriDYd4Mxm4RmenoshP
WqPYy0seoKqv9oSAProwQjnreUfidnhKom7Xt2h+S7f9dIaaOJ9SX9mmjpiCM5NN09KGIgeMagYL
OcVN7yjSeQQPbNeHf5ppDiJp7x3x92PCfIWOWT44uEYCAU17sKybKmyxm7KgX/aZde5GFv81wOlV
0pLeUYtjNuWANnPp7KF8fJKQtABsXMbZ0QYrnNtskurWZNrik4SjZ924tHUouE0JYE40cs1pd3Hb
BNo9OxHevmE2Lx/B/pNr+ED4G5+WFkHsNc89A/vJvw3JNlgIsngWXT88+bnxVdBAsiPO78KoP3Pc
bRmZDa2+S1r7ySzFA3PDgyIRSwvJWLfpzKIHsEExrH6x9bWWptB6TJ5pO+WiqvAzKKdxmPqkMHbc
gzeg5pXIgLgFyQLTE3kxDZNLmGAtl0gDtkAsT6IBm3HeoBwony34WVs3JTbTQFhBW3RUiM3awNqj
pdv7TNw9McfEvvwsynLGCW3ENGsi9abQN2WVb7LEPWEm/MxN8KR6hV7TijZBMXy0XnZf69ULWMRP
L36yUdRi2/iWLSK3fqDxFVVzkRMrHzOO7UVjn038jQuNGtZ3su8k4RMP57VzbrFmqtnwBQHKTRwG
2CaN+uQaNVaJlBoSyR4zmZ5TFtY6Vd5Lowr4YRqbrmIWCzWzLLLjWRbex114Vbp9zirAzxL3yDJk
5TmHyRaeheYjYQ8ZfvPkWyTAsZaTUf0IfPGgxuoyl4l57OyV7TwMJWfPYAP1k8RTOoCRwVsMP5KS
Bzm9wiLN2SPx+tZjNjzqEVrVhhgIFNcTjSVB2VPkfMo4Rw5JCIzkwYw46str2I8hUloXkfdmmKgK
ADWVd1pDiVvlDcJml/Vc2dl3U2/hIImKpZcRHBBUybPLg10UbGP7bAsRdNemI8O5qf4aRiLkI2gY
G2IksOFa4QklOYfYVJCiS+27YhMVLw2S1ogNC161hMiLuEE23Ee6u4OecTHMT+GyTk7Qt4D+8bcu
wMnE6HdD5kgcHzkMN6jtrM1dpgZIWfqCnOeQ7fSm2qli0peTxJuT4fioLRy1usRYnwQGPMKcJWxa
rWoFbELLYM+GKn0IB5BtZmCsehlMoNw42f2huptR7Yuhc5sl4MFPbSDeT2TDjTPp2yLxJrTM3tmn
5Eak2ygIfNhSqETWjkwewyj4cj3SNqcQzUdF7pkvXvOJKy1VNVKwjgcpFcoyRRY6VKG/ROJ6j7cz
W9BPpivgIjhEKzw+/bD3afaDk5tqxto0bvWoxHCiTZceSS06UyoLIShDQs7ypqXyQhZBquxkc2KT
0TSN5afjInPr7BzvdTeXMcDsJvKt4bRnWyJcwSWkByNmQpqbnMP2qB16M2FrXerHcC5PO8Yu8AvO
hD5QAOGusGYekDaTgba6ib3a+jlsBhzUzgSh0r4mTMOIWqrhOWyHxjO2TPo+Wyy+i2mmEMGghLg3
nmCB36bc2GNGBLCHvMy1UZN2rf1qmxMnUsM9K4naqywm1vBkdPKHjEdj4kmgdeqQ53cjCT2pdIHt
zmNkq7NeJhTmAJZuY6j1LOYM0H0F3UrzJomCWnFZUXS09yUw3hFN2mQh1rFqPhdD1kx5OFB5WAJK
MxU6qhJ6DROj9dQgHEQCKYnM4Pf1iK1CxOOrZZdWNnqJUVtG2jhgzWAy3iRg5X3JA8HH3TfGcMg1
5wSNAnZxLjBK6URmcGqmCKRUhom+yzaD2x1tlt3cNmjtDcK+4qzeYyAnQ1NDj1OZGmLFgcyfho/S
Wjg+F3WUwbA2Iat7nbP2e332YjpQHasWMKH1BZ8hg0cVT6RqBdSWPQgBnblirggZC9xzpBISe+yh
2ge9jzvIRkWls1HQJSJdPFx7swQfQBLEsZBJcpSsLqy8xMGJf2wdY6qIudBgf6r1gFt2UcqG6N4i
fiyclwrL62pCFx0VkEksjOWXhqapwIN2BJ9uOf06ooTf5gVdSiUxvqd5L1aVp9+i06S8mPn49cic
U/SndjU06SPiEZTqbcO1G3XJ1mPPDjazTW5+/jElRg2qIoH9LqEzBlB0bIlSvIfaDPBNvZigUMlm
0hF0Fs91mKiFnQj6IE0tlwp0xyL3GSl3YsAilRtnK0udt7w89wZ3VOXeyCDbg0bMVgjYDVNmT62p
fvDRNmQnYQiHLagtQUaePVn/DDlNNnrgbMLe3ikEoXRa/gRHcRxvwy5sgLOg9WAMDb+l/gzqW8Mp
qkdD1TdJPPonV9pfxAJOjCljUPiPaZjgjuEB3ZiBuewrsTE17auu24eEIetCpdixRFcrLFXcdMqk
ndJ14qWgdHayW2QdJV1nFITBhs+tE6I2IFeYyIDubhhxOvf2Y5KJF9Mp76SOC9ePcWDX4W1b559m
EZM74N7l4Mcl+4EhaW+7wO9vsYBsDHPoNqEo7+3QeCw5ehmFwUqhpzVxY5DlvrVR425xG6MsJJXD
ALEWeuNtI+G+Yf+z19xRq9b0KRL7KltGPTjxyHn1qrFda7k2rEfLvStqRKqVTPRlkjm7wqNMajqC
TvUm2yRBaaLIsxECYJvD/hYv9MF4GSLO79CsC2q85N1LlXlAeTKSp+rp5rdml0huiJKnjXUj6nA0
R7SXdZhlM4C/IM2u3/Ruc2Pq4xl51SWmEawN88CVB1SWg9AuXy0XuaeWjc1GeeGPVOKTbTBfGv6H
TPM3w4XZPVofeM9fBSathVV036G2xwX8iBSSfsaEiEXKICKmduJZkzLSNRTVRzWfhr6DyWxUX0pk
7Y7mBODwpew5+YFtOLnGPicpH3wMMOZUfPa0OL4/tEu/GahI9fg1nOCE+PgOZ8cM4P1pXTAYoBrA
LwFdoOjLkrSpksrfxFcuEocuM0CgcMGJ/UY7SDGqUnczE1o1FJYoVRAg71qcazmyfoY8EQOkOVYM
G+mQ6feJhd+jBnCOptE9tkk8rVw87IzVZmeJX5DsNEI2SvIaXZ77aLeJvjEUQcneZ9SvLViI5iqa
5/ZjmfjLvKVMcq2IbMMoNjY5aWllzGjSKV1rH6BPDJKMuHXdOhklHEmH939ZyfGzT7XpSETd2ut6
qPKh/xBP+jOm0UVbOCYRQhkCZqd+D53mezLcK0G0G8gsaP1SzuwWjegy6gJGXgHEwrwLoD+xWU1s
OqmREFIo+F43rjRbrvm/ZOR+lCVHGf1ewCCTbChGTrGq7hqqP2WL2y4nDSYo+genc99EO3UASgLi
CEFOhb1u7dPmPm3r6i4l+obccfhV2GIOqc/5M9qNvXWhnXSmgyYDi2URNE+9Fa0bGEKb1HO2lirJ
NIxtglCHnJXTiKK3Nz6CsW5RcrQPcTS89bbKN0Kac2J90KwHd3jJwqT7Xb75f0HM8f/bIsBGSPmf
bwGANMj3v93FH7+A++av+UPM4Rm/oVywuScNTzfcn7rMP8QcnvsbnggAy6bDAoAx/t+H/0L8Zgjk
FTTZSPiZ/vPt/i7l+M3y6SJ910AGAkjF+1dm/7M25U+Tf+yznFumbbNg0F3dFn/VhMJ+6DBC++lG
a0v/BN3D6XO0sfDfzaZdOYY5rquMyU9ceNEpNuezsnEeIq0NT/2o8A+F1t5w0XNp2ojdsXsea2pu
xwOokea3gw3mpxjrbTEq/VjoHo2po724n396w/+JcviPDcU/Nhi8Dt8HFsXL4F3m7dH/In9yyjpr
o5onfqX0tR2E6VKnUl/VXRbMYffYq2PrEIaCnE5KdVlxYNRiSNaqzSBF9PZWohpH9Bse7Nw/sAKA
4DCQKt0CLlvCM/lOgf8dMyLDnCbVIbq39sq1YH778YuWIDbXAStMKKrOeTSdkrJNd6ZjH/XwXsS5
R/1Iu584ecEzhEdW3essKRE9Jh2xo52jYSGQsOrIo6KO6n/EafNd2/IjMlkBM2P/tFr7pXM6oMEK
23s5pLQk0XghTPzWNUPtUthwg0av/GGVVksZ2D/aL76joeGetF0MyAu9N/MeiElU/aTh1p1HuhIx
2Y3zg4G0uYniTKwA2wsdFvBIVw8S66Sc9BFCxlMZpfxkDuukA3Mdkso3Bjhi8469QeRpPLUs+kNt
O7RMXX+u/yPFMDOG21CwiIZ7+DA4JJBYBZW51/e7dMoZBfq4UEMgF2xn0xXytnUY5BProzHe9GyI
wbZFz3ImzEBFgIU4OO/olxdmaUCSG8BMaGg7vX0nLRhafnN2lScYRUnyflOmKGN6x9JeYgmHuAHk
DG4FW4+lq4UX0w+uwUCcoKhG5rw+sHB45xnWC39fVhXPSi2GWN4xDK+AWdlTJ3GXkG7aIQMFKnhq
g/SxdXN09evANTCoKo0kcPU8KY09g1Uis8ktNgAjgvWqI0Wgh8GASR5rIqoAlgjkba19UaNlMXk0
t4KXYEmsFBl4uCBggdBL8xZExWtKG7pg7pSdncTCeV/M0Scg5DSmjR6OpKXlI2fPu24f53StoSIK
O+r1/EAaaL3wC2eZBvEBP9R0Ej6tUyPyHjoXcxs7rxcFgS7XlsjyVkubNfZJuS17s0YeoW9cw0mI
UQjclRn1JOHmDRi1vIC+D8UkccovZeQgY8r6SX5TFzywWbwyRFqiGMoWXU7cTywRPRijXsICz8h3
9eiLD0zLisMU1T3MPwwhh44R766E0D4qnzyykpxQWw7Yu5pMtaQ12N+xCKJjrYst0vWTx6e8GsVh
9EGntxWxHk0T4kJv115eXwIVk6s1mnii4ldh+edaOE9xKx4DU5KdekMtuUz6nCQs88GB3TwizjbH
veqPzRTFNMYkUvEAP+OYqVnCk10/jP7G7ZqnoLDeK0t/nMF3qOPCRVfdouLcxVKAO6qubdc+hhJA
RJXJYpkF+4z9C8gokGBmxg+Gu8EYjdQUSCyqY7HmkY2K+MsjBcuFFr7qCZgcLP9Wz/iQYoeTyxYL
K5XnNHduIX3XSx4HW9eI97IcT1IQhwt57qj7BNyJwXg2fJtW2GzvqDCYwxdIb6mViPXr6+KpybVb
NbwxbSkWpW1u/LSFmSBWOZ6RzsxNwpUNEtN0tNpClHdllG3dSexm5yw4E5QVZUQjPOKi0KPJZYD3
QlFdLiLD+whzaMRq2wRgJRMy+QKGlyFIDGHoCZ8k8QO+e3VyB1AS6u8A3cmQwWqq8cCm1luvqktO
iFLUVhJaVLLV0PVMAR13myZy5zrEHGgg44B+DO627Jh8Opw/0NDViQHapuLEwIVV/WjgqkUG+jZc
LD/wmKWAFdUSPx7LB8/6gS/6DRTsR4kmAzgFlVBpANMkbntd2I1GuqZxhkl1xU1yY8ZghHBBsTUw
21caYQIMuhxofTQFhEU67yVAvmOY9vWuaaW3cpItC4zwwWiLOw1Ax3oqyfz4+WQU6BrpNRnekYaR
bpIqZghCesVkyeGQxYhNQDHgVnIkAv15i1x6tQdXU8NaVmXYFuXET1Q9OSY8RNyxRbXlM08NsRJs
C+LeqnFai559UVx2DMCqKt+HEeM/LcaSZ+Aekppo7kuUR5TNHCSNNn2mCQ580aTRfYw0eKsXpLdi
nShvjVQxkK4DE2RtGO6tDsBtkqW3KbFTYVsNINpJEnR5NSj8o0sxYfUZB27HKg53yCAf+cgeKk9c
uZnMUxpMe5ZA5hV1G7SYStxWHslcHSf7QgNSfggbG/Y5O8NnlyAPuqb4gIOw3rpsQKJAk+9ZgNVu
rk4eWMe6KxtCxqpv/HjF2E5hkaKlZduTkt2dZPiU8vHc9ZW5iq0C9GwY92sQoePFrkxI74HASgkD
bufKeALU5rnY40kxEF6Q3oUprmivEnioLRaJ5AX0d1VGsluut3Idug4uuLTUDnFg3HRe3twBfSq4
U7WHyW/3kwqmpzGY2IxluncDXQRTc1hX2za7anYjr7EyrUWD72knnKQ+O3l8wXweXmHQLsHCizvW
UO5qUP/B3nksR65k2faLUAaHxpQhEFoyGGROYMlkJjTg0OLre4H33bLqsteDGrZZD65IMkkGAw7H
8XP2XptoCD/+mpxCvUZTqd1Ug2KgApCAFXBppLI+Z+WI0asNQf+VYbirnOimBYieZjbR0q5EdbXn
ykvmfriys+ucKo4EidNk4TjFOZsYERm66nWVUb2pMlgqo71l8mMsB8NptvglKrZv/IOoyhDz1zNs
dxk61b4qH7mkaZSV3N51zrg5jmqHtLV+XSQORAMtgaOAzV6zu1elp+VSyRML1VkpaXaYfEycU2Hz
VOxI2Y6bOl03Dko82R0ItNL5CE1Q1eB40zpIBgRhTyPpHig+YtKt4Q/CGLVPVlkfaFqsQLdtwnY2
6tLCBWucLR3nKBzAufFE2TEWHyo41d6C4FjiWTDb0eN3ggqju1s0b8inoMo3gXkxh3hb2vVL5WL2
z+mvvkDvAS/n25+11h5iOR0DTXw6kmrSlV95PsdmdAhhEkAE5AfgXzKbda4SwxF3CFdyLSVOrv1q
yCzCRyjDmWKCtlGheQMypyR1OqJfra5UoKQLq9GOjZG+tR00F4KhRZI3dIIpRdqGbnAM8M/lVPrS
1vYqINGmFdVJSONQlSB9OhBfstT/MEKBEgk/islHSqq48lqGHaWjQ48I5l0TxSAgCKTC91pUDK51
VKtOzNFQMZMXkiJIFgT28aIqziZo3BumkHsmMZ3Ec1y0hBsd0DLRGIgrBgh5XVW//K7+SsBaLaY4
QQWbx8dR2D+lJRHVaI1cOEkiAPP9AEP/MsXnIf+d+S2iNGkxL7YfmV4cHMAUBdoUNONkqZiSZ4wV
/7Kh+b0gAXmdNGrdAt3NQAhmK4s3Esayl0yNn4NiXkXdQ8svn2MtkaT65k6MwU/7VgraQWNkwdEh
lTrvhvugNtuyetNk/CtKeTGcqF857pzrYjxz1zaEZsWJcTTr9gJWS8dAFDeLaLIhF4G0bIONm+AS
cQdYR+ADtZdOPokjYZ5RcNRXoRrI+Nyp5RuWX69NebloqRvUPpqg/zRthNLwpypjjmMxZiLuD6Rl
43FKpPRKKJaTWL3KOgAjFmYkXFjUB92IDawZb7gkrzFx0FuGu2Vlrk2lYsgtpp1u1Lih0IxoAi3y
5PNKhGXpuxkdgzLzj+/XUGF9+L+Oy2xqy+SEVvCU/SwYIr/MbMQIJfOWDVBo1nqYl5MBPWZLGPUv
4kjtrQxQzQjnlUn5dIkSnvpAF8FDdvGEpTI5UjnyaGuFsh7qg0qI1BUAj7rGFGvhWPJ1tEE8ohnw
OU+aZ8Gq9pFWGcR1Tn22ErZk+JG75YG8+vaKQPwYqlw1Xxo0JMgZxRE8Ldu61d9p4XhEBD2xg8lj
n3fNheHOs2D0UfjPNBHBETMpPrb5j37vi5XGwcTOwm1I4tGiyZuO0R3ZmCOQn1NGfnNllv7Vz7HZ
unh3cAcq7tWd6MO0CahiVRrkhVlquaw4A1wDJ+dflMOc/SPT67Xxt2X5nUckyyGwtfao9MZpZM92
xr68V91vsHs1A8s+o3N06e2gvqvwg17dG/3qL3R/CbGprvKwnfJVwx3kycQhZ9UqdpDb+FcW/84J
iN70fRTfAo3ifPILQroZWd6+P9aF5BmSDjWkOmAYw4jXetRA9faNDe5DeTI4mDPPng5QyaF8uU+r
MJsNLtTs6BQOHvyaBCr3Vw0X4KXM+g+Zg0rvJgsFLcM2W5nUDytxBKnScXuCXrSuxr5YOiF5Q+aI
lgWEEOTQulvYg0i35dT1SxIhMqUiF7y0jj0KfLqWyrNMGJHEneSwQQeY2HqQoocqb4a16Gy5xGoh
Ft/VkbAg2vHAIN9di3k6wzuEUgwDqo08/NQ3hWWEtIJbnJGOfqfitayeLBdh66xRaJpGB01UGHRE
w9dYrtClY2cLspOdNsOF1LuEbnfhL8sx7pffX4pvPF/G7R+tDAOeY7cCNoKn2oq+VbX8KEO3XX9X
axHyDtzrnu1rv7jvZidZaq3rNuwwcJPHSj7GOPtaR01ZdISVX9k7McpOSb3GqS2IE56yAcqZnb3q
EYqcwetyEo38XFA8ZoSw+oVTf5USUaBSj8OiMsJ6nxCxmbN68ky98mY4S6WmlaGHQDwTC9lJ22mA
qBRL35ImZeJwFvqpMtSzKoAszC2YZiCeYByrc8bqO4oW2eRLqSeaVxsKc5VI5gQa0ot35jmplfbg
t2PxjoWIv5FrzFtjCGT4PDBdjtlnLqsvkGP7UOFWnM+rme3AZuhQFDW8i1hCAQkQi4sHSbyKLOOn
xOtWZ548tgGKiJGYGPfSaV23R0dOJEnJlW0q7/vS94SRwOOT+CjK6iufIii6ISBiTJwwP4n73ggf
PHDEDkCslLVuG6C6APD17V/XcQaOZ4Od7GMTcQW4t0WkgdudK+GgZYiDBgoqZGVfvj/sgHtdJJNy
xW9BvJnO+nLcBAJElyBs9Qkli1Kz93CFcoyi/Y0NA8SwHa8Jfv8zdkO6yCeLOLQBGRTQxpM2pe4h
y8tfdWT0S1V5rcxXkwp8EZQux5JUhXoYlOFfa642HHPbUJ2bBDIt8AFOS4rDdCWRaK8sOcEjSYd4
LhXoPZVDeO+riAfrSF8qC7s3RZeUCGX6bmQa1SCO0yg2/CVA7WYfo0pb6KK0j9gZdiHTdg+bYrM1
p86/QH6DbZflv2hHioOaSCIuKJ1Vvz67FgWDSTtgvl5buwOJiqvEWZau/iaL0N4xaiDcJ+YX8jU0
7oEDgKDa1I0pXke36BeC2O2iNxXPJ+CCzr6qn+zvW9MmfDwL8TplVWxsv7eELNTifUVUedA06d3K
/pS+6xy+b3JhmodKz5JDTGPMRIt5wU/+lMAWdORH91By/1dmCB8bdPh6BI96HCZyJSKdSY1rNKi5
IF9uFSX//f360TvVVyUyV1n2XgyceSIbDrUw2jucWIWgEdZPNrGXhbiNaKC5BoITCLi9WS2UAlWH
ogzKXgK8pcGJnRh43CsSTAWdprkqNB1WCByUSAGmMlj3oFw6na5v0dpPeHgBsPhzXyJT3U+wirtk
IJRMMyv3zBaeUQ60xr5Q7klgBitbrTs89SQU2EYNYinltC2vuh+2EAnGr6Yx1IMkvYeT5QLPj3NS
DYIbGjHaC60Obk0JRc6crLulMvMf5o2XkUGmpLgffPnr+71nnT0JwtOv6VTOpzOA4JMVXbSy5/Dp
Lh0fOnE6DJHXZeMpcMWf0HCKtTovA6PN9I2q5Covj+y20kFX4JbFEUcX5hZm9DrY8TzHRsuDdqUJ
4k/MdGpO4IZftQIhVBGNeJeljFfM2D3R1mRzBE3gTXjQuc7axCA2ITWxcS8coDmJFBu7jWg3zPu2
EZKb6YQc18wmWA4o1BaR21YLICDmYgps/6bVKr6Iyd/rWt0s48zfJg61KLKv7Jc0to5+0kM/BqJb
YRKUSNPljKnWS2Q/ZkyTrEw/US3IczGm3pgGQNmRQGKzQ0OaEqaxyAuTDt+8S1BgyY+kM/YmQU6k
PUbuIZ3+kJkETcMMSDBtIHQFUYy9gkgUe2SUhgQ9Ql/Q5Yu878GCNQlUsUH/qftpfQ5mN3+lBQAf
1U1Dv/LK4N+R6Dm/93VSr1aVmk4eD5mZaBR1XqT3zeL7gn7fMQp1ddwnN7UiuW3s4tTT1fihq/Qn
gyrfB2qYXwTPoaWcbzKzdQ+BayQrdF88W0gw2E4RItqkZh107TWvEwRVsbYx3dm35FvmUoRKTgss
+SZ6QaXrFGDxOcpHJdKrJUE1pBukjAitMKoPfQtUs1FDJMBAepEnqs6qdOJg+X03Zi3hXrk1MCaL
8w09wg6pMxJQtvhPZxySlUjbchUlvXxq9s5XUS4ZTR3f+08cFCHKKZRnvv5TNKbzMsSi3vaW8WH3
yKYbHqQvQzhufPpdbOws8GjQ2b/Q5ngoXz6TqRNHjNIGKkJasS79l3k/0iYbOhJn/7/eUTQjzAUa
oKLfJYVCBI8XjA4aUCd0WBRmvfv+RZw0DT1uzjM+8vojxECATkerVjyZgmWfFmIXVxGNF4YG+1Kh
8RYZangvWf8sP7zfQx/kW4V38kW1q4I8vxTWqc+TggQkQFTI8jM7FRA3Kwu5Sc/x0MdkYObZcCxz
QBiEn6RrOCbtorMMgo4DiN+0yLy0spOzwl5xU2R1TGg1dpXOJDWYT/gc7xdxpWrMyCOuT1Q/fcSk
r0S3zHtWQJQ8ujFUzv4ptNlMaMicI822d2Mw3fSENtVcvAwGokzUF3t6/jrYCga0BWiZK1sCIRBa
ewn710Dq6hstM4sbnTvITHsf3Ww8/kr631NFZl1Eoh4JynhMA1d5S2Q8vSzGQC1uISlGaBNbH460
/IHwahkp3XDR4pKTs0WDGTA6OJf5wSKK0otFFB6jT91t89OEto+6HkWbAnNvl6t0Z9wWro9vKPk6
pRW/c2HbY5Sjlc5e90MOUEDwrHhA/ydifsZ0LSKioqeyzyFlrVA3i4Np5l8pLp21bye0kEKyYRvY
GN/3pg5v3rPDdJ1mA1eq1rnocOwsdKNLglbeKmhbiQLpVMgrovjXzI7R3CU9frZRzqkYgh9CNHrG
eFov6LXTXI6KcJ8bUbVp6vb8XXiO5MXuGaBQCUzUeZbyo27yU0FPefm9zHNiH+D+UjyiFMRqFtBf
dRT5hvyMoUvgN9soiTfKMJa/4pTHOt6iAz1+/4FQkrCGMLtBXEGor9jLUU/wHaLuX4epttS7yjop
dX+FAnXJaO+jjR5+hb2rbCMVaT9uV/fMrkq9EWi0akth7nnuohGasnBTQ2l86Rxr2kZGY19jmdBM
LKxThxDNrZqrXyRfQc94phaIjL5LDOEG+sMs+WE0AC7fPdRGybdu5Hae0ueEWyTC9tpMLm3C/xaa
qndEW2AoIQlIMYGEZu1wFsC8TRhUz++tuSklPRMdSgrCDDgeZh1wJVelhuxf0RCGZqCjK7QhZwAI
w2UYst4rlRyPQAzCWUevyzyhoy8eq8t4FMWilPHu+5VJMzDe3L6+B31wCWhq7qPY5OSXrLAFBCiu
KZUS1/FSww2OzRo5CMeUH8zeDkM9uTAggIvLcNwnLsOQyZbyknXJLrX07NKTF4CoLeJgbqReYYzD
pYkkhbbJ5CUrS9NDGIsgklYibWUo481XYk02TiBui76wVrZCbkVOihbCCI6uYOw56ZENhH7P6Grf
yzCJQ0/bt0mVrU2D7r7Zg1YONMzdUIJqGpYhQc/9m6VKC121i2O5rQvEn665qW0M3HCngtFLSwEw
Ze5q2wy614Oziu0+8EyTjFrNz/ZVjfGknOo/ejFpmxatTmRU5bbMiUM0IrPzBoxLSBf8va2pqz4i
dFbQFFw0ev2olTl/p6Xa+a7RAISGS6aU/kxwCrzvGp4hnkoHRbaAUK2m3VYgaRemkq6sTphvOudl
LK9NtWnNH3RzzEcxzyaqhL6a1tnltuMw5KUiSLcOxV7rBOgos6TFX1saC3O+CeqkgwMj9a0ocYoU
41VJXfnRmxzjuzB96Utb20RxVKx41oebNq4kwL737xI3JMWh7MaTLvGdFprJ7TJfnaKP/T0xwPVd
t8rmL5glZkmQFP+fcbem/tvQ3oYyYRuIArATaiqHiP9u15sC1zISAndWYjI3wyCGS8XYwLSia2gh
Zv2uRQPdPROjRbBLb1AAzA/kbi5ivl+jOh/TNKUiN575Fd1IHXTWHoxwdusZS/2fQfSvWEcEuNbs
lfyfxSE3GPM/0/RfCSH231/1/+QhQifXURi6C+WdTWY2c/7N+uBTtolI3uUvWBjDde2fAhHT/ge+
URUOro1F1FENwBh/C0RsFCIaHcC/DKUgOv4jhci8mP5FWWFgwncM1CEuFlTNsW1ew78yLJw+o3M/
hA4nP5w8rnTIafXrgqwifXD2SoDU13GJsUs1UoagO3f7zhUBbQVAlzFUAS/u6YRmtpKfBI1zcvT4
v5JJ3gklMJwIhUc7hU94DvAbnNEBQ8JSu6Mu+vDMevzP1+IzSiL5+yv6+e8e5P/VbmV8wlAHkb38
z4txD2enK/51Lf7zi/5ai5r4h43Z2EWSJAx7thb/vRTxKauGQFajA4/BLGxCOvnbp6z/QwNVY9uO
iX1YYGX+50o0/vp+fI62tqFq/xn6dd7i/ttatFnTNpIjARWZb4ku7998ynR1HejiBpOIzPmNpopW
TFWfWmCsj1a70qQuv6asx/XjHpHxVTtkVAhtcZR6OBIRX9pkHKfOemhUZLnIR2CY1ceKU9gCpLVc
R3lUe3U1fWZYBd5s4xCrCUmGKH5L+9TPAuC8OJrfgmCUwd0sEdbqskARE7YvawtHqggMpMRd1qMR
f+JfTg8xkZ5bexrfeYPwQXR4vdSSvw5NjOEYWRg5nhQyx7X49P2vpOoRmIvEq9GRrwddQevcTNkD
IWyjdIfRvUCYtjCi0TcBx3tVJ2CJ8Mx5aobID/E3tp7h9HMa+ZRO415hmmaIkBOM42IGBbXSpMSu
xcUH8WOPwsLC7Q7oHoG+80W040uSVtAzE6aXdiRLV5QRs+g7Qf2tzTJwDT34NAvD5SwRd2axuItq
XMzy8WAWkjezpBxSyYTCvOmYGgaz6Jx48WkxzkJ0HUX6gDJ9ttCjeEKs7s+y9Qn9el1U1oq374Vi
TsP1YTei4j2N3oC2WAuOFzHa33KbfcviZ4G8hVJ+RDGP03pddPKtbi1OQyHifBttRlQJ1M3uadLo
OimlvWWWTg+d5WPmzWYUJGymgUkrztKVhYbaGk9LNCzUrGATymWLLAChPyMPWoWz+J9h82Ka7QDR
bAzwZ4uAD7ve6BxED7N9YMJHIPET6PVdm+0FMkFsIkTzw8DrZ5HjaukxbDQ8CSPeBL013vNv5s1s
WxjwL6TZjRCtnV93NKRs4wFSTl0VBrqdGu8D+DuMS6HZL1Fhf+gBsgtdmurST0BT4BEc7f7aRLeS
sR2WGmBeKbbtiSw8Im3nUGjCoRNConPCok1Co4F5bkdCpOcwkDIpf+SESyeETMeETdeETiuEN8Aq
q4iidk0ypgjTUvBRETDrYXfZYOrYlURYO5XjTURaC6KtSb47I+BdpumrSvB1dsXmsusIwy4dspGC
uf0JlH+qmfEX6y49hKqy9EnByetXv/tkrLcMjMbTSKJvrfdQLffEUSH4cjZjqa90e9qoQXzQwxaL
u3jhXDJPHm5MfGa1/VmdYiC+uB7c5GkOBOqg7k5j7cvJ+7Uf0bcz3V0UcyP3yK4KQOfYyZ3e9QLC
xJNJw+CSMbvwd13ab5NQblMCwFUfC5WOmqpwIegRHZJ3a5UsUlkP2ESdbaHHXkonzejiQ8PvZGnI
e1V+HqHnENc4ZqwKotBzLoPlAspXYemTnu4m5d4lOj3COt7iAeFDGcHqbateOoLWBWZUUUsI8MCN
OPFbFfoCUmTJV+KHbrBnggAOT6XoD040gFUmtBR5ulAiIi7crSR60tE+Wg1wL/HyWqsDkMXsyX8J
dFyjctzFBKFr1oxOin4Kzpw4LzzCdF4KPobVU7PloutcUk60F0dTl2U+4fDnBI2ALYEL4XargRAy
sFUvqCg5Xbtbpfe9IBq382h4vtLFEKx7wuPX89sR+8z1Unvj6nKVJObF2slUblyCKRKVizGG2Cp+
1oK1B8Jm/mFFcKSVvjCGAmBkvI2THybnqtEVZFWY7/OrtJzuPoHIxfO/dsaSMbe+wnS6yputUrq/
TZSCSLo8dyDh3eRwor+4pbsLB3urf3YGvcMp2dl59iTD5x6H9TIag1U5QQkv+jUMVZzM3VvUW0sU
MxvdHtBnrdssPuBIXLVNhmdpWA2ISG34P0ZmHZShIyS58jiaL+35fI/2nVTVpYABGoPXn98mjfFn
jeEDz8vE8Im43m2A3Yk42UWC4HbO2OJTjR5draj5mJfy/J7rg7ns5cU2bmjRXph5rNKclKN1qTLY
CO+CbqDuVB4RNedEyHNu2MiSnJMssmPY+ZvJOBuGv5uU8BqgmgvBbrGKatIruuwyRsmVAvOsEEJF
w2YTQKm0x89ixgFOOicyQIjBKXB8D+Dl1gCzDO9yiTB/iT1uRQNh0Vhsf8rKLmEbp85Gj/u1XgYo
Q0YPdtuRfxaFsYKzTh+cl3rE8zNxL9cEKWTEPVvORO69spLB9BwHfTlvxPOfW3BfRC1u8B+uWAjw
edJlwf0YQPzJmRvzQF2P2gHozcI2MfLhTZg/LRJoBbLn1lePWgKAFK5r5RPbRcs3h+jQJZAarUOd
Woe5Re+6hF3gmOTMrXUq0xsg1qpLzMIAlT1ZiDo6mb12DkXwpjPDwwacvNhhdasJOfe5G3pljUwN
n529DUcMn26xC7X2kRbuzk+sAzqTrcP7xcFs1RXY6IOaIpqmt84+nTg7YwJY7pufQrHil8FygVkg
u7bYN3mzU/kswWz1o7IC/nrxi/qAU/9VLUYERHjOCPB11uiIQS99KghTZCM/FBs6wMlptSfZu7sZ
WZ745K8aH4oIr4h4L00mP0jL8/qeuiON0ApG0ctYG2v2up2xJGV6pSSkLDulpw7dG8kht1Adlz1Y
4zxgyYgKqDre7fFW0c526ZqMN9vlcqpAVJEvGYJLF34pDZss1DCslG4miXL7Sg1mpIWx0NlujWSt
jkBHGADijFDacOVP8P3oK2gMcjsuSapu1I5MmJEzqw8PXJE7kC7nauppBGNzQsAiYjZqpMdZn74E
hdzrTEGScOLJ06+ac42eVOGmljFtRrOrl3hnCTvTVwneHA1FoAtuwcGaJ452yUaU+rvRBCPYAmgW
hBDTFQ9pVPbreWcOlHGRY5dp+ZUKmGmp9uBNeZnfAa1xXvKMrrk9bDq0kn131RkpVjFQG4oGizBw
prOLuKTJVOVIqIO14boYipvvj4cWpj7oU5nvLpTxCD3DYUoyrwJR/25zereZ4xVYieeV4xx890u2
iAe5CrYp5ltzYZLpMVru7/nFpI7cxwGtqY+xhYdw78N8Uw7EDiqRF/vtLR8VlK8uDuXPMM3IaI7B
HkwIAtz61SRyyaZX2RfNvcmahxYqVyMPD3b3y7TIiWczCAXaGjQIak/YoI3H9ve8vrM8oaElz1Mb
Pn30k+Rd9nCuuni8Mte5JW59ix3zEyGJ1SUnX447vXPh+OORiREDu9gILOZZ9tb2Q2QRw7oU/gIe
DxpYYARpueP0uQnc8mzpFpV4tlDM31mcLQE8CJ1nPHZzSw0eEPdeZv6+y9IrAgDsIj7k49tkMdUl
UDpCPyW0cVtTlLSkN9H+wKvGMxjhIaM1oMLGoorW8Tl2XjLzKaLuVsYRY6UvJTRf5ijOVt1LahFa
1qsgNg9h0RzamroGD+Aixbi0Smbamaaf9bHxRl7yWB2UcjoWKXPOJFnmeXqJ8+bA3bgYGRHShVwy
4MRhxQYx5bSKsmFLQ/9gxI3n4j2r2mnjcAPRfNdcuVFmIdncx3mJNUa2Tr9TywEjYrFxGBArlr2x
iRW2kH72AuYfvi60+aXuMPh1DolWLxSjexWzZIb3eVTcGwmfTd+dc93+TSoCkJMcF6N8tTTqMgX7
WCy+hvy9bIoLYRgE18iM0NpqEWjGWVPgpoBSepOR7UUwP8l7/FW72UY3qTD6+MoUakuPgWSoca0W
QAly0Pt5v1Un91WJeBOo8BX2UiIKvQYG9qiBN8hmK6S5hlVwVFyqVCKQWJANOZQNNOJQV24dOb8G
02DhB292jSmlr4OLlgXLVta/jCr/tOKVjjFfY3RhBuHDKR4CuI6FZt0iC8i28fFW7aO2nA2AyJEt
FG3pvYKrTVHbneYHYVbXD3854Fw0+2nftv6javiKwfoogVToofpMjOR9DIJXSW8PXePJtHZVql3t
Jn/Xi+zSmT8ioztEZXALJ5XO92toaTvLBYbu+m+mHrxpWf5puMaqwcgeuXCx0Mzc508Mffvg9CHz
hPJzF9TDzU/HR+4S++UctCi9qHH2TubQvcwkDpbx2nNgqLNj3Dkn3q0HKrYLA++TMYW33Bnuoz1A
X/kzFspjRM7N6Oap68mPvkw+W8nNFpuLocqOncotkwSv85Nrfp3zb+ESv2Eq5m5+WX0x7qzgd8fJ
Qmm61zLur1S8N/Km0atn3vxludo+5i9LRv/RgPwxlfo4xlzLXvWq1PhI3eSCFpfnr/URmhNco+ZG
xfwu0+ruzI1S9JKVAnyw7Ld+2Z5ovD/soXlEjDRbpAq4FFjmUED75t4l6aXQxac6NndsHFo47HMR
nsLcs4v2dYimp+aUp0GmZIwSWpYcWjPejFr/zHwStigjgEVSSf9CI7ZJiLwYqThD0lNM8z0lv13J
hJcPzt02u11kp58uaCmXjEgYpCjxPjg63/NaeUDy0fT2Mi8KI/UfseN8zJdRAc40DcO10kpOMRfE
qRcT9naYD9f5JZi28ui09Cirn4nhI5lu711rnbibH5rT3ix/uJIovAshcc2fc9OEpyqChLS7OVl2
sUlT10cWltTOQdrfyiq+NPUvqaHAanIAVv09tKwPZFk/ppCcTG0M3nwrfe87CvwoOnTgtBWjfwy1
2HNlb3bh+X55DP36FLUKhaBzTzFUaK14KnZ4DAhQ1swVrcbl/MLbTLnHpX8E3P02/1JpWO4qgfgf
n5Bzy8b4UmUQeJtsR4P/juNeCrGXmXv//v6VS+zcPJN61FzI+SJPNsF7Tn8RrOxhqk+9/UuJ9eP8
o/zJhKZC5F8UPOWgPDDNnoT7DDvue6DctsqDRQ1uVY0AvQluWW8eK9IkEZp9L5vS8e+NVZ+MQbk6
BKIp/AZDvY5P6SnI68X8epAubnPiIDlWfcx/FW0/Wm3loSIuQoy/awA64jq6qODE05o8GoxxIzs9
MdermkjxISrQYOZHK3+49YWjg+M0x9E9z7+YqNgmL3Npqo9n9VciqwcPCea4gUx3PQDO3j8npMRr
y5C7zO+XdHpggyjXIQwA7IBdaW7A+uB4mB4ShasjeI0dObRCudqpe9cIOgxDXpduwRftTkzDnwl3
pBJbB9QHuwmnFYHaF91qj1O88hP1mXGD9iqrgR20Mk4DaZEYi644gh89lUEp6ruDsZu1uW0miisW
37yi1DI4VWbzFvfhbb6jWsO/uEeRFx++nlAN7uQIA8a/00G+22lK/kr/nF/9OMZAepmS6+I8fz6c
nHuQiedgFCeTAAPJdfrWuJhLssKeuTM96Y5D8khPSeg+4BBdSIoASjRtGhVXtj7cDb16bRPWmDI+
Hb1ZuQPYIVx4lPzKj1EFTVGXGPLIUiyzxXyXTtr4HNHxx3NSW6buFaO5NX+q1L1OMnxH1U/qEELt
pQybpV4kn25U/+gb1ZufDvrwKYR/zPkWiCdqgTGXSHIm6fkxIKN8JtVMjnpRyuYxv6bQtj9ItCbO
oCcgsnxYmn+ff8d5ZbcR3SZ33M33qkk4VJOgqqptfs/+UY88MmOIRGiDcsc65Zp7QGdXpuW+ZmnH
LHF9ADI6ZJeyyY5GpS8bmlIMr1kD4jm/u6HdX0w3e5dF+2jc6gfoXZpGyfefadpML1TCyUtVPqOq
Ooo5WyF5n2js8NDDKmP5R3BSGnmFcbkyqc2jnAO2HZycpLhExZwfNMpfFeVPKrS93RB3WxbyPPvu
5GBvdJqKBEIy11vMBerQGMuGBO95R82R5n/fAUnoGQYtz6QjaT08qNpbkbCsqQfnRTMFoZdx5oU6
Ro6s+4oY+aXSxr3pPyu6EE17shvlR9byWAhUb/4vyrllztg0yZQVJhK0c2zfNtBrI0OXtOsxaCYg
bRzd3g5FsWq0AjFnv1GmdDlvnciwAeIRABAv3XgPgA5g1lES9pUQUkw016Gpq31knEc9Sl7UJt8p
Dc8t8shWWeTuGIN6butTFxJ3OjSkfyBCAKTHVaEnEpzAS63GHGSGVGA155uos9ZdXuzdmLLXoWPU
bVtVO+d0z+Zvx+1HaJCxNProJFriULjhyZbxhlCFE5TvIvmu53QgrGU3IMDxpWfQdrLkR2i8DirH
esIheZ/L8moE4T5DNCnILNFJraGNtzBpN87vVqNyWdJph/9+k9nVwRfumqcUJCw02Vu/77dFQgBR
AJ+nbsjo1VaEnLzOX8k+FZTDhp8va95SzAIxpGlLkguFYzLmODXqyrJGkNZr5XLOO07IKip0ssbH
ksLzNL8nPZJ8tS8IZoEsaPqr2s53Sa2s0q5fJ4m/G1xJVsVBTdlMld1gKn/8vLwERfo7BcuMOCPz
SMNyFsjmnkhExKHIoh+pDQwztIF/dWCHfJpSrUoARFZ+ajFMstho92lrvESqg6WKTnw0DKtWk8fI
hdjGWqSRn+wzKdUZ0YIwwMXjNZaC8x1hZrFRvJq++1vgUlzpNdRIOn6L1DSvpozLTRy791YG95o8
N3x0C7+eQ2qV2jODpF35RbGMsVQtSzMJFqVuvvp1f66T9k8b+dESpoQzxAsoDxomUI65Y+Es+zYF
UyT7r0Jr+R9V+4wgXGpF9GN0rXtQx5tCrJTQPaYFLSLR4B20jEWnCzBzAEn6OEcpiPE0x8WRTJyl
ldxP+K7hIjT0LwQ5fwKOCIy9jTSt9+YljBF62RONPIxUK2P8lraqT3tq38sueUaqWa/M5sOxyuwI
cZXiwrzHiaIupMjIGP8v7s5ky20ca7dPxFrsQU5DPSVF73bCZTsz2fcEu6e/mwhXhh2ZZa9/emuA
IkBK6ZAoAjjnO/tDMREJLTsWnkdc1dJh4hA0LP3+blx9djIpNjlga1BnPKNt8CMT3I/GF+Vm7t1z
ZeQWtlkEEkzqpGJqsJEB6B5q3nRrUcfVTMiFxpCLsir76CzlU9JBKdTMZr4JLSIa8fTNLmtErDES
ILOh3jNsEXshz9jg0lfsxxRalb963bdE4AuN4oshgi4O6v3UyA7LdXf6axyx/fPNmuw4YvsY+6zU
5ttbsmLXuv2X0ZbvMm882CFQMJdt6I3xzh0ragpCNfFOaE3c5cZ3xLNfj2Kjmf5AlNaHxQbAP+Gr
3lTzk+niSl018NvxvOmFLMELURXmJCzNLGKEhZ3/wV3p3mDGum+Yv0wX+3gXmWFrzO+0qQPs9akk
aQqEs7NuLE8L5CDxIimAWE2E/7pRvzoDVRmOg5YwbNwXocH/Cenw/yXa2Sd9+b/zpIe2ot7iS0mK
+KdkKS/6b87e+A9SfhvSAK6WQrcMTn1HOgjzP4I6KAMTAIflrOuQo/yeKfWs/zjCErr47sGhc+q/
OXv/P8Iz8Nzkl/uiAVAGKK96ENxN/qc+xF9hBz+k7E1DkEwgP2pbNhUAWHj+nLKv3H6mqivFbnX5
lFOKiLLDqs+LmQ47qVFTUTYNs5oaVI0+JxZOvutFyKPr8+tr1Ni4nni9Wh3Vrrs3u54q3GGoj5WO
j1o18di/sUAAnl8O0fDp57QEUppFDRE/1dVq/Sw0hytV/4fDlxflrtA2I8ouxIMNMvzc7wh2zuKi
GseJkfWow6KREoUPYbYiy+dznlVYRRkdy1gt8cDKz4DY1IVNb80AZfEyOZmxe3z7Pn054giXsMV3
KSE9ZC1L+5l/L7gt2V4SlyWux2Steqox+2HoUQauZ+saNMA82gR78u8X6muvbj1OqGtAQlPDICew
2fNMKtIlqzxcdaR02A2k9ecQ7t+cJfHzBHDwLEQVbfvOqD67cvosqjR97L2hPUxaSGkD6cSzNqZe
kDsbPymKtQoZt2CeksEPN/y/SIy4mf9xD5F+F9SBGTogEkud/8GMTzhO2vm2MK5uZk57qKF9kK1N
J5HL3eSx2Qc1DMNAnVFddZQgst/6OkbZ/ArqQDUmGs8gz5jTXwZ/OFTn/YpnoDdRwFlEmAE7GYn4
KL9TjaQe4a4yK76E2juN2NsEXi8zZ5Mml2KMoEw42iUvI7bJ0awTHpInb9KdzykVj0Zi6B+pZMpI
+iNbkyG7Nddc9ukov8x9Zh/iFBpuVHjh1swKNNPeQJBVd4i2/N1VY9QOOQe7Nj+o3uvJ12s1x2Se
CRNEwWgzWZXNe0eXc2B65BR0J+RH99o35LhWmaznX06pq8LOmoOBMP73S631/OuL1NEP1/QU/lPE
aG90zbXv4OEWV5C1W3719l1fZkzS0s36AxJjVhqjN50oUUXkPplobJaRmB/Fwn1tY862hKTBJ9c9
vzYoWDFi+HtMCJysEsKWGzVGaogKVCKCO/ini7Mpy/5zKSO2yDnpU3yjCM2vjanZVNMKCijd1KuB
QIjsIZ5zCpojOT84NoayXgJP9te3rr0Kkn56+nmWbbo8nG0UIo6jYPc/3LnDpAvgHlZ+NUx+t+4Y
sTTLwnM7wIgSGYBlkaI4ruenrAaOUo8Rotgo9G9MgoTjaH1pcBm5xZs9Yeu3Hi6Uih3J7P/xMubX
K5LJeDKMh2hO2ifdKp3trOtUdrkGML6FWpVg6TMOp8YyQG5RWDy1DuGavL9a0RS/xzr2Y5cXt6U9
DlRhptRHFMKOrsgKiP3J5Kp63KC//mQUzOftJyMMwbygr1PU23nBmpu1Xj/Pr8PcIqAHFwuNqrUo
PL6BDkWbCaO+DK1Ww3hb++owQsqbZVmLCUWd7dIKkLDQbNDLcyJvm1R+zYh2bqZZ/2OqXB5jWnce
NUHFw2KpIg8w13AkC9zHgtYtKCBXh5MlBN6j62gX6uDW1VUvhz9cYJXoESG2kW4hoKJ5fXtbzWl7
O5gjEoDJJIi5JKBdugb1ridWLXXpOtCLo3dlNPjYHv5JOg/K8ZTa5SWuqel9OYSjV16MWu/WCDVK
jTaqTr/+uP03Mk0TxZPr47iF9zUCOhaxP0/DYdqnJlIcP9DH0d4UOLEHr02ta9+77FPZfrz21TWg
2Rh8c/nLlWoQndY+mQy2dP/rbdWJWVbWy3+04x/743+lbql813sLTQrl9Zeuzyhnz5oUWfPAXor6
juwyGjXPVQr8hqBr2VFqXbfuKziTzmtg0vGS/PtFE9z9k3DJnKkx9eq1YcWLdYp6zeuZPsqSo1a7
d7F6G2wmeJv1ai2F8mr7yApsv1qYzc0OZ8E8AlS79t21UV1+kuaexzv2Q/1CuiqvgtDpzy62VeYq
GGlvRJ44J48Cpa00IvODOlJjsl7eA92k7C6Z76Rr7Zo+9S9tNdpHfUzvVE9bJwF11CVUPv/mvng7
tXJfIIdzUGe5Jp5s/voA++EBNflOFI6pJYKxnQssXcBTRQPWZlEONUpEpXWvxozFIJluSbQ95UIG
KiL2fxMjaCBOgLWL9FgUxRqLq7XXh4jmX05UNikXRGUQKnEoGjOzpvAy+gtGEPuHJorO6ihniwvi
ubP4af58ZoDvDYKY/IuI4+VkFBHGlm5V6NsYUdON740e2TI0BkELuyZwJesR9pBcNFTE8Vo/yAqU
75pb+8SxjPDGNFHVq+5r007e90tex1g7+Oc2OS3ypFOadnHqsQ4al+oq+LmXvLLIfqlDcgwa+jPK
GacF18J6tKI4IHw9XUq9yw61YX9upzAlXNJ8cGo/PCPbD89FCPEPltJ/+1RKfD/zOpbGk4GiAJ1F
TkJZn42i2nj1BMQ/LB4cgFRPwxQOSN9smJ22ias41VT7phnr7a9vEiWr/fFZ7WA+Y1suol+feCcL
+Z9vktyaEzA2hLEk+88K1RTsqR2WaP6h6sYCVY4FAoOd9WWqCTR01XLbYwr4fjGkcwYZiSHa2k1F
Lw+9587IStazZQOZG2HVafKJ1FHk2G6r1msflyYOeKJSb7L2NDnwbPTr96o3ZVX3ODsEbM06pkJg
vUI17G121L3Nt6KxCTZ40bZtC/++YEvwv3pdaZOHWhuuHvUJNeNobYd58d8X0SGWIv6adCXJ2n4s
z16UGQ+APajXtLr4q6ePf+Rjrz0WZvkclwnUrb6+FmmG04EzEXCnAbc/33vF8kmENZaAf4+7JZkM
cgfJ1tWMdPfr7woPnzdLDvaAROF9LBsFe0H/7WK5t7SlNXVjOdXZXO9C3ywuVeTxgFWHWlxzyCxf
XpwqCXd1xZYoXrtq7O3lXmq63U3j1eXFRCK1oiOAmr95T/VK9R6D3QgWgR0T4brzsBcd2sKSXQy1
TVFjqinGBDCLOlQVfGtM4Yi57OX1EjVuvb5O9V9esb7rxLuqHi5U3UUrhjQIa2uHh0B3WxAsNyiO
8nncDvzWVFedcV0/u84w1dfLmpXYpbBdqkudBQBMZ7y3QN3fqqHXkwSSwj1uLMPN69jr69lMGtue
UhCqTXlPdeL1DWaTqldHsCZVJ6qBfIqNi05QDaa1bQUqOgJuw4c58T5VQ+3fISgU76LyLzUqTAlO
LqlHiv+5KCl80qUomPaq29pYzpCiz7bzYHsBoTxxb06gk5a2ga3D4lZjITWIXeKgwKzW0+qaurNB
apdx4NqVuHr5IJEPZ4ZEOmdC8lu76kzvz+Lars3SW5DrENy4IerTsPR1Uuk04Cn0ixgNUW0duZb4
FJ67T5HKEvcbz4VJUq/Uq/a6sLIZtmNhJyv/tt6pM6qBIYa9hDqcZgMFRiU+v4zNlmiPGJtHN3mi
x8ByxX4xYvMZerjxPDjJ1mMCflS92m2wcWp0eVHdXIOqHYJXOKouZYHdweg7fau6pvwUNmN+Z1Mb
Bg9zPPNL8Si1hIuEPZ8EJLgWsA7QFBjs7ZdrCqMDeLee+OE6mcBx89v7uNDCS1vD5HWBEL5nv5Qf
9QSLANX1B9RA8FWdo+oaFh9l4dg2mC8uZn+/NfRhPPljyF+6Tg+qadTzvCuwsdbiZ2kszBiJSVIc
19rlfZLzwMudHNjeWgRnjdTVYlTvoJsZPKDVif41jZfuOECBv5Pj+L0xVsJ3nt29GRbFSZ8a83b6
+eqJmtiGbYd6fT6OFPf3fTCbqbia0BuuKTWnNj+p3B57bqB1SJ2MSqi0VKuLTSx6BNjqNCQ3bite
Yi8luLv1Tb4PrdfMqfYQtzylnGy6Lo47vjSQzaer7bTjQfC7NRPr2HA/nBLKNeQJSb1zTpmS4i2F
q5Bo6uW+leQHuszQH1WjU/nGFztiEr+OhaPd3Emmya7p8XkAbwi4v4HsXDn+jO9D5AK5MYlOC0r6
quw56e3wz1L2fzo2eyVDQ+Ytpja5hqlRntPWm/emUy1PENU+Am/ZqOpq1Qw9uw40LpK4dx5ikUfZ
NV8eO5G1eT2hxl6KstcTdkW46PUVVWlGge9rVfYFSxoqASFlo9nOYweFP2F7IZKUcj/dCMYy/kKK
gVXYHFeklCnw9V2QofrknmHegCKr1/3jOrY0FaHvxCCFpy5ex+R6nerN60vV6+MMJvSvZyfDebMP
sXDqNRzKOlzTcXRTvJ2dNCf1SQ6N4X7KWUGyW6k/VFF9zuK+epTdIJ7CBMxc4VYfMi+ZL6LF0BPb
jvpD2VOC54ky21Pt3xwIsSU7XOK6O9bbHxKAoidqAmfsBf475reVfYrVh7oOpetR6eYfKLfV9ss4
vJxTw3+/Rr3PuH51aujvcT4T+/R66d/jLgkujDZ4e8vqVrdbbFqIJ/aBk+D8qyPef/SyoXz0B3Pa
zgUIFdVVJxwEkgMTONY1bvlYm+TwskU/qp66qit6PFRLSstf32iJgQlkRVSc1CVhmT2v4d+Dvqq4
VTNEqyva2shsIN08YrCgTnSp1Zy9Lozh7a9XFzF1stpY7eK1TNxe7fUaHHcAH1V0l8KChza/T+ea
Zec0w2AzWI+e1MU6lk57SsjSm7DrLViaifbAIj98cGTmb4Fmzzs1lkozfMD6l5qSrHFOqqtOIDTf
yqxo79SrinjKbivbPgogTvsRPul2WKEEspXNpZ6IIRkuq7i/u+qkwhbknvVyReSkXJH+t6uqw9Vl
ashbzDu7q7uHiZVaK/CVIAuIGd+Kat1SUUy94qCn3I5rrfvLqc62v59Sg21ZT9VBDXbj8jzoy+c8
nV3AcpIlvCMfYAljOzLItvtNoGS1VvwxhGQJaioF9UouAU7TINT/8+K7diwwFpU5IPl2lr3D33LG
lOJ7Ey/ommHjBwU1lreyGEkIi+iu6xfgAnnuPhaLKNeaoAw5Pfx5o5/+tIYsea/FLOYmXHYxny+G
8YIiPt8CTu7OPoUimMBY9gX2hIv5hLcfwVodfN8xPhAq/iObxB3WPsig3AFFyNpE0ZdxoZwYMxWy
btz2x18/N96GL/gQfF/oukMpocmS136TRXD4F4iK1Mbe6kgvbkGTk8Fbg1sxKIJAByV3U5bEFNIK
8I8LQu0YVzqPal1ehxoxYutOYD2kCz/OcoNJeNdWFNZh8LL57FvwyACbDAcJtMtxFkiBAxJHawrH
IE37MYjSEl5PjBrUrbJ3GZDe02JGf0ZuCMWkhlWdN/qnEX4yXE6BzMProBzOGLGhDHw0DAL6AxXN
pC4uBHrsYxezJTINrMFa665GtmyXmnnnkIM8ibz8GKeNdWfimAc/fwo6aJhI6aC06tge5nHfw4FG
dIV5S3EaIvdzM0wLvGGxXJ21odqjxxivz0jaAlkqu1BDrAQo0GTlCOyljT6SuT8MkmetxR7ufsnm
T2p4bG3jgGbR26kXEYubb/TOnK7FrJUfMok6YtQ+yDT09mw8jgPV6E89jATquND/aOanPKdci/1U
+pv959stDY88B5d4mySXBXPDeAvUFh6211049/s51UmqemI+z383LmhHAIA+LHwkdUhSu5QSdFWP
xa/ZnER5rbBKcDVxfm1MxCqHafK/1Y1dn0MDAWhphe/7bObjzZv4dgk1pCeWgejITvPfTIMquPnD
hpo/iF804A8LBDsFtWte7seoCzbkkGTHWO7bBS/csDDTq2riJMpIx+DzyI3m7tXYlMno7MNy0mRd
PjUu2Gdq9sJ920zFkzXE8g7HuqOO5vWJ6AfysHLITl6TzmBfmdkTbJCvb9bybpH+xbo3PBjaEhk3
0rOTaz78sSSzd8siwrtVR5LiB2xb0I2rrmrKZvUOnX344uqlcbq4m2RceE7AArwdv0Hf0jTC/fM9
izzvzFcSPZCKr/Yh3pZrNWLzZPcTG1BumsFAYC8Ra16qcMYVXR2qZvDtdGMm5vzD2LqiwLOsTJ3f
bJkFRaE/PWHZKgOR920eYK4jbPHm2whNUDajlXf7hSrUO5E/pvilXQqQrC9N7Q/trlooG8BWLXoY
eg87lHoKivWP0+ccbNACWNrVqGJFgsFWFu2QsQGcXMYifA/61jt7PVUkXePygw6xx47r8KwD9Tzq
iG+ApQNvsChenNOtNvnI5qe8OKTOJJ7TFOZB3LN/8L3GOEadr+GYwrO+qoU4xkb/FU8mC4HjOqYa
B5jl4EsJuYkhGAYhjFAXNFOUdejFO7mrMtOEolRDstCbFEwMW/WFyoFp0QxmA/Cp8JeSTWvY87XE
4Byg3fg4Wdhysui0thIp6WUE3POI1gh1VQwsmtrU44IB+a4tV8toI6SkbsY8rEIwgXdNDF/I7wes
FmdJLCtd78l81j79epb4l58ViVMdUJzv2LrrrNW/P/6sDGyXRr/qMAGhaCRdI3hG5MI07tYAn+r3
RdseeM48NwM+VlRvYKE+tjkljaIJxOshsLA2UIO1B13EzpCVaCkq0wpEbaCOVIMTmNiHHnDW2CWl
+HKij50DMvlqtutD7NbmMWqZamEKhrvFwz20DYuBiO68k8VcXFQzGRDcx8q0QSLaSMH1U2K6X6d5
9QCqqna4AC8cLrGgUV23RU42u4FveMX5tYHC2cMktEn/aCBuQ2voTz6cQzGGVtCYBnTOPrwZBV84
xPTqUufGcgQZ7vxmvhZvl/n8pFjcM2HjMuF5ECJ+/iZsaEBUHEQNeQEzCWS0EK9wQmoVcctCoORF
D6GFp2UKbeaY+C5glDk+RI6b3dr1kEOAgYbZRWie3IXs0Y0abOM8v61WQnc6Ds5GWtTmOY42HHW2
Cne9jzdrxzP3Hdshp76QJ02CRvKJGl6J9M0bo7t+bURh1Ldr1FFG1VW2AMWKJZrPJc4Rd7WkTJVZ
/RmFz/hsiQQO0epEKl3EUmu4ulpj1FIFpSmV08gUrfFqNdrk3EwWvNa4TP07e24PXlcalzpxINas
Q36cZ0FqTB9aSHjiRo1NPSn2Ibd4IqyXvF789+uR6uBuxn76MDt9dV+k+vXXv5p/rK34rhzd01GI
6I7N/uzNAjP2bZli0VXvNUfP0RcS6TJme3yW1RJRv6iPUADpYtpwBd2MVIloEI8Kc6fNEQplOOcy
duzVgccJTPBmgcbMhJbuEytb/2sLTF1HGPvk5ol2VLlY1RRxjMTOKux94hL2QPfgP1oOLhb50H2N
9QSvIb06Wcs0nKaajewq2ACVv2el2L4Hformuei3uUZJpDuQv/DwAdnNsxwCXyA8fm3KrCf9+dpX
14R9cvJMCv6Sdf04qTTp2qju6xjaOJHfvPZfT+d99hegeHnC2M4DUcyc5vZVv899vJg66EA70zaw
lOuNodqDCTeQlN6JJCu3FduqnRen+onid0yt1p0O28twT3B53jQuKz0DvN1J6GV4q2FYTpCn3LAw
EScdoPmjm2GAWJWff30XINr+5yzIBsPG5cVeyQZvM0GynfNZ9J7cFykkfpFI64hOTMQ7KnfOhaN3
54hq3ZuZjcomRY+IhkayVR9APK1r5MpL2j1eV8+da4wB5JyJx15a3RTd/FjB2rK7uQkg6MVBnG7a
9SmqmsTE1Vs02ScCRRNETz7CbDLktfQXwpILznRi/TpHPQmwGZd2j9+JicBnQP1+yQows6pRXeBD
98OyFMe4GzvwPEV3YVK9h3mdHNypbCjlz/PHCY/7m0zHhmTWLCPIDZy+8sX82vv6tCNu2YDvvUzU
tfX1SFEsq9IjzW7pxJEvAs0OT7C8yd3AXfcT/WhEAZK+IJlab1MB+gmsAk1N6FDUTHovQKStb6PQ
KIDx+HI3DUlLBVb17MUABvFRzkFP6hg+q3EyJgfDRiVOPT94+mRdnK33h5FoaI7a4tRn/VRsmzXm
7UsT9ZSldxSaI1nudbPdD5BCz33fkYljw4o6PjIvw0DJSCXTPdrE+MD9eCoiPwzKSHR7rC1jLANx
weAfSLFHuppigHQ4LqxIEma9s51FfX3Tgls5U23Ungcxg5rsEwJmonuOG+2zFlb1VfXaBWJ4rZWA
A0OgSRqrn4PGt3weWxw3xo4tON6Z7ROxyf6KJKB9WjoNK4089UDmk0DB4utJx3K9naLmKXIRDvdY
3J58i9qthnWM0WpNYK1Nwj4lUF1/LB6SEiTnbOVfptY0bstM9M99/J6U4wzbKcaovU2XC1ziGfw7
24BSPy9x7CKkjAqTJQJNlYbab5aV1s+AEDLtLjOfI/gfDevKNyl3wrpaW3tOh4PBTGWMvTwCAGaz
ujbtKldS3Wi6E4O0ThkuRt3U7KglMg9LRJkM4onyEFEXcIMliX+lste7TmLwr6prLH181oS1H2CS
ncvJRLGJh0slWhZyfdnuGlSsVKGny3MipqdYQrBPFie5ZCy1ySWw3a91HKe932SULeOfzxHP8RzU
hhaLAOToP0/9PUbMxTBYct91AArcxR6fQmNJLqlo/7TtgaxDg/5AENqCqLtB+GEEqhHr0aLZPObM
D+0KHATzjrI617/iiFbsvWiZgzIcDADDpvduwW8R9i43LdNi0K8rKSPLy0sRuV9A9KUHc03bqtxt
RHb2N3+l/SbLpr5cuC+wZmA72o67fvk/5M0FVuKhyb9h30yGdgDaRnn22jTzALOyYd4LM0mpTkz0
ZeCHqrpGRElnBRi0riinxpcvApVJRa8sx4fRHOVtGlkawniDT4nc2clfKAfE8su7Uw1J97Nj1x6r
EIZqOYcnUeNyl+RN8WHEKDRpe//Wkj6G4y0p83hp0ncjW5HbRb/rKClN/C89ybD3cUc5NkkeppUk
gtNS859uC8LDcYOOorZ+s939t1uCPKTBDWEJdu/em/xxZeURrOGx348g3e/geGK0sjZmCP/EIPSy
x2xhCOoRQXPrt+6BYbMimFCXkXvWJ5vK8tz1N16RUhBpDd69LTPvnpOIhboLMiaIEZbR3C/gR+9T
AviInPhWbKfCpFx+9NKP6tcvs67aWQPTKaTjX8+fb5Ve6w3hU+HrrDEKnTv/TYTKaCaUbV7d70Mi
WQcy4liwxjYVo4gUnU0v8/aimjQCIc3ut96/jmGWiQexk5tYHBT52Zp8gyIuFvAz8cSrgyNo2RCQ
GpLw0BS3qNYc8uUu/HSKWJNrTYloAE0UAfxUX4iQ+zejORm7HNTprRkBMgkjvJegp2aX1q1gZgvZ
7zLXr2H19PJoDi5V5FF+rLLmNrJBg2sgbn/z8fzL78V3+ZChNeGfyQf08++lyjJZwozo9hO2Fpeh
B5hgV0a26xpj2IzCuFu0hjycP1UbCiooZZ16EzQtTAwhYh39vpy2jlUgJGmWO9she0nQBlvgPh+c
IPGybad59kNRQwt1pm9VWosnijbNMZ5Zi0ClXoas38vEeNeBQT9rXtwfPUM7IaHfNXMeUvYMMUzE
g3FfjtOntHGIYPf5N9so92Pl2X8OWXXbmKn7uRYVhTifIhSyoFLt34S6rH+JRfjC4alp2raL7OLN
TyXtKv6qGPNiqu+BKq3/ftu2p0Bf/wh1pMbIX9QbOxn9ncyoiPXTJymLC2t7f3u3YEK96yi+OJaT
BcTYzXchG4igDpfoWnq3Ed6ngaU35nkZ+hX7bQf1qrGsZ6yW7Kp8dhZ2loZD2HHlBuWtgAuiQYDx
/OWurTxucfBBmz5kz//ru8T851+PVtzXifL65KpYhv58lyx1qdetQyRmiEyfUoRC7EU3OxvHzO4q
EY1PNb60cQYIq7Gppmox/g00SwcQD+lZGmGIgGqibr3ztNNYTYewGijHxX/otibhr0fyrxGV3qXs
AN3EfIObQoARh66r79yp0G49Z2n3v/6b1Ezwc6zP1w2LUB/zhEnO680ygEwlds9L3eFlhyFGb2MF
o0GXaXPHuoA28oIKH5qJWBv1XkNIIN753vj55EGHik+I+Ml+FOCZyeqvkNLEvGrJhYchaBeseV8b
DxIyaWJqOgaME/3LaGVAc+NouiRtk1Ovvx5CKJsu49osI6yWKZlIH7EJko511fAGvKwpI0rn82Co
ZbNJIklhh+UctVCT5y7vxFaalUOJiV2RY90D6EfgUYmG6lyqwKvSGs5GR+Y37Mf1T6UaUkdeqIWi
2HYGqOG4gBeUaQbVoA0J3xga172J/PylaWX8zdCn7DfPZ2tddrz9GkwiO6gcPY//e/M1SETwtcbP
fZ/xcU3U7CF7blstvKPwG8TtN3MZPsai1W7H3tRu0fOGgSa9C/Er6xzL6QrQzTstTPYn4cxfF0I1
UEhppr+PQPHAodUbsXNMKw2WiIimJtPLuDZpOz+XmBVd9WKWVyya45u+NA58vRUug83Db266f/lr
Ucob0O5Yn1D58eYxYhexkP7MzTxalBu1kVPfSF+MF033sn10nsvwxicT+9ccxQ8z3PSCPFqKWTOM
AhloC5zytJXHuI0nEiUniGfF7eK6w743ZXVCSLcLh6pEru7KAylfgmvj9EFghXyOAQJALqfseAHa
dPCtIt0mwkWrO+gZe3saUl39xmpyIGGRhvBwbSSWIHtRUcKUsJtQTRXN9dWrm+u8zNSgwzLZW2M/
A7WY98XQZo8ROFsxesN9lnR4MJPy2FbrngFwQL91y+W9YUJkSxbQ161tDic3prjMcKtkjZ26u7Ih
UJ2Faf2bO83+5wKYgBswVIiYto2ow/z5IQademHRGzYkmc0jMfj4rC+UfVIOv58rGMZ+Z5CMcuEy
G1P9rRceJoiWtaldD+YvM1655M22qXCA6GrcjKzKWpe3pNUG/aqtVkaht+bk5nDjO9RAinDeRZo+
Y9BzryehfdZ6/2TNRgoHCNCRK3UZIAvfNAPWN442WRuIL8JyfPRyaLusvOCj0ext07rlcZjib//3
W3HN9As0DQYfytu4gtlnw+oF1+5tl6yR030s20LCHGiGnWbO4Id17xKFUXpnhLmxgdPj4YrhpU9u
N8hL2/nbSIcdY1cZJQJNfBSFEk66kJN89tPLUtaU6Og3Te1W75xlikmP+wD79WELH+prTyLmqJYB
pL/zQMA9S2YrEFb14FOI4bJPxtWr8jv7ZEFzmEdpsJMkA05hTHdounRXdznY+dAkU7auLsfZ+own
II5Fa7xrWJtmyooDBf7XpJ6sAO0KBqUG6Am/0cytZhozCF4i5UXrUPMkZu+xdUPvkXL4jngbGwbz
PGCXArM7r3+z7HLWVeebp55DzthAtLk+994uu/w6nQmsac3ejGtSm1PxKKL2D4oh8zOwFJ7WsTD3
9ui1V9tI9JMV6mcgGfLYCQfLULnAjGiHZxwSLwjPDjWeYfsczeFRH93xmGQLqTav+ej0TrZlPlvI
dH5CZ249lfxIh9L+WlROcs0incJwL9nOXi4PzEEfWtLNwZALKku1Wq6GJfHer+0jm+SI8KFHojVq
mPuLr/aUTcC9iXeIzOgu3hz556UcnuIoNi7+CjhLbZPayCI7q8bUMozshAWayCQ88+t7WX1cbz7O
FUVqkZFn/c2D6uefNilX2ZCF56fdu2ynSXntoL3fSAn0UMvYhSWN9ufkNZ+q0UjZf6R8woPo98SG
hwPE+qs54gCe2TySq8YkDPQ+ylPSzssApgNpi8Hrn+ywrY+2vaOWFw1b24YfC7ZVNxXONctq32YZ
U8xszZ2e4AFw12Tdtcff6tpGBt/qUH9L2vT86z/cWWfHn/5wku++ATOHLJlN1eCbP5xfU1VPA/eR
u8C8KWd5nsYGzrbMr32TYHek6eYGvdCwQe8LOIySPKY8TydJn2TbZurzjdPX1lM2wyTx7EOj18Wx
j6z7PhvBBM0+hXRjPuFxN7rHxgf874bxfgLkcNeU+Peh6d6npAcQTiZYsMgGEQvP055cR0MJnknt
lT9/4z9ofpgWE785apr4dL51rXjQkwIryRzU/phhxBiDdX8qnBtzrWkqPacI7EJQKuXv5wUjJDyZ
duFUseWcWgscepqeWvxRiT1Vz+0a50ZkYQd9gzLx15+xImX//Bkbugssi5+r6/DoebODNOcFE1fY
SvvIJ9phN/61phjlilV7swvHtt6oLisTTOnJsvrXxZrtq/mghvW0NxG6rS9QTeh0+YYExbh7GfPY
UtasHjeJk5YPpanjnKo5cm9hEfKgxtCx6ytdbdixzg+v0kANsdXsWcBnxczHleVyj99EuWHdqX+z
MaeuJKG6ZrCB0ljDNomw+3XYit/ovU6N4oj4Xh3JabnLPJxJX8dNK8T9VfVnt/vLHOzxbmYKgWlb
FE8x+8h9X2g+DhtRf42dON+VmAm9LyP5teq77NRSdwgQZVU1W0k7o7KfweVYqXg/D4NkFUOwqy1C
8X7xBvBng9ldh3iqLtXsvPda3SLVVKabHEZdgKUS4RI0hFfI00HtewZBlaG6Zh7M2APfUr1PfbJw
LklYbJfIHv3moWL8c88nyJG5hsAmjnWD9bZIzK7LWrPcItnPsw3qxhb7AaelD5Ys2uOkaWI/M69/
cpt3VgGtx3eLhURHG57q3F5gWIX3nWW1X+xuwdnk/zF2Zttt40zXviKuxXk41SzLkuUxcU64Eqcb
nOf56v+HkGO50+n3+w+CRRQKkKxIJFC1a28YMo96Op2KgaSeHwXe2shrtN9KSt6RZu5fOTk+jRUq
o2g78D+dQETlxtNJdJr1DYy1C1GBLp6QDwbpqHjFQbOaFYG64jFAi9hMw/Ike1mb5ltPa5KV1+dg
Sz3u920HK5gCwheOuIwK/ZlXWyNcvuNbLdYRBBVaOGvTzpILc4/jUnzU4FIYSyV8QsDshzvYsOPK
Xq+1HGJ9PpS5C6Wld1ANVMplt4dH9b5MOxT8RuPsUTKHrpD73UIZ7U5Q+8nu1kXHyqhg1U0Lxb5R
icLfjnNjAWNde0GkLYx+VG8h11fbRTct3KlFSYhay/va6EuCEFb3TQmVA9qM1t+t4q/sWHF/ID+t
LRqX6EJUQxwBLBz9Y3Szefig04PA3+/TSZ2bcnoQtd4Pswa+50LFvEtrW1kKJ6TML87EuQohBSwB
udzaXib2OmDSG9T/hgP3dGcbeQPVbUBS11Zt6vf81mEQqdviObFg80vbMX8FxvIWgGF7o05kz9cB
3uGWN492GyrlPVnNuLL/8u3yoR7RTwCX+iOtA+qVBy8cbkKtGkjYcYU8yPvVIGr1/9iNaPa/zvfU
lRMCUjkHexrMpb8dSzI7mJCaUqGnLOEasgIrWwyoaG3TuPZPKJXCCVeH8bix2SXxZSEQBlPwqAAg
fpAuvT0G+7J0n+qSoPe1Keeu5xn1DSgh2Hd+DSLbahysoHr3lV1dD30Kvmcf2b969wUEOK6GmNNv
A2oB20wrgKM0M2BMosZkY4bt5+7VlihCvynap44IDOQKIuR/wNJREdajXVWEMaLyI7uEojm7uu4/
KE5SnWwTQSlpt4h2QiuujcC6xXAqRh5yIkNlZJNX48++M26ottMpJOQ79RYYIt/KQ7hs+tYeana1
HMrBmyIqVev1Opm7w0Dpc1izt5rj6g01lUtYH0CH6E5loRNWNcsO7ZbVJLGRaLrBQ8IJr95kbq0t
fDG+5LqX3XZq0jz4Ta4ckYmnfmtoHqSp0XoExJuY50Wh6dtuNFF96o3daPn6Nz9sxmWsltqZE2C9
qwkv7I2q1O66KEb6V+VGQ/Xm9yBL610Zqi/o6dqcDNUiWwizALFn83yGQXVYBiIEpBLGKfpiT26b
m9+bpoR3um/ErqOIeh0ZOdFMtqeUvRk9P6+GIt8KJD9UTfVBNuqMc8yFMxQLw9HrgzY3csTJmvmw
Ofe7JIA9DNZgOaBVkw+pC+W1vE9vWcABuDQGG73LwA3N23IFF1zmbRqDx65tuyVB9DRxlIXqaH21
KGb02eVSC/oMJCyVDGnEiB0Tz5fDn3zkZRKHfrAyBpIBgynKtTRaQ6T/H7/Kfz9+XM0AWErEzXBs
m43tPze1PCtRNhEqqq2WioJ3UHEUm7oaBcFBrNRMd0naEX2dZqVJEGYpiEGuekDtuq9vktJod1bv
goKdm1gZ422sKGwYQridlclnaywvDSHQLwHnTLC6E/mNNMqrAX29bkLIJkF6hlMZuc25ya3slk9Y
PCIFH8/yuvqLSlHXyrZQZ9JqRF/+9wZMM4EK/XOfa3JbcmZ4qaZp7MAIRv7zs+CUNxi9l0ZbgFvw
MBWk2Cbth6hC6/7SaL0Gayybscg04mjp+pqyik3oAlyvTaKl2VvsNQVyeJdxokEvdV9B6P2xRMUz
ts89506azAjtx4yT204r8ruo1swbI9DrO2tuauJjd2la3qVDbd7klmgupg97mPmzPRksbmjvvtI2
Gt2u7UJtH2qBf6fP8n+tmjlL04TwWHavA6MCCS66YCSidSj149zai6J7VDuDGOLcdGgtHeoe3rGV
vDRhGCgXw9ielRoIhbTFKtHC6Kx0vngdAwMVKD9Td7KbpzDK8ruAvRG53UyviQ3xJHj19BEtTvZm
t8IcwhfkH1d6VQev+lCMuwLiKWC4rDaUlAHYP9UxaB5RdW4QU3ZWna4P5wCRyUfXVoY1jxyUrGcP
XaTNObCKtRyUpqzToeMZ2mwvbU4yUG8A2mEhRy9NGtw3feoc5QtYkNNuDa+mPHFe0rfN8nGCq7FT
CW3FabKy9LDcysXCAJrAsbeAAeLJ7nhtF5V5di3l20SZH0XEqvWoZjBRC6pPV30t7Ed7MKu7RBtu
qpzY45Jyku9/8pVTERT6Mbmaw1Gxmw8Fqf5iBu2DOrXRT6Kcz6Y3hi/CCvuNRaH6DUps0RlgHfp/
swd/Y6f15puarowY+lkvTV2oKIdpVyvw2cluaOQQI2Rj8sPWxaru3eYvX4t+DPYUv+TIiq0zEvW3
xdzwRqa1HABv/SNSI0gwQqGuKkRA95mWDMiLw3ABhqXsYLGHpXxK2/jB78L4gZ3Yl8zP/YPsgTvt
zihBLYTQlj1ER6hWTfdqa6WPsySu0pjGF7IUBKWzCUajuavGRG1tLUJxQQQn6EDKA2Tfk392O0W9
iYy6jP4eeJPapHePsGfmS6INqNzP3Sau60MRguNFYtMvlnVWnAbhVCcOkoQSCOhuCieDLW7u6nHJ
0SQFLSJ/UvKHCLhI2zqD2fKt7xCb/L0fUAK+bamfgwnq1+82VnK47i3XRK7QOjR+aZ15guvPc8+G
jgIKPtV4BhlyGYOT2ZBjBYVil7FmRMP6/3ueXFOdV/lf8+ZXl6/w8XryFag8K+5Uu/0+WQ8ubM8/
EMREla7KrWMIOwlkBamx4ixvfmucfkkGVHsTIQmwDrbRczMq4Y0faqjtqrbxYsXVWXrUQ/7TMcrq
aSgVczuW1ghgNQghDIyyhfTIve7GAaDy1TQna23ATjmFPdBNsyNHV0UK5NxGd2+hC78sAHd+Nafm
hQcIZJlffTdHo12FJ9MeOvsrqVZ1qQTwnUaK5W0UL50Ochm7df3LMqUZaNdlKJtmmeN1mbyaM5Fq
5R3SJFXhzHL/x1peBTJJviVXyV/m3xBr1QrHhDRi32AnhnFMIEwLYn7/8pdM9pgcp11RW5VZj3qE
+qPvsDVa5IRAkHj1gtsyjIzniqPNgoTUe1eOym7tDO5c4djtM68W+3EyiGFYo4rgZdqB1g3SbleU
efMgG3NaGj3hMw8MiGVYjxb3pxt7pEpPFIr5WEECgi44H2Dp5w8Qq4WPVZi+Rp0+fe/qEU73NFbP
XhXohGDjYCUH4j7kKKcrL1OHjEZuDzGK7L73tYU2TzqYiN6uyp5DDMfr46W0bZazdUp1juxQJTWX
Sn3Y2ZKo3Dx7nl5ygAj0wurHDkEZlDqhXuBOrkSUVEK38V1Rlb8LCAwfFK+B5n7q4Q7gy/IY19EC
uZj4WZmbCMGd0jWyR9uP6FnlEfF5/046tBlVGDW850c5mI8w1fspBKqyO6sIrnp9G+dwstT6mecX
6QGh2m/oZC7MwNC+Z9lQgAKudertS9tcJYVVfYsaSCDt2H6zOPOC7uiM+0Cvqr1vUr0FeDh/1qPs
VXrYwfBgpA0oSrt7niCUXeRtqH8bPq4EjIPS9HEhveDy1L99mC4Xd7FZ23dT6gbPg0nUyhGUyBVF
f2wygvrm3AUkaWxzNGLAlrbFl6Z1CIqVwtvH5rqaLOPUZk219kqX2GVXznWEFcTlcQeiINPLfZxE
hQ2rH8yQL9QaplQdN9Ux1aL3pohyysG0BgL1X/bE4AOXHldbbU+3tlp0+y515zLfj/lhnyqwrKt/
c1vxCbzTcFjS1r3aVivFat5tSHoqu8xpAcfPLnLA4yl/VJNgfzXJqyL+0aeFhryC4V08M9t/gcNU
AMp1vnQE+W48X//qWoF9Y7Y8PIok988hFWrLTIWafiCBqiwqCtjXTQTEVA5Lx0R3oMMpu2KhF6YJ
cZ8Lr3ToxzvS2N5lGQAMbPuSxiQUcVK9rj1nkn2AHpR87Tn5R0+PUtRVGPOsuD2rWlTfk7Op79Hv
cyc2mbGiU0pkx653Vxpddo6z1oL2nzqmSI+zs2xqy7MPCJ7cIry0rApjadaO9iQiu35AdGZpz73C
aTVuwOnOCQb9LHsiiDhTVCXPxHkwc3J7lXhJspVd3aGgQYWIZpVp5asvOEOVVhojBozkQ6Erf9vI
vP7MY2JTele/EsyxyaZOChITqXUbI8K2SkUWv+qozUrXysv+apXUenI7R0HdIbZRaiqbs6fMQJxM
ZD+zbeJSNWRqhr7Rvbi/cWp9G5A3B1A8d0vd2A4Zucgwr4ajvAqGkfKkD+cSHKR1o8GreKPwrJEu
QHI2Zjk6h4oj9qmYG79Ls3WOwORShhOkTV5lZQvtI+rDv9ll1zKDlyFWobivfYtz3RysuK405oFy
krbLANmD60pjK8xNGVj6htz+9zQf/L9GLVtwtLPeJj467v5p9Eha2SGPHrg3ReZ0nKtB7nVDOb18
TGqynLBTa735KeguOcmFXm7TAm5Yc0f6aaCx+xLl+cIQ1fg1TKL8Bm7RYpWb5vjVK9gBh0lt3f7B
TZ/dEDL77NYPgcFpnyr12e4MdnaTtuKLpTUVt16zfpkMsDdEWPu3MvLXOWQZZDPLGvmnLP85+HDh
RPEgvnDTDmHENywqA91o66jWdAAzmMzaRVR6T2GDJnjqtueoTM7hHApWi3pVisb+Mem+hZZrEj0O
OuJjcP50B1NN21u9KDnkV3AwgxIA5BYH9c8APVNPL+u/bVF/UYNcR3QkaVddGgZ3UWQqGzsbdpFF
ZCkr9fGba72ppB3JW2n5boz8AWBaPn6Lip/S7Afeb2YqxcRiGqbmofQ81M/svt5pvpp9rRL1RKVY
RVjNTu/FED4XupV+9eqIY6LeiY3swh1TgFhWhlOXduUzEO+VnN0J+fTRwlVdZtlXL4Xq3uui/NDF
RvZQh4R9TG0AWh8Vxpfc7LeTU6uP0Jml943SP1hkkr6EVH4jm9Uaq8jJnjUwb8RNyC2mGREKkygm
YkuaFt1BoWzsMlP/S/bqqmvNRdYl3dEguCNt1wZ+FRSdAwsSJTI90g5Hdnwn7cRFCFPBogpJ9lg2
NzCMjl+L4KfgRv1i1MN4ix45VUWzuRVButLzqSHZ149f4/HtP70QantfKxzfDPS/XzKEPyBOrcVO
J1J/Lxw32NqcF5eQHvAChUiAsIL+3Fz6AJjThSgpN1GGybkv/cy5D8dqAypFO3mzqTNaOMCbdinH
sgmWBGeabhVnKrYax+dDY3cNAgBGvuUBOp6boAVoxK/0xdcsIhBl7r0hqAqwzufrzglyXfSV84aE
GuesegdLTvpcRYOyCtU8p1JFqPvOQTprYr92tqc2WllIxHxNNPWFgjzz7wi5dI7ci8yPENfJQINm
uoZkVK7+62r8GP1PP6Uzv0JMVj+GZYsQ8VQ+dGmkH4PcD5YDKruvWQRLWZMm5qmcivjeGN2/YpI+
r6M+kuhJ1PHgt5F4RopuL/1t17TXRu3a/HLM/LUhMeUIAQCOLLzIOHKC5nAf27w/UbG7Hqwxfhmn
ULkxUYpa1dPkvOZq8xYlYXVPKYTFI9GbFoYeuK9920P627vJMfEpYmQvjEwH/jzx0jVvddo3OoWw
evlmBor5SpQaQSU4+xv+O3xIqlvDcKDCm21z4xuhiWJaCbUUPTloW8hOyau6IAcQ1layk7YLV1ES
Tg1SgjXSN/OU6zw5RTfg8qTqvUjAIJrFWB+uDfec5r+7WuPUh2lu5Iw8Sqz91Gfr1Avf3L5Xj/xL
noFP6zMRVXwY526VmfbS0St3J0fFMGbrcBrJR86jFiRWm6oys7Xs6mbk7lzFtZeBnSXPfPIRBDex
we5oXnl+DUqK3i69sm9hJokP0nW0QGKLOYMyeyZZkD4jgo4Ac2FtfBEXK3NoQeSnnbZUuJ3vZLes
8+DYWvmL7OmzR2KBXepaTz1ImxfUyT4zE/YyEsJvGfWmIsF0vswo22BDdj9Zh5WmLywvVu9C1X4w
/dD7mvaevRR8+c9OmrlbZA1DSsVa/ViPTUERcl48O3FasCfNp58GZ0b5qwFr92k6m7HpDO3L+3TF
4ytP0UyxtrQQbFLFzwtRV+sWPAOEXQDLXvSu6vcijJWlNXeBY5kbEWtiI0eNyhpWkSWmnRztTMVZ
VJJxfnYuarQSsqC604dseBlg/SnMGnx7aXhPbEoXvcoJkMq+cjcBtD1RAJMBtYe2RyuprU59BZwh
e8EvUemg0OyU5UGOQvq8E7DHPkKJUD3ohASkOQw17SaIOWnKSUJkGWW3CpWW85I5ZGjUtnVrkQzJ
QxwFZIwUhQTcHHKSzTR9abNyQIwBy5BmA5QAbr+TB1BRjO/+oRWkFTWeX4ZQH5BSCRBr0kv0tQMn
2HueUNdhRikpRcCWeeqBcSFmRM3v1abwGKJsWG+W0tvkAz3pcyMHKjBSt7VhLaVd60r1UAPy6Msg
exoa69S2jXuqjCZ7EkUKKbk/els5WKKhuE8GooVydESCYt/ZbrBA6zw6UB7pbBAXR3fPig7SpLTZ
+5W0Xbu+5zb5ZZo0/mkKtZfqjiQ7X+3qSQ977bWKG/TItTzegLPVXoXWHbrILp6CIVMpnJyaZRaE
2msrqE8sUX2A9sn375Nc+SKna96QLIvYrjlDEbTOC9EviyZKEA3U52iWve4LPXki62Kcx3h6lg9z
Zwz1nRbnxJRnLznJre34IEf/PUl6pYC7w5kdj7rTd3hCO8OSrl15JcEL8koPRLyzNQ3gCVAGq8z5
ll6d//fc35a6gCHm170u7/BUWRdpDfN5B1rHyjp1lmXl0h3cCYgk7G1TWuh7m6dhuPKl8TL0aUJq
jNEyK7tmJY2ymXpzQvRWLgjat99muftQFMqKxKcQI1J7ubOoQ4jwFqPXq6c0cJGg88ott8qBsFf6
bpL2GnH1nS3yt6v9MjVo+c33Dvcxo0mpbC/aoj9R0iY7cqpjBHN9M3SCVO/xYtXHymQGvrdaDJJp
Nl3WM3S4b0ehP4Sx4E7e8H2JPSU+kYeY1MXMjTj6xvHSkwOyqZpyT/2WQc0cvle7QzHlKe3Mn2Rv
o50p17i62Hy4yzKEw+HTS8jLuvW7lWlCmnX1vszmTAMq1mj0xaUvX6GjxO1UZ/ZDb6Ox0AKmWcss
n8z3xTVCUL4Dd+ucCzScUhxNU9xfc4HA34q1nNQEiZYsq9a5IwA9Czx9ntDMPWmye7NYA4Ws19dF
Pl7FjtjMRNxWx3wfaaq5iQqvOZaJ/zUEN7279NCJPBp6aMItMI+GDl+fPGbVeh6RNtmk1EAOi0lN
IetQdQRRsuHzsPQu5ymQyLrbMFK+XVaVNrmCdAkDtzwESQRQ8+OF5aUcrc3RWIDOd9YNRACmgSpw
ML8rX/FVQCRER0C20ljj+Hcx8vXwYO04GqZrdis5CqzRXTZg6yjRYETabCelsEX2Ib6dUVCwEV6M
cvx98RA2qImjr3TsRfxC4S+4XNC0j2Hu31K425x8NykemwweJU2ZOQeyFOhhVzxNE7jay+DgUJzh
q2JD/VP+2FhZf4YEdCUH5WJ+n7dL8qyw986ruXEgIA2OX+SgnOQrFN4q1dcGcicEWgiMe5lDsI+y
sdextrv9bxmtrrYudul7jb5/+H9ao/nle3WTVx/2ayBe2meVYvmasnd5HzoFh216F5ZoqbIJq+5l
FKa36/s/mCbXDUnndPW9dKU09l6aZE9Gbji+/mmiXEuu/DEx7aiH+8NacpkPr+vy0tWyysvy/1wL
vGx4+0+TnCjX+viDusn45pbznnKOMX2YpafsffwFf1jvvz6NP6z1hz/qvz6gblChLrCD73aXb63G
Me+UBgpr38vSjS1MsZYbSKWzvPs4+0uOSYuVKwirBr0D5JbtaBdX+TEfxyfZm8hTPVbZGEGIEbSX
HWpJ2G+dNgHKtjYSKUT3jgXB9Fncshm6lZ5RhxHzbZQjsuLqMtA0MMKxbeVhJt2TRvs1E075aUPa
qFxIYzaPuAOgsUnrqIWw1WOi2Teh3nj3ThDSUH6wU9JSh8Dvl21Ah3RdIGOyli5yAAj2LCMEnP0y
bZ5revmh8IrxKE2BS7SwzELkPnX3Xk7SG04SkB78uJoG6Ow2YSnspbTJmW2dws0ZF+7mapvMB1+A
9XNFdifTUeY0IrdDT6aqPnpyTKnhBJjHZOpo7pWZ/rvnJcXVJQ+I2wwp1eBJN34LXSNclcrkHjRg
7Zwxwqek8z7b4yiGn3SKjwDYolOdqhmVodSPCK2OTrJR4yC+XIkmRzKrMYvl7wOzc1GF7L4t8/un
CbNddoH3AR8O4tUf153dvFpf1h0/KflGLm4i6Q4KKc2chAWy1KjT30w1OEDu0aO9ptr116W0RlGq
6EvpFTbKZMMcw4SLVToIo/LR2vTaHX+hux3mpUJpc4RLUKWOzFUHTuMgmzpJvMMIWLWluvuXMUsV
4i1Uzvtdo/b7MOPGDTolZDslJi8HLan2IIZm62VMrnK5TFDA3AdNv2s4LZyqgqqEngro0kBMZ5VW
U7ttA6dctE3t2NvYSX9SHdrvLsNDA7edEqjHLtddezuIfOaVEd76MtyUsX+cqkMB0bOOhNW8fom8
pGkMCBvP9Ye53ocb3+kSMNNwbEsbpbvvV4qpjzWa5fHXOOqtXVVpwU5Xc8I6Ik1NYmF9cEdxHJhY
CvCupqBwgruyGp7abLT20mtIHSZ0KkUSZj9XLAkod+xmjUpDs1SpbTmJmuegZYj20phJ5iJQBlHR
bwPS2dWUY2yHyY0O4Z+2kDZPz01oSxBtZg1pua5WWzZlW6750jsgleNAfVZqleqquRGI6KKBiLS1
Hir+9pNNXlYjlLXxEC9lz/uYJrtK7oJ/qXNl2dZsoB1i0rKqjwJScYxNTwD+pcjv2kg3PYIM+J92
p0mtNXfZdmk3bkXKcKtJfukUiYu1ynZtDUQweJSD/fA+yCcwLhxRf0/qcXnJX+goFtzN3UuqQ3Yt
ZfrchcXhc/e3uT6jGtokiNEF8Q25vemRZLG+LNM22qlGMD3qeqod0PSmjH8elbYe7agYZZg7aRKT
ba7VxibR5eMRBEZ71/Xl/uqf9gDJ2kjNwZCyZG96DeBYjkhN92oRwNcWNgGfU1o6+cn2vWQF6Izw
sRjoXgfmKzmaCEDG9kS+bCWHO4EKcCSNs8/v8/65YEw+ahnow9QijaYYG81MPHT8xgaM+dDG60tf
WOV4NxW7ULNmJdXZBazpu4tM/liZi8AatEzoeAecMEulfgt6dLBKJOQhxTeqSyOMPFqAoBqpeOoD
YnVWudDt0vyC0q+ziXW33wAtNb74lEEuzFqMRzfs1b3rRhUyzkSDIl2YpG8T65QTfJgZHMIfYmaV
zgtS35Mb70KB5Fivm/GT57/9f6Aj/+TSGgMS17n4rqLx3IJSsmoOP7/vEPUJKZbCuGCk5FZONqSt
P9nJKqSrCXWHmyz3jpHtFt9h8FPJEGjxswY39AoQis13p0RwcKzQGErq7ECwb9w2NbLJWurrq9Qn
tdp1MwNHZaTfyUafgkh/UqHiuG/RxNqkWYNM+ByZt32TtEjboUfqDP0X53w5rcNtfuxtyBTlKV3O
afjZbcL5aH+dkxdK/8U9ERGbFlpX+CeEw6ZbK6T8F2bGDhqern5UifjPnUtjlI9KKOo5m8B4KfTl
qFcU5RAWv6kE9Q+xV9wL12juO2hFSZHnO/lGI0LdFPYG1lK+JXOAELnuzGQvuxZEI3JSOCbNY2EU
CLjxTmHeeZ+kcea+baMYjtNEtw6BMXwJGlc8jGEePJRWN21K5IlW0iabMNEQFZ+MeHe1QTxxY3iD
e5SzIhe2SmAAyN7+WsgHWrnTRaBDS45NNrobaKuq4EFztTWJ+vfUeaQIRYEKSCfSdZlCokHcDhoB
CuDErewTeIc7LyKBNrYZYtHS6JgpxCJXJ6MIKZWDhWf9yUkNRM6PY15UegYpj+KczYW3SodvtVG0
h97s+mDthfFBdpGV4XyDYBu1JaDd0zI7y8bPtOycGumaYE5/lKYJMdMbMfT3hRWWFuKtubUJwLm5
iGSv4lrbhRYKDGlQ6RtKhcZvjvsMzVTyWqA4uSNI+W7OoufWabn7VdADOCqR0VR7gKKg5Vun+nt7
7nat4p7AZe6kR9PdNRWlL42uFc6yHTre+28NFI87K+7WfSa2bbdxnNr4y+5fGu79xDin7M7Pquyb
nYkUkjj9VlWGbD1of6mDUR1lo7CHvVwFnghXlpbOpIVJc+gTkHAQUX6+4aJ4WMOlTIFP1aGUDkAZ
1U7vCJUhG9WE8g+gyNssU/plCaPtWg4WpgHoVw21FqanaS9tqF/OxS8hdTAudRq3Tuut2AeZ31q3
MpZ+5/FOdWSLycb8zIVifhs89pBQUKMrlWYABkK4nuSESG095KES6HNbE7SWaFQEntA87AtYZj+6
Yy1I4aNpeBmN5KjsWoVyvHQ/nENSk/eijwSEM0itqaGHckMv1lSLaU+tbwaHMUL7E2JV7cmtnRzd
a2RD50HRYhI1EuRDYz9IUxqHP0sji4+y5zZwuTPlkCVquHK4k5Ics4W6Cdokv3W6OktW8pKKxklN
jMNlVEQdikuhyoMh5pE9VGj2WkmcgbApv8v9uQ7Yb9nN9qqD5DwBWZ1kRs/n4MOWm8k2aAgNRX4R
LuVQ5mgoz3aAPhJo8Zb89tp9I0LqJv20Xtpd6v0g5b/QtNb+6dUI4JiGnZOyKklufvhmZVWDrjZc
6QvA2HwuVIKUGaKg2ZxDB8i0J4DSfSN5AFTLH7uzWsRUJGauv7Mj376rTRLUSZ919z6FpEfUHIOF
xFcZtt4d9QzC2MbvjGfZlaNNquuXrg9z0WKojfKI9mW3KPW42iihDVtE22v3E+FARKTC7C336xvL
8I0vf/JIAwuSxqnLyD8QH0/6L3wAc90+HdnIeLiFZDwaDCDKfxuQAfRBe5GT2CQFxmUdPQjeJ1gh
+c7GjhRYI+f0cMXT17IoBqJ44bHLUCqf794mpTGU2CIcE81dZaCeCwJKh7T350mGgTh23aifJg1o
0yhJdVdQt3hv1bAnezbIodhLu1VgzXTLpaj+3VeSulvJOf3MXEWQ1FhLmySykrbrOigBCGpGcYHk
NAH9VZunolb9m6DMhjsPXjB7UYoWKFveH5UC22VAKYxTMtxeJvm929/1hhPcDogKh0Flh+sRXfF9
7QWvaOg64drQlGFbxbO46Ox8mWc7pbk2WugR5cqg1Hg1l0zbinqYYJ1G43An3WUjWu1lSCHsTNSU
KmY+DvlHqmroMAm8muzKP9LoUmehmU56sUln6Sdt8iOQztCfvvtdPk/ZN+Z518/qOk9OkWtlPyiN
Vii/DW9NvbJvg1azb8U4Eqi99uWVntv5InTHciO7g0jLd59wOaQwjrOt6/ZgPNhWl+SOTLD1J3tu
EiVQVimcystRjkijbGpAN8gaeca2yuL+VLVdd7rMNpzXAhbGJUJyaE+oevi1as81zLQAJCv1ODV8
/tI8kYRe10XpXryI4j+3caKQBpyUB1UkB+nVRUUGz7KKDHPlFqugS+rlZNvG2Q5S89zVnkY5MEfv
2WTOJmmvvHTb1wly47NdNgV0L0tvGJotWWHKVMN22iB7AWFwXcWoGQ58tWFkuL/a4iGt79O5kba6
pqhBusgmTuJu6cY+hESuKO3TrBT4VIYNvHBarcI2POgHI0Bw1ovy/mVMzJcyN+yfRUJ5EnJ8r//p
WvT2i4Jm2E/OpsRwm3dXYVDUd101FU73Mrvm86rVv1ctmt5DWjJfWqAezjoF0iun6rJ1WeTsTWdb
PobNDiLtkWTMLxu0CfVxRMXQmD2km2zCcqAMVClOpe07ZyMNxGHI44dhMpxNFKPdmVA1fkytXDvW
ZYl0tbz0xt5bGmrWrKrW/2VMoQY6SvcxAv1ILGDYSm9p+zS7nZkAIk871COZNYDY87rJXNDdafqG
rI52sAkpvWNHHes2d6DLGkR3o7qQ6VPykz1QxeeT1tC8pezKAU1Xp0VrFMVe2tjjZA+JduB4WN87
cwdmCDi/EchYyDHplQhPW+ltoqylixxIVeVBUz1uQfNLeTlUjbBjb66vjlzruNWGuL+8upzkm9QQ
5aIZd9dXh2B70WtVdKN6wVPQ69NRNpUJXmZRAu4th1mZYR7Q+RD4r3BmpShIgy/dcRDqZUpUK/bO
m4JH9E/VY20jJEkpITSBBnJkkCRNwTScZGO33nAKc/IEKGcSDvuH3S7FWg1jB5VBYpEynJdFZneg
bNBYyMhf6LfdwU95dhsiSm4HJbBv9fk+RDGW9anrZ523ckJkLaXLn/yutop0gz7NNDTzcrLp5iuX
Silk1ewTeh/9wiJIBZmHHTwGfZjfNuXw7RKnmIMV0+wh2CjcSNuHB2XcwaMnvGYfBilkesgYnM3M
SBdekE7fygYYsK7pySlpamVXdkrjUkxKZHwBQhO9T8Nxj473l+zUAwXp8sq17eQO1ucNGlz57dUk
r6Y8+rsrA2P3m93ty3ap+MY9ReZgtynKIS9ZcL/s+00hi2+Ahu3GHPJn26vKZQWVxCaxYutsi946
exBzbczUK5cQtqJV6aKqcOuX0M/PLrIBSBiht9Nv9URQjGPAK6gXnGGljmQ4S4MYUUjlRWfs20Qv
jZWGtMVJxVna/h9jZ7YcN6506ydiBOfhtkZVlSa7Pci+YXTbvTnPM5/+fEyqTbW29x/nBgEkEihZ
LpFA5sq1xC0EKYk6Q+XuJZTWt7V9ifzm0/uIW1R9n1W+5TGUkB8Ba0AT2cz6FzRm/f1gm+oHb+E+
hZE/f6D4FbYmvwnOqlpT8zNzQc9M6+fE83Q5crT3W5OlQXcP0s/TT3Hz5PqGepNJzqfqKdKh9IDl
99ovTeA3/DdK157g4JRelqU6SPeFklOmJ6gvTk6afXEGg1Ml4f9bU0MqAHwxt1+7Xv2NrC/qAIug
DNKlwTmqBrRo+H1pfZN8cbvAPruR4Z0NIsifXS19cuqg/8sruaZmTTI+Vwi83nwX+QuHyuO/gqPM
B5DZHZy5tW4FCQeyTTBSglIYKKK0YHJuv+X91N+8gVg3b0ZMvd28Tm5uvjJSkRoi7y4u2wQF2eWs
dtdUieKb68P6AKowvm1DsdnLhPSkyfwZMAQQYsKjkdEeChm/cxrm+oOf1fmNUErw0U+jv9UJzlAZ
zcttn0oKLe/nD2IZ+l69RbH3IlOrU8xFL56a9LCtiYw83A91QFBr2VWaWGsuZl1GjzJSbc9+9LXi
tG1EjYxzh1DW18xpzi2ZzKd6aaRnLQc68lnmOuGOPtXQc/IC9k0nUFfbT5EZOk+osrUXipWg2vnX
8gkNrIOTT0jHLr7rctcwnkNYxK+vuznoMUYxGBAjQKy1itBUOBQNMiX+onulTPOrDJbiZtqbIQml
TyNUh1GOyJMbmPMhV3+asardZySTHmZinPOhcAvtYPEiOwokx2ss/zGfp9eisaVMxPXdr3Popw8J
V/Azz72lzoN66KQrOCQ2xV8ykiZ1YMncSXfye9BheogUgKs8bC7Si/UwQzN1hqBYQ7C0mpsXU2mt
P9LJ3U21a3ywl1Efps4eMghgYMuwbhUL1dThIe/HZg+bT3XKOELE4NdRS+XN511qy2LcZApAZrt/
jMzW+TAGkfNU8XxdnT0uYTc3SX4kMplEzgcuISmCX9UfvR99SRxUnHZq0oEugCZb+LKnZSTc2MKm
nfMtoJ4iz0i7wLHMVzk4rMvEJwvV3y5b2LSd3Ofma+mXytc9LrotsHm/1qHaXLq6qYDSz627tzaZ
FndH43Hs5Z5+EG9p/AAg/DqGt454TFdwbFg2k8ahVAbkBPkLhNKukdMlDy7lJnfOBARuGRlKkoBT
oBcszUQGg/fXSPYnpN4TcgCMm2NPePXNMIYBi5L02AGU+S8/WZFDdcWbjodj5fjWTSkWda4ZAWBK
lCgsMk9KaI73iJaP97oW8o37NczDXMkBvdrxDnhkvzp6y7T4wICcdcCF/1lj+aZ1TCdELFoVStud
bIm+UuVXxRMiNN5Tq6ufbMg7rjZCO0/STE0MT6WeXEAk8h8utt7M0ITreC+8MTae/ikkKnSFUev3
a8HeHhSIHJLoMW7U8jBTm/HZCXOoMhD68q1a+UxN7UPfWfNzWeacW6bIB66VQZ1JgaQ9ZDYMWWnz
ARqT+lKNQ3HunFj7VJf6T/Gg9PBGGi17CTOvP6KmYNzsLGyINNiOeVf7XnP3W1qTleGkX0hQanKK
+c4BOf6GFEVm3tCg2E5DuD30eH/823GOoX+pvBhaA/I457i1/lIWthJp3IWpZBtKr286qhWQiX5n
33w9arLPiFb/JaaIGDu5cGFA+bWdrg9APiF4FHvuD4/N2KGl3JTac0tN8KEp/OQoQ0rQtOcMdRuK
MKs/N5P06nFCiZzTcYjUGqI3xczvG/DKucx89Vlc4OvgEcDtbi9DmVAzXgmuYhxkc2PKzhmawcD8
cuUSxfGztcjXI700PlZuDvJuaXiwJQfkgbWDWrWlvpNpcTSm8pqPMC2GTvB9ChPUw0SD1XGrO9Wb
iFQhuTctCqyVSO5lmd9TmbRA98bQGu+7MnxpyCo9WKBjP/llGByMecjuqnjuP0XjZJ+LzMkPMpsj
S/Cgp/6fMlnxeLzXlOhPDcaaJ12x4ydzaQYuZTz+7RJaoX8mpDfWU34XT/xty9CbkeqTXjgq9v3M
+1Q2QZsH+L5s1c3hGa2H8B50gfXQxS9lPgU3F16Xm7000vud7XcuY9pRWRjPh/976djB65Dr+lHU
DzZhhG0ovVUnQaZlTPz6VSsh+9XbJjK17hEg1mC6Wma3vWJ1gjfNhe45HA0LrSHVLS5hX4Bmg0d6
P6pzxpnNipW7bq6yG6Sq2U168zKDVNfJdMBwe5rdHDQV5bHK6SAbyPNUf6TSbAnIZXXi3KNNgU5f
mX+ctOmTQgLxW+JoxnFIlrrVgSHB+F2XehWFdn1wgwsnOaDQ5H3MZ+vcwhd0q5cmzvKpvMjYGlTo
hzp9OEWDHl0cGYqTFto+DMCL/9qtm/yLYSfTRdMqcn1p6ZOHHxIHuAGCPJxqoFyomgzRVsu/jctI
TJufDK3OSveK3Ze3MnMvTWl1XwAs9ndKtBQYNWb/TQfz7nIQ+XMABXps1VpZKEGMj/zef3iogfyZ
tQXvinBMn8k17dS8CZ9nx6fQXtXzfA8lx3wIgvh+zZq2S4ZU0p1xwfF/hPVLRmIPuKLtqFkq9o3h
aHvDhmI4SPzpj0Jt5hv1uvB3q95LHI3JE5AO6zYhdb1DFKv9QnAhIn0bZORgGSbQuJxqqkDAwKfm
3nIn45RKFZaqUkSZZ+1dNoX+o9ikl2Xa18D0EE0NARU7y6vHWprK9Nwnyx+/pNmQXzc7ypXDveK7
Z3GAZXa49Dr6dmateB8CH1BhDPs9gcJg2LnNgIblUlTbRmGCOIDyjYLyJyi5TOcwl5F9ryEjQJbB
n0+8MMKDECyXhVHv1JACJmtu9c+TDzZDhtts37vtvQxlVoZqS7VNV9hJ/B9qKCqqJnL/zlL0+SBF
na6bDdBm5DGKlZR8FpHx1xi59ZOWd8nX/m4c5uKrrZnKUeWYzKv1x+yAHxLmCcCp1COZ82mjpmhJ
Blz1AVz5MAWwW6BNVqJAiAKI47XWyoCRBgPEdUGM1q4wYIR1bXHsHGbkHmDJsFKef0FoPo+xF1KO
S7V4YJXRZ/BaEO0utiAIRvi3/5mVntgKX6ECwqH0MdELn1+zPuyncR5PLhJusIoFKH7W4RyhsKgw
dn/2JtJRoTnXyKq1+qXttJPvm327E1tG7VIL+5NXrz5i1CxNv/Q4vrMPtQPTI0J4VbXrEY89Gwtv
QNnMH+DvhLrRz1SkmpzwAfBQcgxQhd8rQRo92I1C1lw1tOjaJhEBxrzuT3mmpn/MeWHvVPITf3lK
dPQhD/uP5xgP7ejF4AxMk1cIn1C5FJ2Tm2zvYpKID7FepPu+DfMD8vIoqJZJaZ0nMjsmB+XrlEYg
yOzl3efyjbhS2Y7Qtjs9Dm6W302RkczDjhqegVuWqTzFbas8jU74EuUxwjPLSOxhntjXmJsr+ngF
uqCeFX8EzJDASIlWvTaCoZmbqk/2kfvJgMPmuc77x0C1tLuwQmk2sWouz9J904TF19zj3ryZppmT
J3AxZyltuCGWPT81Ic8WN1aGs6VGXXwM3elDAxfENV5mxYW7FQE+NQST0IFzbl3nggLFIyHQSSU5
FqqUbsyf4CYimdaeeFgqH8xA8T8g+wQkRNe+y0jsWRWZMK46/h4RCX91s/qx36tV3p/Fr68a/6mn
tpmHufuHaaGrGYeZdjInv3yJp+5UkGH/K1TQD7Ajc35UPK9+oHpY2cv1PundXcK38VuzkNUbqBxd
uzTrbtSevAQK0kOZORp/FrF6aSR1ms4QQMMM+bONUrJTfhV80WJTO0zAekhKWN3d3JcmCpwRfMmj
8bkxTWi8RPwSwZj42oL02K25Am8iEvZ+3C/zirnkZpKEOJisB75sH8vZzy6Sd4609NHlVnLLtYQX
i935+rmuSS91TgQ3mTsG1zXdpAX6HzaVyJe26mznYEPJdDYqG9mUagC6pw3ZAUVK5Cc5kBFlbAsA
m7rxYsbGZVCy+GdvEORqgyz5VCvBdA4AZF6yeA4OpcXlQtQeTALMnMQRl7nKWHo5+dRXo4ylQco5
PoLneaooOJ8K061X4JRZqsVB0eL4kI8LP9fkPkGz5EMO2begIsZkvg5LIz1pPAPhZDsO+92qF1tp
BC07ZG5ExnWgdmvVfm0bHuS5s/DWQVwwCkvBL9vmJqvEvuwBVMAFKtidyuUIk3VoQ6kiEyVjadZx
aDeoTCbtD+Far+CFyHf6wnm1cq9zHLnq/AJfjfzq7atf9fzuJsQOQbtMhxTph4M5hcNTXzcDelP0
kNjg5m90ylFsQaWi7pCr0wTXdDScN0fx9sLiR94k+eWdnUjTQ2X25jnw5ufCLr83Wt5yOQ6Mz06Z
fy/GJEIzRhQIPUSB4mA8Q66pP5Edsw5KGBmfwBOAgoDf6jz0mnoKuhiVGfIL36WXU0i+9jZbudmM
Bko7S0Fbtiu1D14yPgZ23Xz1fHL9vYO2mQwhY0G5NomhU8us5isgioUbNOsfZWj4gKIS94vXZuUT
AbyfsqY2bJ5htWsfxAk6xhhlHh53Mmy07o8MwH2ol8pjO+rxczypGTCJ5kVG0uRN7oMENMy7QOm9
a+6a3jVdGo+cIi+W/kyRAgl8wlwnLy4X4ImmfTIX8SbXSJO9zOahaj3mgfpBRuuCx9Rt+k+hlxVH
5MqGo4mI2XMHJOeUUe08+eETIKMHRY29cw2y/6lcGn2OwjsI94rdaHeJtSPoWT4Zajxeml59EYkN
MVW5511SzfhuV2lxmMwIYsusqoD3qcNjqmn3DQn8P8TU+xM0oq4bXr02jYCT3FM3kuhHV62aqzTQ
3Ntn7tLQpOTx1a3Lr0Ot9idQQs1KUg+zACT1U/Y5LzUPulR466XhxdUdA1jweW78YytrdIbLRL/I
onlZKZMly4fM/6/lpEvqA7FIrskxCpdtjKaxNK4KkGtXhXOzy/gPh76BGVBvKLE6XcDU6iBmh+hm
r4OflHqCzkJxyIfxgkvoP9w97yb6gFppF+r6IWsQMZMbxtxEVX8vlw+5Z8xG5fIksvvd1BJXK7Nk
F1n59Fw5NUV/uU7A26ZweIcEdfhglfldOzkRuuN+/7WeORGtqcRipmjYShXjq83hJTRL63NOGfjT
pCt/i1mdCQQClzCOszlORy0P44O6xPBz2L7uKBb9hig58Jrwlwy4TKBV9U3cxC5S4NKTSViZv8lo
kmTA0myT0KDsg6m9Q5dzuFIaPVzbIHjtad34duj1AxH6OPro1rPjoRcAtAiZkpewnqpL6vfTc9l/
IofVo3i0nOjsCHjYXM28fieXt5ndfGrKHBpqAo/1Ja4CUpGFMZw6QDm8mcz4SpnqBfxBcBtgEt21
qAI/F53/4lJo+QJScjpTlMIfXutFcPnr7Q6liJDSxKT9UgHpIG8avbiFN93GMGwBLrPKg6fg0LsA
aaco/GSgaXGY9LG/zWNBzmvpqUuz2bZhWudeudvGrHfNXN/N+ueyydunRClLXvdV9qMZUTM1p/E7
waz4WFguYBs14WDHn3zaKSbHVgAHcRP0n5IWZF2XwYi3ziJ8+zGzvZ1MikkboscktbJHHxATmqpW
XFdnitzz+oPitu1ONyALdAdSpNI44AqRDnb4zKn6TwxS9QfAtU+N2g6fiwLYzRg77dnRjfrqLzxb
Zfxzdu3kS+x4Aa+9ecHJVMZXY+6Gc2bk3rHV4ujoQWB36GcneK6LQ4Mk4JPdeAkpM3vSTonS5vtu
ysJnp8sxqn38tRqVgjAeC6TRUlO5IijwYfmPzI95zLusrvOrtwdPp4QfoWEszkPW/hkAMrpptXlu
3OVrLSksaX5NzPLtL/1/slwxB6zbzApJbc2pWt/1rvVzfduXTfmDz0kugwZGjcKOfw+r/NpWZgN5
Y05Vs6PU1oO1NNJL3NB68KZMPUA/Y+3TYU7nnRg3x97N7uoQlKXY37h4UD+fwU7+VGPdglyYrd64
9Bqc/LWd6adtJjDJoIwzj9g2nbsdwWfIa8fybizQbZeR0U9ucVgnDBOfRXi7AdF14YEfo/Nxbld5
S/DUiF52sHPEcBiLEeYpujA9jfdjdL+OZCIyp6+QZADdgr6LY37S/V0kN8eu6p+hUxN0ip3xozNo
w9n3I+symW7x5PPwOkBZHH43nOYia9K4+pCUFX9v0O2mfvJ31U09iXK//5gY7s+cWMpNTBbR1UfX
di8ymhCh+Ojb0AA1vRUdq7GJPyCECg5X/aDXvX/UyM8eZGhzqtwphpFcokVmPnrggG59SJb+OOTK
TWvNszL6x8yoo69DPDtXqxn4qy/7bu8FmnUlZ4woizmGcNopnFS7CsmUpLr1Wk3+NXGffCglrl7R
59eyrU+WpZkXP0NgQtX88qJBPrgverS3oTFB1gNK18m7a+zoy2Q69TFbkprgZ1sk51xnESyPWpA1
PsJNyyVKmnm5IW3DzRY0T1OZhOuctnj9T9d3yyuPnGYZLvGU8OYpzqPjKS5PcAJgyXGKzfw+nsPi
Xnp5YZDDlzH4suKeu/V8c3Jk6XDzWw/U4Da5rrUMbhGW8udABX0fJD+0odUA90/JU1C50a0OYRFt
Mzv/CtjySW4B0Oy9OHzVPkdxDsA1iP0LRATtfY1O1UFLp/7rFPB0h2muevAnpf+aW8Gu6wf7cw9V
31PXT9/EyzAb7y52YKGTocWl+uBSznORYZ8AHnK08sPktFQxTt7qRbq1PtltiFIYhGUxUceL3Zrx
Y14F0VGZC+szhzIwn+WY/z1Wn3hlWv9x4+lzVbv1Sx3Be6aUWbquVkfVuBC+iR85Zr6urvUo5Tkd
FMvqLIXSI7J35lx+TfIs/kSxMnLyWWydaosXUjbDKkrt8l9lR/G/U/XWowbn5EMCRTaAOiYa/iLV
PCi+z5ZqwtJZ1lfHrb27cUyojkp1/VBNZv+Udr1yXthrCQAk5b2dFOrJAyDyIfN8A0Vc3f/qJPUP
UFjV3yGw95WdZ1TJbXVGdDWCaaFVKTgj2/U03PrRGW4KNygSwfNFRhbYLRiHgzKudpvPOl7nMiMZ
bzLVaBrUMyEEATJcnWQXv4QfoRlQPPF7tMGl4a8pfLTHJ8WN8gcZbOYQaMJjOMMu0WSufn43Ic5o
v+mH0aucvbts6VhVppKNisJLncQ90sZ6Gxl73iYPaEpaX4Iibu6jgIqdiTjkl9Soqjvb6CGaXWY9
KL2OZTx7Z5mN2trdBTwnbjLbOC6CRK7+3Hgd6emwSO4Shy9NicBt0ughhPKn1oKUB2hQ6By9lmrS
PMn7+6CsHzwIroJ9Z5T6k+8BBamiD52mRQQ7aBKELmPYLR9Xr9wqPxAcdG5R3lC8PSvQYiqNEV/E
WdZyCYK4vzXN07aLQRLrOPS6fbCR+Ah4FIX5Ga2Jck8GsH0g1wr+aAkxzUPqHpFpr48+RAZ/OGjV
Pk9BfyR9D2/fZJEBSwdXv4izwlXvaqiw6JXQF977JQXU8GX8bJ0qvGz1FnJSXuymze9e7Nvh+Zc9
G7r65sXunYnixU2auQlJ4/xmGJixzqXHzXarn9UakB8tjvPWfbNwM8ZuqR9B22U72VwtYG+pULM4
bBkErlX2Ph7jbL+lIN7LN/9+LP6SrViTGTJWM/NC9b17KaKAtC8Sn7thEc+yusarz9PotDttAKyi
kct98BONci/pilOyG4NcB1lcpzebix5l4K+EesEXHXzRf/HnwQo/UrBjIdoDBdtpI9DbVoqNgv35
VIz84cpErdaoIHqFdik47T51kfNZ0Ft10vB6sMx1JHO/RjK3eArsC9bU1VOqP3951lFmH0FYeEep
yUXw6W5qovFJ6m+NdKhOnhF6B5m0syz7CCmWzK3NIvZq6NClSqmu7fdo5drRHzIpaxIHiaPcM/Mb
Eqvfebj+0SWGArC/eW042hEkbx7EnCu+rRKP1tRd7LfNSdz0woBqSOZhGx5OLcLbHJ0gK/93QOb9
+E2ARqZknC+hnF4kv9/MS5dyD/+VI91qoRgjFFXBVwmjPHmp2OI6E2k25DJ9dkPbimiKdL0oI0Gl
Tgs0l/S309otbCtk3JFlrfWFfvwXgZBQCW1Dc+Ei2hiIFA0wVZqEzl5cxBk0mw9m0J8OUtZtoLX2
bJg/1vI8Ganlj61KW/I7QfFz5Sa0Xr2lZPtf699Z2GOt/5MdSSt0mgsNhtq7p8hpHaANhgNYgV6X
RO5Dj55gHqTZdbMPldXNu0HvhpOhJuNuc9420JZdlrXETzIQFP9snHuduzNVopyZk/mPyAaUe7JZ
FHkvw7wdAWMuvcyb1LvaTv6m0g0lAbGlsN6DFQ5Rkg2iIUExJQweg85UP6bobu24xMPbXyXax3qZ
CNXqvl5G4uGak35Icx8irGWBNKQ0dmVHLrsfU3dfp/24BkHsRv+cBOiSF2VYgjjI9P6oVkZ1cFV0
vXdgdeBK9OoLSQpCvIU+nnq/Apgl3DRrl99NvDLbCL3NexYbMb5juhF6G5tipn3RUajW7oOSeix4
IVseLIWxcCT+M5rd2R4OTkARQUjGcX2upI155GppXeUR8js6Ty+e2n0LIPMgD513zyCxzaSY7ny0
3GSEa3nX2cALpoMT6snuDQ+orJ6nZwPE0r14/25TmG61XTL13vqsbOSBKI7JQiZKVcAVhqMHJHWp
yXOSxw1gv5iKxbTG0JdhqAzJo5pBKOlHcUt5fNLeT23zc83vafl812m69STpPZN3yQFWQu7iOThn
0ije07zgkbIJnFqufRbLZrbNzjvF1A7AjoSrNFk7/TmrinsWAH6y/N+raHocZSjAfelJs8Lz06Ai
+o/++Bsb4o2fa8XUOA8G5SPMYRwEbL7/MgyL9LQG/X8N1xyBQznsOVBHyBhb/tcmU4k/SmOFZgO7
CCoN6SKkJzabQh3Tq5NHGYUGWsbUHl8opPAfvWKM+VuhoJwjsBBv8tpXb4ZBSZZ8qX4NnbTzDz1k
UHuUvcMnaYwpiJ6SgJBw4ejW6d1EnobZKTTIe72bGGA/IYRBFuPXTgrVSztvRPBL4lMS0LKb9krC
fb7KKJM4gMSxXCZiEjCXYviR6n71IA2RlXrtyTBQux+FAhzmnV2GmalWD6ixUwg3gNz+3fp6KuL9
lBDRATYU7JdjyA/HR9RlTKdvGVozR02H84ni6/RZc/L/bw/XR3CmsIbnMnAR/TPBp6D905/6ph2u
vq7uyryl1iseU1LsNRyj5sKbII1VW8atbq2DSnXDahI7ZLE966gsrzWlvF+H2zK7tF78zqDA5d/L
tIV3Ad74BMCnpR63BZtfYQblcSCbsZdZmWg099kFOHnZKFuLwSZLncXXldl1GVqVH13XJ5FQtgYL
vyvX1nUikwIzscms75nQ/pZ7DwUNUIwVmqKh/lDbrfZQZ60x7eYKdjE4cPdIXWBbJnS4V6edjLVe
C8/ZiBh31RM8Psi8bGGqqrGv3ZiKwmWhNGORRtNCd/MSzkXNa4TNZGLdcR2Xe40DzNGoRu+itWPw
0Xb9T245pN8KE4FFfRwLEFRR+m1Cdlkj2UIcMorveRaSo0Uo4JSpZXquiqDZF+2o3JB1sb/OEKAv
5Jkw4yrQFRtfOjP/MDoAU/UoRlsgreaLm1fRTmzS+KHaPptQ07ZQCqx2zfZ/eANJQnHQpvbgWq5F
AQphJFdiSUVIodYijb7ZpEfgn1iSAFplbC2Ovmu9Or5Dur5bLM6yq06w8ILY2VnCdfkWoJuyP4d+
jCmWJtAskxLCk+E/c2u0b/NItT/HCmi7uG9mWcic7LfN/fd+g5qTSzDys2a6r4FRiY7KMFGdKDhI
12+dk9/44WUEilqdtjDq79Zts5bqvl1mjQm3F5lua4MSN+n6ZjQeXfIfu7J2ie5TmlrfT0sD/0F9
H5UlRhmbCXEFcJjFSXxkenOU4drYCoJnoXEaiZkS1KbRgyJae1CL/5ft/9cvDFCm52B6lu2C1v05
O5Z7AtGSPXQNB4eddKUxARIWWoYIm+1lD5tdemKba5/zdxbcien9enFpIxv6ftKXJOT4jG2t9Ab5
SI5TuzQ21ZvFnYNUGNx17jQfKiPlqgA0EAoTegBXvGInXWnIKsCxAnlwscxu9t86yzbeAiCT6W3X
/2nTAyPcqRFYuM1Z1sqKwtCyq9X/4BCqKnsob+YbMnI7bqL9VRcIGDr28y0ttbm8SFd8dN7yB6sC
gVMPiCtQgpuqt3UaYbAdBbTFcSnKvjqDb1wrXXvbFP8eyuw727ZMdhGXd7a0Q2zRijPYiZbPUH0q
yXe/+8xta8WtiyPcBcPOWVgwLMW4CzIY16vWzR9BeSxUCgterJr1deKtbfHpGuuuaUYXEtDFbTHJ
TtJbJrVwhEkH0aQ+IQQ09B6B6cRuo4WJNrlVsd68dtNgnKHCLpdcoxFSQ9qgttuq0IurygR9f1go
GrCd3OG6PY7T2TbSv2CZZsaoOSlbS/Pq2YQKRUVhfVzXyLxj5jA7L4x58vMp0WxT1tPa0Mz89w8u
s7Aj2hCD8i+SxpwWzhETYAV4fmbW8fYv3nZ8P5MqcbaLwQOfYKxub3XjQEc7oPItvbhU9HIn47Ur
1tmOzXK3+aP7+LO14vQks2JfXWRcD4hR7Nfusjv1Cu1tdOPLNI3RFRXp4BC4fnUYl5BHP3oUESoS
46g1HaFhEnky09U9pIZLBESGsDVOFzflKL7Yi4hqEpgzj5U2WLetsXwLtHqffAUME5zf2f/nEIi7
dZOl4uKxPgTAtq7f7IrnwB+hUyU7zAm02JHZ8x1wrPpc1z1wWj1E+Yq6d+8Q8Rs8vDFqpB7uUhOS
cfFBPCp+MpZGJ7f4EIwV189FNWsx2Yqr3oIkP6/Pc7eyyBeRcdpvj23ouJr1mS+29W0gXY9SysMU
K/H+3cthLrjMaUVfHUS93eAD4AOo7J1HVvgKL9TIoWIeyfkg625xXswPMgZV4O6KLomP8TIttjfT
4j6qQXlO4/G7zOYN6JUSNlHhZsoX0ibpgetEVw5qHhiaZuQn93At8iGaUyScmij12YmbNMLoRC1Z
vndNPTykigYSlIoQJDs0JbhJb9b14EZ+ayEvXWbedAs3j4H5yipZoARms2tUyrVjh2IHcymcWOhm
1p7Y5izyryOl5+/s4bJgW1WORkYRWQpv/L8nxGVbO5EbIS/Ql8ftwwarjO8oQv4umJ9GXdJw9vAi
+CAKXQY0uBabWswv4jELZuiX3/+0yQbhgjIipvtmT1kwpbB7TFqMxhV0aBz75k+tOg2QFqr/kSpp
FFL8U58M80kNy+jFh8FhV2pElwk85IAHwkOTJ/GLEgTmNewam1hArHzui69euigRcHlY2pDjkb80
1CH8rTapcZTR6uOQV7T2YtgaWxbKmET/6+ptWmzr5puPkvju+jGbLYaP4axQzC8mq241/7h+LKKX
ar5b+zKZKl1/NyH7q5QOAmSB12k3YwkRS08a1H6+o8Azn8Q+2MU/fm+W/Ff316LVX5Za/953+5g3
PvKJrWd9J1UFjHb5cd7s/dsl6+qxCwJKFP/QHcBXijJ+yms9eAjJ0e3dTC+/wZtDAt3WrHtzzO1P
FFnfiT33FerV3dE9INgDFuj7gKwJVcMAqx0u7AuzSvnNj93nyoUYFzqH5lGtUAsWu910aP6Ww3Cz
mj9Sx0gOSh6rV2lcxD6vUTYO2e79WKY2z206geTjdc3ms+6xjcXdMaLxdeNt+bZlsH3uG/cqCdx9
SAXDPtBHB7WW2KXe08gPgd1YsJZjk6acbOc6uFWHUuRilLH06mVGeqGGptX7NTIjjdl20HRs4/+9
pfigzAKaSCVcsq3bPnXb5s2nyo/yzmednm2vv5B4QyO006+pretXk6uWsZduq+p2hlpg4WSrg3jl
i5fMb0PpVaqiX6UnzbpOvH1tPJhdY9zJMjE1EG5wFf61RIxOY9Wg7NA1VAFhekpIyGlppCdITOkV
VqVdt+HqXQpwc1vjyx7r3HvfbT/Zahtuy53ZOFd9HYC7Bh+6uQW6TRbfMfv9BJym2A1ES0nFDU10
82OlhOi716KbvTRi1KKxKnaw3sKyLwadaPIpN/vvb1Zua8DpGK+O6/5vdi6pUrwBTTGAuIwvbUBq
q3GqZ/6ciwdqiouHrOY1udvGOX+kxA0j5bTZ3vjIDqj1rDuIiycQDelKM/uAZXmq+Cig8AFp0/2N
3m91dtsmfSCrR6HQUgQow16b5/ZA0jF9MGre9mN2kYG2WCbH5XgrfpR7Z9QiGgoMyOXEMZlpFVgV
bJu6u2sLtXgYI0LVgzVa++0Hl97608vPsoQv3NS4337YNz+8nwOljKPW2r8xTk1VdYc8O0/DpN/r
iPw0+ThU5Yk6Wv9A9nO6ZXWHYK50pQEQPd2KzShjmdmVsTHeNqd3a2S4LoQTe1odxWgYQVnt3ix/
Y323ybo+0DpCMmr/okPdeDaWmp5kBqMhjbmABi1ogNaJUsQ4awiM3hjFsV1s7yY2m7hs+4epdmxn
qgpKx80BS9DY9fzaUIscIEi+jAn1zxQtIWHtV1mx+kxZD3Rjc4eocjy0tpbsdTmn/fa0Rj1fwNN8
ouBmOefJMa7r/kXRuQ0phrMuBO9t827IkbioSeGgru0nfBdsVks3GFqOhn0JzWlep6sPMcwEmdF/
vKW3LjGh9252i3eTxq/e73eMsqpEG5qSS/Fxk6yi4m/ZEqLpkSK89rNndxSG5RqQ2KiGSDjonRl5
0dILH+eum/d6SoVpaMCmukuyYr7vp8CyTkRaWgK1JsUVgY32/Iji3H3WhXipdUuqcui/rJvITJtb
3TU3xoUlko3lM2SizL6ZsO1AGLbsEi0qfVNaXWJ7hOBgaXrPSEDGgdxuEFlod2J809WaTsPqUzmj
qUTnlzVFUbyuTriJQQzYW8gJLEZjfOS4p93ETSZf1y/Ltg810U27a4PkJovW9eL9bvu+hSMadYMT
QEGy6dlc6lckcHmj/LshmaBfawuBa5moMvcf7/97icyCgDJ568iatS/bvdlptY6JebOdXjsby4P8
/1H2ZV1y4kq3v4i1AIGAV8h5qCxP1bZfWLZPN5OYZ3793QrKpew81X3P96KlGCSoykyQQhF7l6LD
g72Vz3iSqacapXPoDUCWdYwy2XKi2atc5ADlvtK/Nw3p/geXu8u9N40rgLI69tlfZLxzfr/73hSP
I3V6m5G2GQV47sde4Mv0+x/zz/+ou0uODSplC7dy/EIAcQWVz/3JBqGGAHIh4CT4W4M6FCiVTJ7z
gLCJT10aTubEBLz/Oh3JZKaeuoSa527ehyuSz4Pu4VJGXzk7uwHCg7xPdQv/eElyWW+QhtxdXV1u
/fsfLtXipB4YA3prRYnPNKs+gKSYn7mMNyz6NBy5PQI8ApJqWGKgPIpkcu7eRuhDAsvfx63e+oIw
/G61rxryctiwzh6ZRdn42CQgByQ0ku36VY4MrH6oS00pFye1bEz6jpC80BJJ2ZFnF29NAeLxxznK
LmnjHWkbo7R5oAZRb52JJr2bf0ACDAcLVsBqB7mEKU6nqKm58dr7d51RxwDeJB82hf/TkP916ge/
B/H/dJcPYx9ENZUODr8gSXR9w9Noh0A3yp31AeBYuY23BcCpS8C0FT4ygIGg7aWojacu+WTApjos
o/d5yQB65Q+zwJG2HEwNt0Em3LaAfVK6dVacRQ9gqjLdDc2lRY4JAiO6Qlv8hZBUsSkSkD3I1SM1
rVzfrZnAWIY1yMMx/yRdLw11ijXPxrZ/Ytlsn1OWoCAXMU1V6MtlbLdZhhCnSMCIkEby0CnA2wLD
5MJhIDcyUI+QlWnU36dcy4jfDGNfLHs25r+Aj4KArmyMTG93bcu/AvYfPDhagcAuGapiHJIdFRms
WqbFYh1D9rA+hzVIjvqaxZ8Qb9WOkzbMEloY6FGx7ewzoFrsAZiUX3oErC6RViMmKXIfyXb4LpOO
rKiqe3Uh3WoeHS/bhiM3ffLxZg20q2oyGqNEGrgs1c82E+6O9JmOIFTPkOQ9pg4yFJkn+icbx2V9
tVRnHaDrTy4yyZ5IH7XjcNGA1v2gJ6NuuyBkS0A/pQY0zmAbEqrV3LQoONmsjnJSx7ZPehQDEfjv
Z0bquOjhHIlE1wLKLXK+AMyL8yXlq46bHqaz8+IGLsJuHw9VfQZVc33W+t+9iUdAiwIZ0mde5+GO
rOSnXO50HZbBLmiE2WRYqGdttZ1pDuEq6l1k38jAyzYHkngx70hUBlZbx1GY0UWpdCddLi4oHXEs
6mel4Z4oAEY9aihQ5cloFfWU4cEvstwFAJ/SkXwehqhp1KxYoMQ4AIwrFBlQOTlztWpHfMwjoLOu
FTcAYDSCGN4MAUiBtLtbX5sCEYdi3Gm9Z52yGgk6ZonyK5+61ICjA3mpbw05IhvpVafGlQ2IZZpm
igPSFRpOxXxlVnOhtvq3heZB/kF5qpJjg1fAmZpQpiVwV7yKpDOZ2ezKcf7LmJndAEYNLmRQfu/p
3ob9u+96RYS98YKV1wV1Xb/x2sTdEax7lFfdpSqiXyQR+juqUm4ceH5AqATue47dI3bierwCxWco
QnhGtfs6mvwjA9mjumZPJxpQ12lyrNMO2CQZXz6JBbx2jqj2oLDLPoSop70loYl4OCqUvgGvlgVt
1OK2wKfzxW0ADTAWxrcsc+fdYAGlitywM/DLcmr+sNquR57VxrAH0G2/1evQQXOZzAhcknKM2e+z
5LtjZeQLRxs91+uAnO4s/9XFPucYtjw62iBauVDD3nqm0Sadj4RpcLhGSLuQBmM0OwFcqreuk3cg
HKhcPeiAZdL5UYOt5p2dujHqIU4gdQ9i0447n3R1tGB1Su56jZcfKRdUqPtmb1QAHsA8q4/ei+Vo
j02NPHcwE1692kMmSmLiuyrxroqBJztk+fAV4Ip0K+BVZovwgrIBUlHzAHqFKpEUfLsof71DyPq/
TOriAFnfdEb8Y/BypG9Z4/il6ER5rkMvBjmh7FLTcPyq7+Rs6Mszzsy6AJzHyEp/cyQDiVUIiCaB
eoW1XoSL0UOdoKwaQcJRivK3+odm17Z3rCQoXldPDPVdSwi20CpNVsdCWmbbdFCOjcKuC42mxkXl
aY3s/P1CeHvkSPOkwJrcGaAr9VcqkoXITGSzMpwsokXwj3hNKgfVY0AbL1AOBDtxlaxmklfuE3J/
HUqzvDGkkD8gNX7TpvyLP3eA8ydsYPMYzXSixrIHD+UlLXKtkZiZ5fhXSRtv9VcH5Uo6ECTAU/ms
siSZNEYge63TIT/vdbRnm8zark7/OOfDJZS43hAADCfgDPY6mFLGY0FbZrk9ph41I22mlZy9mVu5
hW5oJ6zM1BNyHuoBlQib61n8AMQWW+enYWRUUz2MIlG5pAuoFbSyB9Oo1yG4JlMOdLNazpRsQD0n
SRDV4pbh7bneXx9cspkPr+kLLDdHLVgn6mQ+w9LPlt+mQEZLWWzjR20MPTA0pOnel64yfnMneVRN
t0EuNIW6jXnOOWBx5GBSzikgRBMrQXI3TU7Kh5tjdm5umxrIB41dxGxbJSlA4S1wadzylnen0EuT
8T+kRZkQcsuZjSpJi4tpAwrxzoxuZENeVn8yrME7zlobDznSqIB6cwqrml0TpEBcuwpQORUKo1cC
Fw3ZkYDeQgPQMmDPmuaVyFoSondZffqYxaBVxWNrjGxwUCfpCfjIvo0QcuUzx2zP4Ghoz4bsKfHR
TD6JISYwOrEEabQ6TvYenzNpOvyRRQ4IruVjRj1h7p5MOT2PTDuqfGX3WPUFuPX5Hljp0QXg2NGF
eg9iIvDOTbt+2YokBL2C8qFeOOKMcaPGeEhwteYZqB+YdB3RY82DcWr0iKXcuZoPXTfqJ5z06QBp
6LR961l7kkg/vBmVjnrviYjTAthNmd/zedDR/OoO1Nh/1623ZfTgdGA6EkyRhgKmSYrmUiCXwrxI
NwIiiP5EGmooVpwWZ1TKLqtaBYAxiQtSmKehbJAvYDQn2iU4IkEpJGi2fY12GGovojYXD3uNDieB
viiwqLzbyNztXNTGpnFjdnb1HWmoMTMBvDLguTkJNmIPwfA4zZtjUWeo1v2HwDsNoAg9ni54bKGY
YU9/uLDLL+EE8Db6e616xGF5HTerTv1/yPrmS3r1P33TKxXYRJu92YMgCmD6+tkUoOsN1m6tR/WR
umMnLjHgbA6T00yoKZKek1PbWgCMfaRq1OFvbVjJLqAyeMDmclxnijkAaCeZgEUjwVGc1EdEJiXD
/RIesNtPP4KvWAM2sugPk8yxJl3Pum1WNuJGUtbayVVo4RNJoN6urvGA2nlvdq6onnau1LM0Np9A
z4xZPecKtuNXvSsGFEsYogSDsh44Hzym42hHUhDnPbJbR23uLoYU8cT9aJmOeDbBhvRi2LovGt5/
Nswp/BTFOjgV4CQ6AY4bbfpCQ8ToRBcjWxg2VDAivwd4q+PUbMhqhcvB7VHvXwLZcfCN1nUuQFJw
LjzFjjRJUc4AgdQ25929B1l6ZIEBWSYctmooGdQ46pm2Vh7yzP5IEpeTKrcHXyNzQOpjuoeHKa3E
OGUWSLpqWjI6hXZdEiDB2DUqs2KAoxZSRc1ogPSeITlgR76AMkW9EHUBNYzjqa4F8sq0Yyztbm7i
AC7Ci+sPYLGNwz4OOg282bZe/8iixQC1xIcc7GH23o3dbpcLIByismB+okYASQlMaBli3r3ZGntt
7ufzWBon4K7bL7xsjpEelh+BNYMfQw8q9oS/uCK2b/1ivJCPhjTAszbHIEwfDPtlcr1q31kmUqfk
DOA/RWJvp4UH3dZvU7Rkx0IeiFADvKoMeGLGRcd79ECqkc5nHlyQw/86ggyxvVwqx+nB+famN5MB
mM4cAUhbHxrUMZaFfXU5fmINACgGYbWbFQCAqvs7szvw0BwvBALQSiQAURfuYUbtEnAZJSYAKXMX
IOeWi8p4hQzAisW5lgYDz1Sp75EOCMLypERON+ofsjM1leyFoqlNULiAgpXnWhR0ExKh6l+zYwPh
FWdArruYWFB65hlVU320oW4qZeqRuXViFxSO5FRiK5kJQ/PvlOSkxtj1AGK8R7mwos8tK8q9mvfh
Wn2Tesc6Z8HcZeW8s9Jx3s6Zh0WImFAFjecizoPWg9BRM44MZF85colwlo99IrpLX7LTo7yaSHs3
4K5LJhpqG3OzBQZC7N/Ndze+BSD86wWZ2NqgCkDSeLjcNa18PU+OOeRILoflVX7P57fu310ssPSs
8/+7nxfayElZrwn4gY1ngiPnvVugCUsDyLNMhJ9Y64idSHJ24Ih3bd3EtgMdG2Ek5rlPVWK/QgrH
skxnEIWBYiZgYXVDfBDCyuGFij0q06MeyKVRA0TdLGMoZUv3tgScT9zuQ43ykCtJRj0kR7yRkDcm
jW8erLT+nKxx2aCKOz4rJE7qkc5ENg8gfN7MQ91/SisL+8ahm89umc3npbPsoA8PUYvIFYqTut6n
rtElV9ca7AMgmaPkBFaaDrXdRblpJGvVnLT9yWSeT5JqLEmO9Y8iGfAdBESmGJBhmMiaKOBQAORw
AlNry1BFPzpnXuTT1Ry66ISK5/OAleNNr/LoJurJ3Fujjk3Am456GhhrQHp9eVAXphtvDQFwJKqp
XCsty27kQT6hYneVqRwTTGfIIJQ1nOQ5Re0u9rBGBzB1fwxt5ITjTPpqIjEReLayu8q47NX+fqfO
JBVzIhtyEFjYO7lpH5WKPMhIOrPSKhBWlgYyz35PS4au7uJLI6IXnv5AvAuVYW7k3dhihBstxM7b
62cHOLajHmSj6LaO6HqGunrPedIrVHlNlXchifySIUkPANHyNoCl8/bdNCyn2hK4wCHXOhwWtEut
482HtZMwbHdrSJ4HISk1yDAaXRjYVgjGljg2zmlVG2fqcZSW4ClrJVulI0MiSnxKGbWkyJ1p31XW
ybImDv6pFlDoey3y+HO0gBvBd0vxEsZudCYdGBU4Es1QwYoA1sbhurEdCFTF4QhQmCE3UDY1gg6N
47wIuICOjR8RahzxS5wBvXBt3D0Om8HRvSzzH+By+8eDorszIvK5k7MJbNfBw0hgdmYbUbIILHeA
tUAKcnHRzKzcoUw5Q+bGbx0ZGmBBdEjIhw81dtKUF2ZEyLSZxGEcw7D2WQgQ6Jm6huxaFQP6+gRQ
Q5mz1bYLtujUVU0mU7QQQUWelvQhkc0AC+g9JAi5w2j5oxsLPBOiNMCakQWliPBxvzUM0FU4J3+T
qce8cjkBGwCLxNb8ba7AuJNUzD7EBmtPmo4mQ047gCm0vj3N+PNO1FuVZCdPUsZugqrXtfswnJwS
mkn503T4lWN6dbko3uklgvRhk40nOhyjHn0s1IvfzgWV4R915FK6Q/x6LvgwRInvOqrLv2uOWtcL
aqt2kdzrGQfNQYZKBB7PgD4my6pLZ0vdmjLv1Ad650UfJlkaSqF7V8bhH74VZMopXU9+DRDNqVmg
ZB4juQTrpuPqTYbV52Fgke3aMHXOI89bsH2AdyFi0QE5yhP7403UsijpPmqG9d0MGxTr2HqKoKOL
jDCHeYgvoBl0VEusclTE4aqcExPQtFOGEE7Y4jWo3AvgWzSrrDUpnGjQ6m8OqbVzx/pH0YRBN/eg
u0aF++AzCYC/dusO5AkcmEQCeIZHkjQcVl1mNzMGsG+jS8p0qLLA8cZwM4VavQNMo+hxhjmGWkBF
nVTOSb0CH9/OnsCFpwyqFFRZFcAZ6Fmqw+A4FfCHQZ86TX29jXV3es4NL0QcHyWBRWgCbYzPfxBy
8NiGNgrpJJywAVAfAyUsl6asfuvwZEZta496EAIbZrH1y+2aaoeM3vE0SXi0QTbUI92DqFw0E3Oj
IgbjTImjpmZQuqgVl6FZXkCE3F+ANgM6Sck40o5T8jPJu8/zYE2fOdD9dv2QOgEQ20vg3WjfRrxr
zwBmREJAWiL7MZUMISSrhnzmN0cLNLuAVkmnoK7L+MNex+vlA3UdfYk/oOLgiMp3HBBLqydVSdP+
B2/+vGvKPRbxzPvYcRfUb4ijtSUzkeyUNs4OaPbZto4RtcarBlCb6347DaNN3OYoJ6btNe3MsUgC
ofrr/lxu1Vebd0YBfrOCadIKgF7+ahlgtfqemaI+POhXoE3l97B6IFiHhyGk65N90THA0TmsMANW
1vMJuCMVVpHRMgNGoqgRjZZakrlUrnZSqiZPgE6zeq52cnVovDNb0yFr7A3paKIZlSmgIJXTkUwT
3d0DWXS7sYJZB30xgvdduyDbQJ5ecpkc3TXta0/pQivvN66h6Tgaxn4e0F/wAZKnZgU05k5L8moi
L8NKMSDMsejE8kLbMtf4zl0v3Zu121yQexCYGgqDcfCNHJw6OhZIOyCpcRwNiA21VvjU7bRipxnR
dHZBY5MhYeCCXY8L9H4sjahJmSHZ3SZ9Q2JYJAPz08byzkmGtHq5WloXTjiqQo5qOTtBhtybnCPF
FScm9TM1wvWS3VQAHlzpihLZucWENGLdvJHarP4YYq+/TC0ARPgSudsE/B5Iix3bK6Kg7ZUM1CMd
TjIm5JC7+FXB48HN7KZpArHDsB818QQGRb6PZBlHQrUcoQCKV5t/xMKvwRTv6wtNzDjZlr5AtMcP
CN90kqihieQcpAdv3RDkbW9tWi2MLsCgNxYU2Ho4e7Dnj6RDIpjWXqkblhyc51lxanswHlk54szU
kNgUgErBIuznelJQOMjlk+cSNe+QE96tGX1SQUcMdzIoo83TKq++NIxmGYsZ71HgNS6bQQt/CYt/
zfvMeAGCe3WudSsJ4orpL4M+ufvFqdNt5vbfLeBYX4oeiH+T8YWNKBonoQK4G87rwy8ktQDS+pil
1bJzuhFhZulOumjSNEDFpO0h0svPHFkvoJ6fQTqZGbkfgiDwSCKxKQKdK/eLxHjVEUgEuKledQoz
Yi7tj2XmDEA2MJD8kkfNuZdYooPEh+MEJapkMpPlPZ1X9nW1TpFpo4G6e3MIPAIqVWPWKf9ZJksF
rmfHjI6WOYKFoNUyoBXr0Xao03azyrXjJCC4ZhyUwdLuaqhqG7ObabuIuqbhLUYRCEoJ4oydUura
soCUZGpWsZEITHeydCfxbrihmfyAEtSN8gORLapymvBjqFn61uhxlrSe1f89O+A9nUXH+UWq6ds2
b2ufMgAeHXm5bJYGMCCebYF9EifvBVab4EMJqOtJjD6Uz4ChhOTEZcXJ1Vy2bO9cZ3e0Nh7QYoIu
NcDdkunjpq4K64UjDLWdsX3bNQDGeo4Q9vsAiovIFx6SolnTph+oycdF8+uQW3ul0+q42jDQTG2L
OXY2yC/1QOxhhzc70WqUuMfbjmfajVTUACOq2wIiAHhrY+SC30E6z5bxXLqA7CNn2yuGg8U9x5+G
WvcBXjNcKhnta4V2MXLefzAqp3xZEH2VIcFuGYG3G+sfOElOIU5eEX7JI761mD1fulIumO66URQ2
yH/uQ79x3fAERsLlYrAaOqzylosnG3InsRm1b5PTA3D7TX834zpX2gOCBxTESImmuR/mWf0d4E9s
0zFByE/d1upPCrruomn4aARK+5SPupe7C5tPwCbDmTj9cerWBM/yfQacTcQbx2szO/Om1ycTBSMZ
4G5IqSxg+TEDm+IYIxa+Y2eyHZAmu2dEI7pjy43YB0a64SEHDko+jqciZ90l8cruGZvv7rnN8UZC
Tnm5IR01LE+Wpyp21kGVgYWmP40Ag4+Q/b1Xft2sg8Q4GmM/AWDqszKo67zpnbz423WkQSuQ09QA
GAMF1yOi+kX4ZwFG40+pZswHHmfTfmHx8GXurM/A4Ml/5b3zrkMK3GbbBaqlXgRiGvh/ogTH9UCt
jD5za0728RIB+LgejZsTgvatnZjuxwKQEHYiY9kuolN9E3e7JG9/kqT0JFIThxVqLqiL4Hq5qXgI
oCSJ6xXOzrhp4lwLNL1BkF7hfHmgtz+5lo3C+L/hf5EH6RZzvplmOR+tsigDrDHSHQWSKbiM6hyk
6NggXVqAOkuqMk7qk5nyF1Kp4DSqkYvAcBmOwmSsmqxRGeq3dgzWcPXkAPFAxuH+DtlJYr0032Qp
N45nfyN7EgynEqn3MFTp5PhGAChMqabECfexhqNZyaGcm4steXY3K+jPlIf20zj2j+IK+hOC85ec
6dVnpUt3NhL2kU4jGknqW2VYQD2eUCQp+zQKNh4TC+VA6wFGJwQOaDUsamZghnAgwKwRwKKIs62Y
3BJpAPiNZUCE2hSDmMGrgBwfUzYhA5YKlvCAPZaiSv4hkdKA7DbdD7xOL8gA1G+xDeDCtgbMKomz
sxg36hUDKGxshDadqDJunmyKqvWQg9TMrRckcQIwYmS/VshBQF0yK89ti3RIlEp/1gsj+qwVU/YU
G/VHPHbjVTU25TErwUyHAFcTJEPJtyCaHy8TB/cisSvGmQCFlkAupuRqJD01GbIQwH6G9SxQ0k8s
H3ufJdZ4noby5d8PjOlgeZaFbHXVxYFelu3mDmdF8QjODghB3TxfNgTSQugq1GRAHt5jdfo1KusC
BREIUy95jCPmv4t3Og3wxJFWsA3pqMnGMdt57ghQdLlwHlMhV8/NuLVR44uiEiyXyYCTOO/m6cHA
YwD5e20GGCkwUammS5qtF3OgXb7pbQ3EVjWT5NATKKwfDE0ruat6pHOQwRFxty80Z/S9ZqxvFuCg
t9xBqlRoZjWA7BOnvqWVMHbJUGirDzm6TltvUY0849U36x+XQnRB3TfLtpEvsaaK9IuRNKjbUTL1
+gk5ye0A+s2FzFw34f42xqziX+PMih1tF93SMkChkCc9inpxxoYlgx1kMu5smRZOEmibODe9d4j1
eWMjWnqK4nE6sbceiWQg3Zh0SF5SMpnVEDWD0lGvy8BDpOt/PqiV/8MV9TGe11uhEWqYGgFE5N+3
8uBD4nv3SDrT7flRb24s8/CHykYf+sYHEzMPsQmd9MAw9C4AuyUOjMFt8CkuSjx6J6Pxq1hfPpGu
sUwAVWkZ6h1b/dO4AHq5deZqR0Y9KoTfDC4wtTVdfMqM9rvRpfMPFwsuvwXo0Q3YfDrScC5WbupI
6Kx+LlavHZgxxkBj+N2Modmj6gyVbEpHvZgN/GBa4S+ljyonvlmV6z0hegBysYMkWgAETxI+a3YX
PnfjoAElRDdwImwydBun2uIda2yqqLM0lITk44GXORAwpDsNBJXofGmK5FKQC+kk41yOn9qYul+K
NBcHCjWrSHTyFpO2XTyCBxP4QzIiTXpyS6sMWM0k56WEbbYj18byDlixUydC1AoinTjS4+KZmg7A
vicm2hdvNvNVRXpLbkgsxOoPIV5yAFEEbAGYZooXYbTFs+DpdBoL/IdR4YMCQ2dqTniiIl0e1eZn
MXs/07nKy8AakASqrOUMSrLecbdOWGPZCvJm4DoRdbBqPCtMcKSJWJzSxfK/P8pHQllo6ebB0BZ4
G7VW+EL6cWLxzqozJEC8rTrU6gI0MhkwjVvBN6JG3jv5VKYzrcuTmRvLbgmTb/0c5+e5Bl0WWDWa
1J9ic95GRCpHponoHTrJIjfIBj+nCyAqkfWeygc2oOGfHJl4UDhWBNzmJL6CDa6P9tJQ2yEOuI20
i/bK7Arw2bbiVpmAnViAncE3jFfTeYmrvR01HnjjeqykPMuuNxxHokBV5ObyVC7VoZix35x7NvGN
juOCgzMiCZDEooz1J2ME9CiIZYtdNy4DSIjlOGqsY+/Yw9OdOkVwE+neY8CMUhzxKcw3/HbjDaA5
AReg29fZKMM/o7HF/U/8e+iWU5AONl4cYBfz7+DAqUtY4aID8HJog2ngXTMpCTx8GBDkC6Nsx4p8
48zfXataXrI6dHGUlldHu9T0j7ZZAYJiAR7cHIsycNpE1rP2c4+0KoCBd5Z+mVATdumSxEDYwwT2
vifweQ+1C8CsGIkoHbcifwImxs7r8+FSuy5yYqVh9XGkkiw978qT6zGEmqBSehrxng5ccYCTq4FF
8D840yXxONjMU1yfHm5FXYJ6Wo9cV9ds/jTaAcSDMdc+J/rkMyAWntOpzD8zYLltvbbQtybyZz8v
XpRcpsLAKsesOOAbZ58jvvaJ3yzdTxLHPGhalH1Naw0JxSBo4jg/2oFi904PNuIRSVJegcxxS1R/
LHkH0to2BowgiDb2CLg3B+yRX1bRcLvi3C5gTU+X/BdYZvxIUshYSMuSsW/v7CQDEI8qtoAzDfiQ
u6l1+nM/ZcMZSRvD2lO6xtPLEOcRQFowTbAPK8vizM4hZW2d/iUmoL/rGii0WGeHn+yUP4PTbP4+
mka9Ib0t9Qh3rnow5r7qQyY0MNiYh7Cp943W9lcuT+H7TkuOrQlQPGKNJ10aTh/Ig1SmPLbH3kfz
yUhN5A0fLLxHHueYwb9scfCEzjJ8WDrRCAQ9R7Q+j8Nhp6cdEDrrPi22i4dqawSr2qsnG7YGCmV3
SADx0vPwHLMQo/nYtPtB1H/lDGlK1GSyVyRJtUOp1OCjbgv4z8pMPW8p4mvpPaqFxENte4n8DJqx
0vd019iRsrKH+no3lZDzCzk/zUc+1FtHR/0UXzv7cf4pi2OkVYBjZy1QeADFs6cMpQrpFO+BOBAB
HVsWMTzWM6xOD/UOJIKXaF9XoFGiIUWeIXU3do9uDbwuAHJdsEEzrpEWm9ee0B7bpW+OiHbdRBNb
gNiW5tduGEWIkAEnIpHud2PIKZHpXaHdRHsSUaAGZowc6dtvqbMzZcnyamm3RgfENZUvq3yoRw0l
1j64PPitEyqf96amaR7GkRgN1XfQDVc7L88MEJ5Oljiv3TTuc0SzKg976Up3gkGa1m4r33V3Wl6z
EAFy6WCNgzhX5TLsC718Uqr/mp5MLc28duWcE1iwka0iJ1ovB4LVdDEM0BT8njtPHDuIorYJ5lDr
zgKle5Ufp1V/NlxHFDvS4jAhCgNvqE4VihQP5TTZlU8Wau7k1ZO0qZwkpflATrkEWMwvwSor++P4
u6mcHvBflgYAkEpPNaB3grwgC9v2SUOuzJOJF77hh3HW+7YZxXtlSaQPidnIbs1iO0ca0VTsdSwZ
Df1b1aOKkmxqtLdo/Iz4/lap1ktpbW4csB/9rgx0pdBGsVWMc/7ERBa1BDQ6C+trXiFpanEdhCFk
M731avDh1f7qhtTj2ic7ydRLJoAJxFNyU0PUNHdu8mKTGBCFVWZ1B6xrsk3mVnlA1tWRzCTTPOud
qDG9PYoAKVh4wS2oEvYMZJATW/NKzAwGTxNht3jDw6a9kG4lb9ZRUnHo8vRnyuxqH2a1cbVGK9rN
TugceeMWn1jEfgHbqPipNaPM6efIu2W2cRrCFIBZCJD9YCkQ4OAA1mesCzPDOJdVAUR7Dzn5uf5r
sWf7s0BG4sfRTjZtq9mfSVWZ7UaPgeVKUrboCCUycSXJWaYpYO6QHRut4XgnN9pW01pv28vhWDgV
x6jWgg5L/xO9xLOsEFs97oHcW8fF5yFNOKovOfJx5DvdBrLmR9v+SgL5J/n4y7QKfqF3/tTEYrsY
YFcjD0SUQRA4mJNPk+F9Ci5bx/NxAl79wdwCESENfHc4eLQPCeo0j0NVhk9WyRBM0Ef+0tr6f8p5
Gv/ynststP7qB/6DA+l4HQu6luqWahG/G2u407JxHG8diy9l6CMjBBFLmfWc4PB5O4Z5tFVZzxZH
1gM21znKwE1QiNbt1vLy+QMN6CbUnaeN/cMY0gXZc+V3AJXFP8GMAzBUb0o+YENu4vkSMyB4wNBE
X9O20T4DWpEFxqI3nwD54Z2jyvozHyWLxpS2X4u5tC4usuY/6Qzc2TECn6++Umd2rp/3Y/1BtG79
SYsWRA+Ag7WlAQZWD89p1mztsMuCUg/DrV0t/cWRzSiLqUq5kKQe6UJeGMEsS6/IkLoeWBmsaOKd
v/bJC+fexzmfqqOah3pqbj2252OCc0PccQXgVxyODnj6JCFCZSLB1ou6gxiyDuzpU3Uh2ZbOzCwi
P+1bJCdLkXT/NYZMqCbFKstGiOVutBzTTwNY2jrzQLh7hMOH6pXoTD3SKZQ+w+orUPs5Xx/05Pve
0AedJb7JVeq5A5D3iGC6hbARst/9Mauxg7K86GqWXgK2ESBkr7LyIZ0RC2z5kW/1/0NWI/i1vvde
cF4a7sApnyB1UAfgu6UjUzOfs1OUOiDnk/tZarRS+478yPwimBshXZNnJyCEvno4mtjrvKyzHzr4
cvwSeaMgTqxSrK4aflC7EVMwBH5JfrPSNgXc1aCAiJmL7z9+6aBr3Zk4BH2mX26kdQieTkYJxHUY
05FZ+ygTAol/eEiY4Wg8IYvmNiALuw3ehpJvge97kHVdeVyfAfgd77WsFpvS4CA91LpTmZi5fcWa
YZs2g7Mv3WXvOa73TI3OGgB3deE3fZ5eVQwZbzdhDT45gBYMgQ1t6PaepQGLW44k3wnUMOBk9spj
CRrDdbY5zARgtE0Xh1+AJsjdpN9SMROVLFFFk2fbNVaC+kapqEduDhVCkazjMbpWQ+kpHmEDj4A9
E7VgoAvTLWLIKXbfwE8iHVXXLG+GtZyEamu4ZaXbhoO5Oh6LoOZ1cfOyqLgBwaK4jSNoDroIOPTM
ST3LL6WZVcAoL4r0J/khQguDljfmWeuioxpLvVzW52TuXqnXicBNvMntxb7QjOqqmpZ/SkB+B3JQ
3IPSz0vR+sywkR/6ZoiHMNtrOVgNDaZr5zyrvG2UdTnKShoNSPvQkYFE1ZCOrKQjsdeqObCi3gtI
hxIsrVmnIbkBT9KrrAbWKNluurrdvTc10JX6bZUbwGvPkERuVbz7arp6EoSLmD93idcj1h8lHxgW
gDveeO4VVNkFuN4XYJGgiOUQGs2tNELHr9hQPMeGnT8Dj6V45i0/M2zdL6S38bDdgg0JhFzEZudJ
lPKI6Sg4BuPndlVmnd1uGx0JY5Qc0aNQ5in7nXmKt737hIKpGWCqyCmWUuVskd/prBwrYG/dJuPy
g3hUFGfKnfjAv0KWdkE8Bn81uFdQYV4ic2ZxN0lSzICLyhCJHKqpDZiNw+bBbPQn0lFjSStuZ3B4
tqrJoQAS8hOgAQBECoQQX+nW2eQcdYxAYQbWTPJF0mISODj1QCQIaGjULLWXVbv2lM601bbSajeU
2AG4vBKAE+6tJ1Q3ISoVhT+MFNDJWpJZT0q/hMh+zFjyi1RkJH/qdUv0k8lBSkVuZcX+H2PftSQ3
rkT5RYwA6Pla3ps2UrdeGDIjGhD0BM3X70GWrti372zsviCIRJIzqq4iwcxjNp7nwlZBl76kLoLV
sYoeRxTDH2dbCEgA0yINcy5Ng9L8ahbqFx5E+X7qZAFrPmtVsFQ8Q2rrAPkA9xShz3VCpVbtGs5v
FJrjdGQMI/bxlDdJOHumLjSBaKWPZAUQor7MfI4XWWrnMev/da2mEmCRQuF2ZRj58YGnnByQl9wx
fatttLiiIUTZVKW+vA3QezZDqLSMIs9vHSQub8Lzig3llRNDQ5nyis555EEWwVmFxqhrcf9RwpjV
MXDHgybGJxWMqi+rdRiGMGLUMhrzeSSPAVnfJxGCu/UlEgBPRmZzNaOhslYxKxzYifJu7+KWsvdh
PAE6E7evNExaM6O20Hat0ApcfVowLP+7yaJxT3GPV/a1kODSdvj1jtb3XhjGtrKxg+W93zwBDdg+
MVvUQJ474ZZiNETG6ygicYe+oIAQ2pY+Cvqk4khB7NWL9xSiz43iVR8mgOFO/5MLfcFHbg9CG3D1
IoANhifXdRc1O7dOrK8eZ29wWS9utenxF7iioiqjrK95nRtbkOlhfTLeuh6mFw4Je6O6fX6oeUOg
ITsDMhBtpxY2KY/gQ/ibUmmQcYiO9wD3t8e6MfXdoc6bo+lY8UkKOELG4AO+FWHgrOJIiH1RJMlb
NWnQeOk9MbNP7q0Sr5QFJFC4TTkslWlqVcUEqbquPysx4JlkZOHe47kNYEspto99tt5sAzp0jrGR
PdNe27ct/yLbaiPMsIOrdNkWuyrKL3nQX6AeDelzt4KsxbyXrOtqYhvaCAoYu244C/LFvINshZGU
TwtnZLCBpFRA7RZ55Dr7/6vCCwm+kBLMnDLCM8HoK/YQl5nj/5ZLMQVvurCE3DmU10tuH70WJV5r
gMS40wAFiEKPd1GW5V0cGNEsYFPabcci8S+0QEPVCrFDqSl9JM9ntPo0aG+ChOFqS11ciQY6P4yC
C16fpsZcMkAuMZjJGpwBEBhLAQs1mxwQPe2PmFQDh504hbsBXokUfcxhB7nxujHZU6yS5Z/VxzmU
TUEGR901ynKo0+vqXuAm6b6u5RVqdBM7UEzl6d4zp/jwoUr3ODS1DGePbs6KEr0iQdWV+c8mXuJW
wjPqPdR+rK9BF1yHQvG7Ulw8e2n5CFceaw69PUBJQ2dlY/nxJDl416CW5j1sy8dJkVEkCxgQyCzY
QkdpyVFWfwdxrVu4je1D7LAvn9I0fmkmVr7DWMtZu6g37yad5ozdAva57B6hyThidztY7UV406YH
avNbCAXide85HFbkbf8l5+OfuAfxKpB42aqJHfvQ6UFJuDs8jvzY+TjVC+pT7NP0b8qnS/1/XJ5S
0K1t8J/cOmlvX2lghmtf2xa7M4HXqt2nhcj6VXaVusxhGCVVh6H2XijUoRp6davdJwsPkYlyW+fO
26wH/9CMn/PqWhuF5MAGba00fCON+A9y8TQ3W6XaBR1SYs+9R2Krf1WNobrtZLTxHZ++c7Envkzw
9L4POkRHCbTVIxQ9rnPIt5I7nlOwpPybKpiNnozwUVnQMRrGxA6WeJUpNjSl/0o19v666CyJpoLK
oiXYrfWuc0G3tZtDo9yjSrti6/d+dJ4Hr5IxKuUdXhGnxP4VSV5sKVa4Ll4OKbEuxFdqX1Krkvqa
aQNQKatFDHQCOp+0MBhAcnhtBl4tQh0z8BhuSuxV06qO4Smqu57uCBAyBFP2+DFgOZyQOV8Lvan6
3EbmigvpnwLNUrB95Z/ipOxgAtw/dUWxy11XXlFGza90NA5Zdv01B6Osl48VNgXbqQGWeQ5RGlAg
Pz0nBG5aX4kGyhhatJwhJwQhB70wn5VE8bCCr8W4mmP0PyCysd/UrYqW86UyfS5zzXAXNs7PXjpo
oVMygEXuEWYju08XefwD7K4Dk20Y941m7k2azeebnnFRlQDdvQiqnSWUvyvt5kXFQIbSECXBhE02
YUoV4UdtjSydE0ZzP7hxkTEUhji4AHYh7j3c53Zwa8BbZ8rEnWKumWnXmeot4Fl7EML+WehUUFCG
swjFzmmC9N7EY3pXkdfd2noH09UuAu4QcemFQIWnYikbhZoZEGvKHiGpHheXmQxCpBFh/VkLrbtM
6i9u5bv30km8WzXd7KxrU0AZ8N0HnuX1Me3Dyt3WVp4vKbcOc+9e15G1CktlrWlKC2DODmiX+tne
gtgywNdZsSq6jl8tF/LAbde0sGLA1Cgcfo1LDH7fTauGZ9bKyWGqwxsIe9SaOyHDyEIb0/WBZNFz
7KHkLrb6J2B3/X3iTxUsmkQmzUWVRM0R2KZhx4d6Z2Rlc4S+CRA+pn5hoTkNlNf6w1A+Tvm35Tkm
2b2UoCJksALpQtT1Q3TMzpFGl+ct/3MUJdmAhW5pSEjMgJCKVeDycEg5NYz58Lbt7c0GEEN4ZL2D
Gho/l4n4Gk2Bdwj0lsuZBNgB4MlNg1WfHc/qhgUdcj3vKx4tfUs0a5CSsEJB9CTR5dIDVJ2MDTzA
BKiR/4k1tv4r0Dxm6JLl8ZImAFoCGf83jaapHaOJnowZ3gpROChhfL+YeKxOsqjViY7mYY5BVi/f
JEKCEAlIYG5mv4E/wMYkapxjrwc6MtxOO/mWwATmVuKANSjstYMCD/ZVLIOcpw4+Bpo/Tm9jLNEh
LbX4bKDv0JVr4gdGRrrNcy33V/Ugl1CMOyGII8QKDDQ1kI5s1o2HFL9TU4J3PyNefJFMG5geAkCn
0Re0oHHza1hupyteTdkyLRNzhx1+/IyXu/AMLPKFuMwNh78mOifQ7grHHXS3UsBOE/cY5NA/LQen
XU+uBSdcHbOlAVx6fqbnfmCCwq0CxW+mZ+JFOIaEAhTTx2+04OVKwW0p2baND5k7oSV7YhTXQZnV
h0XiKO+5Bi56MVldhJf52ID6LAoGh3kYk86HPKamUlEQr43JIudcoeFSFsfSjz4OrZ1Ap2sOfsqR
+pRJeT7w7cC5gI02HTLHGw9x1U7QqMF0jsG7A58IzQtRXNsYVJF/y5tjoq6sfeF/L3OvO7dF3p3Z
MOJ1iuZ1igK7W0P6OB/QfdYDnsz5GfKzwNSnIyjqERA6dYwhHs45GeRlQMqcQ8tztoNb3JtEbfxg
hMVDYjTPCrsFGE6m/Z5iQIkbB3SpCxDcynUGo9OzaA0YJFkJfLODDiD8QDgsWYcCu+8Bbo21HOoL
EFgA/3UqW7SWl+0YD1FWHJ/mcgeVKcCcqw/uZJ0/VUBoWmkA0DCw3eijllNBDgXdZdkXV3Bt+lVT
xWzVjx7+wMGQOms89/tlXbjg+Rl2vs+k4Tw5uR+twiLJUGGo3Scnjcz7pF5oQgkpgN1rAejFulYV
HvABVP80XDeVjsRvSh/GGqHrY4+wta32NoekU0OaN4MP7x7vYhvSD6UhFtDFfcyb0n/Jg0gcUlOm
ABCA8wQH8UbLhvx5LIncB3DBr1/oIUVxnsfjLgng2cSiHi8xVQgfIVS9xYhbEx21mfndsRp7D9BB
sLYC6LWayhB3WJriuVhIc2lG/TfUbUvAUMRw567d3z0ntyD+mF1aHlg78AL7Zc5cufEbJoFGiHq+
hcp7uA+M8CDrkS1dO3gJPKk0iP2Hb3vsLa8gkaBMg29h7pk9hYk4wk+Yr3Lo4ay0Kcs11sMYN+oK
Ywcw4XjNAVNBLDWs8igM8AdUyvfSCOXbOAFi5MWuOLNEZvcm8sQiNrFnhqAJWCu5fSoqZn0YWnh5
nEJ86I7t1cd5kXJ5xMNuIXuvgu9DtKZ7auBPv1kWonms77B0c6R760h3zPk2+3lZZ9fCvdhKrOBV
yrdm5KeXqZDiQkc04E0XVBKhojXTq1ZfA8XqOvkWzajhXPSyxz4X6KyWfoRC/+DIlrKuQYWzeBde
y1zq9u4UHmnwBwCH9nQIj2bozbNHPNEZ4bwIFnJ4rCLsT7shfWtZ+UK00gbbbZjdCXivjkW4FZ3i
R6Kk0kDxKrSCpQ9O6Jpiuc6lBXBTrb3t1i8UHxqrD1Y9LiL1RShjvtJ8kcpXq4oF7ZNTcJA8exgQ
wh/WeI2BsD4leTEupJ6ChRwccgPyoY2TTmhrQGIH0IxBD3RkA7kNobBUrudYwvLsVICFAaXMv4kU
lIObnSp7vGOP421pcY7Tkc1wuzRqUJlRl+uWYM6rFUQ4nJNIQXhlEEjMy6CG3g0GYkfTEX77v33f
4JtPcXyb+3aBnQBGWpJp9+4LM9/O586nJK61HjiYzcQYiUaFN5i82AHJNpwp9GGAZNKZMkpf7h5x
YKpW6NjXq/lRiy8WGsbRWMKYGY9fw8ikvWA2iD8dM489HKptNAb6Pw9mw0vXvQZZz6FeDt+cIan3
zgCfp5D33W5mChLJEHa/fxaoQE6rtEBn4OjPGQ/mIQWDsPify9CC78kMUAAVwIVJq+1Ys/oy3R0H
EubxK9QYgdGHiIfr4d5rCbwr8K7ZwwfdOsZTYB3pCO9abr0pUVmFGle9o5gLPYl64+Ar+8hReYIP
DYWNJRExASlna5Q/vMWDa/mJnVnmJXzBBfRJwjIJL0MVrFEPdA5wDcLXhNiaxNuUiT0tsgYQUuya
niLTLHeWGtHRA4wfbqhxA7xh4lmbGszaPbUdQl/y02OV3FBpTiv/nfehU0GrK6U3NpU37MGfYfj1
SHnIvypwbzednxdy3QK0UqJDf+baSJrcpFPfyvbwLwPUkVJCK1JLJgDtpJzMg8naYrRRfMZj81/P
q+pArPoaapbEF8k8uz1nLd8/GCE0xa1o/6CP0BQb9P3DMxpg1f9J1ufSlYC9XUAXdzHpErebjfmN
oblWTV5xoRANsqj8NWsdb0lTgPPkjY76MvuQS/G0sGBsBaUmTzd36CN7fN76D0EfclqjG14aP+nD
nz92mj5S9Z/GbaDQ4znocwXhjxi+iudxLPjLWAGeHxnetKOpB48qeNRMyZqmPKxDgI0GVHOBBnlx
DCZufd/CPRwzypiqHF6R4ZU7NerndfIjy8plgSfU+6TKfhNlWbbHH3d6CXn2QgkQQME7mFkFVzu/
OAoauXOThZopNETAaNoZdltzR2XIJZBIIjTWvj3Ep7QpYlBhbIAJ53kcQpK86X7RomFUeLbT4ed5
QeelRZYvB+YsgOOETrMz9TewEctlnGbZz8l857iV/fJwQ1sUYQXBSceIAKkO4ueJ20AKYIOyphe0
NIv4KQiMQuDemoEWooHUinhe2FLFmeFsaUZDRMSueW5reDZNY9ZD8x5coSU1frjC7rwNbLxE/G/f
iGJzWo8b79w3GpIg2kJAG2QbZTSnLpyex79W5mAeKGg+Sajc920vlqAPmiiY1bBe0Tnkb456BIwI
xZ2zIjv1usXuT1m1ZI2Q+05PLbPwtjwKUuikox+fFI5ziWVzpZnJ353E9LepEOPViux4VVq8fB9a
/+wZkfFP7te7yc+9b0WdDEsUSY1NAHdqXA96lyXkjXcDqHq4hSbJsPNRHl1UowP+IAW9CeQjhu3E
KEPkwMHJXSU881dO17U3oEi7W2XiHSEHtU3yZt0Y6Bbo1umHoRPbgYXGqTQVqln+15KnX2E4mb6l
baLQeKnTDZ4uyVsyoQ88AUJzcWQrv8RoagKHnrxpbfijBJxrSWlZNnYr7oM8TatpMOxUZBydzLdX
fErueC/nJ6gg8hMAwKhCuATXpkCUJdVO50DbArfUxzrlhxCGzvCyBMebAC5ckzgFIoMFatabyQWi
SYb9y7b4tbHN6OYWADn7rM3P8M20XssStX2aOjn7OKXVOZnp5Hkah5bYYuc4rcqhbp9KNvTgLExs
zyyjeQp6kHpD+xutQRuweRJ9FEI0LqrciytRh0riYg2FUvXihFZ3jBRArzSNOyO499Jd0iypHfWS
VJAqmMBMQ6NLvQxWki073HR2f7rODnfxZfvbuaUjXkFKL4GYxBqcpfEIRyfQI0HcRDkBmC8Dxnf+
uM6DsF3EcHQ901C6VXVGKUAtY8g1rijG8D98HvUwT52ce/vcMvYUpwxa/DQFNecdDrohfJtxXcqY
r0G5LbTUNlODD+7TAk1DWULEE+ZsA3CkbZkuo9zJL1HSmSuDp9NXGcfoSzrhP54LIz+8rf0IkgjV
urzorqNIvvV29TLqhyCpsDF9VIgyhyX5WKwpNi9A2XqPu1R+esQZW4us53voavDj5LRAHdPhY97E
5tFiLiDQU6alOZCiQ1GlTSM/n/L57L4CJTussgOdY/MoW2uK97JoID0BkMO3BpicjQAyY0fTCE18
Fb5HjVntDGYUm8zskm/CjTZpHxdfIHUxHiD8i/cqHS+c6SUajeqSTOO2dlJ+q0KADysPzUVmdPxm
ZC6/OdAN2I+5I/D2+58YHeFNuYOB1Y3OZK6Nd8OCgcwhylVbR7A4Tlt+0IIr37FvQuEMGnDPFmTv
NhxwxROEG6NjCWvYrSVEeZeRx5Y5z9WKgQa4pA8G28ObqCU6vB4cxyqzw35l9PHI0zPYzWSrQNuM
TeQwJiMl19CEAyeHDMkoi9Zb/JnAB47lyk/tdtVJK7p0GauPdRhGG3RQoi9VZ7+7jen+cqsJO2rf
eh/q4E9qltQ1/NoybNd0qhPy91qUzcqv2mbdahG4TJPxOIuhMSIbCy4reuhsFX6cT7ROqabpyC0A
yFdKnE+hxUeeM8BtXabxa2AE/2SGyp+GKeHHocOLkR+I5vvQtJsh8MqvkAQpdlEwaNtV236f6m+0
rizwKHEt6GAlqn2J6vDudVPzfYJ/wFLU0zbNnRbEm+mnC43LQzbI5k5imokwf46hixpcXbOt7fQ+
iucJfCXSIPcPNI9L9maaqVpB0nMvmjq+Tp7qwlUw7qYGCOTHbGwBzRxz2eKridsHnk71uRinLyYT
4VM75PmpgB/30jAtfmn86SdVQ2hwhMTX1EQlay6YJJnVrko0UPHBA/CvjYBDcv+lw1Z7w9ER7vTF
cSyfaVKWKtv3jvXaFtx+HTMDGvPKTH73X1snaX6nHftdwcniCxq2Me5vo39WnZMd2naatjWc9O5x
h0+Li8T81isA8vRJYIDsJthRfMfnUSwrFbl3K4zB28tNtG9LA2a1tt+AsuSDhT61Q32jwVeJdczh
uF0EYRcsKAaiUYKqaVXtm97/kwfp9xraaZBImGOUnIYSdr+Td5rjedkzaI1zKC9Usr7RQl+wH1Nd
AhYG/YC9o4BbTiG4+hw0IC44jtRCfaytVuiSvna1Yy5KAHrx5hHLa1oJTSabjB1gGvFV1gLdHeaF
X1Rr/7Tsgv2elrlfGF/ijkOdHarQqAg1zX1qM4DBR3k0nKi5U9x08w8hcM5KNFqgTU1thmbkq0Bl
MH1MhXkN9SBiYzxxFPgCp7DdBaVB5hCFPRfdRMqj2GPI0DSOM8fF7xnnPpIzJ8a/tFfbogeTLrAF
3olFf6k6hYKxCwYaVBj4vsiTJ1RS/oTmxZrBk9qDlMhysioDYrx/c7hCiZyhTLjtHAmB5VD8Q09p
p8N/q5JgmtITnAYB70+gw9zkQFMF2cgbM60FzeisCoYeW/A4Pp5VSsi4GiggQGs58beggXvbkot8
P6ChtPBcp3miYUJnZllUwFZ0LGsfsb7epV5m3ikBXXW5NyfcAV1QDLOlHJ1s2ZrZnxOyMf0nLWE6
b9qxFoPTEnAfDkstD/iYuzUD99V6h37v9CRbG++7Hst+xn2yBFEA3DzWvsXYR+DRlN3MGM5F0IMr
TRTKW1iP62mCNtwSj3N7+fhRktOj1D/aypfrLIcAG8zpgaGgHy6n5TKFPOiQW8tyCENQufJfrMNe
E39sfhndjF/wdecXVBC6TehOeAfVsUdunrBXz69ufsPhcYgbBSiYaKCVhXcr43JE99WERPLfmCPK
bFsH0d30p3bbo6j81W4hCtl58Q8L/L6lHTP7DAVp6xKVDUQhrSb+UfrGsYKU7jJu2+BgVAyvE6xJ
rqFp4Dc27VOVJWvccGyxhBsK3I/cASpYeON+kgVqp2F5r/WEIrDPqqGYLcDUrVi5hKMAe7J+T6Y9
/pNaEA8Qsdu/QDk72QT4cS1De5T9hXs51IELq9u0Ri/3jTH2eDewX6aEAZxemhxVCdWDv5G8Paop
iQPFkMgBvfahhIkKaLzg4fi/c/xDnkIHQBk39eyTqwukU1OCjpW3g30yoY4mg9A6lHrm4bW3XFEO
Zac+toXe9N3BTxflGbOsDqOp8n2bgSfmGXgNrepizcwBalF6WnVg+dARDSwbsL8qWrW0RFVceGhB
63uqQcB1/XGHilK+4kFkvcJh8uO0jSErMq/GoH+v02783qlaLXrPsm48Se2bFEN0HaA8MIcsHa8q
5xmFrmHXZr575q4Vv1ZyUzHffE16kbwWctPoCexTp6dBvTZNfnQN4d+cqTVfJ6N4zEzlmq+5k32Y
/V0zhCVeRrAgCqCnasv4Uo6ld3V71F+YiL4qFXcHnysUevViX6QFxF4SewNW8Q+z890VYJbGHZzu
n8yLxm+ObegqVB+dKe5W4qdQwcf4FID11w9BjxsZmmf6Q8uj3HgC2Hxlxsx8HSMvpBnIm3hz0Wt/
M2lNz0zsX18ZSmCnafS3avD4svWxAYqAQ3tju7pu27epy8djCTVgLA3jm90KDtkDpwGuHlM0PIRQ
b5OZDEeRi2kZZWJ8Mw28svg8irZWY+AFD64b4FcBIXSk+YTvx7GECTWcKPT6h3lrxi8Znn5w7qnf
rUQU53lgwHt8mIIQ8d5GMW6i/x3HG1WChwW8CumBhQKcApt4slCf+89DbI7NT7FpgLCxlw9LG3og
73WgPSfM+nsP/cZ1l3T1ARb1xnPsFC+05Yqrvlgy180uELCuAfCO3AUtmLHxA46y7MnF53pkIRj7
od7DwS99nYbWrZ2AKWxRqjz3nfNn4KDcn9Mab7Sgg4ybrC4N+PPRSEnFsRgj9jiBTq0tbIGMRj1u
qXTbVeaUno50OG+QPtx3PxxWIkBqNso/26g534EejMdseLRE/rtMenUuUjS6ZGynICaxaFfpaTA0
EdguqFnQqpv4Hdqt8TdaTHman+2RYXO0zKcUXmIe3K90i4AGRRqXU42qbz7h7bNH53ZBK2ELqyc7
SeM1TQvVesAYGmBU2WxY9rZKd5GpsufCz+OLnbMLaHTZc4Cu4HMoWm+R4HG5p5gzxe1pisQ3NANW
ThP7T30A+GKuYFhgVIH11ZVhvfHwr9jSFFR8EFajEXgNO32DZnECFxO/OiUs2Lm8CK4scJmH24qq
1sAxwuBYB+cBjNbXyDDtVZJCnd8yLO+ceK0HQELiP46yfGIQvhHeqq8c+CnQMiVmffomoXG8TOWU
nRoI7R27yLQ3YNY3Tw5kQJeZ46TfHdfae3Zh/w6l2tRmVfwYtZVsXg0MFGhLQXWZACc0CIvxvXLU
bVYvndEoXVo4u95Qv92oyFOxGBjcslXj1+4FYJAUNE2U20BZVvdw0iCeqaycw+RO945jS1REQbar
pgn6AJrNEuJGJnhmX4nIYgRBsx1HiLLOVBdewPYM//fXWJNhKCO3ZLh8yDn8Pf9xNdtstp9WvdQF
gQ9NsuUM4zU4mmKFtOoNQXgfC5OjztFQrmdoLx1VkJh55NLUiLt2B+yFWsIfDPQZ7BYXSZ+wZxdl
/FvP1d7v0mNvF+WXzpuaXRhl8bb3Q/vND7xlNbjOdzdquxX2HdFpgoTsPfLqegEJomjjokK3anR1
iipSNPgy3cdVrPZz6arVogK0SLF5qnMzlDT2c4jS6JJ9zX/XEq9/aGVrXkeZwHoOXi7eIvRAcXBA
BHMWcRBV28YRDPsfPQ9EXV9h5Wpv4cPZPqa+TqeFwpD5roWH0YJiHp2SjNzEi50bfbyEL5jc43b2
gxLpP0hXaBvX3KPs+nW+KMVzy84PzhQ9P65JMTWm0LLoryiKyG9xieIFQEO/Ohv7COWEzrPTdsMW
+4BsP6ixuKP/Eyx4ldS/WHvgnVP9RKWuA+0ud64W9EoPBhR0wCVj6tWT9bdIXwwvdqdeTtVbeDU2
pF1CqiWT71e7FjXyWfXkg/Q2peD+mwN5g/LcIgaqetFbEKl8zGkJUL5qOU6Bs6uy8bnFv+HJa+Pw
XAzYL3vGxN6hqJQtjdyTZ8cfh+cYCqMUH03AQ+JG2jsogPF3bAEKnmMLWrvXukHRnO7vnX4SPO76
NIcwzbckxi9tfkQ8ngaFCPhRcf9x2iPmFu6mdFh4Kmu9JzAMtSTNOFJ144UHXaWVM7p2hWpS0C5j
o8DnRtJy01Q7B2BOXklQjvLDPEtORgzWpsYXzcNsB0CxT9M5NtRpDLxo9uqHW4ggLqXTNuzmlkV2
wVYSfnAeBFrwd8Lm7+9RP0ZLFxy906d4lZnFpcigjqAXKT8rw4gv6NDxIM4UOOqxUNuDsZa2y5fA
sotLEjonZWVmvhRVawI7V5nbwamCp9rjeIvJ2OqxWkJWblU4eYN7FFYz6OY+jR6oi5g8IuVgrwu/
jtfGd5J26XUzgobHdIBY7kNc7tMy5XiW04D+EBRrZcCOG8//Y6xFZaEw4l0MwwdKnEMdyvCAMaSY
1Pq0dJREWQcbpADfSH0GJdMCTfPCWHoQlzmJygJchhY6I81XqZ9YoJDgynaXXcfW9U9lJRlQReVP
W/b8Keps9iQYVEb91PO2NI3i2r3H4BjpNRosoLM3cJDJVgDq8CcWQMtbxdDZje2pPrUxNFLRKJW6
9U0RGsLQxgt87I2vEVpsHDqYDLpWYVqqoxFin0dH8HbUm0ETJpIBFImXFPR1zkNLbZ673PzBzRKw
M2rbmPD9AT+u2PWwrN7DJw1QFuCB4aqDps48UOxvWpwC32APvFpDiW9asg5NDvJKmz3U6IhiNQyp
WAqUAYXIeY082Gjqt567m5T/PMdZ2QJPDgiOwWQErcxpvPSwqfwyALLAWR+++JDYeRpQLxx1WJpg
fGKPBI0xPS1B6976g6/WRgloVBIa/b7W/GJ4zpzAELWfR7PxN3ZmsVU11M5zn/fG1Y29Lc3A+nKe
/zs/9uDwS/m0GNVuiF1K8Mink3S+0Nen2ZzvTSLZSFXA6kZX5POgK4cFAIM/kcu2FJM2g4yHXrVt
cAwWnQkwFcSD+EIxE3Namge3B5HqzzawcA5tnttoAKXjn3Ie7VM/zB9VAfCZIVqqU2n9sWWdAPkR
aMxDD7WFrgxANcXetSEOHzmpivFG9d/zto/LPe7S9aLlLtbn/FAl2GBbhruzdHWg4VFyjmwIAenZ
kOHvtNDFmiwAR47KCZUbercsBcd/khDlpBglB60cVmwY2jXFBp+fC8D0bm2Lx1vhv+IDyu8DUBbY
7BlfOlYBqzrgi0hTNkLmO3PHENxSrMbZ4ELWrY8Po7QBoB3b8o/CfA0xRGz7T7PevKTbn4qAjwsg
IvcJXUx7PL3oyIqdVGhmWyBXUZkfUoix9w1k2fURDSFg0Y/YkLNhm/TxeV78v+b+W4ofFMMm7oQE
QCbA3r0rQXZJWLMrE44qFwQgTz3L640oy/ips4HVkkFev8U1bEuG1vzH1mygSsIRGQjk/dT4fGvH
jXkIeh8iMmx8r5QPF24oOUM50Wpekrp6ZZFIfqQtPMasPKhuRaiqU5Ya9YoWQuwcCibHdwtGD5vG
cguwW9J2PtO3OYPFIqpmdcOqg+Fo+2YWyW952V5bL2oiGIe8gikL95w8/9WYrP3aBG66isOiudV2
y7fDYLAD3gegJBcbh0gGaCimuQkd4Zgd0x5sSLuBAXiUtP2+jGA1VWq2WiIYBseq8JQCl41iNGTN
S5vjPgK+D9pwXXuHqHS0rpOxhhpWgg14DnGaNYq8/5nP65PjAhHmiuHMeqBlPI67SmX2A9ww3Xxr
o6X1lprl01gM4b2ERjK+0P47heesFtKPb6ZdPxlTFt7dZLzEacV+1tDKu7oWC27O8jkM6+gLhJKq
sxngXZfe/jlqAys0Z5w9661+lbF+OrY9+ycG//PZDkeUXJpg2KYGa19dIwBfV8if/5IgXVsbpTLU
0FHnO42ZD/Ztj1JGrkKoHugpLVj9yE6ZDL4aLIUpXjiMa4YdPNjKzHmWSnpn6Ms/NZNnP09e7jy7
lbpZDN/HkpSiGIy6djDFjeF844tmAS25GPgxDDZP45NZhz4EcQd79WmBppRCycrpAJWgOfQ9ikNk
ATBauVBLBqlm8ES8Cfo8f2nRRz9GJup4QnjypXKl/ZzyJa1RRKYmVL6DNDtRzGDxuDZlHaPFh/z5
9MfVRtd6nmB3YXXyhaedek7SNfaN4qTiZgNpsXEv9Qs9vmziRHGaApKAW64cwBAG/0YtKl3VGxpT
rXCf7Jaw57FP3ADu/LHi6ZLgY9741h0gsWpHMTpvpDKhpyuGNM+CIjk4QHXTZf4PY1+2JCmSZfkr
KfHcVKMLKLR0lsgABra7ufnuL0h4hAc7CsrOH/V3zI/NAY/KiIyqyeoXE1MFbFFAuXrvWdaueFyE
8GDb4FVzCTBYrYWQ8KuAUKehREUgzm+nFujNDsvEr6yEfF0/fBF617rlBCBLxAFampOQ+FFM1MPM
ss8aMFJfq6Y5IP3ZP5tjXWwgmaWOqDe2kBpIL6GJBefMCcCodda+QOsthwbLi6Hb6XaqUDlbm0kT
+ymyeo9903IAU8FfS5fdoI75PCQiB/hwMk6W0Ubuuj9opnTxW5vPGuhkt0D6f137VQW30ZSWuk9I
isV+OQIm08z9Dl4X398ZSx/kEfsdVAH/3VZj2W/9FN3gp7ymEGlZ8llNCU+MNB2hnPdHFgws+Rgy
bT/aw1sLDuZx7elSAH1Ks4qORSuZY1d5e5Gi5Qesakwvzczu7UWIsHlr9cLysNKhCEUlULk5yOTr
Zt7YAKcq7QEil1aQ0xYw7blFojK1DuXU3kzIkV/WFyMu+MXKao+ItkK+/h/9uMsYwtUh3v7oQwq5
hu5rz91e0VOVTy8rrS/Po6dUmsYtRU3xxtYIVHQXWp89dBVI5D3dF/1sPOX0Ze3mRSO2OTWHzdpc
ji5Ebt5iFaZuajD3fzpa4Pfv7XpQx4zOL0ZFmodc9D7Q2vXLWKWwTMh66mu5Xb0MZXuAOEIEmWoO
vLuKoD+x9KcNaV3BULleDwe1GalaHF6nVvfT4cDRHyC8EN3PpEFUjMSB1AQ0S/QsyCYWvVjKPvDc
0O+aglbnMqnBSF76+45Jr2HhuNfEwJ+bt7W3EFOxt5EA8NZmEgpQAOyanWdc11BSgabYmtGEo6Z1
SqsJkrwYahcxi3Uqpjn4kctc91BCD4x5AuOBcKeWVgWdSHoxoRR0ALbnSdR8IUOkfXWwuHpqSq5u
S6NRt2tXiK566ZpFFTpg/ADG1IGcIIZJHmwjBothfZvPISZt0rz81Lfu+FP74+3aaxSZslxrEvJg
NLMjOQgV9mzSL3Hn6cOUfElZbbkJKu7nCPJIx7AAIUBvCuOlIRDU7xT9IkMxOTaKfrdm0bYACjVx
APKVdt+aLmy+FMDCRnoLtFyEFSDgRHneGp8LiChOSWQ8ZzryOSkKeQBoxEFnk+KB6skVinjVm21B
8T6M7elSyto8ZCZkKNcNuFpiAG8/izFXYJst/CHEqLdpi1FYd8gz+iK4sO7wQ9QuwU3pp02vPbek
+/iEImxMN+yL6QQHaAjIhrUCJ1adBWbeADB8EOcNWJwFU4WiollUOXxllrYRoVz40Z5QRQ3Y0v6I
AuFvBkD6CGZeV1vgb4XzfDPoRX4D7hRBBIkywo8NgErkN2nYEUfl/fcNPKvmm3zZ8MsR64YoFNhQ
KQIBOlQe1o+ykpZ4CpoTu5ySh0nTzBcCDL0H1RskpFC0eeJA2bCkEy/dUKkgHWQSJIUlXvoJOUFY
tz0qCCTvVWvr3trP6/G5asPo2tRlfgb5wHRUNYGXpmnDVmdc24LwNrmDVZN7Tdj0xMPsZW2FrTHe
6YBDLZvWl4rZRwy/fqO1jNyXEN13ZGrDFQwPyV1HrWmZHccT6YV9MC1A3JfWh94kKAMwpAKv4aP5
5/24oQ0nWJw+NdPcnsch4dtk4anoIPM8E1zCTqH64UiXJspgYWtDZgJerSD3h0BYL92AWDQbpKrq
7docB+s2NoXy4dLWB8XKpFkx/VBcdbF0Hw59QQYZJBL0QxOao0CfYakRVodSBx5IR3ruOoB7Bfl/
IU9YmpMdltJ829Vhc8YcXG2A3szvDRN+sCabw9cm1U7CBjTZUVOQV1VzySekQEEBBDGyD9WlsK3q
OFRZ481sSt5CUyC+SeYXzSLfY++oSdllGYUpAl9KxgToEIzLj5coradjZQB/J0eM7ziCUG/muHqX
tyazcOkNuULRuWwdQjvttqUj34U2GKQ2gAVP1AQK3VLsLYXKbwE0DVTT+X0Hdf4NhcfCUWlRcezo
bG/SuBD3di5LZ1zEY7+NkFF+t1UsHaqZMEaPAcAaK+0xj0LtEdy/fi9zXERrE8410DIcUuavzYx1
0H5PutpH3iR3qZ4PG822kpdUsz4XdRpe0t6eLyItvzLK05e0beuNQI5ti6cGmqgSib5InyguZPja
z9xdj7aHynKgEjacOlF296P4vn+rWBuMVab76+FEz29qPHTuykFRiKagaGZeJyQcr3Hf82sPYxmt
b8zj2qojCZrMDJHotal12GO0uIUHVh/v1qPGQUDPnFuYFv7xGYjXbU9rIXE+NYJ/fPgItwZV1D6N
Y0jF8fk5nYfpVU9KwzVN2R+hIKhf83/0T0u/9Uf/sn9ohdPrCLS7O7bT9/073Mk5vJH2CNaVN/Yt
fMm4Bc1tNmiPKZ4ibmzw+FAu5wTufFeU/edLp+rpsULEtfRKiCTdTKH1cd7GqT+TEvewAfWYp87S
MxDQKDAAOpkeyxQarJQ9UaLCY9olICQtzaQKgf2CZg6cv9FUNugA/5+DOhYues746PUgozMlniLV
vzoIJQ/zLiRiW1qTFvRGDP2rtNBu+jpi7oAH4GslqJ+MafcO5dOHqhuLpy5NILqQZfmpkMl8SHOe
+k1Gkwd7rBOHodD/nrHc6SpN2xhljBKJJgyoV+PFaHvzCHAXSGmgmLgTzc2jHam69tbN+tLWdAEo
PwB3CaembyO/dZ3VAD4pAJ5vfBo3OmAnULTNzgpIxBelwZqqK4bxUhllvmXMGIGxb8h5kAN17DC9
tfJS3RSCRTso2pOtRCb1BsrYsRdXJn3OCKyk9Kn5NhAUeEUhv0wpDgwp7e5Q4sIMgSSyQzpoEU1N
ZMWuyEd3xtwEE6qlmQlo4NUdzC2G/tagSt5C9083utsky/tbBhPWSxlGWHotraU/1WGnw+oWQZq5
5bql7sHUU/cNb7cQj6kvH10z8N0aIF27dWNswZ8PICvhrVu5KLGQ1KNv60YTvJf7r+sGmLUqfEBx
CNtwBxXR9jEm5bBttFQs2i4wORoasCHa+XMJX1sohJBwj4UFv3KsiNd+ey7gbjBGOfCKPNsBZAHl
nna8/8g36TrXD4U+f29Wbf/R/MhWxRYqdcvOhgV1m3EYPGaE4T7XJ3JMaWtvMjpqd62JSITXBDz9
gnomg2BiZeNG40q92hacI0gs32E/LZ3Gwso55gwSF4Q8ab3GrgvV5bj2y66aXqfOfLJLbviiGQpv
ym0sflLztYN3A+zKwgxr/t72B7iYHBD+Kgi/4yZiujXd2W3EHa7p9DqmOuzeSxsK3rTtDwRaXyCV
LG/bRW55KkAvb3Otc3oZvqw1qx8lrJ8w2uuWTNdbD4TVzl2bP/b+pUK2NotlZ0bTn3f+qcJGmxq6
k2njrmy3ldBW9VBVXiroSIprjeaN4D1+8N/WzZEcOniyL9S3ctnHWvYZSAHDYXPMXGRl2OzEsWmf
1pe6hTewlolxg7V1eEp1hc3r246IZgfB7MtPfR9vWz5ckZXPdr9+GAJaDppDGbnrZ+fVNJz6dKMt
+v0MQjtwVq3fV9H+9WVu4eSurBhEBmZ/CPyv/bWVbGSSlucfuw4xrHyqMjV364etBxQM2VyRG5W/
9tGGI4laQEoe/H4T3MdlCHBThYiDsNIUrLa/kwbXLTzX5sT7sf2ng6DEbLjSaji4gR1DfN2Eh0qP
iwu3ueGAWtK/maQ6MahePGomCi8TZLK2XHXswaiyy7pDC1qnY2HivoRlAeEaK9S8pv8WkYZuKMss
f1QUZb5Uh8GzOe91gNT2a9OIueUSO/1W1VPmVEnKHka9zE5rM8Qtc0/GW6R9QJWFtZZHkjJ+maOw
caAIZZ4FG6DAmJBzCM7Yy6Aq02+pXgRrM+sHVEkQ+egh7Ek/BhdeKFEmm4+hXoeVlyBLITsW7pI5
NRa9DIu7s72YEK1t/HaDQKtvnAh4y2WUw7YiFK6ZEWD6l771hYg6v4nSbPLj0Q6dHxvWIxDaZnus
QK9rf9iWhtOpcvJ7rHjOpmHsQRwh+3FprV3ru7mAU1EhvbWRFGN7TpA4Pa/NoUi1XYV60Nr/sccf
GzEy1IePIqTc/+hb3607Y67LPLuEsPyPvvVd3sDOVcMP8WANUDomxFmDFUmph5A2dpCWAwxTlI5t
2slpBV9+bABjle5QfrxdSJWGt27Bx2Qbg6eA1NrQPPn023/+/b//88v4X9G7vEiU1mXZ/P2/0f4i
q0lBjaT9pfn34F2ePxfvzXrUH3v9+Zi/e3f/5/63b1L9drrz73/dc/m6Pw7Ex3//eu9z+/lPjU3Z
Ju10272r6fredHm7fgl+6LLn/3bjb+/rp9xP1fvvn77IroRpxvU9SmT56fum3dffPxHTXEfiYyCW
z/++cfmrv386/d//GZMv8p+OeP/ctL9/0izzb4ISZpqWRRG7UmJ/+m14XzcRYv0NnH1u6aZBLANL
uE+/lVK18e+fGP2bIDCutwS1dCpg8vLpt0Z2yybC/2YwBm84quuEAbAoPv3jv//pJP04ab+VXXGR
8IVvfv9k6J9+QxV4OZfLfzN0wShjpq4Dvsop1S18UfXl8zUpI+xN/kOxHjdvGdcnWVRsE8E/r1+Q
sEU3ttesYQ5T4hILPp64SKaPF7j4fH/HsApykcvTsM7vgyk7p/2cfIk1VB+oaXc3M4pqe5tFta+3
ev448PAhykGibi3AtRua0JMB/7wDKOTSGQrV3llGOVwKbnhjBdXjIoedHFu+LawUKFh53btzly0k
aP6e5uOuL1HBF0kD/kV90EWsCpTgBRIOAhN1ZM9Iq/d65csxKV1o2MCBsxuvP53s7wP68wCCIP/r
COLEMQ5VRG7AVsJkuFp+HsEEROoYi5D+mJjJDMhKLuubUoP5RheP1raFi/cJa0rIZiCkcqB1WVzC
LIOTR5FAPjBKOw8hfpztTTMyGt/6SsP4LV6UjcIJxi42h0Naxq0gQ6b2WKFm4IGcULu4O8kx4Z10
KqyaDhPvxSFLdNCSwpo96XUCiWoxOzDuzZ+15AbCC9VLSctkV8+W2hQFFq+pUYAq3xqWIzK6aIoh
F4AkDtDzcVwf2jqtjo1EzDU37bajhgZOSDJdppiNF91OSi8c6Yw14wCMkYTXMxgnt1E7jYGVyR7K
5lV5YjgeuitQRuqoftL4CHhvp4br+g6G5sO1nIK+CC23rU362OY8g3NEZH8Bym3zsZBmCVQAYSax
D7Fgd6s8NW6EDqOVVJsPZTNJH7StAwBfkNhdXoaO7BRLwTPi3bIoEU0A99cKJhcpmCdVMr32UbRL
6wctxGKWW0jNqzGBLCD0Ujs6kG9z3lyw/mg/57BycOp+grtpsqzAzHHw/vrK+edbz4I+rmHphtDN
f3HhgBRotGRAIYbNFdVdVQD029UsvuvNNr1p59wPV8Es0AaTgwazujc2ag1WcUW3t80RTysEAfeE
ReTSpzRYW9yGjQZPe9g0xqXZOHpvmQ95D2qoLiAuoucThMnzHmoZskhgebqpk9R87+E96WiKUCRo
b/SkT1w1VOyBmUvSHDqi0Fnu6UMKBQHYBBrEHdrNAIcAcFj2hNS25VQmFKATo/oCTDD8C2YNH4GE
lPRMXk7uD6IvEY9/PYji17sP2BPDoBQ2DgaACpDG+PPdh+UdpxUU5L/ffQQsm2tJhsirAZM4zble
nUDVlF4rOT2hUJmMQctC6NUlQr922giDuYQUgQgLcl37xNsIF+JrCylQuI+WN3CGwRmi4iQUcK0G
HeSFQJ2g8Scr/mz3IJjSHmVMyOaiGAkrbsSRKeDSRWvcK64/J2zKMQnYySbmmn0ZuGslQt2Gyws8
pGaXtDM+DIte24Gg9Vq6mxevo4Gk1x7x6kFSiXh2QAlGz0DT6WtzvIzjrHZ0ypQHXHyFdXAOXcoJ
qj5ZaUJIECa8qpwRNCXJG9RVOm82kNWhgm8zPepPuYYylpa2IB1gnvlhICWt/l1SCIPKoTr99Xni
v5wnolPb0i08uWwC6Dezf5kliZwI1KYpgX2rAqpRTS98aItvQoD5qTXZV3DpJseyCuNOa6GVQyNA
TaEeXvk4+9VTTkA0T8NkOqCsKp9ape1o7VKAL2+GJjLv5nkgHlwnhW9weQNwna67NTQXVjh8a/E7
gzC5M0yHWyx8QY4HmnAoE5wXq6Z9jHKYW5GtCZ/Ws0mGGWgOvMSWTCEOR7aiF+jKOnP7b8bE+vOT
g+hIxxnQPLYEnsPLmz9fu2USh6jjEQhQ5l/LjiUnM9J7N4fxsVdb0nRVa4BLx2JgUmSfbMaeKH9A
KnBDJJIvmD0Q6sv4KVZNccEdiHx93lWnfEnKQKYhQzatta1xqzUwdQfjORodq+rlyeoGvpupOT/k
JtYtdm80eyILFPhxzbmFmZlfJvtFRHX+Zpiw7dKaBAhepUsHSN3hlEvcNAx6IW9FR52xRkG/Qvpi
o9TQ75khbdQzAa4YGmN8o8X8wDTxb2ZOTv954AQuIaCBUXem8IT7ZeBmqZklTCkPBLjGmzGkmAyb
MS8hnNeStymvoQjINM2TixqZynjvYuovHLLwgifKQhcY32jB67RXW/Cnwc5KjzFVn8FarbxBDPYD
sOtgWk+wB10r/4hk5JYjP+FYYwYyCYyH74t6iv0YGsJHhUfmxuiM1M9HHfp3EcTfbfA8jjYkL0OA
9Y5rpqzvLCeGPPmDOcHbKeIN28x8iryOmuHbX19blP3TEC1GyRZuNYQkHOp/fx6iouRl35QDDK2t
MvMrqPNfLWEepUy1JzrkEujXnHp0MAenHovCsyUeLdnchV+SPeN69hWohAqoHz25mFFcYZ5Hca4y
8wcT4GFLsQhsJp7J/YRoBGDLKNX9v/4H/F/8AzwbCaZ1m3JiWwicf46r2AR6aFxXxcHSEfdB3HWj
wyz52haUPoTIT0Pcor7mRruH8lF7zm3rfjWSsiI7goE4myBbj8tZpeN8W+sAF5G8hy54JKRDWlXe
2mWeH4UlKg91PxcQC8cuWA2Lhsj9iXm/EPERslhuAUPmTbzomhOoDCldO38ElKJ5II0NHaYprr0p
i9sgEyE7A/Ol+QZMPgHvqvgZWOaHvx4etvz9nwJ3aMcDZonnnk0xfSzLgT8PT430Aszh6LgvhwHO
PNrY3LKJxSgoozrSg4PfYNIA7QfGlsZSQmjAsIZ2caN2FmgnTtsq8aiyRLmdBGhHK8PSk5phefPQ
FDeZkW5lnrKvlJp34A5Pn7UBOAMK2M1zmeRgAdg53D0NNmwIcgpSpfx5Ft3k45uK3VjJ4pbYSdBR
cfwgzRR4aC2tlTQTQivX+evhoMavw8E5Kn+U41KnGBq+bP9pHaOZAORBE63em6CmjxBdTaLzxJFa
ga4YrAKQwZuAHYJpcuZLC5inFdwKZO43KgjMKvScuXkyqqDDuvOaAxt0LZoMTxjgPy2repKSmV9R
wKMurNy+AFUPHYZOmx76HCIuf/1XCJZ9fz6znJsCSzuT2ghoqPnL7KbpELhSrKz2YTeQ2yr5POhs
fhmROmYNMG1qASlGyagdUOOBfXUNBHoWFRE4fkPZwbmHVjsT05XTAKgD/JshwPtDpPtvfiWh+vLM
/vkSxJqWEGITg+IW08n6R34a8yYBU1BqVR8YYe7kI/NSw34YUA9U44VOZBu3p07eWfAhqxOyVQJV
zRlI1ESBo5+fe2Aw4mnc1yTxW116UVudUhFtmZU78DS+U6wC9xzPEXrAoccWVYl47M4JcmlV073K
mD3cgNT7OeM1RNHDXUzbUzqgRk8wo7aAGc2OibrYy1B1G5mZ5xwikiE0s9PSeoZAHkKtJJgLWDv2
MGIOQfQLj2VNTqQGyt9wlMb2WTv4ldD8pJUb2g/7WDyAa+9OHHMG6e9nWuPKLzDYuDWmCmoQaemA
wuEheX6T92WQMbbJVOQN2buNKhaoPtMDSzzYOnbsABVwAyKt46Ye3fFOZG76Bam2Al6QBQwlJ8R5
N/lF4s/GKZ6798r4NqD+HCNQj0Oo4WZAu98q7Wbkj5odAH2q7DdduwvhedlZB2gnpm0BteUtwojM
8HK+RWU8rTxhQJlXOuHYOyKyfQa8cQNz12mbjjhZMRZVI/XHWXvq62ynL3SkTN9VHN/QHGI6bAG6
uDX1OqiSfAPG5TU05X0PVD2BdXHFgTKAyl0mtskEHegUZEc88rZJnwa6aG6bfN7TucE6lcMvRNxD
pNHp59CZYfVQ5RAOaRof+OQmbl1DvEaadolhxCyK5yoEbJ/A5CTtbqOCe1XK4SqLKR1SCXdwVKz6
cWswulUZcw2dg2ihUYAjGRQ8E2j/NgjuJseQz7aEodAu5xAyJa94vDng8jsavYwzOBBR4VQwEVeP
0AoDwwM0WhhOihgflgzP0ZRtLJTxU2RYu/AYX2A/9xjN7BjFCXR3s+Fb3iHTYZtvSdTvIgsOI5G9
yS1wdzdjF2oOlwLfNnsAUSEo6A7ThMslOoSPTfRkQYKLGfuRI3F7A0onwgj6wFHh558L1IYSFrna
9LUDeaowhW9H0skgoJihkCrJc1cmyInc9QA72rnlTNqGYX3P71v1ko0Pqb2totfGvPTtfc8863GI
ch9YLaO4hW+ePyX7tkUiYBMDjG0rt43PdJHReAD63GOgBw52G1ABji53U3s3h2AC7QUGM8cyJ3wx
X2S05wyyzC94Xiiolb7CEKqRwdD47UKsJbYLqAviJglPEWNafktYtF4rYtj2JTuWl5grIi8BEaKC
5n+XFF5vKAfmH5BSR5W2bS5aQoNqeIS+wVlAB996p0ttN9MhTzr5KYVH6LIUC1GubqF4ypIt7EMA
FUzwF2ESXJYbyA14GIaJyqDk7QY5LWCbsFeCDDgo4xr3jLzbIVhykccJMpB4WgSSKAruGC7/LES6
Kr2Vdb0v4ebEieGmZrkZmx5sB2SW7G6n5fpGwOIWSkFOptKDQM59IidEG7smrc5WSYAGMneQ2oDJ
YX9sWroHccTnLb+L4MkJOHKwLNqHAs/uXHeXWxue3p6Wgq4Bv+QZnAzud8RAqL2xsl2u3RTxreo2
UeXCQk7G2xp8DyiA17u0CWbdUTBb0Z0o3lPcFfMxtl8HNQJt90izLwkhexMETBRlYO4N4AvTvJ7z
JYd3QgkHyNsFMYMIZyp6sYE79wy3OAuDrdLHQkAnoyFh+FJCaiMhknoAijYgIbbvOYC69whjiY9p
Jh8MtqF1gcg7NiHADJ0gCmQVHlFZYBd95s9wIbPC0Vc54pUBVdNd3QPCA1bkWyan/JIQc7izx2FX
p1iCpbGB+aHn4Y7YWuLpVrFnuuLXKptMpwn13ZjM8OqDisKGpbG+FXOMHKadAI3Gu5ta2DtmQ/up
1+vnwqpH0OrTLFDSznaVahaIXv+CVBRM5zX4oeudz4G/dBNLC+LaCGhvq+cWsfLOJontqVw1z7rZ
g1tQg4OkFyV9zGFouu5WWb3YT1pqIWzAUdFY6G6RNMiytBpSfWLEA2Y6pDRun4ZSQQFaItYU6fAI
PEpxK8e69xC82buRAoHJEVUPzWA+jNY8Q5+SQ0kp04fnwR4tb6Sd3CGndx51Ml6bBq55cau8ueth
GpbgqoAP+vcXlvYo8xQpGL3L1TLbGjRnoijGhdVAkNGaDMRDzRjoU7XjPa/2aZROuDuNxDX++CQF
oZqaUoxYk72G+qRvLC0E4dZCEkh1EPAzo+yzpOP371wPXF/Wvh/N9Wf96JtMKygi3OAtl+CnxYmO
bHJhQjoRPJZ5w3IL0G5jWWQUBdYbA8qZsysU4AaFWVowkMCm5I8XYMfwS9Z22S7rE9lAYnbsuhS6
IaxEBjHXApqws6mVARjzft610FwON5KzXapuTXx4EUNf2NSQ7jMdAiOklow+YmysPqINIHhepsZN
X6XgOOPej9rzQBkerI2XlrULpoZbSuZzOez0ku40+tLpiInICeTmoNPIuQgRgXQGKnJBN9EgjF9T
ikREy/0+z30IavlGzX0eT/cSkphDgVNQEmdWFSZO+9rIGSo4cVCXoH71mDBs6umTCmST7SVK9h1V
AQZz28AdFwTRZbqCrt2m1qlXAJIM/xwXcAkobslNww+5FR8nmvg9SzcyNTEJNj4ALIGA/jT01b0I
+fcynU86ssIocnhIQG1kbAYQWQXSd3AU7CLm0ggIz4IiJYEW8qCCo9UEjHC2QznxtTJaVD4ht9DV
XtVD8iVNTzNk2yX8i0WseXFiXkAEvjFHDswrXM7t0UXsezPZ3b5v632hgeCss7t+Vp9rLLuUeso7
PKdCmOGI+c3IHzrRBojOj6KBw66F30Ehuq61J5lUl8TsdhGsT+s8aAXk4nHyut7yNEx8PTyEtVQ7
DnB1TBs8bqjtTkL4dLrvx9wvjMZDrWBjFINftBRWU3RDonBjAyFWVRrwhdlWWfMe9/4NamSuHWfP
djrdybLdkrIJdD2IIyOwbTyRUXEYCj9/ByFhL3DPAvUeQG43SELdzzp2FAqYxzwKwLyOrXaP5OIu
yau9wIQGQY3NBM6wYjDSbsr9EEM0GXGFYQd5WW0KCDm3NjSwi+OsIxxi4EzTF1mnTmpA/3swPd4p
mBgSKKXo0P7ug05qTjTttRIgSKp5UH2CZ+TOlt1+MUI1wz4QBdy1W7Y3QDVRzwOxLrVZOVDfQLwp
Aw33Qs5GXx/SO4IfOMB6Lwd/M5UF7rKAjomvpdlBTBag7bkvYpQqKkwNcHpAsslZ/nY3zpvSetQR
YRCZbuyu3Ahu4lkP4fEi8cwWXllLtGoNPrEawNlG4H41r8xq6FyMW9VdZqvyy9T2WhvzA+Jvo+k8
mmebJKbwKuN+hTUfWNcewXIWJAU/7HFZgx0fqkDBxlLMA0Yv25mZh1MagP0BBLMeaHQ6AjKEWFO/
1jQ5wJXl2CcgoC+uSokdSAT3iFB3/BW+5ltzrk5zNDlQ64bxKXnAymiHIvEh1InfATWAeXozDzr0
7kffpPBHUvuhGjct2AB192oLAdgcrAZNEBhCcZ7A18aK4lmX7U0l44dCuki/3pgQ8eq5wt0uH2Ss
PCSbtjqXgOLjJ/c0EMOdrJMtasKemRdBAZ6LQrUsSqYtDNkQwhMfWHId8uYxdLgBQADDBe7B84ya
E4h0mKYaY1csz9hYD2Se7w1FITgxbHr4KFosusoWZkrtkzbzYzqcG1r4S72HzwBewxOeMgOBjwXK
cLqf+wlBj+naOiCbOjgI6XRE6um+5nNQztW+l4/mWALNNV+jefySm2pnd8mhAKUIZ6gXhd+FhidL
tquMcMdQQsLZPMRK3IIPGgIHTi4x/JtoNuK0Kuh6Z6eEml4Bl/KepBv4HOHgtyXOX2RfoYfiUd7B
UVbbzkiv6xD3XgiYtuZrFmaYCkTABBqVJA8KBEjF6PcVNPqsZgeIhZ+KW5QCNqTWPtd2uLXnRYck
3FEO8keO+1/iPGJunvLG1f0WEgN5Hjs053v4cYf1Z5RNXmrF97KbTksBfgqh12nuc2hP4/GyGQu3
McH31QbMiE0glO7MYwho4TPDBVKUbtNAumBIfSWmvYQNcTndxLPxPgx3HGA8rFYd3pTXKTZ2iQXL
DRY086XmoKNM+k7xwZ8TwxP6mw4Hy6kZAVeFPQUrNkggbGCrHtQScDkL3mdWj7npaoroJiu7PUyN
dqgze4bZXQ2xsEaPKceiYJtQVB44Kgc+YIR+qAbExD40C7YgyAVRgQsYBRKLV68q9NMEtCyolAPv
i+U28cdBeipkTq/FrgnwR1mKDZOGK8L2BBAMSlMQcejq/GRDG7XVdUBW2XG0Y8jUaS7S34uay0M2
sruYI1gJWbXlAyoy5wmBB0e+wUyB9izSe8SDt7zm14wjSZ9D+dS+ouZ9Y0BuqRjPUbi3BjwP4Yjw
qkcQJ6mOIDfYmotfPGY3lnqw38LhNsUylBiBSu9DegAg3NKbk56YfmYmRz2RD5oorg2pXPiKoYY2
HzAh75L/R9eZbLmpbVn0ixiDQ01XAgmVoahtdxi+LqhrDtXX5wTf95zZyA5DELLCIqRT7L3WXKpz
NvriSy7sn4MdfTWA7nTIi2KsRXleIdLtL1Mjz2utIa9mNBd9YFv8Z2LjJkz7pZTjZepea0YOxYcq
49eYjVfG1DDk7EXMoHs1lO6EecNblPloLP2JqOUXu+2pa4wnGds+pp03q/sq0sVTBvLcyAxV1ZkK
CDKZLvMWu/dDczibGGgL/Dwhe8sY8WCYEGNQfszacKe2flAG+g1YUdpwOU/Fc9QNQTF9rdB5i6UK
lDAPiMoOUNEeYtsCywiZgsWmrX/kb+3C3G5mnqNdynxduoDBj6LqfUHYOI3phdCV2+QCenfMYzZm
wRAmt1Q494xf3S7TXbDJSYrEH8yAxSTWZ6bPnApJqQWUacj2il5owZ7aeHipFXSVfYzZOQ7sFyxa
BnokhZS5XaPjJ65Dn8LvGZclC/iET56L768gqCBje668KUoIAFME9dIHTlQGplMC0Q3fFOF8aK7+
oMcDP896SprsbugpBWQL3xooGaV/Lgr3VuhxsOiEVdQW7MsocNL0mCviUa/75VY9hObywMoTNPZ8
j0T5PofLc5YuV73Y5UqPstl4QwNwzU3WcLl+MkZ2QQ1fMApVCDula51GO3qR43wjNPnqaOYJ/7cz
WOdJcY6iEgFehne36D+c8EcejSSxUA0gPFVY3jCNR4gVl7yMgs6eLtDMTiPWC2Mw92LImPfnT9Tp
QUbqcFiUX+vU/Gzj+blQw/dOVC+dw9prHSkT9VawZ5wrFUH69OGyqjOb0CuUzLNoJLhh99VawkcU
yZOAmMZWX6u6M4SpZ7UXFyf+nZfj9wQVyFLLBxj1YzKwrojrm9BIXkGUP5bAs2UQASSWtD+byjhn
UcpAYJxFY7+gk+FV2o8e9rQmDZ9e/C5PT71hBWOjHmQaPTt4qrI5v7eKe+4SxE2IEmHt+2k1X2nX
7XK1fInK+FsZ22eLpf76EVfT6FtuDSdkdL4Y7RfZGJcJ4vxA52BBM++OF2wsD4fYpI5N4TS9q0yN
EjtVyStQJfyxlNG5bqhFaOFemfam7D3B18ttxEG3w0OitVeZAgac/snlR63ZJ8eIXkazA1puX6gg
d2NyZQpglQ4vkGpqSgigji3/a+voh36ur/Swz4OhXeScU53vKyKGYJ3En0OXfDEy/dWO7KMCg49u
0VNtv+WOebFlcqsc7dTp+ZUWz40UnqtqhOfQxcwxH2e129uTAqVW9VRxHHTLL4kPdpvpaP+YKu0w
j7qP1R7cC3G62fIkI/WR8jXG18gHHX2Efoti2q04BOqqxkjdnehXvUrVvkSleTCd8JYpmk9G6iGy
PivLPtfxdHR7tvifArJRODUQowD8Ojmy2+UM4/beutOzZCPLHm+fptTrrPTiztNddxi102Oismhd
qH4g5aYb96HwfRvl6JHDwfeKJSChHoXSn6w+p6sgztm1HOeDbaJdJlwp3+tMoYl5EGPoz33DtyY+
sfdVbPGw+3HfJJJpRd5EVz4VGR/hLiLFJzpVuv5zwJ9G6+YF6Ouuy+wdqvU9icaPzlXhuujveS4Y
p8dfoLsYYF10OHkgkdJNH7lqkF2yPNExu8lkoA6HRLuJm8Atcn8sqmdlcd5t236hJfgQZBmhTXyB
/jsOelDk92mKdkOfnZV0ZONOtbkQwTAjv870q1GOflYbO7tgrd0ZZ8uE0V0sL8gyn9iL3/MIQ62c
Tmr7fUpijOjG17mY30yp/bCJ/raMORiH8JqVBih8ea4oy+LMvxBRSrrrJ8YG6LEMYryBWqfvIRFw
pR0jVX85wRS/YO+72FpNv8PxbKU5GhJSRV5eU9iHikpfevoCnu55ckoyApUviYweShj51FbnI9oC
n3LXNLHemvz6tzQnr56fiH70EZ5jsVkODcNeMrMGMtJjr1ns3eTdtVBhW9QVGiXohvhQ6b+U4ndn
NF6oqnioBhYY5sFqskPCPohSh2IfJ1A8U9gd8LoE6Fv9UHWOHYtgoWiXbE0d+97E0clRKj6FLtok
1auSD76DFwaohya7IKnECwSuo505d3Uu2TzekXlRj1QOIjR99O1BFE2BNlFDKpmKLJYYy3BNXRGY
4vvUhE92VtzCvoPUwWJlXtiTsalvKaCUcAULZTUbRTH/M9PwZPSkDKR6bCWRv9UQ15TUK7aLW3Vk
+8l2uh220s3fU9kRAEyA2gRHDZvq/yn3wE7939WfzCXBjJRdW6VqPGoxpYAupgqBBVKw0KQTUHVJ
SVmBQ43rfqegG/ZSpfn32vYI6bCb/XkiTg7qkAk2v1oMiFeyeSnPTaQ42U6Kkh2LM51ZhDdAGuMG
Sxj1JLVrmZoFeQkqYpyzmNp/DzWUTbqy2zk1g3Vh9Z+fh7ToESVOwXbJcJP6LO2aZ/99ynZx+8f/
vs7fl1i6iUy1jjTN7T5uxZ/tNhXjDAStTBmR19uEbfcTsEFyUBVdYAfmkFZ6uDOYIfe2KCg+gcij
vyqKP49yFH7curmBiGN9yvWm9eut2h7J9VYo+J5OechSc62wbX+y7VfNJUwzOnM/cyNM6ZznExWU
Qas8igzc2+0FSm29o39ea31px0x/4E3t/Thq+JM19R6BnHsilqg8L6ZZ/Pm126PtWiMcInlCZNin
NGcnwUtsL/b3udu1FPHE/OfXbD9JO1JWXDV77TJuf49a+xwa673u27o9AMR8we4AXDedicHujvXc
HORcH2zqRqEG6bPHzodocPzds08q5sZ3h4H4Y5P9AYiJrvELs/BTMR3lKDHzTWT4zW/N7P6j1LdQ
+GJwdtFTm5IUaqGEH36j9HroWseubPQrauKknRyUbL7Pv/uQDuCynFbXCqkuB6gPnmlTAcrOQLw9
G5H/XJvE1aVkbdjPwKwJvQeFfUpohCZgTJnMHtWiXZDRX8yqBAWl+nFfHhV9L/T90LGonq1TLN1D
qcB/ltE56kIQmExBWXavLmMdBbnCpxKWRl2pnrQ1YDsT+ms457Pz21QOY1hdhgkxgWyrV3QEZ1nz
d5P1IdHNoD3maULCULrPknkfD3KncD/ypDrSiL+07XIliOEEojrQOvdsKF/DwXrWY1aww8/1Niyh
5VsFuIYROFNOjW4hOrrXvEx1DojzjqMjWRj/6tQWEvaF+lqAjeygNzEEg6s5sGpUEy9Xwl1o5p5O
7p7K4mTuCrZdUVCbCl4nekuIMIERef1S0OLwfwqFDOKFPUC1XKWeeTHR6GPESg6UZUNsiRTpEVql
jz5qZ7hYPYbqAP/40NvzEd+0h6uIRCRaVt1hxQjH/AogTafZsZ5Snd58/aLb05taLIGRJW+9MVCq
z715YW8bi+e0Sa7rzrHPdW4StxyDe9aBeNZAfESx3GFN9DFlsoCkdbLQ0oJGboFsNbAo927OjCGO
sND9ulu1N6aXsgLKaLSqjbIHXkEssLHPqVASf3KIeXtD1ZCySe8ptAJL+exUZVfqVMxIocziN+G8
CPYoQ0ngku76MSby4paeqCLv1ELb5Y5GEHXOKBokyosxwuIBnJsUPxPzi5X/1nt9rzks3KfWC/Hz
ZuXBwsAH2Ceo9X6v5NJL0LmRRbkThJ+HReOrY+EneoV7nkzfRfPs5rmSOdrmcbe2T60lYt+c7ifo
WIu95k7gTuOdqTLzqqi+aBo8w8nyGxwWSia90rQIkLnTJYxtKplZjyOs+ZqU7rHjl6XkoCeu7RuZ
+X2paH6sinCn2aWY+EBneSoehYQpJaKkJ5fvDeUmm96XhQhBKDu9d1DT1ocofaOGoMSJl7l0Li0a
0JG7U0aDIkJOnZm0JBeukUFfXDERmpIcSHaPgE1RTBOC1flsx/Y/bN6QooGpj+oPO7F96URnc6BL
UGvoO/O9C8VSYbAW6AAVOa1SWarHWPdtzUsj08uO6c85xSPX3sj/8vNw8etY0qS8OXGGSZg/Fgkw
fHkWujwLxPskImAn1Jiix2M5uyBSwgf9OF/v+fo4LGxG3kQKBEINHCU6xiSB5wgzM9SvPTskOfzQ
edG5jfyYCqhet2fddc94a/aZU+ztvju6tFnswcTIQeEqXDxxFSshO4Xb0GrBNMf7omk9c+TThkwi
W5Dk0qHoRvMw4uumLucNRUOF4Jcq/ynISnH41QO3TeY4pM7RlHhAsmiAqIDIjUMf1QEozL2dyWBJ
ephXrENsuY/C33NrYN9XqZxBZSz5m+IXQPCwPC1zEVRZDxw587Eq7ScRk+Ix+x21YsNkGcV4nFIv
yvPf5DG9TDQfIfYHMfsJGRKo3LHg1i9ajgCFMmZc5Oe6dO+R/UWfYpi9IObCOgjDD7OoaeDbh5qm
XowiN2fKMAdrF470PBXj4KBZqWywOrbiKQyVnWugc8dDqZD32BenkM1LQ3o1O+wzPNGjU/8oRtTu
uruTslu1PTs0prLx55HCSXEBYfQWqyZ1b/XcNMC7aKXKKTqLrmetCy7dfBY23Yimfu0ssJyS8JwR
xsa8Zk7iMixwurrHKGx80LsgIT8q1TyQmuTXKbVvBk/Qs4GQ8IZqFOnNw5jafV10+4HgeFKWcVJh
egYiTJGGMbfaO/zfLTC05DD4lulcZmvYt+wsBQVBW3bHgoE3j3U+A85xQQ2Lveo4jup+riKvtJ8k
+9AGVCfY5eeGkT6xYsoGwPY0596kuu8uLiVQg21AHeQof9wOi9pc7S2YaBIKfqGRnZOLZyUxAXST
3duHv+PuFM+veg05sbPXBpRJOLf+Yeq9XwzRyeBOkwXrOxgZCu0WYWEVjCBKO3+pZfI+9eUDmv2X
qIq/6X17Tu3yVGbOF9qz+6pgRFTZfaw7YiuLqNbpqP4hHvDGDO1e4cutmNIhaV4GxE61eCyTchJw
ypPiVXOHW5rMr7E7fNUS8+fSsguqzHcypPZmnVBAXcxrrKkvnWLhsyj2iTHtW3Z3+jPEVOh8KQsb
FkwD4ORY2ZszaSiVuEVugtnYfGrD6GulKG+OYG7BQ96VKdBQm8BFiOh8EELzAC/Es3tJgYpoE8ZQ
mKRHlJevy4Gw+gdhqJemWjwKQD7mTg9IzCFsJp8tpxdSMK9apktgjQ7gSIep21C8tqK4K9zLjO9u
vQ3afIpV6hUjP+aPn2gpbWf04u2zs+inwT5F5Gm3UYzkob7GM5PFkN5cw7gxHK5f+wPcYIaHB3Ww
vU5LhQTpQJH2k0kjMkoy1FnKKdP6c1NRNLFu1DrfW027lq59KWtxHkeiR1PnnmLHa1XaYXXquTI8
Nsu3KXTPc5WeEk3iJaO4GDHb6Y7fUg4fKXxnZE3I7poq30Yd1BfegryPvdBidcGuR8J+Ko0fuIF2
A7GxUY2v93WuHrb4KFihlzkSNV81UCK1XyzxJpZHgS5R7tDdwKbIKbCkl9B+robfi/FoAiV+SPmr
YP/FXnMHp5jnvunjsdMCV+Nz/1zaH7qCpOk0f4gQmqXXvmkJXN+T+qvYh0/Vl4Tg4drrkDyre/cf
47v7yZgCkwzx2r2+m/vmZOymNzQBLDIa/mw02l8lQ6UBhusg6X3sYrkffw/DTqd+TuqVxSbaSlvm
u7F/ZPaw0GjLjAsk1OhekePjIYoXbzIboRm2dLXVkjEGQBml4uZsTgVSVEt0uyTSLDo5yO34RSQN
zDEubaJSMVvgBhHYEAMiMDHnrqd5ks5BW/KfMnLwXVLaP7tKfTWLaLoroNJ+NLFk5UVa7OjPU1vu
yIJVcDE6A1+G3h/NGuY+yPMCBFDPbKr1nqGYLFLLxD6kGUvbrM1KmhJOHB7IiK320+r7KSca6nje
H6YN5WDAyHhMo6xk1FPSD3fRrrlKzQ1Mm+M7Q5/sXMa092yeF58BmrCxGKsStLhil67Opfi/B2W2
Aq0Q7FnCGZW65VZeYi42i626um3XsrIAECyX9iispYGaisGkarT5m5bVp26BzpxP4q2q2ux509Vo
LliS9VImam/uy5CvEY1q1WqqfbuC8hN0scyEykWjdnnfDkacJdSlkAoRPFdH1RWfHq7gNFruGlHh
pK+EVFEa49t2ia4w+9giuQ/VrD8tCgXc9S+z/bXYT7J3BXsVRst8aFYbjcra1MMGFgVTr0yvKdyY
rqCfljj0XLZ/uR3q9HsiNP05zICZyll1D6Jx2iuAmO66PTKxjVtTfm9wuZ63V0aEQpVByNa31PoX
ebLmq+wbuoFV3HsF68abkbDMXu17igm6DqQFcRP8cQcJRcsg1f0yYkI4KHWVPteqEu7rkTa7rdfg
DB1WcINb8OzWyTEMqX1CFxej6vcs/g5gUPnaqMtyUEvXCNJ6DN9RO1zIvPHjoqhfVL0Nb62hk7mr
TfpnUdAgH5NfqFl2EcCGBEolYKKxvVGRtwwqVe6zOgkzYPvQvbLJindpuhQ/YEK/GJrJIs4ReJeN
4ay0hX4FF6I/Gowxj0znm6V0dHi69dSdy1M9qMYjtFNQGH13z6n97FgVZl5hGPMXEtapW4/NeLVl
nH4q+Te3zbRbCbAHXUxunQqZj/toJCovquz0gqVQrKl6siHXBVIJ0s9lLLgnLanFGwS1t57nBUBc
pCoPte+IZVeAPQk7Te9VOHbe1E2J348q6plkeiDM13/rEvALbZifUww2jneb75J0jTuq6sKzOys9
Rqbym0bKLTIb/Wc1ZrdKRQrbSopaRQCNK745xIjdFuzEdZHT8Md5VHipzJ6U1jWPSZ+MF9NqbC9f
Mw7r+mlhr0eTX8v87WPSwLMgFPjVkAPf8gnAyt+84kwlNCZ5oeZf+S7C7WtLNf6axW3mV038zcJj
ftJt0G47dxwRo1FEy0jcIQoKVH3vivRBTAft0EF/H0c4zmvHu9MLeYQgQ0OXcpS1ItZjASw4iezv
Vt+Eu3IudG+hduBtn+woSFMHeXWn6e/UyMdifIn0ygferr1W1Ikn0MMfLQa1e+TCtAzt0fyINQ3x
1DDQiTYacVyE7jBZl7S5jRZfixTDW1SG5pNWUd104/GtpwO0E3NZ78HFDm+sMB9ojMy7OyvDG9Zh
oHCVHVEQyAYP43V4iV4yBhAYAGl5s6N4/D4JWPdqIZt3vaSL1pYTE1A+MCsaRJ64EZ/gTg3URaY/
AWql+06q48PqEJiZRKDuQ61MERdk0Zuhoh2G62L9NNgtUPkmfqRlmiq6MmRpmBG/GY4JhVyRg+Qu
E+ICiUKFSda9LgXvQkOg0ZMZfaPF2j1h4zCB3A2YYmT3VEVZ/yQL0rn7vFoIDi4n30XxRq21BWzW
kujyx7oKLRABBgpjaZT0TnKleFgicujczeouXa0Q20GNVoqcRVTF7CAM01tI2OvfKXXT6jVavz2L
7ezSObdpGOYRa2bUzU5TxDdcaBgPQQ8/RyhdIqzy13QzzdraYHiVqlXfChdRhTaauHAa+hWjE90y
fY5uIykcO7HMOE3drrp3PSxFRyt1AI4oP9ao0e1gqGW5g+pbH4rEFbtwtSjO5BM8j4v2WU1jFCxp
1/nD2gtVJc27ZMIXqHWsKDY/B0bazGt7ttWM5l+a0TQ+DeCTpGTZ4okopjFwCMzbRgCtD/FJLiZm
jyGuLhR70C5I454uy+RpLSXMzXiVi2hh00Fy9+q92i5th8ERQQ5442qbYXYuDfmja2JW2zRoWWkm
57JkHFyzpHV0/ISbr4CNWWETSFih3A8ObHAiYgggpsPCqkQDq6EqSXOOrTC/tEuFXSYt+888iVAp
FenPVBoA8azvf3zGhaZE+9aw4ldHsSZwaebD0mX8uh0YyCMSunQl6JEbBrFlldBBswfMFTSnqUND
YE1Qolh1LObMuOt5jJKQRIpDRcRDjbXUpWRvLYZvbfmR4Wy5gWukV0zwDHCuNdI026yYYuZeNU45
37eDGHXKQCa+s3r+99IkBYaqkXU4Kz7fBjhMbEu9EKVgFTdCUKwrv5fUKtt0acKGIkBHqqTDN9FC
w6SP0xzHiLxeVEIN4lHA2/DLcTzCzQ9n/Dxtf0xR1JjtlN9Uuvu3aCzz23a6PaJ7oqC01IK/lyRW
Ew+Tj7E6CMR1MqR6lf0aNrAeFL2qdlNslwfFsGeiTrpV/zqJZj53IC3bNWevXg9C6ZyjqTjP2yUL
Z8Sf69ujf69pR7JOinMuUubJMo8QxTheoZsQokEUInw3h4bWNOe9UuFuyUOEYW3j9U3bPWUL/eHt
4LpE0Q9VSwXpP5e2Z8CMjG8Vz9+u623ZncYqQpQflsNrjfk/S8zxeTvTdOodVQXfcZR58uJY/xSF
1jw57CD/hlAw+xl7tyVwfruWrc8IecaArdzDl1UFec2So9YK1ndjbn9NNAo6qBdIHh5K66lx85qY
CH4QyUHsi6H4ZbWKcZSx2lyHuUWTN8UAPez2ijDHDkBbMH6zlHzpMqG+jOuC2oEEdF7Wa3pclavT
PcpoTUaUzxDGsU1aqH9aZpNf9Wy8wdXQH0YnnBNySZABAzLzaNJ8QkXD515n7SiddDjZMd2s7Vrs
5PW1dufbtoLNRAMavtX5EqvzT6zWkjDeKdKUw8a2S7X0AycB+UNG6LO+pyaC7N0bJ8Ls9obxMUxT
9zYufURfqhd4U7PMd6mNXOykVR6mOkzwBg35T5Iuz20E3NddjCIwfmiZ2QbWkGtP7WyXFL5b41NN
nS82c9DZ6drKM/oaaqFkL4oiSX93w+S/p4lnVFNxtwt91xfVcN/Mbq5wfVNE+h/DLIyyX6mgmr0s
IVaquHjTcnp1O5j8CsONJvfpIhni2UijpnYy5PAanCphUjphsfMRGSP7JVWLjwM6PFawRXia+Vys
ep3uZpM3cKBk1lHJZMGQE1DzTlCyhotvN5ql+6N30z2bQ+M3CGdA3+P0Ff30snerhUXqSHyFCzvz
nNeyvIWGy6+U6UtWWNVnpVOGhLEVXpL1lDCcYwnt44wYAxLPQsqUtjxIPFveNss2J7Ghfeg2MOa8
CFE4lmDvG/Q7H8mcwhXk7ZCbbp8TqEEvSB/Jh9XZkdO6RvvgvNKCtkt9/vNibviYa+Ec2dk10GZK
09fKsr4rTUu8RAKfdjLInJ1VNQvwytf3HHW637lu8rKUFE5juVCfrlzl5tT1qzI42kNXzPG9brPd
9t6yyrn12qydpGQ9205l/dk3pXJcxozECavj7WbfkNpqh2ym7GoD7+VzXpLlJ5YbGiyo6C79HFsr
qntDmvZ9exRFa1ibi8Qx7Qf4AppE/UnqbpAy3wVu74IXVEoNzaBsLg1xjF4TIUlW3QxCxHqtdeu6
3qUDhqM2fa26qLn8PThYCv6cikbitCkKJKzrU2rZgmerI/J3NgJjnQrdVws8MuVGaawS7eDEznjZ
ZoWoUsZzA/mVSKL5rjZ9re2UWTyNU1QEZmial0aM9H0qKp+dgcfWXq+JusWnohrZmx2+brb6vmzF
Hoj8CJdoEpeMvABWYoFmAvAGXul8EkVDz5lcOscgxEMNoVrF1VG0pf5eayShViPP3D46OW3gfQyz
y7OgICI8pXRSDf8eCFcJL2ZbgO2XEfF9dofGr1tDgPUtBLhqJeV6s3dL6vIU1j7cqlfStxpE0slc
jBL3U5LeB908bKDYRaTdc6MayZ0Qmf91aXHbk13ziRis6m4sY/icKln4rNtLFBhg0/bbte3AjX/T
FtZeSmnkfrJunrL1YMfNcFIz1CZKOesPM1zUS+Oqt7wkrzqZ0QG2zn2kEXub18N2ec7QjEuJ1jCl
vjNbVQisVa2nIzZkSprVgvFVJiaeSoIUgkXtBx9DSfNK5w5mGo0l4VDaqSyooK1LBXusjfg2dfav
PG7yT7pQhZdVSfFQ9NV+YYcJxcHk14JOJTBsLXmGjYGrSiTV99p9I/XtbExu9tSNbvFG+AU7WKZZ
BGp6+aytSkcxGreuLoM/9IbaBhDaKTqglSJ3L0j3KjpdmV7vJpNGULxqZdU1yY3NYXuBzktvlrWM
3RFj29GphARQ/rP07kVgIqWavTRnujfJF3ugNFo2yxvj8YiITP3drfHc/DusxUpkGoGVx6k3xfoL
r2AFqlWYzEgWUsOwK3/F6AX/jTexLP156BFGjGsCCouf4rjk1vcNBkM8OGVWXDXHpDOSfbzSG7Zr
jY1vrmyTFxF9VduoeIljObymMh49dVqcw3a6kDWLTCh+ZjfgQib5rJtoPtLAhuM2Q0vOcuPZ6G35
YsVO85Sa0KZy2+kv+C3glZKpeDBSyvjbjdwO8zyUnmtAfM06CtDbFhA8XoMJTXHogvR5RHV23Sy7
OqUmbZrsT3MKT6RP1MG8/YAKEnSYuMJbAFvusT1Km1p9THHCtSb6EluVFdjsrs7AgsWhinPj5rTJ
L+Tkb90K2W0yK/aWXvCVA2O8Q7iqkKpTDnfbUV2AlTA3mQQS+ueN0vpV/WL1Qn10K9JsVLvrdjaZ
Aq2bjOy9PozCh04EP0QfyoeGaRz3DP5v2Mxt4MxDu0dLxURuhtFVy3rI1U67L0bNfsDddB5Tax8N
cOi37dJ2gEOCVryGohOGpXltm+Wd6jIWpHjOrvFSxedoGJ1gSpvxZjttcYhVdaRInjFTZ0X6ARBw
LU2EZPXV8qmtuu7ZKGgUQC53MTTPoddGXXyvoLn6pgoaNnf1yOuaUHnXDSqqwh21byWloXS27F+j
NuzTCZaOmAmKMFO04XWR/Y6GVbtSjd9G6J87omblu5WzMgyJvn6wzRuxKWhBxPb3nMq6PE79YLBW
HstjhTnwz6NlvRavP40mk6C9/+95VbUn5F4E2E30T9EuL1Tcyue5pdkW1Vj9o8xI2ODXC85z6HhR
LZbXqpD/Por/e2376d/nVVZnnisL5+b2lGV9gT+P5iF9MYYZO2D8u7MHJm9VUwd/bqmy122VvYx6
yFCRQMKUpfE9aQzzsgFh6BqYV9qHr6OoaYejWSKdm4V2hdcn2IacWkdQKkMHROlg1a94wkC7tzfX
pAQKWkd/307t9bRfwQXIHViyZsnkDSG+iXiNcVQk7zJtEcmNzJhfIvO1lY55alajnsIiIoPzWo0X
hfgo6YWiQd62kZi2w0Q1u6W0VyVKfi6X5PdWS8QiTOJ4h9aRumRmkbXUqGbuAxI4/Cnp5Ro9QL3s
by2Eom8QaFzkrqn+Wkzd4sdOod+UQkpAMKONlM2R97wacfzKUX2rG3DGauWE31ukuWEYv9Kyqd57
ga+2TszwtRUt686KZql0MvPSqRXyLMbF13iKNXyg/fChzdZH/qQU4AGVvqzIIjCkt52ODe96aHtx
n/BhvmqmeaN+HR9IZMuCfk6XwyCG+VhnbfNVaKHPnD6/j7NVXluXqjwRIfVXwh3cXWrJhYaQK7xG
jTG5km18nexpAaMusp3Rg39dKJYOO0PFo6DCK9Z7KD/memgAhu36KsMiUHc2cbmKPMhcq+ODkdfd
U5RNdAXNCoqrxcDGSI0cvVYrVv04Nv4UNFvb2kUaRWV9gAVqrEVpI8TzUrYKk/hanjbniN2qm9ED
j/P5OAo6Cv9W9gwimCadLl9iuoy4a7lvXPTQH2BjAyLV+k7zqrFvLrBemgtvw3X228O2MuKj1ika
aYWWluBjoILMjqi7otl5LwFRH7dL2+FvZVnTY3lAHxztatbbzS7RszVexcYOHvbqZfipu6m8UDwa
mt12ZXvCdkBZPO+0JaNNuBTGVafBRoNRTwQTcQ8kLC/glVrFapUu1oeu4+jX7XyM2FcUqLkXR5qB
q7r3nlU/39Ix126Mcg55XXINHdGT1fRhAOix29es+4AbCVI/SkX54OxPEcuMm+0sWzPXZ6foQa0m
hqfMA4UXCG1/KvHgAYpDmzrZoVu3RTKmCr/9tF2Dabef/jnV6DG4eTQc3ZXThN9qb9t9/VSsr75d
6hQihvO0ftrONvrG+qxUm1DWtstzZWTpPRZ0xcZIxl8zQOEerVeDHYMrv6yxRs3QPaZM+yePNBN1
sDrQtlZUWuN9dmLtW3qzNqsfRjPgSHNHwTdo/SmF752NoQBD6HhOSyX5Ei4WezLFeQPbVz2plHRI
yFmvW/wjFH0UriP/z01Suir3t/PtP+zM0JZNjTpCo2LnTyPlP0/czjvg66D+FJauqnXdDmYU/vvo
77VWjz0V4tJhQfSGrMBA39MaLBwF9qbuWyOLg4jm/ZRMGvUYCLbk0MWUiGC221qMm5rip1seVUE9
uVRJahHyw82Wo5OI2leku+zK5TS1LL8jopZlPyLR6NgsE5UNtw5IFPXfQ6f8YH35P1ydx3LcypZF
vwgR8MicAuVZ9KZIThC08D5hv74XqNf9InpSQUlXumQVkDhm77XZfirYL2F7VQGCLroFdCpE+KU1
7nqtT3y7xQYlp04Ermhu+tq6z2tBiHVcnq0+AqqaNhc4druhDslQpCKzE1o8NE5Ss2559OM4bVhi
9Ygv6w+sVd1ZN02WSo353KfA27S6Z4lYMShBvivDkOV1fE8KUobwamBDhYVGR4RbyQLlZvaBU+aB
RfLODJeKJWSNGzBd5x8o39HcEjp8Lkx8kYUoHxyJ1CVKnGsHTSEfF/uZpFL0W+lwCF3mMDFT+kI8
6+C7uNvEY1xM5zhlahGOMvU79MEJR43fNvItrNbsBON5PUv2eig3BJlc3AmW05CV9w6Xn2PZQZF9
dmV0N0X95/qRppZFFVlhDtdRFbEBjPxX5XI/jy6zjHnxbtJRw/vRm+dZkGXdYYCF53uQafiyDMZT
XspbdmzYRrKJAtGNP81meOU8K31Dm+7xRlf7ggzfnv11Y5s/Vux+a9VrFc2zXzSEGZjNQxum+K26
gPHe91j1342WE8ZIYykXHBFCkZAxGDuXOGShZcduSLmY8oj0TuRHLaW2bzqmtbFYcdvIG7OVhqHh
ZOta9zTmabBankP24Xm77PVsRPDcdrvCzR+qxXoMS/eGmVkauMyumgbjl5qSp6Y1L4mcoq1hz6fB
Q0at1ovbK9w7s9T8JsqLnQWSMB37XTLqtyKdbqW0bvOqQ1U1NoFgVjvjLkCsg9dCvLCBE7P66Ab5
U9uOgxAHpzmuL8Mj6iq2WJ9iXugj61NoeCGjctdYs4Y7GYB7bwDDN8N2pghUh2aqbhkZfTgxqkrU
lTzmjAiadv4dmeCOGhXdMR/rUd002zgdXmtHXEypMWEjeZtVcubHIj0atTppnKzbtJjRMdGyTase
rQ6lX/d9tKmZBVQ1GmpR76PGjTZexINy0Y2rSge5nzdbe873cirgiEwSe0tS7MmyV/7gVPfUG+ck
ZM7XKoVZIQPL37XONZ7IiJVzj4xrQymqVu3KYDLSrO+UkT9JJzGA7EOXYMQWOJUtrqJlhGTk4u50
M1w9RClgzUVX5UL9c7jWqwY53xT91M4uRDa94elRMyErONnYicD0OnEv1xweNC1d86CLpNnVWUV9
L3HryiEYC0zbKGOwvecp6AMvYTKan/nWOH6S+FplCDJrFSHRb+MTXvX7tPW+8oSA7GSR18bEv1wy
UiuXb5I0md7UOJJjaAgdA/Vdj1bYd9stPObRn3EymliYJ+MwO5jNpkYnmQupe1PchjUk/MrrLlrc
/ggWrivmYUTPWA5VGSyG9qO52muJCKWK0ES57WlmWEakdj+5V6RvHsGl5JtKRWwvizUCpLTfnIzT
MDfnz0gQmik03fHxGDRbI6Y192wLNaKu8cMtPHBltE+YXVH9MphcsoEAUg0hhqs4VOfuscnVheLp
B+PhgxeH31S+e1HpPPExxtuTqWiCWrlxP/FHPWQqfdZwc7XDL+NLeizNMZCaYCxJ441VIbUxNRRL
UYT1N0vZKVvVuu7o3vu2z3ZjzYeiN6bfJgY/YLzgUsw+CS/6mCWEEEzVTk/GLMyud8y4XAtDjlrE
No5APfdV++14hRGURXIf2vFOcfp6LorOLBbzznSbjWUrdWZ19dF7YGoFcQrNnO/mDKnhUD4NS/Yd
1YrttdtdLKItGBFYP4AhnKDEkDvNuCVle4iWxbgeiukxHjqMxFBhRutAQnnhE1NibVMvhREEWkD3
Wp7YWE/h3WlBHk6ln4TxlcyQAcKvsFx4jaXzo03zBSU781KD/0IAt2tI3PaXIbwtyv649BSrEev0
AT2HNhLiw+ApszfkwVbirbegqrDsu6XkPFmeg8oQYoPP4O/JCPk3K2kAG83DQAdNIFLz2zAQZcWY
3c11XN6k03NYoVoiff2Ifh4XR4TCE5wXISxWICwD7cRAho21eF+OS6IXLN9njZhC0Srh57a6mkX/
1LtBl7FJnKz6uSnnCGtUujc8NW9dIckYBLMsXOlstdiHDDMEdigPXm9+iw69ruAAwqI8BTO8JtJO
mhdNqNvWEL9RQf5LXxaQnRyLUCei4DGJDndDPv6ODMoFYWe0hMUrpcYLV0+/M632fkbvZyy6jke9
/zGZYga1MeK2y+pAEF4UFDlKPrZNJwT112MS3hBTEOQtSlOjOmnuAOetnTeYwn/MXOs2Y1Xw+Nd2
MfVGXmK+Ci1AUNQDt2O0TSYgRU1T0pR17zZbeT/rjRfIg0VQcWP4k+o/9W5hqRrO53ZMb6Mew7An
6hbpHlTQXS8BKqLVasnqWPC1lgz9c/fB0+L+puzDcjszgfXBuuFFxjILAWpCDy8QATugu6h7UOsg
+wAhEhFOs+TljeliVE+zaWFs1z8NCCKOiLXGxeZ7kOV13RU4wVvGBHGCuMxZ5IXLE8Yo6W+m6QWq
ZrSUJvol65N0gxyTNWw90jfoM/68eEFeDSZCmTFxrSL2lRdOKOc78cS0ZjM6Znzj5c1XvCKZS42g
J7dbbtI/QPP6wjJn2SPIUASmtd0NNCVBzXujT+XX2E3tU+TcgKbSUyA3B6UYWqSF9gXoqoiqnuHb
AlGo4mGeNBY9ri5po1Sc0jlkO2Opv0uZ1nemMlo8DRXSGogCXVVuWMgn7JB584YESSz4LTfuP+Rk
s6lpXZaU20SN443ZcIVa7syBW8srREdgMDhUs5w6sJPpqQutu8LjPBZ1fsgQeidWsetqJ9+7TpzC
lUHO34fqoUXdggGrynZYf0HTV/lnzsltOuCTSnc8ODa5Ynq7fHZx8yNmDCAmXbFfE6UFIwn3Zxab
DN5j1SDey7mcgWp1ZAJfRTycYzV+0M5h/A4hxKnOebaFcre1mSOQBQM8RtoTGWs50/CGGqD/zpE4
+LF+3eYx0DWne5s67btdsfy1VQa2gCjmpcntcEykxtN7EvQ1innyOEyXNBE8AKQ5b6whuVOd9QtN
jSS4t0yuU8Fu2cksMdEJtjzlR+TKQ+Iyb+eAsCHhkDZ1KOlswrlwd52gUM/1XVEnj1Gj7UUEiaKa
phYCmhckOt7BYSiX04wYHFURIMZKtwOjYQuyEBewcK0DrOMnRtkeyGFhh7iIL9BeYrusaX99hYi2
1kOx7ab4XUvGVX29IaLU97RxuCnS5Wau625LLJZDkf9Ur7kvdc2/DcT5Q/D3hmXST0Su3E01ruWy
uV8q81unQlOL90GI3bdr67c1XiQs0bt6ogomaXYVV5+RzK0T4whRRmmTCBeeWOQcYsYXmyotEPdE
5bAt4kEcJOE83rhoAeXanaUoTRe3/o5nBtymbGGTMOeId0L0J9mDTTKK8MMptMUftd+ZWJGt3qlb
wN3ValygIg1JemoGb3i2saGO6XwpGZsAUoZx3DcfdRwPm3C4tmOn3E3Kt9B+7A0NYbIzMQzPItQ6
Ohe3ZbI5MBn0E5jCjM6s551G7rHdtSwUuLV8bV1yuqRF4W0HWlfdy1oR1pQVZyOOeASL4QIvYTdH
LsylDLBV6+QCHAJ6znJ6GSURp3A+FsYIBmJI1yh8104vsdOcHdu2tnbeOkCsmgn3BEZfg/931VHx
OtbRHWs4nzW4c10G5dSFQU+7GDS5eEm2JSlxLOEpffHXOjH/y7pnJdHbOUY2D4DyYDAj9Vp8Hk6n
y61p85yDa4RH113waCbAK7IOR8VwdCoUypXDIcsRiR8AEpSyTNZA+MSHgbYMPPfq4kFO681APpoy
OVc6MTKdNezq1L3C4FqcioqfWEu69LSqIaOK8LCI43orome2iaBlM1yloqoPU+wQ8khWMbI02j2T
7tfLyq3epB49NDRjnTytsLYtMD/6bbok14tnEp/kFaPPnG7XEg98zSwTOeJAJzxQ9nt6Ux9N/Gy+
chjWoU04j0jVmXJfu2OFTL7jFCtkspk51+55VqPQhT0SWtSqUcfwkL3v6A8NpmCPmfVRzFzJjkI7
LmOYbShDSba+G3SIhHS7FXtJmj0uvf6eEwd5SncSrYng1qS6KtQBjgWY5j58BwA4mc6nwYQo0NXU
3i0LfN41Jct3K/ONBgWYe46ft2rCHSoh8kD6lnZflR+dvpAak1H49wWTQ8s+mrkjMaLBkuokG6g8
be4mp/62RwBStfT1mAj7mGRSn0Sep9x1jS0oWC4Ljan5pKbaV5qJwwkQg7bWZ+Wo8o0Ol9EQ7ofN
AUZSp32VTXlgOG221zX3xqq15mQh5B1N/hZEJZfvaOBgBS6UefohQc9Lne36ae/pAbSQvVFgHBiN
6DVikbNRhWA2qxcXENFP3mDfOD3NEBwa5rzO3mXa6MsMpDBBsDjHdOOS5xPeCAcBnkwneoa1KoJe
RUgCWmIrYiKJMF5Dis4j/YXd4mOTiHILnwWHwYJ6ubNQVke/6exdhxBdYyUtGhSbwRF1HeRZUsTo
y/oM0l6ydNeaVfyKKcUgXFDkMnN4RYl+iyqr3VKmer7pcWZyR2JoyGKMSVHMOXwIdS6YarB/4G4c
55YVQj0rdhXcwsMAs2WAiVRx229VaxESpkdjoE8s3Rg8rzljAMqc/N7BTdFNDgJCT3znJg/KyLvt
ahuUmzgSGYbXqkZhOHnYpZbb0hYPXpmf8aqVAJjRHHkxXCnxwmlvu2ym0q5nHWlxVRq2vA6RZoTZ
TU+SoBh1l4VpcmaFeMxm0sPGzkYSZn6J0PtKPCiWsXaVeDZcSNEgoy9v5IC7hsEMNxOCdWwccPft
PijD8NNDkwaQDs70aPzU6/8uwtXtqyR/y3TIjnrHEdqzvqd2MD6EN+PFDn8dY5BcT+MxdelLBwXO
kTb+I0/U40igYIcijqUqRTq9xt7u3JeuMKghept7AjygxLEsrF47mLZbMYPAIyi899orsqCV89Hz
Joj2BZZkaScIX6bXImbK5BUVW1YFP7uszWuRJyxHujykjP6NtOIwG1bx8PeSsk/YRygOg79fdnRa
eHUEQl7CU48Ul/tCgBKKCaNBFQdnNSoG47TwPZ6aGfRM6sxoXjlJMc+vnJ0JvkAen+Iiu230Qh3V
EN9WcSEPUOye6lVcmmlfaN1plXhGMCNnIxGmh3ypl0CpSdIEWiOaAllsdKzpIOKWjbT0S+3V2k05
88BN9Oisz5j3NB1juoT6NcxOtu0MPFmRZMVvRO0Zn7LuQ/Ltj4Pjvbn1GSTNq10u4UbUhT8xVTqy
SXnKk+JrYiA1qOkRrnt9iHWzpdIfY38sk0fJFHYrYVItY72HUsKzbKIYYcD8VtjFY241BLGSudSD
2+5jtgKVV9xqnroR4/I6eGLv5umNLQHApC3eSUtgJsxKZDLUv5xTzWuSV3eAuDZ2/mKgcbxesL5b
mhX7MwpLnjwSSVZ7Iv5tIs+Axe0EGszzILmIwes2RoxdYcBr1HtW0EJnXERJhd0XJ+QHN0IraYZ1
Qtj48JsOs0pYrqApZnWmBysnv7gs0dMQ40dsTrdNVb3XJonRrXOlIY/adcsExJ/vBMFsVEd7dmUh
BF/b2uijh0wkHQLLG8pAVeLSmJgbTQvMb4UoFPYis7jisUCqf+VNHhgNLm+4B15z5bWEIq8/VO8V
zo4IMgRGxX1hpiEL+/SzJWwCkXreQiYdk9epBHVjGNSy4BdtvPoWVreEToZ4CpY741no2GlTZXNa
EhCBlC7vUCY5JSmbWvweWeaWI+CUFsUKqqviTaTBROxNziQTk4iqlY2VMMZ3qAMVH2oGjtIe3gds
yFndoRwz3I8+jD5ojh+Trr/Oqv6mG8ugslqchiWI6cUYLiLO33sCEAgRY4YwttHRdKLHIeqOqT1/
LUTwbJrRvIl4mHKUDmbgwSQju2MQ0ZMFHlIvtafC4Wmire7H0XpIs1sCBMjFC2mRM9mfrQqwcnyL
g/WqS5xtEpas+61PFPeQLZidbQdWcFnGaMgwP7jqwYDK4dQ1+RG50xQAXb+Zk33k9dGOaXm9SQSO
zk6Z300S72ArnlhDMBnNv9pqoRFoLGMLkexnThlI6C0dQcQH3Ret49uFS5hxbl8hF3+UKRFUaJyw
kAz3Y9N+oqE8rRF+/lBW8mAy9yvD7trQcZKvXlaBTB/FNsdwM8oXVgO7aOy+uppKPWmbM9cPM/no
rLXsVTtlvMVLmOOWk77gSm37G8McjmJJcPClvNutMSIWxoCqjwlwXp7Mg3I+9Xp+bcR0GK0c2Xp7
KeZTDuiTafKMJju6DjlZ3Nh9dBzzRemAXPvuJXLDj/p7nq3HKXQ3lFNnOwT/yD3C3WvBf/WG8xIn
d3Nq5zvAP0+NKCBWd1gHmvkV6ioUMXydUBSY6Ubq3l6Mc8+b1djb5ieMo3vQbnd9xXlQru2hzdJC
8MiZWp5OIQQHNmBkRaJUXG0zkWM/Vc7C26DEsnXWCyTFKDk1xmtKw73xeuMe6Ivnz0kL0rzReCOs
F4jj7/Zb27pkacaoYynffLMa3pwGpFqGI9S4UiHPH5LNGXexVBEFdvYy6p+S0bhM2aWPv6Fe3Dtm
Fvp3aWvvu2iC5iinZ/DIx3JhLoyNyO8Ql9j1TNfJeYAANqUp1NSLo/MUi5P5M0ZTtnPYn26NeTwv
M1zS2cESwNwNYSDVUWt/1FZL/gqhpgvuVO7v6arPnJcadyQKzmt6zsEnse2GBMJfRE27dM4+XBNU
gOzfxV0Xy4OypludgX8jNO7aiN57FhrcnArcytx/DHPyzTTTgWtYfy+y4JrBt4bT5BAR9Thx0O4X
3mOTnnhavtkRe/QRDCJLqzkM1tp/d6xvswLKYhnm5zj5zsh22mgapGc7bFnm2KCJXIaZJQNek7xr
sIuh5td6AdZzxyiey0aVvpNbFKC5l2zDSvLWWWO1m8sRPFPzZdRUqjHnTDzLQz4un7E24Fxykl0X
0QUW5U3DxBzl5NdUi5NRInplMgDbGjRlxafLCAmC5Ey3jLEseWa2cNN5ezi5mRwR7guoat1sMmli
LiAFsxMdiRy+vf7VSWEKAk1su4wnIVxHRhB7G9bHdsjhAvbzMSRhnScGVm3ZsTvstYtexN8Fp0Ig
LfnqVTb1fAfgscLcGw2JDPAGBtCVSFcWB0v1t8aA0Z15mUcLFuV7Y9s0JubNFrtx8xWtUtOSOR5+
L9TdFSdyXJoYO9KTLcjBNQEDMBuwV8bMWHMKRoSoc5bGDCXx4BXYB+aESo/6ualjawuJkeOcUk6Z
8sQHi0Xhulvjwtp+78QJg1nrVDrlJtGExlXwd7akVzwSpqBCs+x7rmb5nnwA7fzaD2kIUIJFyOjc
S10fNlE4POh9RWJnIZ9De3xGNoqfpByREsVXluncJgYbAR29HKWL8jPHPhNrc2144QaXKM72hdI9
RFmzL5KHRtOfLKuO0dvLt2igSIHucL2kxXXCBNH3EueepNtH0ftd15VBgWd/R2QLvjtiC6pY2mAh
l3eStgLYqlys6oup9htGh/sxZtJoFHjdZs39ktU3krPXkgEcrTC/F2o7u1vWihXYiV4RHtRiZJSx
cyoVb5csntsK7Uiay1sLm7RW1Ef6nFddFp1fUSIFg9PSlufjwXIY/Es93TM7QFDqqI1wTGCfGcsU
pJoGFWGQIFHapKbxABBXBiaE+VGVRzcFoyEJpipL/QOiFZxnb1WKc0S5OQPT0FjuEyKHAkpdCDIC
ZKHT/rCJgMuRWb99EuPCAvUSw3NSLTvhWpvl1sWCQH0FFGD2kEeiGUtRQYXbYlaP3FAQSGLr0467
N5Ne8KoB+VEuiG2EtsN3xsGFjk5rOIRtzKwsnrAbaI8e8SfoPHZWd1Ul6rVK2TBHUxiozLk4TX/d
ThEPIZxqfjwV185o3/QGIuWwbgCjeHRpYdM96xMxmtM7m6/90LGOY2Se4yCUc/Kb22sOZlyPBJkU
NyykztE0Po1QTCgMVrpSCv9ONz9ahhiawvebeFAS8boHTYl33E6v2GQlfkspLFTJ7qEOnxvbIwsH
1KjRsl1tbQ2Q/lC/61Z1Yrj2MLcpx0jzBgod7vgQ3a0k2gUPHqu+eZNO8DZw4EnzFBbdj0ZGeLY4
1+GY8jOLQHciWKUF+48wZvpa1vScDZ6YGMiha01+WhESPzkfrNBEK68To8kJ7WwawBdDE3hx9GmK
8pnmhmevhg04HvYI5sbAK+RtCp5pL8bx02OC7kbpXTRN9dHr79ilLMGyrrQczIaMDMatOY3PoQNP
1q3WcivvrtotQ60fD0ohXTZRXW7Ogch+hoNnYVkJuNJsuHzc5hLFKTFbjn0/MnLB8P5himkjZR/k
YphuFodkdd2cvtzIWIjdpFkO3fKFsuwlo4xxJR2BxP6L+NsdcVAidw698roQ7q5BQIaaAlFG7C1M
XspPRuI3ufWMbSYKBFt6nx7vd7Dbs1kUe9VX4GdN5W3iBmlnhkJhSftbR6v2VZqc3RQfaznzcavs
mvnTd80zyGesjzfiUi6DOPYFxEVdJ47YjIgMZPzcMooKKl071CmDz05wcMSswCVQjxFqFjMv92rI
kSSM/TuP5ASVcuubPE6XEelPZ7dPzNudg+N0SPiy/hx+h8so7gvGma56ord2sRs+kEm0QhdhwBQ8
A8vHMSUSGY0S+lmTjVppMMMGt7dwH44JLCYLXAtoAhl5wFYyOP5Dd7E1dEU5hn5Gs3ly5rbqMcpt
bC4a0Q3XHsHqPILMHQ3ZZh0h2R1royoarpYYLaewJqbcunzoYv2YOn1+aGX/bJoNd5VJPUAP+oMe
/0ksCBDcPoI9kvKUUBEKmlxwTSgGMMMFZDXlgMttGkN+x1dGNAd6EVBPx3ZWe9pNxFXTtqXApJCN
L8Rjub7uUvzaaD4V3EC/TLKB7soFhBqnb4OMiYMuyCZmA/8uetw1TOEtqe5cPvQlry90vgT2LMNp
TMVPNOujrwjBKCDv+HlVPc7ybHSzS8AJQmYh88OAlyAhRTeYPJG8p4M2+ZxSfZA1lJVqLHeM2aqQ
XI3pYCc2SJeeWUV0M/TembOKgzMbCA3Rrow5f0nrjMFIfaEy64+5Pr7qI+oxHOVedtXWDP2csGew
h1s3BGTY5j18bTBrSZLsPEiSvjFmawoNNUciGMEtJf2Prxrt6Ei5N5fR2ebRimXt6/s+LM5tqZPY
xRQLngwdMVKHQWX8IOSRsqztFqZx3k8lyFCqSzfdxn1/r0THP0abhbYnN6x+Uy/ohB2G+3ty0h5B
BUOTSTRkEsiOCr16WJAtBoNdPOlDchwjizkoOJVm+bEbEKdp/qyK7KtPzDcluNlErj3HHWPZRU3v
duS8SxNwazq60A5mlGNdNfqWkx++7FYDtK21m7w2IZOTvlfMzDuZvtNeU9HTkklj6XY67Sl9/BtT
okOmjy+MiXyv5r6J8qdkad/nD70dGbJpm9Td65VnsHPvjpT5HoFcTA9BXCHzFhgUG8Rs8CZYMW+9
CMMeiJDdCAKkmu/REF2MyPyq5v5pWZhWlk7+0sr0SXUdrlnh0zMUU3oaeUzPunezNPmbniNCcowc
yN4EiryunzEKsASw90IV9t4hbWVh09a7ibd35vHKTqytgQVmD/QSj5v2FbnlRHYCOWZsITknRnyT
6+QTOykK6pF+edO3gN4FQP0xBB0bKkhIBsU/ZF4EI3mxYfV5p5J62zbuR2l5R1M2v01e3YjOm/yu
YN0kjwZNdVA3Kfy5zIWixZq1JrqniaYjvsw7imt43yTk6Hp9SzkDD0oxl0G1zPCOp/JIqJndrfHI
hcWWdzknBaDTtCE3mnsJgxlT1gTWQvQqkRX7qcHMXYLpp3ImzAo09X7gicY6G2yZwmsfWvZXrWXf
mWt/zyDtEoW7x2XUrC7jhOfBS817pTGjWYMCOnTcPokb7OWNZVNMCLpdNW/ywbUC1RUXKhM4VsgM
GWr2wMZzolrL9Rsmxcmb8J0v8hkCBzVLvMABKpzwHrlI0lW4tDxxbu0YZsk+sY0maCbCCiKsisTd
Gpy9g4GuJf2wREdeTUJytteOG7Pst+1QEu+2YHXQwFwDjsGsyFaGUn9jqPnO7EuIXdb4vmTVU0Ku
yCfmvPhAEBtTG8JaOXLJKAVku5Scgx64IVvnIyFw8xrbUBSMuTxX+XSxdOum1923Ktc3Xmj+ZsQe
Y2HtvaCLgh49zMZwB/kRgole6yYDwlFXXskmfsakZSQxz4c8/tLNbKSrf0Ua/m1aDBcQ43wU+XyZ
RmrILuaxIYyI+IIaWB5wsCKn625tRIGIG0DuvoyN8eDamk5fHkNrpOsKowpUlzHpHFaNEcCn4TZg
5BVUoWMF5IO+6DPsOZvVvKnwEKAmDtkKqZZjRGXN89BiZDF4zjVsPgb9o2znY7TIbutay+2kWBvq
MXm2SDkqiGvlriNKbOOmSPMTpNxwu16WOK93ejP1G116/Q5v91c+8ETSbPaeGp1WAmB0MQCXxsMT
8qmNrvgHw1S/t/kBYP5YyVFIRscm1Yx9CJtZx1qxvNYTXKvIZG5OCfIN1onjgb5jMizERMOmRzIS
LAMKBT36aHKG/XojPheDZhbI3f3QUOX2zvUwwd+q1DIwemIPhBPEfl8YJYdlAqfFZdyeZCb1hLq4
hdnynGQRTkQUZiM708AQFzun66ZN59IYZR3gPIZ6jp7aZPzQxs8zobrmuAJUmE0HLbjhoDb7r17z
wpvWfq86puiu6eWUJcsPp4m6Zne16yZg6ox3E+235w/5nHt8phFL6CEyLN+OPRrLemeUCBQEsJN5
3R7IztDPc0Ilmov7uJTzwbJLuuF5rLeOykGXG+MeW1q7azQ34/dFcVA8n7cizN4HMyIMpAiZsQLm
tGE4PVTZHsT2lJiLH4aAFkVyV6juWzV6hWEb7PTszS9ygpg+2czYUhuIXITFtzfjVa9TqwMrWkAR
4Jx1ijDS6vMA9dPSxpfCQu9tDXpMWIh+pnmfsCKmTCNzTv85S1k+yrOmpYYvB/mmPCBm+TD9KjEz
jOWi0vAl6DWzSuijAdwWoODKOkyN3dAT2MnOQOjPtW2sD1p8Din4vLLNKkYE/Zluy4irCvHTKpuI
8JXUqj+7UKJMFvXbmjyeXTs2p7Sz33LAHgzi22vbzo9EpD5rKasa09oR+LkOOMHKOabhBrGR3tYK
gLbJMCRCPbdfoGX4+LY4kKLdtC5h0JmyYWoVvlTvYrtU2PpI2yhc88BMXL+fdVaoCC2PTqbCexPv
C2J2yGRuCaBdNs6mNNARTjPjNSx7ZKJxZqa8MdVSx2c812y/gVX4ccajkktoMUJ+GL10/GJkE+Yx
dTBrCaopn55KQ/+uTD3cG4L4DGBoM89L3ru+oohcyPACfUSCrpayzu68geASOoBOo3q7MrkksyQt
t3Y3N6fWhnz69/L3S7du6zUX70EwR4Y3bbH0dtaInX9f4txqUalXyHgGDATY7FCltsPM6xIJ/Jqh
Q/PeqQp5YndGIKft0sjEzbr+1t8L0nFaNtu5cntk//Yal/Pfl3gNxkn/0nHIXz5gew36FR2KAxow
6N9XKyL0v7+sVtCVBaeZJ+BUnGru0Ozfl/pKG53Xl7AI2X5jvKRLBY3696Il//vV3y/FCk4lRlQB
sTtqFc+bugAeSPHMl38vhEGQ72FXd/bKrs3WbJ6Uh5vP0JJM33WX+veiwrL991Uh5GBs/34Tk12H
kHf9j3LDbPiG5vdivena2B1hkU//ebHthKZ6PFtFrGH0Mb9kDuDQ4zukzTACj6EYBYIEGhlqess3
4Q58VPlE2hSbEbuomLZ2iB7DkSVW64KkMseF4ID1nfn7gf++otThTVDpra45YA2whC5RDhTulGHb
PqFo3bnOdFWsn+5gP7cdorE4Qok3u4FnVTUM/8wCCxDZrGkIR4SOfzVqvOt6QvLFfz+Zv0/r76Vb
P7dQEemA+IgIn/e/6yCZbbntDfs97dDhl1fajx0xi5h4k1zjcUbKuimqhv0cvbhlfDMQ/SG7TsNr
jtFV8a8sWt+dwE/h62pW6nP6/94Xm/UZqbqHv/fq3x+z3+ah5UiKwEZN7OJXSG+rO/Dj/r4cMxPQ
bVOMHdGJ7te/3xvQ6fz74/7vy6hxq9Pfy1is7OfGRVjwRxNOPCUybrL1gl0vU8dcPCLesovZ0Xj+
u5j+/3X1d3GFWRHuINideUaGzevfJakGA+RtBfHFmNIUwVV8jBA47P/eUvFH4P17s6f/uzX+3R//
98uyK5CqIsJw+VgLUAGnv6+qaGFs17JnRBjBSLTp2tO/F13+56u/d4xtAuvelg1+3KjllFM4neYp
Q8e0vmSOppAIUpKU6GLouIESDk2T3Kv1hbVCHwgIOTvbC+kbZ5sowqbkOQmuKb6Xc8qHazYpi2zG
uknDaMSeFg8rpXTv2CE55zGZT6qwrKCXsULNBO6l/Xthvh+zjr75739voFPzTZV2x7+//vcHZiyI
hygZE/z9rb8/qOdEHdKFxGkjMawrx5J3oR7Ju8YzWdMyGC5KfoskNFQ1HtBXyyuG27//Ig5beWdb
/Tsy8DVC6X//ZtHDCo9qTuvZzDc1Y+d7RxPRvduM+paRkPr3e6MxRfeaKIl5aSoTrTe//HshDvd/
6Dqz5UaVres+ERFJD7dW30uW27ohyq4q+r5LePp/gPbZdc4X8d8QAsm2JEOSudacY8qDDn9m/qn5
57Ee1ZeBm0T776seL8VjlBVpew7S8OqI3DpEZWtcSbbEmIAtmnVyZFyD6diAD3qV0vRejkYSwMZh
Js5AWH3OL/n7Ois8QIBULvMv6kcWx5wA4wrNB/pdeQ0LU3v8kfkFuHAMUhJHFnD4JBkF+XPCLJyN
kviEpyKYRBcQoIkXuUetPbRWiSCv6ikxY/NqKO2+HD39OEw/y/huXhUyABYpZtzNfGzecPs1meJQ
CPh7TB2i5DjNB4ew9HaylH+oRYa3wo6Ha1GsJHWvmwNx00J+dwZnq10ta7hHscgOTRPo1/lQO9AV
tEmJWipIPeZD85MRyvWdpbEYmI/NG1cfav7Z/31EKVnz+SypDI14nL8vzfoaulMh6eFPL5mfiEyy
qBrLeP/71+fjMI2e4somxOTfd+Uy+aIkTV9+fsUwvfm0aap1aynggQq7vEJdzhzTuxTTpnLg1Rok
z3UjBiDH782rmtvmVTAiL3JrKJEecgz8k3mFcS4nUimdsOnYvHEhRRymbHDQEX9Pr0gxk7NluDTc
Dj2Fqae4bO2VMgIpLTvSIZHLv0orig4S9TxdYcQDrU1/WDIThe3dX5vybgTjvWqYr4+2XGL6+1k3
sXItp01WyWAdaF4wlc696/yEyMlb1mxkOyY6WhwNMolPUna7+SWPY5V3KFnzXx97kaLeyLk49Jqh
bYhLD7aFQtAGduPxjCzgacyJn5k6XWHeH/3K/Mkd662uidjyWGZFMkR5X9NOj88mWownqajh0q17
Yt6r1RiqL1GnuU95SS9Wqs5roXnbGmBq7fGGGTWezMp6smyUJLV76vEnDTjdGun/KlxYjWFhh8s6
t55KMnbq1HPXYdL88vp2F6kYxsrQq55aLa6e3Dz5ljEho7h6M03+tspEAALf+ZlO1cvqSFf3ip+G
q+pb3Q+J/kC8zRV9Yqg29yOT9YJfc0rl+OUr5JFy7R8GNBwlJl0ezhurcQTzu95WFvNDY9qfnzGT
HLQQ5Ocmvoy1ZNiYX+AmkffPa+f9Qk1UoKb8VPXvIy8bh/2Y/iKfhLix+cn/89rHM/NPOFFNeHwq
dqWiQF3/++rHH22hUKOmmX43n+YtKRpvPf/cf/3y+dnHGxsBN9hNRFzx9JYobOpP1aAZy8Hx/vO2
51f/1699/GCkN8WyKkK8T9NP/n2/6t/P/viTfz+xG0QVll33+++h//pg//ebMsXgbA3SwtBq8z/4
+zMSOtgC8x0gzUHeS9OMNqDczcKQt7woumcllO7WHzz7iTSCibFrIFmF5xbt9Ejtng3RF7eOasy0
Mx+J7EpuCicgTz7ESEmvemcnHbqEmhHkNHTtcCjy/qoPm5awjjdpKdUZMT2BwJG0n42kowgx+WQP
5lgNdIHiwaQZGlI11VmGD5WL9IjXLxVj7J7nR36Gfpfuc3RA315RZXfbtdCV+tlihUd5C/AMCw2V
ZVdmdXcXFekU710lKjasgihj1endxYiUdDP/1LxR0mwZ18bOKSGkWsTfHTWD7oxrm3sz7uKjybX8
VKoOSTCmSX07Qw8WGAQKda4cdyXQiXmP9ISRBgJak6zGqOYDH7iEMLrX2ZBhcp4eKbkf7Xr6RR69
PcelvdQ+J4R13cF7qkQ+TbhC0WLKw4LBrXP4UXj9Z5Dy4Z2MBb4QyEULs/YOSEKIAtQq+y3N7A3u
VdLqQkm4U6+faLn6C+g69qej0yemD5yejdhSbkrmfvR0Fj7LwjmnWvLmOd7ww4iQAdHeuLssCw6J
qRVUGgv3jP4Bo1KuvFHStW/lOJQXfhifSkIRh/UAZTZz/ND8FBuQV+rvNiPQoBjhs6tkJGJn7QS1
VUE7OJPfWqEZe8oTou4IkCkpnzQx8Mr2YM7nQBLSuuc0pJiI5f1iMivdFpT1gPoE6/ldQsRZjJpG
NE47bhWpUMen5IVatsbSkQnvpQBVMDXp+pNPMOneGoS/MFL1V2xmw5War3xsypjKHJHpm17Wf6Bh
VTp6dWlvbUEJJiM02xuHFnA57gtbGTalkPTxbTsC31s3+BMQAino7V2ipc5/N8q0W/X1Nc2TRTth
zBqAJbhRQloL027VCIMzypVXIJgUFYrXJPWNP7idXmFS1B80QeG3Z0Wz9kISEXJrA6XBrheBdDCR
E0Z71LDvPzUDbVqCe7Ddq6zEDp6le4ema73Ho9j4irJeOQbxUOjLEhkbEUdq8WxOKDpk3q+Vp7i3
kh4LlxCSPqW1IHuWUsXmEDG39DzHhFqDoLaLnHSvpV5/ogBR46Xz1mgGmh1KoeKdLwzuNUGKmsF9
s4gNmGvIv3slKW+1Xnw7Qxy8Q1WUS2TR0aX1ENqZBW0wvZDfIRoHIgkArASWtjb6oqR4DnC1D6gk
ajX9AUPFDBPW1EGGuHUvvc46Kx6Ztolpdz4G9mTvFiVRGROPJOS+YdTNZ+8CuE+Y4K1jZlSMKUFA
1awiKAkTWk/w0PW/Nkl18Z3CORgutclUGhBtp2GkDLnCslFcEysqTl3pPxMhQDCkoM11GHSg4jpp
sBeCke09TeJw3UF1elPC/BaHiJGhPXqghtoP1VCt99YosmVRavqlakzCB/wYtoMGiLbw2mMVSVbB
tIDWxDoTG60H5t0Jcv+EYwfPzbDL3OBT95LJ0pMMNHNKQ87HWqGf1AbGxJo5p3PzFcTGJgZkibfh
6OrUrQzT0fa+Qyx4MiFuAu83fRfn3BhMUUAkBcyEbLuBP0ax3lAa8+6ZVbVykOKvWdvZxyIIv9F6
53tMeKBZlIALGjTiT0d6yDEpfdz0CsUti3r/h+gBOuSeTqHSSg9BwV1RWOInCb44v5SguXXGvRgd
TlsjiRGb2HXP6o7/GpYRTL+qtYv0uJkGRea1Tfeqxt7AxN/5HkjXINJUbRHXcPVaOYny3LLi3XxF
D51WbTGfdU9y4mpqKbyCFB5tTq9+OYTTBE501c2ZeAN52lEm7Tz0SNMuzg/zzKrg4iaefQoVv3hl
mOYe0zGJtX2xAwTN+8zMez3axl33yj8EFWVGrB7riWtgmrCy1aLLTuW0a0+7gQjlAoMFsUS5FZ7B
JGHqCuP028w2cTNUX8OERg3Q25Wq5X6i/j7P5FpI1QvFcP27wpdPiUowpLVZ/gf9yiT+Q4j/FJoR
NQQsa0fPbcN10NXq3R1jnbhgv114tSR8TM+DeyH1kEK9m3OashuiOTwIstjAmHN5K+pCFdXCMc2J
GCnscOMJ+Ut3LIyXVU2f17CmFFju2hA5EiLleyM+WZ/c0spqJXgLC9Wu8jOQCbm2QwTH8Otl393D
BqRLIVxg4OwFNe1Pxcf/3HMahVV8f4zvETD2HYw1H5Cn1XyWZnGyjRgKfUz/N8s6PjVn/oLrEa3t
PAKn89btiZ7oqYw+RkNMG6i1E/02DvQ/dELVVjVWx5uv28cSi+obOWVYq1IcufMuzh7lCXUlVKyI
K3ceBksDSGfiarsozJ0zibrpNhiCFG9Fd8SLJj7BZbj8FcO6jIlJL0CvzRg15Wi+ZHge6FlP5d7J
/WBp/zxS/EEuMP+BYJ0QUg7MpG1l0Z6IhoIm/XyQtKr3UASbmHS93qzbtSoCZr1SqovAx2IdZHa2
qvU2fcmQCUMHtn71DrlAql+oKxQVzbVAr4QSRXud90Tp0kNeK1IVr31apUfLpCKZTxiXRsHH02u4
n3ukgJfRGhZovoaPpkKpiUi62IWGCO6RsAlgHaJ1JMXG6Gpk4PMdVWHJ2uXUJ+ZjRl0AFuyH6tbF
gbuuBjJBFDCFfZl+q531kht9sjeIplhnAiNNWVkQLC1Lv84byDFEiVBsQjXFsUBiZHDIap4nZcLQ
7a2mBtViiFqc8iq5eEGXEJmBMXslp7fcWzkSw4SJFP5G9ar7mO45Z6xf1gCKsvO/m/g1aQET5KoT
fLU6EajqGObP2ijNPcQXvIHzHdOj70Cim1vdoJe66/mTzbuqgCHa2C6IUkSlgjXkXQ/0d9PA3ZPB
Xt4oQGpvtupQcEKvvAi5VF7IAm6a3rqHldm98Ed/aU3lHXuFqOUwDp3uuY9DMlF8pz4VLi60rFDs
F1cj6qEJs/JCmC2aXrt9zjK3v2isyl9Vo37uzEFe5n9w4/XPuTpWhzIpryBrw2vrx0x1Ojv59gIq
o0amfmpWgL/NDbODL3hFpQCgJWwc5FNLI0FhNCMbr2sPvp6oX43N2j1QnA5Jh5V9eAUceenk8Vap
6uyj5q5vG8wMYjcVNztRnw3dSz+4ibibtEzWuoUqLETiSKBdvcoNhtkwKw6jma97xSN4Me++Owtd
UNPBucqynpS00jfOAvsjNRl8iGFZPw8i++G6FPgQM0CD9PL4DMP4jdKH+gK4MngBvaRMOxbeqwtE
I/jAyQG1YXPvyqy9oPGJ0CFc+6pKfpfJzcN09Fvj1zDd1pxXKKZLy+gny1JYvPuhIFwkdek4Tbs1
swDwEQ09rxIbrNmUoMJKNz5a9kjsYYLP8zHshIZr0buBlV+o5HMXEWuReXfezPx88i8xXzqVBeoT
LHRTSfukFK6zH5kl+ojVYVlMx8gG5e7CjfbUVRpepThWoCZV5EfiQV86AyTcJ0W5w2WxL/hf2dPb
4TUx7ORgU1q4tjg/9qo6flHKxEtTVPCpp1vdfL+jGZhCEixwoHDjK6qoPuil/ypE1h7TflLoTrcm
7X93/z6rBCfmOH86GcnnenSqnTrS4SnQ1FFNh643n4a2FDT6I5Vw3zC0j5YykmQWametoG2Vz7f0
Oii4VVpDvtINamBpNURvXkQ6NMyPqLGRhIo6oA6HBKIzo/ysj4XG/LXVmJNS936Kc7BOD3SdyJHc
V47oqBwwTqk02j7ibuiWKG3FTp92O9/ckt09PmfxhXgh+5KZrEJYHw4faR9fufUV9GaleTc0/V0i
RsPB5/9GoV8iCAVLVodVjiQZ6kk1U8uaGA5FTa+wG+ziMxQxfBO9ezdNzdmnAU3zVGblStpNx+Q3
V06UzzdAHqqbFRF4X2drnwS3c1jaEKissWZOwcIQPSq6dQPwp5r76skWdNSVzI9eAoYpAnmcNYhR
sZA1YV60Q9ivo0IsLChfNyXlvJu/2LwNEMmSOrGwsMgu/bySJ1shuoQK0xfCAfTE9g8l8n7/+0BR
5FdplsZx/k2DKt4zIfPDPH7VqK+w/SbiFMeGj+MezxTBGg1sgqL/gU6ZUfg5Buu4RIkNwMupGNej
6qUq4hcW6kT4Tod6m1JZaep4TaYnZV208Giwkc7PRo7zkySFZF34yFTjiYCYCsQWveraxxEmyStp
Xqv5uDkN8pCs3ceu75vvgrIBleeWDEkEp/OrnNHIVzmgTMqaTbmuQpNY58748IGs/kpHlv3qdAMm
uavKTOQamLu3oZWa33kbf0epGn/SsaZ22FfBMokGYyejCv2I7+JCb7tzovFV0BlaG+TO42oDoO7K
1v3qyCuNDPseO4Hz3fXuKlXsDCkcaGRPi9rfrgIEI2rMD5IcCgLDELRS1mBC3PubxlIirIxtf5zg
T9CiaFwnaBNAB5XEfcC7AZkGaJGNvQQi67OO9IqX/l0LdQpvtlNfXKVFC18ZDhXHvD7lBbiNQC0d
EmhtbT0R5RJQlEGsqi+u1X+SIa+eBhJBXgaIBwvW7N5W2MV65NyG5ovbypKcnnEtrTcRKyzDjeju
xRiM0jFGb28aLG9Nnfil+SXkkJ9pcfpoGmttn5QyuOM2ZgpqDbd5D+wI/hWHamZHVs18yCjd4G7I
P/70IicW47UeNQTR/1me8hFAt6oq8N9ptToif14XJoriJC7IpdItJlm5Z/2kgEpXYmL8CduxVkpl
4XCcdocSPZADCzVOs/gzsPOXlhwI/8kHTsME74+b+x/4Q46j58pjGufxq5wrLIlWV8y3WgsPP1Df
x4WVdM5JlgTKMQp7H3X7FYSt+s5UkIU3/2I3LsOvplUuXZo1r56mi21ZtC99Z+GoKzM0i2MiLlka
iEUj9WXcJOYdQoDJf4S34wupsIpJtcVI/t0V7xTEf047cCxrx29whIFZ+GmV31HJIgAgmLouuOXh
UI/DNyPoF0qjnkZm7qgEibVB+K+fHJ3eBEG65BchS4C1FkxIBTJMRiLPws7PEC37MLSEH267FFE4
nFCbKJ1CnryczKumLdx1IhX7XCgOtRxNey0qCxuAwViv2JPmKa3aK+4nBIe2T/sXZz/9AJROcalt
mPfKq8Jc/SrdLt7KjNQeUejGyvMdJhtm23F7V7Y43yaS39g1YivH7ruwLBbS/qiBjJ7/EnlyK8Pz
SbUIGy/Y6pxu4KLwyksvIDhaz/IP+Cd5pyOUrpt1ylDAKWrmZ7XpdTrGzV2oRbODAmaunTyy9lSG
DMRxdX3rxMS4MCcb6HjH11qvoJApMGjM+vmxAfiOqVYDB9QbZbXOo6UREjvRNWHzPG9kUhAgGTfj
JsiSLz9Oq2c/TqAu6cVvMFGPB9MRP4ZYOmqhh5w+H9YsEvOtwEn6nvfb3HFZfznwOfyC5oRa8Uhy
TuVlc6krO790cdpA4fLEV8/n2JKVSqha5B9n8CwBGtDFLG2EcNCGZ9AhJ/L6gilpj4KUwlcF0rtS
LyHyMqvzlPOjetoUIlnCcUEL0UEjY90a9GvUchsioSawtV5TV5Q5Ho3e3z3+FXifh1Xowx5pYqYu
TqoeOW+TXc9sBOohs1+/vVIrGG51muXP0yfDeeH3wvqeHuTOYH/7cU89DVKhbLsXyxJT/bExNnph
u2+BPuxEnf3qxki/qmqTbmoXElBSp87iQctUfO4/dlZcyholwwzt1AsXalhqHoJvxJXyjBIQpf/k
F3+cPplITmWoKKQKFOc2UONFAvT1AAXYPYQ+LsM5jabwwDm2iRscIMej48jQ38R9BxBEzcnSlFVM
yKY3DFfxOymZEdCuIp+2FOp2Pg2GAZgCAqNghciGugeVkXmjwr1By42zS8/gCdPfWfu6jJ/1ae7u
+RU+4YZ7m2ZqBEgNS3+CZmpp5WxCqErrhNCTE6g+pNlou92kDPi7fDUSUQpdkFsQm97vpv+DMSv4
lSnIsIoaGdYjQyRCt1vhCE6XbRzlW1KPblLl2b9vTk8p3hPw+hgGIAcKsehDak5x3dUHEJOs680w
/HLUg66gzKtiOKCNCJ/x4KrP9MiXrtmnZ8eRL23adS+BHnYvMdFD8JfvnqtX+zxnNUQIRcIMVNfq
l0pw51MtDCph0KKRnC4j2uUqHTHgTUY9CcONfZdLogBLjAZtnTJUCOS9vtOK8+OD6a0ebHA32qi9
XLkpkblsEhfBXxRj2sgTy9kY09SdakhJAnhqnBoCfJDb5VZ8Ev22sqGigvwzt1piKu+txDTF0mU3
lBP9uE0AwfzPk3Hu/tRH4ZxnjGzF9ONUohieAZdJTxUVRdLR7ppqkYP1AomUoOUcREIega9d5/90
BIK1EXFA063ShkOQl/1ejVicyrD/PV85mU6PKYqyXe077qk0IgcCjRMjyGo/mjRXtkRu4TX3lGsL
GuAzYVDCVRu4VzxY2sZQ9GvRBuNSn5b5pSDq0/VoA2sTQbuk6DpD5ZnEQl6Zhy5IpiQa2O6+VqgY
u9LEC5W1Y7mjPJ7V7cRkoGLR9RNOhCN+fAtSmzMWY/lSsY3hIH0f52GM65yC/PjToVL11I6o1hUn
wXjcaMrBaIpx5bhaeQVqyb8Qv0WIJQcgcZ6rjIdO/Pvvg3gVeBqdxrj4iLzYXxXGiHHcFb9kFg6r
CJnAjvp9yRCXtltKRPXzvHqPplClUashELXU0SBaItcCsv6UYND40vxw7eq98YdzbO9aSb6xgOSt
TDcdTviu/KdaTZyfTLaJvMF3dAicwtgyo8jpRru0GLnjqQa6TLdpN4/xBxQgwQap2b7ZJHtGIh5/
eBaRCIaMqap60qNpL/DjG6ZOEdAlLiLTMDjp7r2pME/0UyGB+muLmnLYFVNxhISMZVWCgYirEfCk
xnlsh+ltHuzL0L/ltWqeCe2aLMFV+h3J30KI+meBjnwJF3rRSW+AWMhMqlc5fwviYUAk1cv52gJI
1jz3CSmpqh22CG/Q4U2gY5Yb2jLpo5G8Q4XgSILQDTOkmjCIgOY6fCzbVNfzSGFPY1k/jhjckd8+
wmJGKf8IxsWbIeR3mcD+BgrYL7xg2ID5Z76j5Ml76751qTNu4WVA/tQ8uc81bG1NNmgngAe4D5X+
NbVG9R2xkbo0HL88Q9hsoVmVpxbNEr4R8Hk41ssK+JXvLWRvjdjb8hcLRPyfSv2iXmeu4ZnmKwkC
90RRfWlOqUuyGNKT3qEx7Uktmjf1YLsHKr9k+poLEAXhpTbT78e3HJTaaZ4P1Dr61b4BEEEF6Bfz
cmWRt3JikXfqcbAS0vN8Akfgou9DjXvQNMfs6LufamTxQgCQKQpFXDvyFPZxZxysoaN6nRdhf4eD
b6JUTatTir30iQid4WoLUIApgdu5ndi/nEBHnFVIyOipB8HCL+4eKYe4o0BKDmipUHTB5FWrboH7
2idyB9KNhq1mIzNMrmOfEGyY4RB2MMy3QyP2TSBh9IJqwmonGTHLZjOPqpEPKUwzx5Mb1ip4HBvx
t6/D2XFG9z4SuIImvb8rlhtu5rOoMlq5j+0eOSQd4PPjvpozUp5kTBMCsJR7HpXil8u8nMlyDy4y
qynfp+beJkDrHufafc7+MXO8jokb3yo3uUU6zZrArt3r4xdWIdURP6zWKtGky9CiekZxQ1+ZVkVR
tolo4BQ/otA/OL7a7jLb8E9UrnRUukxWMIk9xVZUX1rHkk9N62ESIg/IvjjuOFIsfSvakkSCMbfs
JQgP+mjTZMrpGb+YwZAKaKVASbygUKni2tiCy/I96HICbMJwWII6EZ+sVb8jg15qnkCKwur37Hi1
y6INEnHShnupmj1iL7x2eRm2eNd4FOndP4+Cfx+NiE2kyI3X//9re1D0eMdwaVUMSHLMoQVM4QZ0
kRSswdSb51ADSskwEZ17nekb2abaDi9/vtYMEX+GY0s+gN99Za2GuL4zlFPp6OSP1CDYqMvonhr/
aJJ4F0lWpujGb5me+B+WjZ43wB94Ig/PW1MoPHkY13eI5+idpu14Nhvo43EdNS9GkE9CEHBWg0LU
KQWEdTZppeZ5/7wBvEi7hOooNJZvr8z5zyYk/ZgR7AdDATmMboXFbY3fZTAEqV6TDicQSb+iplqt
YrKDCINmU45Fv7NK3Sk3QWSWwJ3htKfTGjNt4UM11YjrPi3gwYYUWAaNIhF9YO0pYC0JJBXXkAqy
dp+kGY4urChv3YD6GeuKv5l3YUAhZOL/HrJ6JUTLgxht0zYW+hB+xT7TX0f59YgtwARVbe1c6yn7
4yEcMCodzN7xDoU3Nf3RqM98M+Ho+Wl+NG88iqSEm5MZFpRGuNJ0oHj6aIi9hiV2/ojzZkjfaJvl
H5E6HuzpvqUjaM7gGH8ZYKQGH5DDOtN6Yyk6nTuol+wEwWV4633t0E2b+Xid/pMilwW6tSaieKTg
SuOWM0iy+OC0mgPa5um7V7Qfsib42YSjYcZGcsW9ZYIzbnGvxT4OBA1uREAXLfdc9Dm5lW8zisVH
WaIjjxWsBmC2yF2YbjTzYCED9+3xTvWKmCdyAh2IDYhz2yo6DGbK/VJSBa8SDUIXG9x16qEuCrFK
wOgD3Y3Nm4IFj/668hb4hIMC74ZAPu3ipfSWtLPNlfQ0iYEr1LHFjSjTto+uD5D8XYiuHMBKDQvI
nntWBFeFxCWnAJMaWJ851YG/Cg6DWwJv9McsRNDAZ2MoAZoVyCK9SSNGRjEw7SQ7O4rt9EVxzGAZ
DAkK9YaEt9A16mVWOzelT+T3/z7wmTqNSuAdDTItaPhivJyLU5qG+2BSdJ9ti06AL9JDV1mTgl+F
ZWYKnCXK3Fdvgzrc6H41fFR4Cw6PQbLUksdpZQsd/VckOD8yL5CPsy4be7loKuxZMk0OsizS14wv
ihWvYRNd4NyI8JjqF3Sr7bKMtn6BZSIIDBYfRIU+hXgw15kji8tco1TyUD2rOU27uN4ZaDpWs7CE
Sd5KrxzlzWMJvYsAuy9A5+WQqlTK7NQDvR14JdZRZWYtI9t+V0fm9HMXR2cyfg1rC9ab28uVOe3G
gdiLOjf3yajXK+c7s6EJ69P0yXYV7TkiDq/M9N2ocHgI1OpOu3Aro0J/d+ts2AdUFlFPfRNa4h20
egroI+uIh/gNwTGHVDVIkqSClORkSrSo/WalRzmZJbi8iaV3QBJlwvHXVhY2J6+gTl1TT/KneRLo
w3anlLQSWYQAKdEmtKoW4PoHqbWn+5efRYh/gw5vTzk31IjBVYY1NUYK9JmzUnpatJhOKZU98s/0
kGFQoZ9TjJl+0fAkMd+axpGp7/xYlwdFauPeiLIXv43lumkFS6BST4nYyfwl6nr+R01NW38QerCV
lns0y5r5CKGQxZSUYnJunRg0Dlkd5RCa9dDDfwy/RgffBZGiG9aE3mqv824V2NoqAWPgVWXhLQB7
HDP68luUheUmq2txojr4zyNO8n8eZSepQ6N0lZi+rkB1glXi0zAVfIvTJnNLCFPJJNEKy+xIrElx
Scr4RYh4QrM1A+73wOtX/XTHxJYLNk6Qjvv4hkpetLBV9BFAV5Sl4QbBMet9g9VIHla8zyg+GdMk
b77dJwG196LA3tsCSIkNtb3jAM4n5VbEZfFsqs6GGls8fTuPrygLjKPR9YeuSD6GaFAuiaPUb7G5
m9s9qMfas3YYvfqX2oYetgGERHTwc3WBV3VJkiWEDyUXMCbS8KeTxnerW9uFGnyZFYt/xOPpoZex
fsORvEE/TjeKSbvQjXMBtpflRzjqFLfi+EXR6K6ZaYP/rbW7fGOrurEjT9vDmxlai2ZaKZRt5mxr
L8VzOc/4aPefoFCUm8bUmFx0kfLaFs0CuyXV3bGi4eRafNPcFy0ZGHuUEcjFJJUV2GR9iRs1Fl8T
2SrwV76tia+ozT5nFUej9/qdaAXHVE6PxWDu9hTkvUw5uthiXZyyNaQjtwv0Z9e1mi1z8WjLui6j
8EMDqFMItvRauVSzxdy1Jtkxvc6PMgh5jrpqRov5dsx9pahYYlP+M89+WLziqDffNGGAL0oN9Fku
VXGQBi3D+Loja+rVd9Tf6FR3vs69IKmuEEWp4ekZZ9e8qm2dsNn7SVSvGmYdO4wxJXbDeDNLRVSq
rgvq2BvmF8mzSuTAIrSS4TMa4+fG9qkFRwNzirhd0Xp3d6gY4o3UMOJGLj1Ot5/WAxR51vN1Ml82
867jUFwfjGxtyky54NsMLm0fIEWBWgSllHLktLSrppa3k3vJ5tEfrwbMgr5x8bJS286l996WxhoT
U7yad52gtPcNEA7izbk3tMMv8puIyJ50c24Uoej2Q+MSeVp9E8L9LBKEumml/OQOcOgrmprTg2F0
hishC/FiFIY39cAJN5kW/fMmXoLE3UbosL/8ynm1skF9k5Wlrcjvsw6xXvSnJhs1rKeQ0fWCVpWi
2u5S0ZTw5Jl9dgTm9JwK3OExVegXhWRAihoZ2cFesZN1MFXXUUFUaH4Im6jQePUUMuPYJtks6uqb
pnUINTSKleC7qMDyWzYggtN90xi3+SYc5yh1ar1RWaBix8zyvAOizwVdK/UBbXZyMWixQd823aU2
5YaHxLmcUWLCrx/LYMWVme2MoELiJbhsBXzri1qTRyakaN6HjIqmJo5lpzg708htUhAn2Sn6D4pC
oiVVyggOjl4G5/k+OaZIozCrvNcSKut8QZklhMcae8Obb+ukDGF1DUZgmvF8eU4XajWVUx4DIOX/
8NnUWnXDclIu5v+BIzV3mU2SvhEo4IpowAyRkaW9ImI3j0zIL2pDWrN0pH7qTabI2BbEGy1NlzPM
NRBnT7sja19fRXjFxwoJcm7aJZlyI5VDmyr1tGrXGPY3ld7i9J7qbI2hvw/CCHbJpPFTqyrdO3pb
L2ONIbO0lfFCGmtyiQTn33zxzE8A1YYJOkCQ1GienBoFWsRouJR8OBm6PrJfG4UbRprCF3Eq3qzt
G1T7Jw0GAXEHtYVoGDgtxn0bGZ0+WSwKxIotBstTy7SY5li6c8klfXLUqiRum4YBsr/harYwaEY7
IdlCA2OH1IBnJ5WMN7IZMlrkefvpu7GADN4r18Y2Jw0H4lWpvKlK/jx/B1lumfcWwHzkReVusDzo
4Hhcd54w3KNvo6xtIrV+bgvKIyE11Y86Mt8JT5h0Wq0NJtyimGwMpXNC1mNVJSiSaVCtJOYCpqnJ
FXOgvu3CQd8KtQrOMshXfdSKJzNgiqQTv7eZ6oHQlAr/XdfdesltO9yJqDOWZMhEq4oc67Pi4xtz
nX73mLHCs8QklsS/hlZvsIPjuNXVPrj83bgFHe1BaX/9PYTJal2GXXl0EtCp81Qt72ljigQKqs90
Zpk5YbcJZy/v9MifHw0ZnZQowsvG6dHnFUiJtoac17e3goo0hmmje1Epp7uqZj/XTh3vws6ploqF
j7d3kE8TAH6yTejC0x4ZZAR4dJjt2uoEOG/8WZuYsm1Qc/ssrsiez5R3k3jck4e1aGH2dsEnldoS
OQWWBZyWh75lQoR3XX0xeteBLFARY6Y4TwWr34UkyPHpMX+xKfxD0/rz0FkNvRquYvU/MbC9Jp1d
p9dbfeouZUz8t8Ctc3j27KomncOSsg8LqWJg1cRm+PfRaIyM/K3YRo2LwshWP5gBks1DVMj/Y+zM
lttG2mz7KhV13fgbSMwdXR3RnGdR1GTpBiHbMuYZienpzwLk+l1VcS76hiYAirJIAJn5fXuvDbZV
j6JthAT6y5BY2CzU4GtNdQWFnrPSG1e+aJb23MDH+0CMteyTgRxTLUOv7dAb0/FHn6nRFC8OxceR
4teTZVNYN023xB6hbD9FPI0v7v3K36Wcreek4d4zqevK6cEbdItclHY737piU6gr4RGUEwUV8o0K
w4jjTuUBH88zzT20X+gc6b0Yl3baCgm4vCYC5AP5W7Ryps35gB+5C/J+u3UQEzs2/zccWtWbeVOb
qsgT0YMqaXSXVhMkY1oNQa5Kzmkj3uYtk/srC2j0Sxnl643ij+3dr2dKNNXVycZdFXUEIbCwPTxT
45eceuDNb4OXoWmiJdddiRSPZ9SeGcanZ+G0T+n6n0fDlj8t64rP187751fMr81CKNVxb3/UlC52
pjPGa81NjBc9MqghJlBmu9y6zsqGqDMRfw7PnQ6WXiP6ezNPnEryajcq3YgkdsYpIwpQ7lTg9Nzh
TioEPtp2mO/nlza1LCmay5hrisBCT7TBMRyK+GgL8BeJwmpoYAHw1Da5skrxCl+AeDDupXBlArX+
aoZ1/dLr3IAnvf7QTkHhhRHvCRANSQUeH9wG4GXaBsk1qIb25JQZcT6qnT5XuXZQ0B2balPeCiOq
n2lR2YmrPCWh7j84lEPmvX4LitcZ5JOlieo56eLxhOSlXQztKJ9G4+JTgtjk46TOtlr7pjncQYmT
c77CfHiqozB5Al6jbKE6Kdt5s2+ip/kFjTtJqkzbJpOHH5/fqCu7EZH9BGNrna+9g9/Mdyp/4zoB
ckFN805KXyBLIW/lPXTdaz+GzWMW5PWhb5BRFsBL39EWAHDxgy8uFsSdreC2JNOvfDYDqlERmqWm
e9Wh2++JLaUtPG0qcfNIlEpzy5peXiSZkhAv2R949QCtoUxPA/XVJy2lSIZ0l8Krfy6n7q8chbI/
4LplRlzQ9RKoNfYyC+WuAkh2Mqx0m+SCzwYl3mq+PfaS+WClkJhoIC9ibdfchsQEMqSp8feWiBCh
Nh98thMJoG0erbAnbSjIm2UfqaCqGuobiXS9jXtA+ElbRfpV8wCQUD1lKVO1z23Fx/PgwREvZP+k
lAWlfGb/VzUYbFYaSnXKYk/Z88eaO5IArPMwMhkre/84zy2SvIquPoWXeQsHGe6vprWn/FJ0I0zS
O4FXwcqH6lbblbbjzHe23cgdrGDduGU6Zm9rp3X2wjCyS5/DvEo6RXvO9P6bhMjxIyLShcX7x4Cm
ZQGDJEi64KkzWkT2JYOP4Hs+VnZPVEaWkMicMxaNhlQ/3NdeNcZ1G5fKiVkAc1mpVveS2/EpIz1r
Vel69Z5q2r4jAuQ5xIC2o44KIxrKBZJUn8U9p4VGWvAkEAodE1mOKBhEmyR4pTlPMhaPJzWMaJWZ
5IjVGEAQM0aP+BinUCoj+A6XFd56WJNGoj/5JgVPs8RSAt60XxgNHb6QvkaDXkzCiTnS2a9hj7BJ
KaBfeYjc9iR1NWg3CLaVHnw3TD39zprmWppJjau0kO3M0455Xzk8Oy5EhyA3k42mOtGt69Vxb+A9
XcyysnlfVZZvRZig88vww7c0UoI19A2NphfbcEYnSduk2ZdZ8WV2FUnRBHunU3ZKoOF9qtJJDiam
xBwmMRKQW75siuRYltZwIYhIoTvllgewPRjuZPpctCok9KjUNzYk+VcdaFBeF/1dHrmTaJnJWVw6
xnZWBMOBW4Ot8Z4sa8pesOnu+oDr8zq7T+1YubdKIU9IS27VBMWZH6RR4R1PvEsPduqZE+ic0Rz+
mjksWUM/KbDZGvYxMBVQJJmbnpR0IPKly92FQBg1ZZGqNz2IclyWsPPKWLvRRNZucYzqCFEvHjy3
fIsf5hkq8+d8W5yT21j440aksf6S6ZAYvdhRSchqmm3TB/Q+sGoOW8IhAw0ZTuGcyChGAZRmRCdH
4aQY3JGOWJ44leiHNJVSHxBrPzEHQa44FMMlbpjz+b1j7wy8FNcoFqAPfYbWLhfJgaz6/OIX+peg
Db1Fq8f28/wD6A/tZ1Zi3oIWnLPQi964CyaKkB+l33RqWEu71Zs7J26osdbBphp96wSkWV3TN0uX
lus+STvqz0Q7t4+N8lBBq3yKmPkd8jBrT4lv3OuFUx357+CAgZHUripUFat0ju6mM7pkNtrdl+I9
1T14V72vHOb5jwGsozFRJoeCASkm/2xlJ4EBf8PZik5HG2qr9VbzvVtYMTsXDkmJUY5gaGynLG69
A0GJwnGl9WH5KgtACl4r0rtkGkn9WDsXKTKL+zJMJv1J0na4udBWml3xHoeWfjJr8j4IYgx2bWdB
3cztp5i59C6vSSWbn4XUQHAz2OW2xdW2DXC9vCFoyWW3dEcjgL6p/jwkFe4WFQI/Zonz/Q1gXgzp
S5fXNveDgyI0AS5siB8hwgXxwcxuqRiHu0RJMlQVPdjmUX2z0ROfDSSSu9E1bwRnpjsH/fACGY32
lFvlh1/G8sMUdKjMWv86ZrQvCWYv7mP4jDub2UhNpNYWqWhxr+YorlXSt7+LcZXnuvW9V5C1CX9w
ENiiR48hbOXwmNcq+NL36gNIVPFOpKC/EWPX7YWc0Mutlx1CHS6mXaTZuzSgKE8NgTwyNqgx32gy
D7fUaIlaA0dDGIw7fAlQSeZ1pzwKEzGlNYzP6GvrU1RrCO+nEkJRMXdmqJJnF1IaaV4ma0EbzaWN
bXATduCMl0TOPDlat6POpl5U4TrnYgDZgAEp/FomqFdz9b4RUn/IShmusfsZOzm1pkTbXAxuXjfD
QQmeptY9w2awxPqYH+bVe6JQq8RMFhtMeFsdP1FsdjG2EAqZkzsrRYKBCwAWVkbYNHDc8VnxO5+M
wUp9znyUhUr+zmeOVtgaSSfRUYG3Gh7rwjWjm2ZOVS1xb41JfNP0yjskPYWCMmQimTmUWBOxpC4+
cQut5AvrOP8Ye8WzqybmCWEA8+GpT5jVBC1HiClIEfGfSqps58ojyRrow8pQ7dNcEXAhnlFsrC5F
XzW3YuS2Zo2iWzFbZ07fu9x9qT6AjzAHijnFqO6y1EPq2mvuNJR6n59XxaWuIAa8ub5V3GuF/pAr
rnofdfHNEjV3X0IjNqEMcTIk9ofap/61cjLz5nneGR/kq59Os+ISExfLj9e4pCwQx6Z+lfT5F6VA
TJIiLcLJx7KzCEkrgcjrwtadFqVwJHBlZ8qxTu5lV+l3jXTQHvGtPiGpA3PvGMZXmdiUK6vsba4U
gq2814Ka7A1Snu68ytO3bZgGxzRBdt0NSb2V3hBcDQFwv29JJiqBqG1E1KePzCsoTPp4IOdNSmr8
V3WoMRYgv3klJ3Re+2tTnTaNqk6h7BjuVo6NAmjeIyoWk996PplCqsSUV11wWI22//zQNcF8b8wH
ZTsbdeoR35pP5OPs3akYSwo/h0I/pXoVU46L3apERyumxFky7VRxxdNKKMiQnDaFYkV3lIbPlV54
PytFUDzJVheHeSlmFF18qklwKwhLuCpl9MQHqzyTfiMOrUcuXmniK/IliZNO0n6l2oVNZFSrh6ao
1UszJieDWWixbAWZZLWlZgfKwNWDz1zqICrokCrJ8gLl9KWkTmBDnApTWOvxsPvcJiMMYQxRVcvC
JNYnksjRBTAPY1Nl8HaAlOgHj0HWwH2FlKNI1kquGA+icJSLT4iWC1R0XgB+PsQKS0E7fbUUe2ps
sTCc149O3nub1MXpOPZwFAhdSjYhtrBQNrDGpOvaKK4o7sU2gbJ6GDqvNAZ3dhhC4Z9UhMLmqnZb
G+Njuw4yuvjcQakc2ESB1klt7YNErVbzLcTPqTIkQVgc6+mOorUq998ouyHxpNbrlWiaIkvuHKP2
VnOxvrdpqnUkUe9b1+6vdqN/z4NhKa3afKFj6+wiFNybz0oII0dQBs7Rq8cMxQKaYjKAjN0seQ/T
x4FTegWRxXwuDdJCMsvV9vNmTScGjN9U2RGh9VwF5rpS5bEw+/CgMU0/C26KPSLUdVExHoQNQVRG
yK3C4QRHSasYOfaMKksOc/3LHVCvQAs9zlvaVA1z4BuvPFyqwBSNwzz9mR+A2h7aoqgu8xbBcc1h
ZFUEhj5pGD2ZKkWanlOoVdW7PPV6MuGrcl/WmrKvKv3BUKeG5yTf67Kaq8vxXmKvThEKlACqpt5M
GSkQn+kP31tQ1g50JvCdTZvzA/IsgzhAgHHGQGCwK+jzzZdSUg/niPzvy+dl1rn8ZsvKPg/Or5A0
9G16I5d5y49ZXAySRIVwpCerigxrXR8Qu9GxKKroTco1Eruj19OmEOXPk28+A3NsTvRjxwwFxp/V
C7JwMZIQ3BGrmNzMNHOXQeP4t4RskZNdAJ9EoHubd/ltLbe0p/jqp1fMBwwlU1E4jfl23jc/oI64
GhhnodwWCfBP0bi7FBheXwo6mMDJViPeTJ0otdS7kAmWHTn9DgrGKZZsDvEhLWkzHQ2eJ0DjGOWA
uz1lKlaUuYHWDsZ5rnVPCjMxRNXRhCeMY7B8N10B3HaykKC+SlZhFXmHtg/kS8b4IUvyEsLMuc3C
/zTrjl5F84BLqX10K5NppK43a5iKD3YLcJg5L5JA6DQ5tBmU1+CZD6lnjbvSqpDMU8aGVjk9RK38
+awGmrYHyI9x0ttWnuiQizMSz2Zpl8iOw2h2z2GdljuHdJFFmXf9+bN7Opnl52eiTG+qT5fKZEL4
uStMCJkdWaytG6MUl+l/BRXXu2YzichsvKtatOtGuOFl3j8/KIoWsgJlBltoHkCQkBaEqoUuxX3x
HMS5sqdRqX5V8r7dEp6OzDDqk9f5GXEV6eezz32COy+FmoWaVfW9GVLlrpnsbXBuhV+wIu9LXat2
tHhUtI7tVhky+TqGrjdJoYdTJqr2rNuOXMVGra7MuES54I1veobDYr6htxEaGNjdrOmS+7BAwtnZ
h1TznEMnTf0sp4f5GSae9GwV28+NPjLO4IEIIgqRuInZPRsahUsYBy7LuZpXDfGbXXX52XTyZgub
u12TBkh7ZtTMFYW/gn69rj4PlmsvvLwxj1HvKKe0qDRKC4RIDIl8HqNO3+thzR1iKioFmUl9R0dl
n1Po91Al7lqL7lZQBx4ugq9V61DIx0KDn8Z390Z4x425eDERvLt0Tz5t+lZi3Y9j4t+6Sm6Iw9OO
HVO1ciMGRoVafWclQFSIywIphh6w0Bob8fD0YLCAPs6bwEw5y3ob5sXUr+2z+M2PjHjjuiWqdYE9
FOwsocXTm6t0C4+yld2+pcPza5fuEso4L4TV0sJgN037kJnr+y6kIjhP/OZ9XeyQkQq4AjEOeWMY
hqSf6/s0LKJLmxCZSuVIBexnGQfPxCzfk6a9+GzQzdvcuKjUqnxVWRCYO83Vx5Np+xHFXHoadsKY
kw5dfTDypLuYkLKrde018dI3UR+WTXeFAZacETpfnSHRz0ZrLP8ywaXLGG3Ga9WTtBaELgyVqQc1
F3jnZ5mjD9gkUN2I6WEguXplqu6k/Som9U9a+ixivNB+wEMrnhx7ciea7oOZqfrTWPzcyqeWkqG2
/cnKv9O5grxg2/5F88cMMBGbzFLu0kGzb+q0hEtz84gbwHvQ89I/xBnCwsybgJFl5GzRpVTLuOrE
2ktGLCStmALQ1NDcaImCkcLKNSZ6KZ40Q1o/tx3mLRuzMNulJmPn6qQs+FLFk6uemuZ13gfvs9ur
lFKIBZv25X7PnB54pBrlaNYZMvlIb8ZYYmk2VH8XK+7PZ12nfDg0KHZ0g+oVJUH3NaAZrWUEGDBx
aO/8qDgWnZG/D6ntMF6G40PojPBhBtluFKSy1CFa9Q7BK1KBUqBeNeA9J651jdMYNSZab0KUrMgk
NKhElS2jDfJB+DZtQRoS8pKjOz3Mm/PDGNbQ8UfvCtS2O7mN18KV5hmpmZCbCr0/ehl2VXYHat+d
FM9GVDKzMxRCMOKaIG21RNOfezWZKP9+aGJdOYeA0U4N3SbCJKFFTvi7rOgBzyNnBvitrT7vvFaQ
n0ZqbZ8TLqxBjLEqNrF5ytWQn7sbJkEh83ttiYLMOswSmlJjQqCxmjMI9ruvyaebd8dtxmqNVYYr
h/ehZF2i2Ll2X3B+LXPHwURo9ur9fMCaSHlG2dj7X/t6a7waji+pVBLkhsBILPPeru50yHSLMNK8
AwqIehnnRCqSL6e/BB4d5jjtHhmMmquVkmY77a5IQ8blgyMcYfVGZzR9gcC7FyACvjYmBaNBd/wr
cygbuU9mr1D/xF/rGvUQQ2gQoYDq4cI4E1zEYXW7LXPpHCprus07U4GS9NcHRS+5m1qD8240PpG6
uMIsmpVOSjRS0PU0t02D1nNMcHhfsgT0DVzgehlfNXtqBOmZAoaHmX2NA/Z7Hj8GTSM+aDCi8UyD
CnVwYa2thiI05JziVLJEW5Pw1T3R3Zw8hK74GNtX4Cn+d6E52FaK+ouXsupO6GRic4rHe53Q4nVg
sJzt6a5suYrckzdaYtdAYjzQne0PwFmUHWGiPSJlq9xGHkEPLMUcmh99cm+3rO6CephGM+2e7jWA
z6BWXytd0NWOmw83IjsTRE6wMADFo6cTH2lSPhMH4LyqoUdFjE7wY+g0YpV5bnCleoZKgsnryYag
d8BwLXZ2e85yxTsqEZLAYSiM0/yMabh+8gkN2s7Pfu0L/77Pj03rQDGTHNw+27dUsHZmZPWXobeJ
sxm19Cmgw40YwIu/AV+nUdJDgRyBy/hxr31l0dsvhNLnd6Vu3UX48VZoyto7PaIhrtu4Wbho3AP1
cn8HXsQhQxpI/BC4wV2J4XgwccQ7ddMfKHUBGLaZp3aIWzj/VdxCOI2awvVvasmpC50h/ez7serp
lFC5//23//yf//7W/5f/kV/zZGCV+Vsm0ys1uqb+43dT//234nP3/jubJhxJbMKObZiGIAjFMDj+
7f0WQn/+43ftP0wAyZXV4sMy7AYsgJL09xA8iS4gZvxNt4yzS2n+hxDkA0lRf7McgjZc0y8ezY7F
iVMQPhWUXbNK24zN0M4e2yqARGSm9TeaAivZl8kqkH5xtmhAE2YlqXIkqn2XK+ME427q97rEulnn
JQOsgRmKilS31KcFHsSe5j3PBTRV3/tAlnjtwyiiNezXI8IzMNsO/vlPC3mEfA+t9p+bAOr1Y49E
5/OoadeYN2fHcpp3cOgnhdYs02pDkP0o7Rbz5/qff/tg6/mD/kb8CWpxShV/3/yf7Ud+eU8/6v+e
furfr/rHi1YP//v424+8+u38sHn85yv/9oO8/c9fv3pv3v+2QZpt2Az38qMabh+1TJo/z4Dplf/X
g799zO/yOBQff/yO+Thrpnfzwzz7/eeh6Yxx3b+cYNPb/zw2/aV//L6V781H+p68//NHPuAV/vG7
4jj/Ehq5BI6tOhAKVJfTrfuYD7niX2Cx6OHRArKBoVicqRl4+IDT0P6Xo1kWKTeg0V1V1fk/1Lmc
D+n/svXp9SbMWo01tPn7n3/7z7P/81v5/18NFJb/cT0AtbEt/h82/zkoQ45j/v16iLs0bvUxi7cE
RZAiXKDTL9Vmh3vgprg/Ui9NFirF2l0KYAXjJ7RgJ9lTN3hiRebssXtcIl/eWVZ1Cd+IOA/39C7v
vOTSe3SYBvoPcfoVWPODM8HHKGq+Akj1nZcMXxW+7WyRxs1zlGUIgDNa6dwa1orXBCtgk3RxW6gi
jElru9cPuQWsweic1ch4Hz/DhP5IUjzWwtsE0linASE0eQ+9HVYAxQgwmFUOlpoAUBqE2AH8fJcQ
4bdwiYMjDMgL8J2YWwo8j9Zg4vN6iODGLmJZo9TWNBrOzfidqcAOlqVhZd/yznqLQ69bITwU6CwV
BQxf492cwqfB00RElqbJi+rXx9Kizw+nbFsIwl5AV38dQmvBkm3JGhzgvzHcYP0AblINpK2Mj4ZN
IRVJ7kr6er5G11XjW1SOoPM/pCX3XgGElMi4HW2j70pW28vEGlm8RuYNru4CattrmLcvHhXaBaWz
mxzUvaz1CwVi887IWPRq8CjHELp+0Ko/gFwffSray6ZTHw3KH4CG2jgkdUo636W+ETbyUuKWuj2a
inOmCtJCrElv8owCZYc2TTtlFh8A03B8LrinV35LvYBQr/JampDcI2cX1Ib9QxPRJrGbtSX7eFsr
Sb6jExQvCyvWVrJUiRxSX3MJoNyqDQV3J4pi8ompENcZuKtCq5aa2zV7xXEp+IPHXxQnC4sGQWH9
UaGL54U091FkWxQvFyD03Kegg8SfezD/UzGc+0QA2azLL81jO9lWas39koAdXQVW+9K3/lHBwhmF
KLPbtFY25tpHQwZhjt5D1OxZ1mOyLmGfdGlxC8lFBLgpdG3bZd8NZ+kC/Os7fQmCazti/DpRzF97
BaDzKHR3XUlYqIqSy47etIRgUqtl4moH+8Br61Xlmky6cfS5vf5AO6KdOu3hEmPypc8g6QbXERZe
na9Y4N1VuKxrw6QBMy5LPEKmPhLbAq2lYwZ0oW5jrsYNHXxPRdWDH5xsH0G8Xj8SJWswoSCAKldZ
P4W6+z2tmm1dBTdPRnuK7tpBBxsWGGG1LrXoVfUI5Cq9GLNWfC2BZT2YVniSZoUFRDpbxyK1rTX6
HTXh7GAUCtIB9cGplopoqJ001MzDc2tURM9FJIyWBMFkYOaxw9yFjpIuTZgHkdUtrboAahC1BDDq
sbtkoElObXQLmyhb8FbpypdhSG5T9eoFYwCGgJV9UGpbgYZwZRTjS1o0q4CTd0X0q6KLZmf52hT2
VNwgzZOyVTkSz0Ed3Veaj7GZZDFst+aRPLRhabEGhSTZJgByKPpGtZ/SmbEi8K4IYmknVAuy+NDZ
Z3a/gxWwMEyAXjZ8tdM5btp3bcwf6qTf22q28ez0W1KMW8tsi52wwwOCwu9tQg8UMTxdF9xlju6T
9hHKtZDu+wgAgNgnI9xrLZZyPKj9WlRUXHytAPHiRdTRYDlScdyGgpoSs3JvhT9d7qK03TpyuLN8
/9mzXOZiXGykbRQwfjwNv4Ur1yX4Nn8IbjgoMfXh/qWJYByquKUMXdo5pjz/hNW6XXv0y7e6MezD
iDJ9kpBokLnxx9A737gPEVfmY5nMGu70TqwRijewKCUmAatA3K/6BCFWrKANMcYMyhFxo6PHTa4r
iM6U6gF3OJRPZzz7enBuajU+m4HWXoJQWWtAgO6LMB8WA2DxvWQ82lHQgPTteTryzmTRcDsn5Ll/
batUo5/gK9dCjfXtUITZRnP8Bwla9JykOcqX3ropk7Q5jEduukqBT7vfhELhrHDJyqOG9QOZKHFO
FBTp3e4wg0dfCJ0cjgiPDTcm9LwXJH4zM+Y7CSkcNZZ+7JzOeyyraqW5WApgcnxktnbpAYtStusI
wAsGhSVLkr0wTsIz1lW0mFWSrAbprSxNh44hTfoQvaAnZsnNWFjVic+ZjHCiHjGLATZKcUW0pP6Q
WKS2W2qwSzMySS5UKyQGqiYQ4pm0i7TGZfmQPOIecj8ogpHnlb8NnVPc4qASK6+OWQPUJjLN0OBm
oIhnz1TDUyrImxrj5ACx7TEsfgQEZ3JfiOgvAP7vVdms1Ag7E5e6kgTZui/cNRTUDa2w+xFn5UIA
fFyHSXzwsm5rpeWhJ7QYlp+x7mhUluo5s+K97jUZIYZRxaBXkiMZ6IxdATAfPqOyKSmTaKRApu6D
T6C9WYl07Uv9WQ4Q1u+8KDsEChbcob3VLWBeWm0k3mDF4bZmcyKAXy5iJB+2qAFImw6wJ6K99Uzo
xwE0C82NoD9NmeKmhzslsmLnOea+uW5Y2CIRiVYzLcP1GZW1/A0jItRbFWW6N1B3nC3bAsgTsSFT
rJYkJBb/8K0N4ocGIchlTLp30jv0deyiExspHe0Gn2TORMf/n5bO8JA4/rOWpdeW6/xsYpvbJbEv
sVJQonOrbR0wrCuj4h2AoYIFHH14VP6pGNqGwn51Huwh2oGzn0i4ebKq6S1vGbPsVaTgrskr+iNt
6HRbmYOjD7wtyDcdlm363OtRuUZCIRaK1b9Wbcd0TY7cFwsom7p/EW6n7WBrvAeoB49OaI5ofkMU
aBV3FupajzrtLaJa2vqSNKRfVFXV7htfJ9yPlvbCZoFyVKT+TQmLqduDEWNSAlv2gNQk/DFa2otd
jXJPUvJGaR3quOiPCVYEmDP1kypBmlSrkRhi6GaxcT0g66KBuWv2Y/+eDQD31Vbp7r0y9k8aowr3
efNGKlBzxpJoXmWIrnPoNlZHiHdWVHDAagacpPLDIxfoI9cOJoUUwacflW/MGo1T7rv6zhk1nLHR
nuqog7h/EpRSioiOZssAy2e91DWDkPtBwXQ9BJfMUN/DIrhUsoNA0cePCQHB+NQxGLvR1dTsDuN+
cK7KNFwnBhLFECzZkDZbg2pbE1pHN9a2hRtwnjgrP8DZVxVPqlndFbo4aHpC9yu215lr0l39wpyk
XhYZcypiuHZA8M9FqUDcK7/mBCHbFpbZxIKNHgO1ZbFdL7zRZWrk3PWWuAsDZxFFxtdU46ohrURf
q6O+Eq1KllZBLEJegi5qBBZMu3qQXv1IKXUXj3AaWm1HSluzVCHhqnhvCxq5FIhIiI24KmqiccY8
f02yKMdPVuLRaNTHUOYfHXKrRaOX1Va2zX1cDvKEX15uKa09j5UVnBDMnvoma7Zh8OhAGmH9yYOb
az4Op0YmXGJRvPrLzvlpkBudR1OIl/7l6edPVSP/R6GThvzrRZ9H/vn63Av5LUIP5WF0vs9HP3cV
qBH/+sZ/2Tu/qhoie4+QH6kRRq5yeojcAAnSv5+N2fjXff94SQj2JFnMP/Lr5+bXzO8wCpVZ2T9+
Zn7h/Lb/p8OdlpdwniJA0ibhM3MQSDzm3G+bObpmevh1ZN5HxqUy+t6+mryOizk/5Ncr5mfzPpkY
LiEVS5e6SEwGG+nxFPa/zb9hfshFG46MR/wGaw4I4Zacr5jidAs0kySbgKv7XlYF0D6H/Jqm9XMy
yCRGXEW8ISAp9u2UHjK/gVT+TDHxXOulRa9IfDcX35we46Z9epifzbEyuecTKJ3rAGAUXaPXy4OR
ueEGU8rL/KvSysMxZ0jw7dMvnUNP5gOkRyDaVBpa+H1VHALM2lwIdkGekOkSzuJPYSvzs/m4GA2O
zzvnbZtyy046DLvTi//yFvP2X97n13E81P0eXbW3Lq2W0UmSbUT2LmFRVXcQo08gBbR4gumnD6Bx
tGBcJoVtL4dShb48faVIgzieTR/zvD0/qwCyrjCiY9qbXjM/UOudVPSBtkrnr8PIHW2lty4L5UG0
0EtX82cwP4TTN/Jrc/6YCpL+EpQEMEaAxU4f3PwwH/u1Of8QEJefR4txGhnm7fnI/MJIG0gb0y6e
pa88P/DWiUJmeKrLDe3RcJnCTx2mKEGsbW5Tn6w4PXeld2doqI+1HV7iU4lOW4XQK2yHGIRhx1py
p3osZWJlY7v6KmN8HbIzA/gloFcY5NpNk/WuyvKraopjFj7bhN3Fqru1kTkVgb8v6DpE9yqVryoc
dq6K+8PxAHA1u8asNo0x+fysbaV2G1gwOI4A0JH52K65Dd5VBjI88cPPftRjuEkNfz+YYmWa/HVd
dyl8Z9sSzM0XuR0CuUETubGZz2UyWpMALcDAJfyxxjqpBjJIFl7UrAFBdKC5yYiSPo4ZBZBr+Wq4
5n3bfyEEhkyHfAfT56RLe4MId0uBYZWR/msZgKvc4rizoubYR/W1kUwEdZhoqrG304g/ghVM9oIt
82DL+tjp5g7L5EGlEJwbDqFlqGIbsfMi7VufDlDXjNcuDID5veuy32PsP2kivjCg3cl0ZEXQH9va
4Pq291FhgErq1vAdTkAsdtogdlXeM1HtN7KJDyResSS4tC1DCW4QLb6pnbJR6px5gH3zRuepTfN7
JyX8KSh3kvUj6NT2gXnwOU7Hu+kPMPpnDHf0T3YjAX/wPfZ52n3EifZg6fpT5UJpC9UrqSgAj1iB
kVxNaPKN6twx0/XvgG9gVPnHJJb8m5FiIs+TechqAKDY2lU6GzUP9n1TbtWOc5I+ma2vG4oxoC5T
NCli3ACSa/UDyuVTojT7RBFb/HiQSfwdbc+VpzcHuymQDhHJOEZrCy61oYVbQS9r6C+lFR3DSOyM
FMUIcI/S7e89UVzg5x00JzmMSoaHk99ujEfnxWnibc4sILPsg2K+BNmwiRTcfg4ystTcNKp91Gv9
IbbqfZ4XW3QlC7TpR1Y850F/Ig+NhFBxbHz1WsbjnYwi0mks/lixbmDQZe9B2G0jshcInFqjtvDc
cWX1fDFqvWTa6LrKbjS8gzQJH3QytFQJvRdAFTI8x455zO3HwRjuyKwmRtre6jHlhhr5dRK8ABq0
VW41zZDspSGOsSEORV6dwFhsHPs1U/QV1yAMaAN1d2yNh6qjFqBgnLWPrVnv4IPccmHvY/ls9F/F
oO/pip/skJYY3Oug4OZTy5U/LH06vWVZX9XM554ZQirTL23GcOdY+8Z7iqt0r3YOlwFTzX6ADU91
r20O9NnR68DJtm+RRMFitfsx8t960V5oLF4oHxx451ezT26sqBc6fT+PKiCTlyWBS/dK7RyQQuLz
cFZN5BP7qG4A3e+Kat8aMMexaptaeXGq5lktnKNa2micjQPSYZIVjEMDjZx8wQfpy93YZcy1dgVV
FavgbpX5/4+9M1tuHMmy7RehzDEDryQGzhQlUkO8wEIRSszzjK/vBXW3VWZ2WZXZfb4vNEWEQuIA
uB8/Z++1YY2WHEr7JzILL2kx/jSjPwhZJ/movMlle0Ahy1u7Iyxwj6z7FvXDR522R4VER7mWnKpT
+AniFe0FoKkJm684QwDaNhZNPbl8zgTR5dF8KxP9zc6LD9IROfAHu66c38SQ+rQtwRKJbdWVe6wA
R3zru0zQoZtoOYIytLqr1EAKBDlhBr+iaXi18u7BuWEH3t6Hg3woZEhI+j6yGH2O83kwQ+yL+h5J
YAwaogg5Y43YiTJ1n+rLwcZDYCTafZWwKTk16XKaAt5iUTwqDgcpHRhbX5DocdRQuJIk+Wkd3gUy
w6DKcGbutwwrfZbb51jqbn1cuGlvbFQ1YZKSXiBgXr/tMbb6FMjW6xAEdw3cuBkWu3LpdhDSyWML
zkMq3XWw64yvzzViSyZwztLT9OikPUBhF/GGR2DlioJLz3OwNZ5NEe3KLjqU0vRURwONUXkfFQQH
FNaFeMXdkjGuiVo/D2hI6jtistyVIVwv0yXhOotl69IH8RnRKNGauj9ibyj1+DyOkDawK4IgQJOI
1YI4Vs8krVHHA0hIR/Ss1q8xou+WsTnTKFcg6tOUcEfQyE4sED5U+5RNH1Iz7Mb8VgfLoVIsPxgW
9ifhfV/iavo6x9E1q5ptm4G4Dl0uSYwBPasMGawDnB+58xYBaIurIIB2JZLF0VtmnRGBy6Y769Oe
RjqgruK5jIe9Wgp/1A1Hl9p995Jk+i4p8q3Avl1iWc/Dwg3cMu+OYwv0ZTwK3XyuI+1sGKNf2t0u
Jf6hCmBr6u1BJmR+GvJTVoRemsYHjaDJpAvedVv7rYXpuxGZh6At9mKaCPAlN04mOd7Mn+F/PxI6
iqmlecKqz0WG7O1YJ3eh+wRKA4y9WZ9mgxXuii/JknAvunp1WmCOy92P2kYc49NOU8yLRri2oSrX
wn7WMbC2sgy723hO7fJGauI9nsI9cVEcSRRHTi4qqvZV3aNFlPFrx3WIHpVVvpUQGSDYwNVSTnq8
HHRLWgVkZxQNa4Qv0rG8XVkI27IwXVPk/ijhJQQwIKOYwzPkRXrJlYzMP1ZcnrGpVT+spbiGNUmk
WewXKS1ECdvItA+oJgJf78pTrOtuB17JcGsYUyitINA9y8RgByolJtpUQ42vuvbckBaxwBmrytTN
Us0nQ9odlcyNJNR67bTnPLYzBJMF3ak1OpcRq36Xn0TwlKWA3lNCAIx9OVTPKoPwMM9QDLzYjfWF
QlTr9KvUigMgI89qLIc8CAUuVoDnciIzOBIbO298C3xUm09HGtNzPrMAL9sRWUNQsAUo+6Kfz1Wj
Heqx+miD+ien5kyD0UTZxURyZTm2275e1/DZndnRoNsAxwwPUVGsopu9qCUs7QQzm7cUaCNEtX1f
kS5KiEE27QgF8oMYlCmlW2DBW8YYWGfoqzE+FhrlV0iiJItdXzqyUu3spd0WxSdgNSfBpZrTPTcU
3VFhlgF99pV8dGyLnJRseSIq23S6Sr8ZrTiazGhKPdgjnWMr4uAMxjDM/cBsn/QoPeLO2kszvqxk
eTakcr/Ir0naHKCk+Gk/32NjORkWjVn6mAZ54GoijpGUHhrNphGg79dIHXUxPezVLh0w2syXYNFO
WvdWdJDo1JD1KOUsMULmUclWIXmULncgTbgXDBZ21pTmZhakJdZ0sZtgi4eBKQ7wtO6KkMsjWNST
onnHFMMNCHVlju4rBmnjEst3+jLl5HFLwR754DmrKb4jpNREw+Af8vWgQOYHNaTk7o8eS9ldJ616
R9HyYgUm/U7o8BXaVxNUV/+jVQZn0Ea348BTsy82oycF80GPsJtZsSvBbzBZOWTMZZYuP5pk9TMw
EV9wDtXBrnyXlX4PYnanaGje1T/o5jmqwDeYRCQZzohJwSKH04kfyCglPIiQWyV10iJl+xx9yJow
h33kt5gNyGMoQ38yS2e0R/LUmJmR/7dKYGjhuCtDadFxcdqLmyc2kV+VV/dPGb38PK2RHUuOjlpI
WAhjrNHryQXQO5RzeeykEJJUGYBLn7sDQCNaGlgxX4dpcVf1kRSS5tYRG1pgjUgmhyxBriTjREzc
EbsYAW3+QHJ22pGpLYQnFpPqlWifafSakT2qLXzyIf24BEMjY5F9ZAlnFEs+YOegbd37Pam3ukqN
3+5Zvmn2Bk5QkD04HToUzt0w+Isq3MIi9HwipYkXTsKaN+JlUcqPVKlcdVJd0zpi/sEbK9y0qNxA
t+GRbwZ0C6zHBzqV3sR8TQMjZ/AEo6w6yNC1QwvpMwZ0nJNEEnitChZMW7z1ZWeTxuABQ67oDvlX
POZe0F4DG+yzovqkvFaA1xHA7yJpeInk6L0sabNW4lpj7l2pxGXFKs6psQKxX8+qGwzU6u3kTXLn
ZnrL68C5N4PdNr0arEXcNpuhZY6WSKc+54BDGHIwmI7EkLFHRTnXma/Z57npcPkVTzLrc6AtV1Mk
/pA2vpqZp2Bu/Uy/k3H0GQTLK4Lbg2iatyp/6tfjkVBfMgr4vqOvbfeHQMxXFNbbyWjoU2pX+OnX
MDaejEhyihplecINlCTnEtihPlXYjCOW9vaoqeoPLAl7Avzonzey6gc6iOIp8SVb9Zk4b6aA7O+B
Iioy/HRclzHDocO/Iyr0DPqPnkbmIL/3Mb6iF0d5mKCFVmNAJUQfFiGh90e5Kd2hjs865LVMxlYs
y4wFDLesB7+1W58jUBQru0Fp/ErrdlWbIvFpoMkozjIjBw9DHyOGj4CFg4vxTC9gRz4Fu1qM2AUZ
azTfNahysiy8HktID2u8aO1NPv4ITNVPFb9f0YhMDRRDvRB47xfSuV80J8l+WAq6UDaspde8DodT
XNQoFenKKOpOy5ACFKWXVHRQm8ldP7wcjwnIG5IyQIdXCFD4yeba3hn6QzzQo5WewkoBKwJ5vu9c
FKRYKgpfptIPRtTT380fcJzJtmoZIZYg2djLvzOfoT8J9/vL74fvNOjCKCzHalTEj2UKTWTJc77/
+5++c6MjKZAW14DFzd4t6m2vlSWjuTBW/Hk0/e/2x9+6If/8u3/VRYmH6Gfb80QkS6HyZlhPoGEr
GMqlPxpFSfd4sTb/bK3U9OW3achCqQ+0kuS52lPSTH6Lg36Q4GL8d4dNa9cI4O/Wjd1H56QEhv79
Q74fvv9+0Dm8G2bROKKU3E6vJsZK+gUGFPd104ID6PLxHb4iAkyzWs7jkBiPcJqBS9XDe1Ta1n4s
M4yNWBZusHRf8zIAojNTEqmVaN+QelK2BadlROrZS3F9LAMQ67kxNO8xAP5tFhbos9c/RgyPSMeR
X2uQv2dQNTo3gM3fJ7aFcjfLcJbxbV2o+cYU+FoF0wwxfu814srBWr4uY/eBE8bC0yiDqAksQhCp
obyJKdS7uRj+3Fj7iNPg1QzG+CERzGZW+rIzW6V0M7k29+2w7O2KswU0O/U5bTPqFSN2unAM9oMl
0q1BwtypSoY9CYjjiyiK7CkLq88YpTuIT5ubAqGtr+baxBZ30fUy9eg2pr5MlyLDfEB6aGTc5Dp/
SfE4u+DaO8WQvXSapLs6d1/KOLfnSIb+muu538hB8JGZIIYghL6OmSXwN+F8nvLBZOKOAjjguNrJ
ldMpwanXNOpUbDIGr5uFDxsDhEVao+mvdH5FsbYNbWZV0HKQpBxKZGDhaQYJ0WIV25OJS6eg4Lyz
dkq3Q+kGMsPTq2WhRXA7GXeq5M3jSQdHHnDGQT1H6GqCq2bZlhJbj8aCYSt+WBU+ptsXrI2eMMXB
Fh3zS173oO8xXT6lVUGrbN7PzXlAkZE1yXGpsdavspxkcbW+AxBYeh3qg0Jn6mdq23W5qmoMacmN
bBkGx+BzsnHfZ4WTDVwLtuSVcDONrN/L+KkUG01pG7mi2bWVAtm2deeeckXe2RPHtaJwCQB1wgXn
kakexjbaIfLdxKblLqLxBmYqNGtpBc67fGh988vgNM5s5VKOrwH3N6nTTxYhkgUCRXP1PTG8LVPb
M+CQFk3oJCLfRFK8n3CZ9sABCFLTummn1mDptbbZpbK9bQsmwZjrIlbIbfGjzvE0I1j4oapPNDn0
jzzAMcg4eKY3doDzqYqVrrklczOU6QLGuKpIPiFqUFaOlXoGRcZHe5Bmd2IeGzMcjTwtp8nmlVbi
iXsCJia6N8YTz4W3oSVGwX5XmjsbYk3BMtJEk4D39S9dwcouvwOWQMGCODEsN5lhet1M6uP8mwnr
NpMiR9F+8pX8oJYGaZtJl1F7KKBkEXo14ZvOfXXA4rOrlvY4CwvLxuyoJcGjvSFtFKdKuu2CK00j
pnaeuv1UabAo5gN96z84UKkALuSTotqP7DKq1knXJD+truBFXHyy79RI9FdWJ1C7aVFXtMGjk68V
e0xnWxuzeQKQvOksZFH5jyqdNtlOH/F7lu8lb+Za5kdpzJuKtV5SOAVqBM+lJCkAWugSaEZMr1Ca
NStKFyevK2WaYyU9LuKFCat6NvL3UIG4BeVbM38IapVyOKZty8mABAIcAz2nUBV9ZBGbd2tW9nnY
HK1lOlhGfZtJJl0iczckSMyiuXdLurKWtodPtRFzTgGnnm2jvGulyoE7c3Us1Hifb6Ey7kR7LDUi
AMjLIeaDCV+6t3P7LWlkmq7TMZ66c1TOu2arWJ1jhLZnT8PGHMuNwcmYTFoD+NUuoeQztk20i9HI
MEPPF07X8YZohaH/rAjwU/yueUV4LxMVzq0tk3qM5WywiNFBByDuqD1C2d5UF1O6BLivl/ySGQ4K
sviXkW7Hl2raSqOrVTud4FD1KBHRHTp99sB0aCUfQ/qVcH/gHXSrIvdVXb8WCJ8LaIMk9YEopDUz
2imuksoh3+o+U6MnXQaR46EO4yFuuXFF4CHk8oZOYUqibaLw2kwLMGrrBJ+hosIYJDLt49hfWw0Q
WIhykaD3MzhJjcsAkUT/0ImgbRbWMIRJcHYV4xwqYCVHay8IcrDj+udh1MSDTLwfqDGZj7YXzBgX
oopOpUYccL4p2C2GvnkBj7oBVotRrYK3WDhw/Qh1G5HM6FzNyQWk32r63zL3J/1E3plx5fXWc5ac
e6CwZTs8aUziB/NRzYqTqva9N6DNsjj+DubGfsZP3h5Mc5hYwnTxEzWz0Vr5jljzmUMehuYMnMNp
TVy64LjWqATM7JdtnnIrjj/tyhrZNPiGUaZ6mkrtKOUGIT+DTrM1O9sI1H/JEqXLaEtET0RNeAwI
30C0YEbvVmrDN+Y7jBo5TmNr1Us5ca9YFfjxUcvMY94jxjKVsDpkg2m6HVM6juiBQfUdmNgEFHFR
7fnFGGPieFTj2W7a0kf7bTGeJxe07IL9nNjNnWZ5dg6FYN35DgjJ+gpWbSmfllYJH+Yi/G/7XdTV
L5Zh9L6ZWb+KGK9T2OnSjcat4UKTK2ew9wlhmi9NUmQvcXsUU1Q/f/+NLnDhTbIl3O9/ywbDOlVZ
+ARB+hBgkzrM5mCfocBzLFi/4qBmn1tDGsA26j+ZQH0S2JR0HsD6al3110eBZOkIsTz2Eyu+Y0Im
wDJo0vFgrQ/fX4VSelHBvu96qRgndvPhjwb4Peo+Qz0YWLW3WmUjOlPLr6qgCTcLwrhKVTlV68P3
V3MZEDIUgozWm9Lg7K8jCgR+wTKHf36K7TPXBZ0FbZgPFLksZUs35Fuo11S5WT4xGWBY0E7zM4GR
2j5l8L9Fud/ciyAc2Ggkn9KuuX//FQXgfkim5kr8cpVU7X2CL0jDIIKCv/5RkWTbyyfbZP3mjxVk
oP8v/55X+bdsKf9O/32Jf/1sfob9X/Tf3//nfwXgCnpt1dSpsG2hKbaBlPt/BOCW+Q/DMhVNGELo
lm6r1j8F4Po/hKLbyMUV1VIsWUGV/b8CcPEPU5i6+v8oAOfV/MUOoev4odGe2zZPABm4+Vf5t5mh
W9XYjj1RGdTkKzq4Af8M65tmJ6KwY5B/hmHsRLmNSrgmNmY6jdiI0AVYSAnHDxwQ+2GBmUK+BNK8
y4yRcJP3+T2gg/qnt/ZfeDd4q/7+XG2ha7JmaNgudCH/9bmWhlrpqGvR2Jr4TPPullRMQ4qnWguv
Yw2EdHnqTGn373+pzKfwt9/KZycruEVQ49sWgvu/GEZoDFl4aBkvK6gsJbl0MomoB2w3nFsJDzi0
BCgp7Q9EsU6VHpT+nGbqi7XHuQVMJXY7QfacvIaO/ofnJf7V8+KCYupr2rLxd+H+0ABHmNFReRxq
vJkJQR4Syo7UqSUab6gx0Qx7CW7/aGnnf/+rvy+KP3todC5nxTINQ+ZK5HH1FPzZQ8OgMGHzb7w2
I8i56vZM9TfGEF97C2rBHETaBsaLO1eBCwoLdUyAdDfWEl9Hs0yfP/pi0qrTOQRsgIvYQvWajOOz
PM1MkpeP8mvR+wcgunNCb0YN46ccj/HGVJW7isq5mS3Em4FbGGJrt4jghIyklysYq4zIKRJibOn2
I5aJsLeirdGT/RtUzrCYD2vW/Q5hhkWCemHUV1SsR1WYfj4bay/LAZT94L8/Vxac/frYNvCjibz4
rbfVnr4vZaU1QkuNEHaX/ASBpdtoKLj6Z57cq7amuinQLLoZ6Z0x/wpbzENDVXu9TYaiNeT0Uzkd
brof//4DkY3/czEY2EUwi3CVmiaXxHrr/OkTSRShyJkdZhyAnud0n0WOHD43w1EHt4GprXHMwEk5
JSvUthvmWO0jirbzq8Gg3nYZ0GliG3aMDDfzQ16cJb2vXRbmpD8bbIBvMbV5uempD0FOQBKOd3Lg
JviFeyJPr/YhXad7txzpweJnCc1sEhWHpUV0U4PZylxlJaa/B9olJhZSjC6Zn8Z8XVv1hCyTS6HE
L2l8hiEz6FeR/2Jw3CG2q9bfSLMZMHKreFmxR9sSNR7nfM3cB5Q4nTcXJyUBb+1luY9fAJkroVYG
wPER6OYuKpELkC64xwotiRvApira9+W1KBwqE5uRR+PaxMrQw6wcLfBqiBjmRrHYH5lY+kpzEBWa
z/nYcNKyiZo8VBzl521LrAXXmRnvJl5PRfGrHRMy4gIGOcwtbhARlHZL/V/HVy66uLowuJns52Z5
z6dX8NFhvF94lzCjxDKC/ThwyKaZSoX4edLCOIEiJpfHm7Cha1zm5ggEm7QLgtTa31G17c3/tJTI
/2cXWC8fW1HYinAp2WL99z9dPlMYYb/IrNQT+jG138zxxa5JfcbOvMbCYnY1loWbaaC1ddZzRKsK
8UjKciaD9xlJ9HVRUn9gtG3MrDsTI1TghH33MJDMStNLIcFArRWPpi94YxrA+JbHN0NWMLJ8UdJu
FdL87P6pzkMHDQ+yMOHMrborJ0TKASkYi+SqXK9T9iXQr8xd4trZl1l3m9zC2LLyPeQNMW3+jHlp
ADyVdg4tVSl1B4VWyl1nKDY7jGkk8iKL8JZ0nwAqhLgoxW3KXyTzyc7ojJNXRQynxwgdTDEeaYvj
ZIg6M7uiANyYk0PjS9NkdIQ6CSyKN6pwY+0n1b4MwZPV7kp9l2e3pX6I7kWb37T02iCJ1TH7m/qb
Gv/qahrNduLAZHX1YsHQRB+dHmHM6FlqEZK+T3m/IenxP3y86mpp/MtybWDvwhMukK+aFA5/2+Nj
K0oi3cxzr5aWn+SpNK5ZKaYbFyqAnwI7UFDVZEXHEtdfLq5I1XGSB1zEgom4PM8nJSpvopvONjGc
ZoCsjzr5j0BX+p2h9ge9DX5lQ3DSlXINe8gROJm/Rii2q4A28buotVyLvvAIPrUAD+n3hfwpWSu0
U4ou/34lpEj6+35NTaUqCuWRTgIj2/bfruWEpVmLY5SEVpfVbBD5QOPS5hwkYStrtRE4U/8bwiwh
aQNBeeZUsliRszOZDAEsowIRkuQoZFn6K/03Ah8i1mrtE1TZWbS4eALzc1rDgECIThup7vptDaex
k9J9FJpPkkY/hiJpkxXSfgXqbAAc+NgeZI84SrdNLW9WPoqQUZhulHAkChRHRc4dhUUmI7rFhKhQ
J7Kr16guLhkKpk2x4mSyUNoNNqGGZnhf2ih2ADa7Q7UgBlITOofaqZq4o5hAMVIZ0gVGGmu2wKBF
ryo/RePM55E3+OxIYjaHu8hJwlbSANMpUXuROnlFzbd0JKUxcUSnVFZjvG9rjv8NOqlBOqBXRhOu
Q/KRUZJfGuwbSVR9lsqKoWsry8mzyt7YchrRWR1viiSUg1XlMAtsKTt2awuHTGX9PjOf5zOQCkiu
n/lqvlNWeKOeMCOYm+hkEfClkGf8FGS68oSZ92GERroDLFChORgG+nZFu+k12oBdkmmIXxu2a80C
2SLpvK36uO+EZBxYhDxO1tYNEE//NPbzay+rJ0I8GpR/8Mtx0TGFqsNv6cg1VOtoi0aVUPGmfVNz
Ms8mtb908Pq8ag39NJe62ypRZ/t1HTHcT9JrpIjHd4w3UycdYCCdc9jWBwDdJZA0jHti2EYcuIBb
8tXUK9ImjscI73ZLXdLFX8WU9N53VhLMyxmyK+iMZtFjT0llDfAjmQOoLL4GGAkwfWOiwkMj35rK
WJ+wb71afBhe0rdsGGX0c7ZmVGU5ARZZH80MAwzJo81SwyxOt7mdo70zrYMGfQtxYZP7RWP/DurB
3NsE13ks/i3hB76MqQuH3kHLYTPkUYt7sH2hiPMhhTbc46rCpCw6QECmOTpn7L7655JpGu2kZKd2
0UMTM354hBWbYi6e9SEdYOJjgEzNxvYJQqBFqId7HZ7BlpFxh4movGXQ0+jd2Zy5w08csZ0bjjAg
k3HqcBfkti/FxeKtpeQQYTfJKDyKABzDFNy0Nbqevtkm1vq3NrD3hdAzh8P5KxHOtYtBvtg2uuEi
GCaATj6NGftnkBbbJA26bTTXjROghyjNaotFHOfmYtteX6IVkZIvSDUjupeEcIdRZaL1Vfd5TewU
VlYlbXZgFGuHoIk/ZjHIPuQfppZrWZExNW5LVXYzLja6qXoDL095Qpgbs0f1+VFWyC7VW5V7wwKr
sVRpeIVDZDkReo81PIxKXuSfDZ/T0Y7oQJJGRoRSIOUvZUmDvu8uNvHTVM94PiUNFBX969+TlqT7
fDIHzJjSoRzEkeEXsTKdLeEFMG9BKb3myohaDuGhA5ltCwkdzVJAPkYQDM9VM5suGOrapOyB0zyr
MUMkwH0gE2Yv7NkyGI/sInU1dgaEwcaM8Dd486jJm3RCX6i5DWmYuzJH5ZqH9ZulY4OxVGgrti67
sgXmaGpzpwAdo9rqPaHfWgX125AKKuOQCdeXljKtVpibNHlLl23UjnjD6H8Q27P0IeY+lWCcEZo9
ICcGNe3s6Wmf+GP3nMap4S/FDAK5K80tBLjJN3ncfocMZxCCtmMLz5VuzLVIqsqRGXssXXWoC4z1
SpBhwOmhJKEO2WbBCICYSyDHSRUlgo9JTrypYsSlcaZwkpqmQCZoWtYzjkOF3zJyPdcqdkCtLUti
tvBBzjXxIzZQgI0OsicA0aXUgI2FRXd3tnHgRI3G6MJof1sJG2zY3W08RRvZ7JDGd1SjidHsySjF
ryZ9YB9KHcg+4aYZW6pkKCtxtU/i75+wIBFr8LGOdoKMW3oU0WOqMIrA78Y8bY5vLNskUkbMCaFe
qg5HOw+kJOIRBFFML2o/zaN9jGcRFnz/oCTBPTIhPCPbKUFHhRjEwCSO+ql3w5KIv0GjXz0WqFtp
MYcoGzfL0uqMOJSbbSWORGwDWiuW5Nyu96BSWdYURE6GprxM/fiezTN4ZVtyq7EN9hKBlIJ7gdWf
gE61SjcJMBLiheQ74FNw4UPEtflbn0PJac3lJowgcDkL5TQzm495sZn3gOQwp2cpin4tomAaT+kY
GSMnCokj5JhpvO15tGs6w9wmQ9YzmTY5Oca5AKtkwnQtGSK1OSJmJThm1NuiEdBITRG7VQi902TT
sMeAVMeBvnVWFdtp2eQARWREIFBcQ7e26oveA+6X4nabcb9uqzzV3V55oOPvYG5ojadalV+EXQG4
nA5qNAzGGTpw0AoVOiqR8lMCisqcWjIZiGPxDfZfDp5aAsxSzsuFMb1sMp2yhG9pwY8GFO42EKO9
U2NmLtEXGSzSCy4yTi+8rXTvpUPKefGa0VvGoW8bxzmLjwkcFAs+zn4iuoRu5yIf8mSR174tLrdB
jo6d9duetfQUpoQ+db8NapCTpJb96fsr6uxkiaQn4HcEqYjOZNV31cwW58CokoNeBUg/RAUOyJhd
jAXPMDWbY1GKe5QqYg9B27x8P6SUq6ASByIJ5VbazBmjbNaJ9VLp8nO3Pnx/9f1AFvwdqBj3/AJD
sEU9UZTzH/+dAJk0wnC777SzJlwcu7byLdQ/YtCAlG2og3aiCmAVzEl8KpoPBB8aiLtWcbRiRidQ
mswMK5SXpgEAIJoLmGQTh990WILDEgBDVeqciY0GsI80KnRvpu3pEZaxvGASvUnYcs/R+pCJ1lfS
sDxFeaNshjocfAPIk7kxKpKqB06kdmltwzBprrxQnJD2sBvCzt5KjU0IsbYOs2dpbfMyK9X6xo1L
034pulA6E0F8TCSM+fBvf/b2ah1rI8IlaUzBYZRBa3J7YhvM7gURA0xi6uHDCqubrFYk/hQKw8PC
Oo6gEfH3htpG1OMPEQ7NLYz0diPD/DkPcdoRxkbEjFoxdplFciupee4V1y6voBgPGBk+M94DbGx2
4E4SS7U9LvuYifIhL+aJnpj+m5SacWdjV7+aeW8xgWHep7QMzURq1kTgBCjXw5RqKWP/1jP7xKSf
lZb0CJKEisTRl2LEF0IyUjQuIAe1wIkyfEsEuF7yWWsOYaRMoE5S32zk5pbqNuh+k/JrlD5zkS+7
fg4tYkBb85yagjCeRP3Rzx/6YiFlJCvzOFYVjsIWjaWU6M+FPMGgWrfIFmVBqmvNve9mrnEEnsQd
9NDIquEFLeO9RXoIdrV2zY6OSR+EJNSyFcS4aOMFll6hNs8znMN9QUuMsj8wtknbthtNi19Vc5zI
MYB1SMYTR9g4pxzk1DsxEjODcEHVLF5loRo7LfqRpigklybeSfOVgKIZH4bsd1zvOCaYYLflScnM
R2jP4O0m8bONqYvF/LZMReP2RKOJ8cnuVBuvzXwZSzl01eA4ajEjesT9UZbvG9LZCi0gZh59mjxi
s7RGnJqUn8wKkU9ws28NOPltKMiWhUe6MVsZmDeI/LHDGRYY+RfZxKUL97ZebgRMRwyZnCZhFmqW
lsmcZTxFSesxBDzNdf2hIJXd1GTvliVIDA6pb8vQVrSj0D8Qv9lvgw/LHm5BNTGfy4qZYpLA23LG
e03E3DioAEEyqXLboWK91Lo/psHTW9ki6NVCh2Z9qs38YSrv4ZyW29BaYXxKfLMFJ045NL+GUdtq
NXhpYCQnhdQjkLrYsRFPtirfosrjSXTtbpnhFEXWcOiy4b1i/Npywtwq6fhayQbT16h7CnmvmmqO
WaPIPyb5dWBTFN0HJd+BC8UC6jEcUP4wk3/LivTAWj1vFEX5VfTda6iAxipwrBXqp6iI3iBjcdZC
ExhafePTpOc1CaTIwJjZhz6D2cvLRnEVIniRwIkXELQAheuXRS4pG9LgC70cuL+RLRhiJkjC4fT9
q00SHhwzxzVVBZsF0c5GLtZnBLCDm7D4oFI+yYgcGYVWfyxfkSpnW5HYHGJr/TBS5S9YV4wc1KCg
scwVDLzjhi4ZS2D2CJfpPZm1NwPKOtj/ko4ma6NlOfGqYEykr54A9m2e/6T+vWiy9RiL/JKAwLKD
AJ0BM/NqZs6NvnOcSnwGy12Vg/fYyn4hGqHWWCxX1aWvoAuI9FzCcZssvxRyIJmxfDaj9jIxX+5B
8G7yqnlV9fRW6TK2NJ2A5owA7HwYPzVRnFATDwey3fYShf8miX8DwrgFsvqUWfFOrZoSg/4ycGj4
pcmZvAUjkO2MqH2L4zbajEpSOGYhfenQp23VKLdAAF0O3bupCD9FGjyPMD1sTf8kgfbQ6hzCpXxA
5METeZnS9Ias0rUUyAOGVNxKG0EGZhvAgwmncToWOwjbn2TXBMQJvNh2icocAQQlS4aX1bN160jA
yibS8j3hhddlgb6q0+Hi91XzjKaHUk1pdiKdZU5Pxq8yl256+VqPUBS7obhKM4M+KUwQEAPJqwau
wM5+APO4Sob2pIfRXe+4ZpYFHcxiKocCupcWYqppkbPk2qNvuQ2rworwzUfHLIMLBLX1pWD3jvII
qEgy3JsovslMKLeqgTvFMC9y0/OflOy1Ih9TMSibFX78wJkCfb5xrDrNUWVYGn1GeRNpxmudGb80
i+BUgLC906fXWGozZ8kImVCkcJMLfPid4XRz6JD7gFoJHz+pAMXgxjM91jh/p6sOUrf9lFtKS8ti
2ZjbmtzGevZSg0EB+ymSiLonR2Lmc+wnXgakv7SMrG2ljgc7Rz77X+yd2W7cWJa1X6VfgAbJQ/KQ
lx3zqAgpFJpuCA0W53nm0/8fnZVVtrLg7MJ/12gYSKQzbTGC09ln77W+NQhz7UTZJY6De5a1bDW6
pLQY+l2nFbTKVXloE//Rw0VDOf+JkspauG3H94dU1HXdlsnttWfkgxArnDy8+L864tOG6CyFwS6f
FDvVt26suCIws4oOSZ1Uk27qVarKdy3Qq4WHTmUGwsOae4wllCBaYy7kJkybZeNTboY+iBrdT/AO
gJonOA+FUwY8Jlt4fY2SB62EVDC/WgpzbK/Rb7qR4HKl90E0RANeAPK7B50+DWQbZBr2DM03SSS1
xMP5QCZESQ7L+PbjpLui2IYVaE0TPWQTeUeCMDWGKViFeEeYMsPUyIB9FRbVnj2UgdC7jxaDN9yo
+qjOrVDc2tpAfqcSh2tdR+MRSYYlptrPzcDcpXDuecsazG6K8jQM7SyR6fehMl4TXk0g7BCBKCsr
otmhyCerG16k03woar0WjvqSGsGL2d5w16N9US9GJsN5178EqXoJ0/Y2SoOTIYeD1dqvZqpoMy3q
qP7kWmsH1OMFDsDJYTValNwg0G8g0M5sUbw3Anpt6LP9CKtdJN3HdNyUFboSgxuaVi2bVaJ4R/+j
1tlYm5hiFSd/wBj0PaxokzXUjFVUHaq8pn3o+p92mj3xmM6EVbwSKY5YqEufdB8sjh/u8Ey8WJXy
Ker8DFCuAZMe+Aw5xhpJk9g4efE90Vah7u+U0XkhKcaYrdKA5MGeR0KQY7LwnP6t7esbM6FFoYOH
BAhfOXMkIlA3Kv0oCnpm0wDGS3Taf+ipYp/sizJ5LHAqUorV/rJo9GFGy//q5dVHSHpPqMGFDkhv
b1HCBx54TfUiJ4ZqNVjQGJT2kaSlQ66gOYOZhISPyZvE9qCC3RhV6xVXNNcsGNk3QZkq5DKP0pcq
psGS6gavvEC8dRhGOe90OR2vWpmyeAlKh0ANPSdHQN33HWYQc8xnXozdgXbyEscDYMql7RoPZcAX
j2jA6vWEJqaQ7qJ8CtzktRAwqbFDcR469W5I2CAawX3duYc+JVslyi1ajU4p2HolEsD5NqmqdZbD
MPYdxreQqmdl0e7BA0z9vX7Vmu2MF4C9ce03Y4BC4wtchVU54qkcPzs7PcVW95wr+Sa1gmA+DuAA
LUldQxuRwqRDdoLPaKahyjJ0eSRLGcxVwbTBluYZcCLKnnRT6tnWr+JhRgQJHUHFjOd5Wx1Vbgff
ze76of+w2Nmy8uDLs5hmJkj+C+Mhjnr9RDSSttAM5hkSozxY/4UWDFe9YURhA/UyXHdjtbGysHXt
3mPJnysATapGt5ZOHYPH0EmhMMt9r+CUa91q0xrSJ9iu/56G/p2h1tvpfdIqk86ODJu5lSr6jKSZ
VdWkzmwsbtDdVPrgLxvD2XcK+iI1cx9cj9amymzclt195LLVNauum3dSvHjcAWSD8TuiRxzmCt4u
D/L2bFY1wEO47Zin5207eDOr6B7gKD9KFY1c7CreQu/TtYIThVdbifeFCmSZKWgwy+7U5upZ1CTO
2ajS5t5jDoFyZqn+Y2baR5v9NzOK9iLH7HG6YG5Ls3CSbTqAiAh2DHvtXUrSAelV4H27g+uGa6mQ
tBLzaGX00+gSDoum2XMzDV+dLv8cQJ6sQ5U58mRPTQQVvDNy03I3PrveuxGVx64qcWMRW7XSp2Sc
KU3BI4adgS0jjxU9rG5hBN5dSnI8b0hZ7YjcXRKq685qDBJzOSp72bmzphH+csymUMa+2PYy+mzd
PpgVpUgWZtI2s+RjbI3HyFknmU0vR6Vx3UOYh8p9j0b8TS2IH0ouFlLf0oo+pFvsTJi9c27MCQ4A
IzaApxOAJ4qcKiM8hwmVYXxXKhgZdlKAQqqGK/k58DdprEtqAbLYg1vU2x8gsNq5kzuXwqW4cfLh
6gO6j7KtTT1SdgXtf6lTbjrc9qDwANNCO+uoAIJ9X3mfKanEQ1S9mqZ3CN2EYLD0IxHDWZeIB1v0
nnkDBbMtmlNZymYeWRk5C9V9EzfgZ9KF0Yf3TS7e/LZsp9OJjFnSBxusQ9yIa02+PVsLf93ZJaWc
cpaJgHBm0+ernodKLgRKFzx7rFow16jgmQd3pr4lBpWWtiLelKTG2Y0DTnVeFTYgi458GFelJnHa
nWZpnyGbsW0iDhbRVG7DtqxPrZkHb2geQf9dlmOuzaT+7AalONaTOycOtrEBghnF1q1aQvozMxaG
ru1NvEj1nW3bh0hT9xYhNq3mspHQXsy+DRlV5fe+w7A5TqDMBgrmD7U3KL9V683rywOOnlezDLt1
7dJ4VwPxRDFxDYmd4X1oanNPRxTu00TPUHeOLf3IguYpmgx7XFdDeca+RqBxTi/JCnqCTZJ32y7X
pAF+NmWeMtxsS+Bq1raq1aPD8GTmCqddCo9Hf6CTr+gB6Zwdi1/fciamKHb47km9bKAv8Y4wPlrD
w4m5NMwyXbgKudoZVSG4O+hAuZfPBOCIhcBxPuCPH0nVRXWqL4J27HY47CZWoqS5zE08CyBHo3kE
LibUjhFpe+ki99miQISK2t8NVfnR9KzAplE/9vEaJc/LGCTkHligoWidHsEpWbT7I16m9JM7koUW
ojQ9nnOCuOhMMRQdE7EkwQlkiKqt+bDNORyQjkqZZEdbVMVcx0Bu2h1HSdi6dNoS3r4FMNo8m1lD
2oetX61SY0lomQHqvC9jQaXihsgZ3SdkjQFINIiAvLpYYWN/ZZvCmKY+hyrlozd+lK/HVmxzzz0S
NhfMiZF3CZutG/KaK2/JC1vB9Mz8H46EHxlc5M7fGW78apX5s4dtgldMe1MXyg2v2CuhDre9T3cn
QicTRFcR5GdVd62FYwZsKtQB3luen33NeyyxrDVoa7Fojk8Foksak9pHU0/abpsL7WpRsO/sNZ66
HWXWklB7B8F0fnHhw64Y44CIK5pdCLHLaqp4K3Xc1IOqX/LYd+YJ/NpAKc4ebqSljPrbUGBQjUkj
i7C41D4LkFWxoHtlPCwrgyQgTQtWaiexXJugxdiuvmto+ulW2MfUYxlAvB0Her9QffW2KsDalH7G
VU5hdXoqXXJq/qIelvoE3UjlcxL4wYp5+H6IEFPUzisBAbCPWmXVOtFbOjDsSjRv1aOtqJ14IRkT
LWRInZD6PIQaKRyzccAs0ZXglqz4DX09DEhXqAu2T8mSMdw6o9la5NQTWf9kqR1gOkc+OetATcU8
CZVlo6afptZp27LT2MPqwUcUhFer8YbVoAjJferdgl4KF9Wo0HtpEUzQqOWmJCcGzgItJGfkGVPH
fJkHYbSmb/EB4/7ThnNtMgYZRkYWGQCTCcbiLbF74BI7UkPFW1bHaNmXZLfbJcvtGN+oCqoIfCFJ
cRrAjMwyX03uzIA0JAN+m57x2LTaXacrT7nbEXGo+7dO3S0GS9+NHhYSDEu3TQ8BziQuL/IKcS7z
stz1mXJHMMxrqJf7yIy7vTa204bFm0ufex8bESmToWcfAkHLaAR/MDUFVQRZxEER3+Yx4sl5KoOL
BMBGuwNEfwhpks1i0nUYbzS0P57yGpYYQKTiTFnHJdU67BEvrl6y1lWWo+jvTadW57qZiaMe2QeU
1xDfJYZJcrwCXinUoQkZUZnRv6ptdgrCuj21YPtQYQ67ITvFvUXQ4+Qj0YzXqgg/vZg1ISTGpwwa
/Y0MxyfGV1GSh+emZwAIdo9OrRkAV8vDZy2FUIGrGaub/jogkbBbRpoRwKONm9KODMpzxQU8GLG4
VcOUjTo1Vae2b7YMbgiV9RaemgD+t12CvSGHWj2Ejmgg7NErKFbfxECueKC241wZSPwIaEyYBOwO
+PnnJYjx/lpDHsVPLSHcB/eVAp1coFZIjUWlVU9ZYtKs+hilvE+zxEKQWF8JjkEXniHzdzG7jJa8
KAPZpKH+JASpaz5CDiQT4wxJm5xroazXijLsNInWT0fHxwzofrTo/Lp9j1t/vPrVLMyHOweblDJi
DO7TajuO7Zps83tfDRXml5/SqO9qD8+SoYRMLgf3jqFv6w+kOBIXZZQteb6JvFV7a2m0uPwJJQcx
6dUnSUNdaMM2is2USHelWvZmSPalXbINx56100ZEh90Y72pTJdjBwnnIKymftXrd7vNc52758a9B
CTOPWcMpD62Ygi6ivVVF9XOuHtvE/SArNwA6g3UoDcvPvC8xKwXOWgcfPNPwOviyJryDbzqSCBCm
8iUcy2rbVbl2HiqKZjSA9I6zAMANqOFC9DfOWFtbt/G6NWQOuC5F8smutr9pIgPnUd5u0KtouJ1p
FuB1rw4Da6hd+sp9zSLHRtrb26n70Ma6tugaDxCiHXi7OmGmb0TKyZkyEELHebW9Lt14PmoFp1IP
XclcsjWjB0OE+t01SMYEDqmTLiUJW+uwrr9XXZG8N1p8JdbA2jd5RPRRAHAI1BMTYKsIn60uGTDd
gPIP4Fyjg4uc+wrJypCmmP9oQ8CWIMMlNpM7G1fUqKeYVxpzXELgBKxkbFrV3+Hr4VJmxYjv2Uy3
SRuGm8KAWJFRcHQm77zgk6Dsdm7Hd461UMxh5yXq3h18PLRS3YDU22q+OhM1qooOo8IqD6xgaQw8
BZaJ8adJzMc6BKOSObwV7Fwj+NUutDNpXJSgZHYnuXEdKzLcnf4e73S/tFiWtxI7JFMfHEeKJ2aQ
fD/MhCoBnB7ASoZZuLxVe06kQr5pcTNT1sfxQ5sQkxwm9X0W5uam9xR5jyD0kpVVscZSa+8GigTg
puaVkSCVdaY/2SZBf7ygj/YYRnOYPPTzkdO5kB+9tHgjxJUCjKHP0jTkJG8sXhi03hE6S0bI5HfK
JZm/FmbghtFgBRdxXVvjTe5imNEDmlkG4NWp2X8IifbNW6Pbc3PR62W4OFejvW5SQFldDVrbbh/s
ING3UWky9rNw6KH06VuCK9L0nsZZiH4aCuXYOsswUXtcayVxzHakHxLPXETIIrH1KC9GTtfaDu3w
pKCyM4kdpsvKMH108smZwli+fyir6NiOolt62CPX3pi3j7UCf66tGnsRM+BdjBXMzQoajJYo7XNT
TIwPxfHWlScXuqrq16EN7n5EIbcF+TENLpgx6wb0IX13UygNVS2htrqvxBufFYxkczIATd28i+Ge
LgupFVeiozGmM01YCA+pkMFVB4pZ3FZigN076Di4lEA9EFlDMzAs5kLgnzA6QruGTnxKqzUewCGW
UeitZSHocvkWUJqOZzFU0nlmNs0LOWzUu6N1T1hTfFUCSRCUVWgnyLTRXFGaiyqc8kQuGu3hMT9l
rUG9RXYO6o9puzdkeFvJhC6MVF9Wdp5tRskbgmZHsGEjDAfKrL1DHz74vZm8R+RmiFF8EBcWvQTB
eKoG7vWxj8fbIEVG2itVcCe4hysT+cPIanIn++bTVaxg13o56auBuQX8WLMgxOWmaUeHBxO8WlA9
WX7/1BWNWDghLyTfjemGlT13cJqqOI9+yGnNJS6YCi41323IeFZbli5AvL44jGjVyBVO50WZBtu8
b8DzCfNkYfpdVXw0JcnwuHiE7nbUwLPAzN/Be7u7z662l0NQj5sk4R+Bh1a0t98VIuh2akN52UoE
dHZTnsioEfvBVQnsrEd32RmsGAlSvBvuKPRgfCmnFe25UcN+puLZy7C4tYhwkf94ixIM103qbYPA
Rapu2u6ayFzk2wXqKUAm3koh5gsJUPrhGPZbTZzufQ4Fd8t8fBZ1lga4FMYFTL4KjkJxldh2ZgSY
hVfVhFmiJHQhtDrBDZuX7mWAPLMfm+eS8aGjdpAunHjrEKwFZKVKD3Et5mpJZahotEt0ctHrqm7Q
ANKwTP1AeyadnBXdkWsulzMftOG5shtaMI33IdTmlvHaSXHG5IgsvWbU6Tzq8bgxs/EgBKFldMLy
G1pmGz2o1YVPp45dqKDNGI9sNMSi7YLwziBZnhTWDEGsxm7rx39LYhLvUjf+ruTQE40JjYje4ZH0
2BrGXnHfR8Sfj5okUrSMPuy70R1JvpBedWG/ZGsd3N4GiEvRfpcDIyocJGD1DPKRMUQYg3cwLbdd
t/rwHfKhuUankc8V4t9vi250bkdLLRBB0Sqvo5QkYWB3czNSHDywiGec1G12hVm4t7GD7kIa/U3M
LValdUtTA0HY3EK84opo5aqRjuZXcx/rCiuqD5vv+OO3ZDPF1qNXWvV5CJz8qPf5Y5Vp6ya2xZMV
KjDh687CsyGMJyfOiPJNj1XotbemkSB6Cxss1ZhzRSY2pRtClRdEw0LJsR+rlrl1Cc9tr5YgHsg1
hv6BHe021g9Og8TIH8iCHYvoSCIBWEhFIQwGgvNaH/rxrNr3GS2iGZkh8Dik/y5sWACdRr4LJGhr
NewhyuVb0nJmKS8rujf5q4LVbqbvvCFgiwFGhaQEAz5E+ul46Gm00NilFl3PpiH6lSYJJXPe7CrS
Do3p2ctLc9U4KLccLpYQt6TK36UmN5hm0bhJ/OQhq6ahW6jeGpFU1iCZQXXFNbqVqdNCO7towDCo
xAbM9HDcQKCgwi40hofxoEHfJVFULR6y8EQb9VYL+SQjjs5lkz92PY0WG2M1u0aqVrXxNmaw90ec
anDX6jl4EYHHujkHkXHMp4QrKAC0+lzAghhB7v1YYF5XvffCvcZJRS3RXwJLvhYqO7lcy9KZdacO
3qvnmoxgMQsAZX1EsrvpFPM2VsPHyMBlh5bpoavLZc10eS4i+0nazj0pykTSWOF7bdL0VpR+ZQxY
2mUI+UsQJijltU0Y0CRKdxuL70N4GvgsefVC40rbu3qdzzUTkgwjvddOAT8WEnIWCh3walt9sKB9
uAa4LVoVWyg+mAvSeUrm7Jz+AxRxO7oolXM3KuALMUDNSHZO8GKzYKp2NQ+LAKmmz0Co7GeCDjn7
iE3R846iJ7HI/fYzzCCjGTFSMYl/OQILnBXis2nVt6Loi5nK3VRr5Q3sbLT3ko46pTJkYcbhFKvz
QgceEaU13fbwQn9vVhnxg1nrx5HaZW6pKJFJRv0h0/5HXMv5D/H5l3iYL7/935kWgyXtn2lEfwmL
+e+yefvVKEhqzB85MZbzzbZMfG3C0oWKvQ1V+z9sglL9hj/PxEJoGBYBSar1L5ug/s1C6m7jT5MS
8a6J1v1Pm6D+zdA0ExmRoakMJXEQ/gc5MV+dd3i8MCHaNoEzOj9qyqP52R/idkOfJHlOBlhFaBzx
F4lnXSs1J1FlWEv/A9LQY6c7jz+dnX/cJD9nNX31LXw5qjGZnn5ypaAXqaSQ1KS+lBst3ORZu/v/
O8IXRyFq1qoMrQz2OowLs9i3tA5/f4TJHfiz9+LHd8CPYFi4PFVH/WKVGzp0VFU91dVdMR8cGA89
bDWcI78/DPfAbw8zncqfThVvq7ptBIcZevRz/VWbP2RYzn5/kMkn8tfvYk7eS2wkujU5L346iGP3
lhMj+lzkzUZLNggzhgQ46MIN/8ZgKOS/P5TDgIV9j8R5+euhsPL1TLNiNgOQJGNUmrpKqAvxaQBA
KAjKw6TXDF2I6caqwgcIvKIdCpbXd8V7VyNA4czDkg5JIsCwcFFjcO30J4VAjUYkK2Os7+ve2xfy
UKPaGy5a0K+V/rvEotC681ji2sjo3iAwktGwTBNJG7c4KIzVA9gg/hjDayoW2qaPzUWZEx/qfA4l
wyOERwpkhabp4O1lr10+XmiIISwlowjYmF81K3Xq9ccMlJ86PI3uoahr1Ar+xhxaRLAYvfInlH3z
jnVADj6qVepu5v+BhHPhnPvk1rA/2ySZBwUkX+KzXTb7rU2nScwZ580yzd8kyDJgG/aosfouWkc1
vaIu3aVQBrrCnpV2tjAILWVDMy+bi0CYEMThLrQIZKo+shRVDcWPYBmqZx3TktCUfCMSEgHqh+W7
Dpe2PDbWuR5evGg/MlRSoByoirLQBUmh2owfimx6aroh1TEvyCrXjgpATcDiCdAfACDkNDFMNzS0
pmCytUvtwGdXnyZFqyhSlpx9Z75DM0KOGaIGhnxrzgfQFL18MbALmNc+fFINc43KbxYFm86jeTI0
+8SN0SSd2OvNoqLcapp3wA8zq7snK6rQ/L7nG9GOICU8LuQ7+GXwGVSuYTbHIA+mFg4AdUNVDACR
gFomT60mKR/kmW7jjRmXr11/a3lw3mJee1JckWYywZ+oCuC7YKKx/7J2fo4vDMW0QqNJ6bUVzZcZ
YdsqvNOetNLpA/Ge2VtddRhpyyf691K7VoyjE2/X0zQJbrwIVZEXLIVyX9LkGsoGf9E8R9VlpAeF
3TjxUfQtiQZXKTvFd+H3i9JnFikaEgIFDRB91bT5uilwlplrDVSzRjdUTDTsIlyV6bDXIa/RZMfF
F+3YCi66aQhd1Xdaqe9rtbnPEUqSOtOWDzqkbxTRF9VrACMDv+2Ms5WT9IlPlrSsU69la+7OnUJu
KRKOpd4WOwO6nlO1G3vyiZLE1fNwGEm6HOpHBKuLNPrAV7Cm++Npb2bYn1TX4Ik9RsYkX19Nk0EH
JogJ8zDG3AIpdhYZMSxXY1FmmC8jxAg+sUlux3S/8beSG16DE20ylsptrky1MFHxiyJ4FuDjSDq+
KeNk0TTKAVgpsniXvDBuLmbgTO9RdzjdzirTuVxk1I/qGC0Lct8lMv18lHsD6f5s7OYSO4RmKMtS
snuTDpvj4bZXPqUPuChi4Nnb7t61vAfSR7niSqgfC7t/0fumPkzEcxrzIJz1F/bUh6BpF3YyJQVd
snDfZvvctxa2tR+jW5uJnmj3lqmfkgmBCY/KEGT5MT/TxnHRFvFSjlhv6M5K9j+IxeddS3uDB7xD
eaniiuySWyi/MxytOTCl6af4gKtFf5kuQ0rAcvTWtA6GohFWcr0n6uPOIbU4KzRw3Ay2VphvJkgG
srlj64q/War+7aou/vVq/7LmdjYaSlUkzGMRH+goiw4/Vqn/qy0p7n5TW5JlCIbiv4b/mr2Wb83H
L3Umf/PPOlP7RpkpWbuF1Exbn+qRf9SZlv5NGBKaC7tcoapMRv5VZ8pv0lA1jFfUgQwjDFb+P+tM
6xvgCvq7JAdOhSHV6X9SZ369OWxLqhAFTJNPphqa+FIuNSF5RZbL+xfd2ppp8GHYgTQ/yFN+cE7K
Kbrxz8lNcpPxq7hBnX/w9v022MtNssl2pD7smyNVwKI6xqfiWBz9U3ZUbnixHOt9cCz35d7Y5ht3
xa+Nt+13wTY5YMQ9+DfFoTrA/DmQqnvTHcTcnQ0HZYe8bxtv+jXzzQ2ZZ3umC0cI16f8mB+DU3r0
Tu5Nsw+P/tHcFnuxzfbD+qer+D+ogTkhGsGMVPIYoiTQhV8LobhXGt/LmHmO3UgTlnZO+ne14785
578c4ktZp4l+CMXAIVCgzTqTlEAAXL//FtrXMnj6Gj++hKR81IBH/Po1XLbCTP+SfmEGmJdShCTJ
TtcMc+6TC2SRdm8Gr0lEzeYUq1bvzrUDAyBItmb97jspN/s/n4z/yTm1NfYo7Kh0HgHu6C/FZTa4
epXa0UgCt4VECzrjaO5/f4i/fF8OYWmONE0NgIspeAJ/LpWVxrW60gWdljAoG2ugY4y7iN9c/f4w
mv51ZzY9eoIi2ZzyRW36k78eyC2I5YuJ6lmAGv5Irepiw1oygaIY49QEvvFQw8y8wLiJIvPDcgi3
cNCWZugDRyMBl+I8xDK4ugOCpZTMBFcggUQANYl+vDKfhQP/SFMDjqn3VnR4i30rgfMSrgSjOdRh
ZNg5OBRBn/i0kmlyhgwlXSS+0nMerMEihzq00VE6DaDDnsQY5Kfq+NQH/FytqC6D1W25/W8Kw907
9m1poPUI++zILpQeiMtiLSNw4bFEJoweVynFp0tK2Awr+wsu17faQs8gfT5vSDRhzJS6ULst80DD
8p6Zd198WV6ClLYGyYZEl2MIKloy0bF0NPqHF3Ei0kzfFf7eS1ISPRXgGACWfaV8HjNZzXEUEFSC
HmLEKAD8+0PnxbkkfnwGRZDMz6hn49hiCKhkc6OBlZzBsiYKz1DmLWqGEFPorKNlOMP9S36IHO9C
ihx8oVP/k7+r9Ki6iJNUEEvlNu0YSVAtCHt6ylGrvlOKLbKJquVaxm2hLVWbVlNUoLVpubdnFvuP
oqUMIM99XXXGJfWbi5ME16zFzCWByMLTvEnGBhvD2PzNq+mv97iuIXvivhO64IX95dbTe19maL/6
Ra8Uz+YQsdOKgTLmz7+/x38Y9n/edtpIFX8+zpfmQ+kRcGBX03EYLjhJ+Eok/RwF+Tlrgg3NyG2F
Q71q/E3jjwfMIHPc7wu6uDCdEceCjMuQAOd3mWuehyRnVxW9OujThRlsf/9Jv27Cf3xQyUsFqJPJ
+vXlhMBRZYyhkpIYqrACPaYFo3rtwSF5Uv2jyPklbfnn1oj2l5c2J8UQrOSs2PSLvlKJUPEGTeII
4k5DUqGV4kQ3/BFNOo9A9L0cDFAO9bxFd90msB0778YK3UtZqVcUw39zgf7dRyHC2NEoGhzdFtNp
+aktADXcztlbdgu9hI1ZF/u40//m68LA5od8vQkIEJCULLoFwuJLYZCNXhhUitn9WECEXZ5qp7wL
wBupjXPp1XrfavXRo7fc50g9p5NPTMM2AH4qo+IOidGKPInvqPpmvFGvvVuiNUeSW7UvpmxWdexe
pk/vIl22+oo5unI3Ji8WGiuz1w5cbCRuOTOnFqIkalC2tSNcygYCek0sMuRUhP7xvZ4WJ3r1e3Uc
D4mW72VWEW0Rreoy242NdgUCmOrdY2/wiZxwl0hGNIxcchNt+uBv0jh6dYFyq7gJyrJcmgOKSETS
bgI/khcGYrCtiiJcaeKVyo6XlwS2KB0RdbsY0wa398UW/lxPEUVOf1Yk0WsuYBUMbGDkI/Ym2gP2
uo+y5xoIszcoi14G724wLnSZwJphL12j97ZUuMjExGYkFAzBNgBIO51xVUDzybXrWAdQ5TvsyyTq
GLoCZn6pshl0OhVokxXNNAWJT4lEmfvwXEbWuWeKx45gMzr13jP9TQ2jL3ECOPSkWXbJLhjKkwtU
b5Zi9dfr6lR4HoP7ADhlgtLgJINV3vYMHIvnUcEkZJTGsingQraoOtKB6UVgJi/0BxaJAhRDmW5D
9RAMeG+d4iUebnKF3ZFKyKFip88j8QF0FZyRM1MVJ5DusFqDDa/r9+nurRLyFCPARN3BElxLMmp5
+52J78H20D1WknDOCsWfR0dF1967ajz+iFZm1x+EDwnWqbxXLjqmHJSLzaPb08uwcX0W9rEnzCnu
cxJe4lXekRMyYNZTDzZgbTLet1E0eYu57jk07oBeU+nd87i+Tu9XtbHPXYEl7xY2FRyWU9XUeyXH
hlGHz3ZZneyM88H0dnHV4HakYwmXvlo5CMALCC6tqR58k8APUe9xDmwSLdgKLb/DvbhuwxgjY3Zf
Rx1Icq5t6+F15KdlabxLc+8mElwqkCatLnZWS3CviybJCJrHomRY9VoP/lZneQHMqWCBMMNF2xCu
DOvAc+XZysQVDswh5Uoq+ctQ4+mMjGvo6bMmlB9RlKJrYPuJNZDhDiD/XDMxBfIZlAkW79MnGrC9
ZDHZGeQlGDQ0ODnmhoEeFCeCswe6csjLHzVM57ORgEMypDEfb8ArXab3vVrJF91uv9ttucyC+sdK
EVF9lEl2idz2Vs17fZbUUJZsZte2cxm7AZw8SZRcfSWK4bbEu0RDnRzJ6HuQswbh0mO6gmui3XXF
tujaM2lnPh4jlZtxZjXAdJISMm+1L7UQ1Gny7vXZh6yeDCN+BTtxp0DZm0/P0lBcHGhDQe26s4n+
G5lnC6Rxw30IpHHvqeVjWTePGcOtumUnwlNtDgQlT+Ppzs+ehZPCV9jUHqTvUTsI3ziPfbXPG0RB
d3FTz9wsf84M7NVA5klcHvK7KYsAlVlhXOv8zg6MY+qLYS5xec1DqnInqB8tCldIBDSGELK5GBXQ
kxIr4CTPRpSupj8hS/Xg/giJZb6oN2e3BsHP37C64eBr1hkr0g6qyG7gwzjBSMMjXg12sTc5pzo2
JeTcGyUiFEFYbxra/jBmZVJKZF5AUFtiaMq3PEs2+AV/rPK4vXZ2gDxDkgOU1o+KJ+eWQ9ADnsTW
WpPg8lArGvmUPs3X2DlPH9EAlONRkcCNWRsh3n+jOEk9/N5mpD9E+Ry3/KqpQojv/FzXPXac3FnD
a13gPJmeULRvB5PnIQdP53DzgDr/Y+X8v1bFtP/7547sr3MwNNRBHP/Sopj+xp89Cv2bo1PbOIyc
psmWRsH3Z49CfIOhKZiCUXYCIRQ/9SjsbybQJygGmsq/8P/+1aOwv2kmrQvYAfQ9foA2/4MexcTe
/LUUYQpnseWybSZyKs2PX+sdNR9VwzcKfIDQIUYNYbdU5yPpK45+p4JEe/UU4HEFPg2ev8K4IEGZ
/PgzhVi8Cme9kWToiF5whW66AP8Rru5yzhYS8WdyagM5/+nc/pvd7tdRChtA2wJOYKumUC16CL9+
XEVti0LqrrHomTzYzx6iIQ0cuj1SJf2nE6I/jjXhKBFZGvSMvhyLqKjea2xjEfDYhCHdWgyivQKs
aWmqf1Ntcxd8uQwCEpSgmQDmi7pzukw/l52104lKBogoh2xZhy7t80vkbGkz0Ht9TEEwBuwTf38u
/1KFAkplDqtOB+aIXzsHbENxxYaesRj7D8E6SPRqnV57//z7w/z1knEQC3SIY031/dc7zAf8XIQJ
MPzQODiQ4lEViuEo20Oi/u0Vmy7/L4W1NR2L7ZtpqZrKlPnX0/j/2DuP5bixdUu/yomeowJmw0X0
HXQm0iczyaSRxAmCkkh4jw33Nv0s/WL9IVXnHImqK926s47oQVUUiwYJt83/r/UtBORpVoGJomXB
dl8cmYHi4tlFnNTr5dGKQGc/tozQiXjQe3jVQMd7nHftsqkJ6/rgBMOiEHjwP7f9Q0iDIpvoo7CV
/Uws60I1x0WdH7LpFqP3ItLR1hGDSqKpRarm5A0vlf+5CvZp9gasajF2GeFSXmyyNAjuZk6njALQ
Ym+2LbwW8UqrR0tniNchqnB83nl2ULpH2gD2IxEPmyw8FF2IA+BBL3EeAysflS/aaw+oUsnXtqXv
Oqlu4jjfms3nCH3mr2/alXr6/kriNbfFvBfmxr3bB1Uy6W2z0QSZY/p9S/JRQ7+FteDCsIO1mFOZ
aD+6wwvghrPo+m0BgJxCwW8+hv7zMzpXtlQa9nCIubPv30GMQ0k+jMIziweV+gvtp01dwDYnKlNl
H+yExRfgJSQgLfE24gipi49+wy5VE28kjshF7AxPsuM7jrLWqvCSDeNz72a3Ew0MOw7IbiO0xfkM
Aug3H/2vr+B3H53R/ftXukSI1TYuETNhwRol80lZq+mvKYtmHWA5oEZ6E9gXjWjQnMUWXvlt23q/
vos/jyo/Xr35dfluVDEqxalEwUeoh3LlWvgu6xcENAuhUi6M5K6kzdnE+d8eozmqQU/dVG3qR9fd
73dHBSpEeEXD5pKqToYZD3FRhmFXwdOL1B/QTHb+9Wn+PIdxQBr5jnAordjufBm+O+CoBiol14rT
TILlMD6xh0el+Tt5xV+NY/8+iqO+exTDXpghbjgexS70gldB+qd/ng108W9O568ORNuCYxlgtlFs
/Xg61BmtsU85ndh5zDTp9SG7J9J2fe1znfrrX1+7n+odjJjMo6rKUkR3NfPdwVo3gyHXFcLr6y99
rJLJ9vTrA3yrFL0fSr47xBX3+93tqfosaxByCS8B94fzaSnYV2jkjPmSMDAAfk0WbsIyXDtA3OJw
XLPL9moLVRlCCB0nUTMugr6mOOSvOjQQuTVsS0PsU03ujQaZWTze9yoeJDsiCdTGOsrmK/Vk6aIg
LXdS2wiZPtgtQ3xRPE8hpcskfkiTtyFXd2DI4uzQxXIZhvZakpinE5ETUJ2k+OaVTU9/FSwucKDJ
eC38e1EG61B3lv2EyeUFONvSYttmZs6NsNWd3RRraTUnQjjZepOw3TerEEtXqSdbUu3vdEImNB9A
RQuwUzwHItjH+OBUN9miEkG/kSFWlAsdDlqCpQbExrokQsxA3ceGdqv0+YGQ1cWQShLfHZrxfOxq
2MI7208ZCWAcIk6bc4skpzYHr9Lu3Czb4kD0ArNb64CFLUjoofpUkJhYNpAyXzMqr1FRLN3e2apU
a82xglfLqYfcqIodSGuTKNFdFIJospE0rXhZAKEmAvocT8PR1vId4RO7SI2R1iMgp+QSEgOXlZsg
LA+lCqQ5cDY8x8uBbaQD7tbpnTOpK8R/10iQLeIykxVKsV1sdhddSbb4YRbATxSpr24QuJC/5m4V
gwyaGvKzRvcBpXZiV16C6l9KNnpD/UgWwsLVQYFctOgh6c52eB4LdUXzWIdEOiAvR8sM/qg/kd+E
P8BTbC+xv6g1Ao98wkNOyLceeN1I+gYg4wKPavjY2Z98a9s1p0Lct6YEyIH9wP06sxYShd4aCWlg
BDtYfPbwXGZYgLpkpaIWcbT7iqVOScoJwkuKc8Jamso5pTZXpUs/up2PC4F02VT9zszSm1KByOY0
d4Y24Lui0Y9bxuwlsMv6dZzDBi15jOxtrvIWSH1DMuNbW1gX6FS3Zvccwe2pXPVB4qtvl0oebdHm
LeoWAQibYQdM41EH6ZlP7q4yAeFnmtdF4zrPrW0Dks4hqM63NMh/2towonXVqwdDiw5UqbcpF8AN
zT0mr0/C+sytOkZ4xpAhzSrMtRYCtOgXrYFTBF1Pk6ZYwMcjEJ8L9a3NOAyf4yHYw3g8OWq7jAtn
b4XW1hT1xzShlaNh/IDZPQjcflm9h6C0bxyX8Il2i4+qWRhBu80ddU1TBaF5cyZKCafBAznptya+
7enjRHGuqIge8z/A0F0WYcsldvYFEJIJN7dqN2unGjYmWhEDzmO0L+TXOFF+N9fPY/9PQxyTD9s7
U7dd8W4UVdn5UxqTTHlVfsmpXdSl6gUVb9V8bRWJxLVctWP5UDmXXw+vf7VAogn5zyO/XyB1OHs0
8piFNyJuKsBYBuYlAC2Y4Vj89ZH+apb9/kjv1jM26DMAlBwJ0xWIPPJb4o6cvPC/MyF9d0Lv1iwQ
44RZhYhjgurFH2ij/WY++qsLxu2wBGsUiE3vm7dKgAGJ5AWmcfrwKij1lfT3kE9/fbGsv5rE8U5Q
CGZiZa/6brUwyBKXtMXmSsU7bynlgj3BmuRoFqbtszS7ZWyjtrIGDz6Rh2vJawabEDSw3yUjmRnC
pdcQN1tbO5feSJezVb50VbZ1pnrduyvFhxsDbkdNWhRFAFqJ69NhjeiktaV5uI5Q/kkTzib+evyr
YHUXOUlDMRIvBxORQhKrJU6DP9LwfAgi6Oxs66Ph0MFbtft2PQhzXbNW1eqjUn5o2E0FmIxjHTMF
uUHsfJqBbqw8utYp8OnnO9CgSxWgLRTRTl1XZfJN3Pq3qkunl659rf7n/DtfinLElh2219rHv7/y
7v/Xwz/eivofN/frh/c/+cMvouD+8+BzSeeHL1bIT1rcv7SWLq+NTL8dJHgt5p/8r37zH6/Xv/Iw
lq//8T++0Ods578WREVObej6rW+JLN89Vz/Vlmb1y8vXonn/G3/WlkyXAtIsxCW0QkUCozLs/Flb
4ltsliiWsK1HsKtbvAZ5UbchITDGHywuZ1UMiSwWlQ1+65/6F+OP+WsHKBc9MCaJv6Wz5q++GxbZ
Arj8AxwGRSuLy3fbcUuxynBSibbqCtdLg5eucLYSLKCsjaNKQZwsW1LIcQFTRIJLzGiSeeBzN7oZ
fy40Dcp0pn3JS3KrUlvfUtb2QIcYOH7WcmK6TYiQLOlaEM3dETe0wOxzLs2nILNeFQ4IcJllCAbF
sA1fE1P9aIE5Bb6H03Few6gvIgkeHfhaSjtsfJCyU6oAD4Am0iA0qwzil3KPIQ9qfObhedpIaGqj
GEinkyuXIFCguaSqkRtOtD3eL3BA66oZiO0gvAE+UB+mXovsj0RDzU492K23E4gZYRbrPkkPmaWv
QBqtpgR5AlZCG0Zum9pEsmqreoDKUQbVTlMv3XAp+oW1GG15HFOquU2yilg0anrySWkOfawcTGx4
tpgJ4snGLPmwjrUWmr0uYdRg2cIBSzel0jwFElFgkG5APwbs8z1fMwzY65awrRRZXhTeTGgbisH+
kNTdRnMpaBQpt0M9N4m9qre+np5LQ3sdHflRZOpdggICePi6D5O7qnsu+o6Ghb213fgcJcnK4tsx
sOJFlTVU2yVUUDynEextlrDCWJYkuBY0Thakk7X2W9xEOwusgxE7x6LULg35ydEs/syWjWuvnUK9
DeAI6rWAx4Zj2FbZTxf385k64osC9C5LVAhRKlNuuNJokwpIGBoWO7vOTkgZPL8dCbIpZ4hxYm+q
hMB4oX2K4dS0FR5yzlnm1ofGH9Zune2kMl0M0aycemeR96V2AyxtVuvq8JKX7TFnT1JrO72Dmg/6
7VCxiAJOGO/zHLP/mByqDl+jk23SMYYFNKIDchB+UEqZ8+MxfWs8O0gAzgBEnpQ+9eZlszouNRIE
nZioULDmlvpkVrcVytPMMe+xJu4ha69M697kQSuVk/Afm0Ay7tYQP7OTaE2C3e3ZF3STTv5zNaCM
di6C5BDktahbU1BK/XbIKDYEKVsU15MabV1nTrCFJsHjOR8DcpLnpC4NyHZVNLwUhYYyQ2Hj4HhJ
vZuPrYefSzDfteolPo97pe9xIXqxbD1QovuZ1VgTeFLkZPHlAzqvhxLzfMxJ+wHhtU56nhQDnDyW
qfHODIsbY36a4DtHWueJmGg521r7gY8oh/s0NXsaXDfU4Q82xNdF1EZ3tT5jkSL/GYADghZ3M7Zv
alrcF656DNDWlzaGVKnv67Bct8yEhuZJ4Ik1qRkhvMAc2yvvFrsh6vIrnwSXhI6zNiGoUz5iSL6h
Be4hIasDQtnCO5EPaGO7Lak0B80eIEX7h4Q9R9aGy8QFiVSmy0zrtlPqbC0JZk8tn7vgK+yyu8hO
t20hV2VC9gqEQOGSJBApgGemBY7ew1gqw7f16N+aLDevxekle23eT4I/TJ7/r02XghnkP2/F7Jr0
pfnH8iXK/s///mGWnX/tzznTdv9A1GIxG8Ej0zVIZf+aMx0Nl5FDYccwBf+a1Z//mjP5LdPElsRE
invpmsPxzznT/QMXkSoIP9OgjWPw+Dua0W+F1e+3ErM20lJdQ9PxOzGxGz9Wf3pCjSd1gG3rSooS
Yw81LuwJXJZsYXwLh8X01RBlva3QysN0hZOXMHQHUO8rusuGm71IdTyoBewnaMDJImjHw1SoT8hR
NqSi37dh/pJWrY8UDVgTnVDgC+jJEvRfBvkG6PrKO6mR5GsM27EIl6nRL42w3quxfaq68qso79sE
ezD/Wx+bvUJCF83UAmjoGVSpdjDM6iZNUWckpN6gquAjSFaeSkWjtBynp6q1TmM6HpJouOBsBibq
gFyyeqaimtWpVifuQkvHpzKpqZWM7UV3wAAUZbUo4+mQ51ROGSK6/CspzBcn4cq0paSoOHRHF6l9
37pIhQz+7gTMu2jlQTe6p8gKX5LIOqkzZMK+D4xs9Jq61ZetCriEVi9kjpWTDhdp1xCuxungwxwP
h/TFMDiyhP6rW+ZpPnqTzhTlCUtHfRz9xzF+btphHebTIZjchbTlRTfKo6k9IVX/4BTjo87sYlXT
k+p+Glv30FnDE3SyAxTpF6WCK6F1l4LrYk4wk0MJM5SSgYPFp+qGg6InL1kl105qsKcvUbSG0cs8
hNl6vp0vDAyJrRTGNi76S8X1SQrzFBj9pdCh6Ni5/pRQ7Om7TTHkLyRw0GzgglUI9gv+upMPBx38
tGTZVTm7+UuLuKpgsE4hqUPQjU9Vw88L/DiYbr5G4XSCnPuCtHYbcIbzL0w8FkP3AvzpJIV1muT0
lCvyEqryUufZC+zkC+EaK4Enp+kJpDJoY0UQWligPSdR+tLJOMPwpD7rKNhkM2L4aspNIgt/obvx
20gGuBGYp2kKVwl1wPnZrsdmLeV0ILzgpMS4j/Lpk2OrK1KhjqyRP4FnWZhq+jIGw5PNhZ9v4yjy
k+XQmEkdTzWZn3NKgnASCd74dhrKeLDJxLGGm/nmjJo4xSF+lH4C61VTZiLourRg4sdvesGj4Y/2
biDsya/JOi5LBFIBoQ5O/IJciZTYckZUvzV99JJyjmqmYkfpN4PRrs0h5uvuYisWgKvuKQUp23dQ
WMiOnW/ufJOUEbebGHgujM+T4qICs055fMvGlZnOOthBSU5OmJ9SxcL+bG3VyThd38PQ5L0W6nDR
ak5LSV+GkrdTBWW5UeL4Set2ZHe/OVF3Caj4BY56Nzg8VE0lfpNcdO0d/jiK0TxCSUSMm+kgfX+3
iw/7FOhqFGrr+dMkUN6DRsLUKUnHSt7cRH1iA/aEHfSpUordnASEEmY7ZimEh+Fi1cmL0lsnwnw+
B6m1rHKba5W8ZW6nL5uGFzIm5ScNeTTddPxo+u0C10+/iHr3rEY6krNpVlOFb/PBJ8vc1W69h8v+
hmTwqeQfJ2ME6foLy8I3AM9e52a7Yh4s5zFiWNo+66FM07BbdQUmxAKg1Ug3L+TImmy/KgXe43nQ
Meehq6iseyd3loBfLvMwMA9edaq81h15IvVoeehpuRYveQI8L4uit/m97c3pXKHzIAdjMQ9QrSLB
zfDOauxrmgDRf9Jfssig5MubD37mu3nxL9rozjyLvL8/mB+EY6g6LWc2ej+0TOwwCljYVbhjmB6Q
yWV4lDr4nOqdQ0yHE3IBewaqQtsrqfsImXHnjPay12YWFE/uPKH0yvg5pRcez4O/GRngOwruyFB/
rCL/JSU9Ra8/9GK4mDbSv76N1ukwRJv5YUBBHFjKw3z/LVKJV8SNfpE0vktmeDdD/c3fsQvmKZv/
aBMaqkpNvjdv1qi9zveIjcZTzB/S+3g9qcmHIh9Y+5tP83hZTsmL5YYvlctrHmZvSaxSzZ3feRGY
u3TqbpT2cZIdJVr+n2/iFeuJfCO+Gw2a7aZs/7JoLrdvvv2VxdS21iKcrWgiJkgJxc9SLaM3J43e
fP653tdCJW4ejpZmU4Stum9Fvv+/njNZYv3n67nlO4f5/NP/XMaJP1htXfUv36/gxB9YxHFC0ATU
5uUdpY0/qx668Ydui9kjpNs2xY25q/bvFZyj06By8ebORZG/uYKbh7bvXy2OYOi43206n5RZ5sjd
77uR9dAPY2GQxyzskrRKU/Lg+9SvWfBQf2ubZdfgM1fq2aMpge2NuW6R2RBQTGOPfgr7co5VrNDI
ZVb/ZdAV9kBFu4tCsTUrY1sdXHHdB4394ruL+xeDwnVQ/vGTY5bCRwWsUpjULN998jDK48boARdl
zGyulWmbHo4/ELgStSLUwLGJug1lqG6TlCRHdYHl34r4RExJDh3XRx83FrvBJewAPvGnxD0bIaGp
jky/lKXKd5Ign+lZt6obT09oK2jyJR8LgqRWMHIy9IJ8X7eILRjhUJloTJd9D7D/12f5k+JJ5RzN
uQDM7XEQUr1bYFdpkaOozhSKlHyoakQYQklD4imoyetQQppKhLPXcWqz+w7qdTYlJJM7zRfkw2S1
a7SL6rYqdrZRXuyoJhYmd7NVP394tRo81VCaiwPgkApjUAfbsaIyVPIk/Po0eCjfP2YooWYRFM85
Nb73XeKhiayMYBFn3dm6SWxs4a6xJZWImSUafadTtsKEfKS3mI1VncbWJG8LdMyUiwlZj9u8XudN
QrJNIY66GxiPepYG0NQDb6As/BA7yM9Nx2V/kXUsWxwf80odqsfRtcplq3cfSogk51ixRnb5OivW
UTnFAiZqQLTmMjBzdMuIMUaib070e0cyhAInHPfubIiKHPy9ZpqtXYV2WxK3VH36tnlW+gLRreHE
N04+PRp4vaXdlp+McD+iqo4V0NV11uUeufLLJlIm+uLR+LG39ukM5G5Rwh+j8FNYyvChwINiUvE7
SqQ6oliDjnqVKFa1VguJ7KHr6SAJJiq9Nk6ZEt8Lp2l3eaoTnopxxYpUYnVKzPi/vm36+04RG08H
yyGhgnNKNgyMH0eHKM9gnCZdt+E1MZHEIoFtfWftjr65DsOKfZc72jfo0FvI31ZjkpNDh7QnxxPb
G7UwenLXR83EAh4ZfrfTG25UDv25xOT/6w+L+erdQ2bOkAd2w6iprraYd8sEgElBJpUs+zaWTYwO
VMHK8WCU8UpXSvK9yqpSaJ3KamNU/WeZKcPtWETbhKyaxDSHvR33Nt370byJteyJvDj8u3E2e3+I
Do4U2dDufR5xFgEnjwAMseM7Xl9MQJ3o4zvY39mgrwrfXxrCIKG2Q3Yf2421rVMD2bEfT5tcIUIb
BNFTkky80bQvLGJ4lmo00Mh03HBVEoFG5A7Ie3wRaLLiLtoQO1fhgABG5ZMTO9qT3EsDa3qF3YXX
4QDvyr2fDYSoflHRUtSCS1WtMhdRUWNpn9BOdxtVI+HVHEN5JJ/qySiAp/el2R6bKfUspNgwO8PG
0/2mui3o63IhnHYfpiyiXDVD/tM/xma0vL5+FlVNK9bNQ46E+NAM1ux2gWPXpRGxNbUfrlOdpz7R
GmCtMvo4CgC91xnDknD9y5o0Bi0kAqEvdllt6oc6J++lrFGuozJz9w3qb+/bm6ajKF5kgQ3yriJG
wQwVsc/M+uL0fntDHuK0jF3ah9JFGtTnsbGKfUFA2kRvyCp9Xis1z1dOpMGqAiJ7rDqcpAwgI7mb
t4gugrJ07nCR5Zs2G7+qbPpMmEN3tTF8sY2a7akTnvuIK6+l5bivZfoRBbxu19oJjWlDE51gZ4MI
JRLoHEGyMcXHIiyqlRjFp3nvYmM8ZyWYN6s4SUkg7RsaWo7SbK+zjHTGBUl4+qNifuwd4hpdER+x
w214HWHmWePJScS4r3wpl9dLHVcpfEyBHQtG5+N14CpE16D59896JiRRB2X00ZrcS6CX9krUyO3b
OLbWFtWTTSpiSjXQATiX7mi1GqXfoqhva5F+JooSIkI0FV5cKQlbtegjAZgD2A+72tglnDd1AECi
59YyEdMJlQfEo1bh+ZvHhswAnGRb0UgojhZ7ftU2pGW2xK/8+i033s8kvOSsUsRsyUUySWzyj0PS
GDoJxr8OX8w4ojFJQrFRBx8elzY+2KM/3rmaZ49usRMO4THmRAywRJJkYFygMIEW5jpx5+kUbbSB
bYCtWbyFYbcPInBb9CLsVeoiD4yx5JA0xgmb0t5H2mit2LdJFgaxPOeSIrCW5PdUNLwarcxGMHzC
EBwffPX2+lQPevG7WVR/L3/i3PGCW47KBUCb+n4xYInYzoPJj4gXIn27CHMSU5CYxIDTmSf2rdHH
ezZHiUHLKLN9bdMhxXHspL29KuwrkD53kZHBE4mQcUpnEGjsEt62jIxpGWiCVM+q/EQwzYd6gG+W
jYQG/fr+Xbto3y/bTOBpLGBduDyq6zri3f0zMgE9L8tBy/hQjx2yflf6uCVmKNpkmFRQxN5muj3t
RAT+u5bucC6SU1G152IMs0uqJ19Ep1VLWYuCVSZNBz+Uj4kWaDOjljbUPIQYpaVtjaHbJcLcJYRI
bimIfqw1GZIikrxphYmzRcqPNbTNg9vHn2WnajP6/FTZkJ2Zap2bST8MdWscXPb/a9th/arE6nMg
By+qdbKE8maEpOIEXiiHZFerFUldAVEc7Qiwg6Af2NrECAL2X0u0QUt1LG9iR/oX0T2hOPpNA9+c
5Qw/XlXylg3UiWj2qRfr7ybqkTVEAOc73NBVRTgZkw8YCfSvOuvHTSyJpM38/rZRtPFWasqG4lv3
4CoDSfJKdRnWdZDh0NeEu9RSVa51ss1AB8bVdpJKcnCpiGng4Wx0KqxsLhJj3GBo4sks5ZmKqmdA
wd4QN/yl83N2qilh4mpOfqEWaRuzGDSyQVl00oBsdyFKViYrhvkpvDfcpF9RWkaEZSPc0mZhAVFB
htERPhG51bJLg0tLjN96aHUk7aENY9BQ3379SF4lnj9ePJPFBIB6lwLQrGL8cUix+qGUQ0Awm8Ni
/JAPw7OSQAaMGwA5kcbKrNV0aLqsdBL9vjLoADdRsUvcO3cIxK4vDIOgyHqlFtXwGy/71cD540dj
lCMUXrUtE9+F+m5JQxW/s6eOQbtXZqxzQdZeSJ+n7YxXwgGOCMKjJadWEauMHRzhFSFMtF8JiLut
YMWIwr4pwZyETJgggaZH6HTOfnAf2kCv7jQ/eA51NQc4Ep2UqTch4TblWgKjLwqVYGtVddaVLrtV
jUZqWQn1BGJWMGHHYIQVgmG63l/qZOaufn1HftKjmBpnprIFdmeJPAHqP94RTRpla+e5tu6q8r5s
YSBOEIZdRTfYdspNXgzjLkZcnkl5KIwcdaVvrEpI6Y9gY2uCncvWd2F9VfZaITF0Yyca2k2oyxWB
fb5tvGhR3N+qpSpZCCZL3MvtubeWk0HZqBO1dTO0xTZQRbtSuqgjt9Gi7spS5jq6uG5W7NLM2HUU
Ux5cULJNGBxUspK3UdPhT02dOyin+7xRxiV5BcUCXKu/E5ig3SQv4DGKDkDpGFHJMynEtCzbMKdg
UVf66i4Yj5B2WwqjJLTPWwCj07IljSB7Y8btCzXe/GBalFlHlGJQaomtLMEpj7n2G+PvTLD7cUyh
9MA7gXWHUoSw7Hdmm2SoFKNny7hWEf+vqRScySUZct/Y+VhQ13UZ6HPvHC0dVVkTEvGBmtK6p31i
h253zGfy/MpMLcObMsXZ9PoAgnlOAE7kg8h9AtQ6yAxJybLDrBslw9FvW0utEQ9uhbm0DMmQELXP
gsWERTDSg567n2zZqlh6uujJTiiG+7BT/INtzS5PVpCFKE+oAAt1UVkfNX4OkFdzlkV3SMY8vNEl
Pf8gH6u1EjTa8tq9IKyZiBQ9JajKNHa/eZB/2pJwDeHPYUmg16bzWL97kCnPa4Op01NGE72ZRAUS
WSY7KDz38WSYK4AMJIPV1hO5YzoAgoK6hR+KXdHR/VcOeRb5XlKRN6NXlU7UTFvi5RvY8VUpoblq
c5/Y0bQDKovMNik11JJ2tW66Jt+XDSzqKkK2MeZ9Q8OcaC9BzBPBTJI8kEixEHCRqovVc/KmiOa1
GhYr8BL+pZT+VgnGu0lMyqKwURaj3iDgoDiDA/vSY5G1Ure/mQKmQUwWiNMCPrJosKOQ5LRS3PyR
PSP3t5efwKYTkfOvj3ZdKxoqtUdBqYkZP1pZCb9D1OunX196g0f1pweYVTL1fGHoFg3UWVX0fW2r
16d2bFmcrc05ZzAo8BJEI2axUJssL0zqiG1B4gnZ+CcnZNqEKi481+iKpabn7tE12nzZ9QilCxc1
jEIZal/qun+qwXOzEYN+FUs2PqUYh9vBlthfzUzdVT4ALRHv4JCEp0ZgOe7pukVtfRdAl9tM0ZAx
ZtbRRg6WoCSAPrfxsWmGZIom0NQ2egSB3B1Vpr8BpCCs6oH99FTQ+G8r1jVB/tnN0Q0UIHXMTDmI
qqKGMmQR5nsD/V0h7OP1M9F0TZZ1PlgkIijTnpCoGzYN7aVprJs41nwUflpAdZiaNtD+fhdWfbKk
u1dvakP/4laTffvt3CiRr5ieHKSvlgZrIK03ee4rnjsa+hEsMtmsY37rs37Mpm62/TYR7VXyz1Dx
DYeGLtL2ekXrRpyLoL+qcvEc1QdDBJRWQvZ/uVJs82oku5TxZm4q5tVUfrr+V2Fj9r/u1WnZetfL
2+PO3Sa2CEjuitxlm1II6sIOSN1Ufbqeo43EsB9w0/f95G91H1uHPe+AUMJjeFd9dBrzferG4qE3
nObUKZaxU33psTUdV7WbgKm1c4KYuzmu0QcAPO+11k45HP3R77a02LWDHg7Pamkqm2EizGqeFUU6
TQeMHbfK2FZbBbjBKlSp2aMEcr/dlACk2h56ubluWlN7KNsy29utStZ2Q2ebxXpzIP3CU+LIXLLi
NJC2l7EHmJ/A6TCgCjt/7MK3zr3efUZ2vyJYR7u0kbgbKy1fdbzJRPKcRDlVby4JyaZ+0pveOQ5O
8SbCsDu4mWEv6wbdlspWjaWEYOoZojzaWPq5LYC4KWp9Z+fI8NlCHaduQHcUqPFOMXN9nZOxt0zM
af/t00faPhATssucytj1NWkR2S2yhgWhTzQC4ahE8JSEc2gRLPT56cvZozXUK/d2BX+FRXnqiSok
GW2kanItaEyIr9lvdguXcI1db9jOrjRa89DmyDhdZQtG+gO38cSJJ+dshsrF9nCb6xRq9GjQFlQ4
eLvmG9rMtohEzwhKz1G6q4iVPMXP7mXrWyvmvAF2eQFcuoQSKWQfHxSZxwfVltmKfEgauMCh39Jc
AcabTDcEZ4gdkaP2wikBK6Z0wri5ym7ktJau6KTndKoJ8c26rwBWHi0mvOvtcpK6oWZhfxoSIiHK
AZEeHVBPbR3tpBYSvEN0iKoRgjnQ4/m5vz6Nkn3GehqKcGVVobKg4pftSQdglhv1bawhf2tdQZwj
P1+qqY/3rdF2yJ63Rqg3Zx7ckyYpd2lVii+wJjpkSMaPahjiUZ9HLE0t2xuqMQzx8/BmTCR6Tr2o
j0ZCklAqNLwQDuahLOms1fVHcrLMW2lpd0nzWZDZEZbGfUr4NoMVkeWRTF6rib9BB+teS21lW2RQ
N6xp3IaGZTygVtlnPRtwMy3I9RMJG79Wfg3MlBjgSgy3rZzzm3K08T45GIXDwgolQYm5MBmXCVuL
TWZSVKgG7BY2XboNXBJ0J0niWYYM76WhfGq1OVlWybNiC6E+2ZokCo8WVrYV4s6D1VJhKZ0m20iL
ivOAQLDV5oQBcvFSFvxYo9W1m9s5uxdUnKz/ybVriEt1KaqFeNPugsR9QRP3GPR9cbAn+rqZk4rb
evqaOigaI7WH3V7RqMzt6DklMubGLCtyhGLoFz5WPuCMnkEoW9l13ZbIeGshlaryWoO8oyIYArIH
dJ5fwYquw+S3sozyoybV8K4zOrK53AoARzOkJ0oyr52BNLNzCSimLAH+0HTubEkJOLUd55BFpnM0
a8sbhFSPYprO16WrihgCRKLzOFQGa6hRib1CUcnmMxr9ThuJuTZ4tYPODZFQh2N3FwzmpbBufTeG
/KZ3mTcRvIf2xSLgwgnL+1RXtAe7tqBnkDR5dy0fwKlRwFYql9qBdDnQ11iRmNWcjZhorwa6JzTu
ji1wPiL0bCMXRuVcdZBxqkGDPQ/OEIKYBEZFDdTdEIf4PNTKy7cPpYqAjIw81E+GP+31wKpWyAg8
EkDtDXBVezsOJfKEFtCUDpid/jsDQJj1NFWTfllH3YPqRDkZdeaanTILEDM8J5Gr7LI+jD070PO9
SgPh+muWig5W+m59F+FpUW8cpR13bRGTYTVZ46N0kw/kBW25sSyQDOUcUfvbDkqier0KB6MhidBI
lWBFxIp/EkDkVlLvicNk4c4ntLWtXtnasoyzftWUg3GDUeHbSV4HQdMY3mIHqkeXq8ol77EfgzQq
Y6M5EGHsBQGlHVur241dsM/XEGrtcmUsNl0B1sRO2+GWtXNwQ+9rK4ZpOKl5pS8ENanrn0Ji9Hno
G2UdKNR3qxZ6seyVdaTjpfp2E7XGxcMkt3Yd/V/2zmM5bqzdsk+EP+DNNL3PpBWpCUIipQMPHLgD
4Ol7Abq3o+NG9KDnPSiVVFUsZjKBg8/svTahhoVAPzWs4npidjhV303OOHsoMazIoOF1m5G3cWny
17reO7A2kWz6Zt8dLVSVLKgJIukpT0qSQs/UEP62VNleupzaQd6uh7aXm2yA7eOTPbkpld0fBgZb
20mOLdwbBvdJbqVHTbfeqEvbm1cVP10dI4TFrEVWtU3X0ZQMX6EPT0kXndH/hsdQB9yJFClvSud9
JJZxeWOV0X90kT48iDkc1x0h7ds8bd46zS/xE6GZcFlsrLqhrmAGW4SYzz/ZCjHsLIEE796EYl+a
vFO8sD9iGNNEs4F/M6333M4/CR+LN8uXZCUZGAiI66Pq4Zx2iSaeSedu25dcN41XhTKWaIgi3SUp
WYd4XCkIhn1nSWeDnPaYuJN2NMoQItx8Nhq2Pd6CiFfhTfFHNAKm5wT8G0dUlBx6NQpwLXpQRXuP
htoth8hGQJpSG0lzsWHs6R7NLPiwmeaM4G9OaE61nVVNPIyiHr948VWm3mqwe+096XdsuEDmMc76
EfhpsUIe1a4mxw4uQzyuhd5UaG+N8gcDj+2QDx+cit0PoRpzBe1I3Wu0qdznnbt3k94/4LMjitEb
r4Hzq5MejDfZd8+xlq5Nr8JnZEYcygJAzuiX9slyo3bfO2jbFfk4XtO/2jY5GHVKkJZNYIs9pu0l
q33UFTHHLy4Sg+fA1K/dmnQlz+QkgtaSo7bHAag5ND0DAvprkqNZI20FjKO4+IO3I4jZJnSCRoQb
Y1yBjCY2HRwuVD2bZVE6XQyR0WC298BP3J8m2OKUsK6V2brDg9jVEkQN3WaIAa3kpmorIoFLUhaP
TE78XdlQF0XBNxSr8RxHLDUHxp4HMXm7OOnJuZ2i+FknrnSVyZNZ7Bm1lQ9DDXv22cm1irpkTaHD
w0hZzxCHiheqUurqyLySQV08AwW491pXk3ysE7U3H/Xx2B1SA7165LMinI1cZVXGFInxnxqoAnk9
nXkgxdZeC82I9tZAXp+OUaeb3PzLirNt58bBhRHwKWfDcDSrFvcrJtOLUPZJpHl3LG1BoND8JyHw
oc5HNjhlYSQSudTOGb277eb2sdCTbcqdTTaZmWxDfyJJi8h0Eksn81BqymGNgBizjP1tEE7mxuUq
AqflMCCoiariVNP6cvxRhO2EF9P7FDIPLspxvn3rZ9hk5VXPaIIgyaF8KhMISR6Eq1Jyzw6BUx4n
znAGDwURpil22qwkqzvtbbWNpEbJxglJhnodn8a0KxgQZNsom+6Ke+lcJZggytxEMd3dGeU5h1Ix
TpMZkbFt6hQ4iDCdqhlgMJ+S5Ezc+fcgw2AYjan3oTi3rpI+e51pEnmRzmw4Ex5wYXYDm7izTkht
SP7IeARbeaGt8zZMN76HB6pNo+iCVnw3zbOg5b/oGREc+/kz8fXYPjIbrD4zGtR1p5XVeTIQc9c5
4DCLQibR2cR6UdvtHRMflofU7JDkeA60iNi0GPfBm+PCbdSJVWO/z1wVhDqZN6lj77W2+yWtkhSp
eTSyXEuen2kEh1sl80ZZzUmUK4p6Dju3PWcygKrNFRy6fgCOiEjqZJq2oiqSH5MvCWsfPc7IXOMx
zp8cPhv0gc011OxpO/A9VpWP+DyYs4oMvX5BHIw8KhrOQ5u9Zy0jCxoXe++70Xa0wOcFWvLe+A1K
iyTGmzJW4Z79C+eP03v7Kqwt1mKR1a8Nq8iOaYUlXPV+dCEs5J1h6r4qovAINe6ugjB+0QB6I/j4
zOUQvehDptaZS3KSsiOxR2LI8tZGxBF9L6VSlp908gp5w0QoVuq9Tgbo4ACcbFmSNl9mw0oA0jlM
JXnlZsfTfLLuzOXEYHsfWJ53CFeeUXi9k4/JBx5P0D5DC6RH85PtNRsJip/laLfVhLfAca0D99Al
YJ0BWymwjtI410PtvCBMPiz1SBujAICP8iceQUYT184gThXRLUG5QynrXp2iMV/H3Cd9Oo05ALC+
3S3GSj0Y0EcIZuBf8ZbYOIZst1CkYg1/pjZHckjQIBKH5LcSxdvy+KJ8lmehuU/S14MzMaFiVeMP
mcsp8NoXMdbElCWK1hGinH7UD2wOw0s5Dvi3JeOQ+XjwR/k2ufSxLV3oqberH0M1F/vIno512u6z
gOp+6SOXQXpVubN4QuHEGQ1rK0JF+TlPNRYl3qJPUrpHmT45FDei/+1U5dGB9qkNnjhGtWGe//VN
ssqOYyq/La+0GDvyAx3SpjslU7Lr2NbsQw/3aU5SHWlV04mQronMYG2b642xsRqioukGylsWp7ul
e9PgIpLdq9yLg+lwl03S3ygZeFttgpw6dcnOTHCUpFBV+tHMfqhGcdWHmfmaYBu6Z4Hx5jsTshZm
Sq7+GP3IOpVaD6cNCQvHS3YPPW/v1V9TXYU/it4+5CNDVps6JrWhtYQW8d+qd/a1WdElmbxkaea/
0oLODTXApxiK32Jr98n4sEMFCtX0xpWeTsar2Wp/x7hnKYzIA/vGhGLdnewboqoH4Z/hvqnEeM41
Ay4AIWLN3rSZcYUxiL4xnJ6XKpKt835kxDp2PBNNWc34l6bdl5CYuO3bv8qI1aHT4ACMre5SspDR
mg/EMaZdQAON2jWmjHvAWl0tK5S4tv392BOZExY3/K39S0V6/dFvodj5vcPpkrbOqh8vNKXMFDSC
C7XGfR3mH6rvpz+NopruzJOPGF3EIbCQGsiO8APRx+iMs7K8wmj/gM9p7Zfjk+9Lcd48e9bdQUFL
q8NwYALSsmUpssFWED1SPzxZjoFhbUyvvtN8N7r0XjKPHHgeH6fBUemdfQLVbO6NoAEtGzsCKrI6
QZKp+xURSNU8ByeG7VUD9UTaz9oxRXOS46uVsWioqUF2RIzihhUpA/WByK99148WZ/1ggZwz8lVG
xhy8GHNTmbOgyIm+Lda49yrgRP+v3sckqSHBvbA3lSZ2PWcvwAJE6mJEP1HyyMfml92NRidrina2
kXjQoel/a6JtLjpxvrD6GEn6OuvAyC13Yzl9dKoZ13YrBNwghzuvshGA6RxuSz1QcsNuS8xUs44W
v2AWaEyHWjIwyGGllRgn53moBzSw09YB4unn5nDzaVV7VfUHDR5hIclBK3RECG5nHlVLi2bNSkO3
mOvSSRv2acuAKYni8rTszdu+FA9fljfX3EV1UNwLE5+XVkcDTy233bJXNinFmwxRxfRLKX0vvP7J
a8x6n9Y82sKw11H8JcQGh/4va6BujjkAn2RHzRxX1Vcrwh7g/tC+DT30PFfOUI3XwqqMaxH0v0o4
iH5nkpKe48JjL/hY2jFTV2qN7PuzyHFv5bp1S9zuPULQs05Gq9gzP5tTxMlOXp4e1iwQyfzqSTmW
T5B8zcJZsx6FaO292ZDg4kMLCXoi6DzjFKWqPqj2szcU1UJkvYD3/VNMkAC7Uta7SSnANGQurxpD
0289yahrVDvLjzHD+DAPVO2KGfCiRCrMMX1WEJsKl/yEAKPgosDS3KxeVy4RLuVkIgvOCOdDd8Jn
AEr7yTEILGmJOeLCDpu3yjYp5Nyu/ac5Wb5jGmBGXT4hahpxSDrMcPVOWr0DZXAmmspHYVcDIAxS
JDKL9ouVQublx0oWJzMtmhPu2rdahs6tFMEBvIO3GZS/hfZVba2uNKFkxNXTv33rD+Ga1b5qenme
yFVbYzVhkivFsw+R+bkbfAJNuF+5MoPNlA4/gcbdyQPDF6q5WMFtnXFKN2902vKpNHcGOxg8lPIp
zpEZ9BhTCktBjRigZUVk0bXN8Cr0qCBrxNjYISAM1KXRPy2BF5BW4U5+v4oqDTIlsfWlnkeboTCf
Glife1damJ0WUaCkm9ppVpnQ1XOkNy041ESLaLvpcdhT1Js8GYjbSMZ3i2PsHWXUDxjwzsrl+xsC
f0GpnjgbnupxRLuTONhzF71X1jpXGo5k05kh/lCzfVLC3KjQJibUUhwqtCC1FMkWHYgDzA5kdzDf
Bnk+MBx3kkts45qHMLW1oT9snPxP2Bra3aH1XBHrXRw8My9vmiYo9WpibGxDRfeAl4/NiJEbeawe
UXyU2JMR7MYh9mAjRejcysTZT6Z7d8OEEV0O2K7wIOhGwfjM/9o422qWRcyXVD3ffuSR+E+N7ohN
UHGniDF/m6rcudXAZ4LcUA/u11+MYJGg1BUTLQJi0PtE50I3yzXt3rhRE4sT9AGPtm7FyRDauWRk
fTAJMFz3tXSpztxoReB4coBaAyrFtOW2DaBp2AUot15T6a6O/Sd/Huv7s6rDUW1C+A6NxfKLV/UQ
0HMHt3FhrrzGR63lTXMgjbh0pDue/+hxFRwjjdGHNxjhOfN6km96o0J64/A7lEVMsWf6x0cby+7I
5CvYDcW3PQ9lje7NMar8lsNGyOKdiKtNYpTR8yji9TIjy4FyzG/R9chbNJHCQSOxn+Fw50AsSOWu
HVUzHzTTO6F431Ub0U5bVnaPUkKJfU1pmzSL8x2pBdl6QNS7iqXhnB27emN3Uu2tnHbMEnT3PifL
hucie8YUc5zHD+Y6Eie9aZSe76s0aw6gfzPTJdNdixC7icPgqh2qIn03sudiZl5qx7hLqrVLnOY2
15y5Xs0Qd1AdGCFsGULBo+d6gyrtNzE/02HmtbtGGdw7IszW87jvGPpqtidEx9Qad8ojr0mo0rx6
IZEIFEbOBg0AEHfWwdsieOH9iG3peM2rkYwZBrqImRg91asDY/HUFvofBg47ze3jjzrrx3UUVhEW
5jZi0W46Kx78yaEOKAfjvHW2sJWDk0NTg1KY1zMp882oiEdi+f5lyB7YEr6NtR861i6TsdpqqSJF
yI+ca/4dMxpcDW7GLaBcRb0DG8pJLLkPyaFaaUhaGE8QK+o1lK+kT8b75anQNLDlARx+R23/OlS+
Bj+g7bYFcvQt6x94wVh9QrYU++WZQ/BOexQwUXc2gD/PTc+KyNzt5Jr/LhY3idAZOv6cSMWnnDvp
GQald7KU/V2mKiSEaD72mvIWV158h1Wy9z2Dxn/WgQnDExtTlOy+I41KM6wwYjdTvK0LX11znGo2
QtV0y0CYPYC1dWJPnTq9eBoqii96BDJyGv3qJhXBtH14WO5tBvr9RopO7Jy26FZ2ESAR8Nw3W+on
TWTqtJwzelne01YrT8Vgt9flodbYXr016/LZLVl5ypxg6KSnM+U3pyb2jzS8zZNotI0cgu4UlFGM
qGKQB7cv/ta9SdqTFd9ZLHxWWK+PotNYkRuC8N/O83ZFXDfbysUX06YBZaiVS/6TUO6dvD1oA0zf
Uh+dc631t5pI+7NIvG+F3gPfHKo/sNKQ692puLExQVZVxc1jykuxIwSS6G2iK3e4srDlRA0aYTfy
d0OjfzQ2uQ56GXZroZKRTWn6t5I+5LAE65c1trQiMpmDSSlG4+ngq8k4Y2pnp0prfqulf9bCyTgt
fVTvMj9REixW0BlnFXvfhon7vnCE2CzT1WRyuh26oC9PVs45so0Hw/jpQl28GeeNDgaU7XIKS4cS
MmubbG/YAyHp8/fqZGtfCpcFaRQb4uooTmYvrAaeaf5XUwXhiXpB6znk5y2LdMJXbTLViYEWmBd4
JJgECXIvq6qi5dUj4ipchNRDuydo4idahWHHMeWdSTlZMW1nVNOWx4Ld1saMNY+pMsjJOmvlPSTQ
KnHYcPZGAIK5sfI10AYOhFay1pskBQUXv/KQBWZCfnXCTQ98NhCipP6u2/wgDat9N0JuYdu6GIjm
z6JC2+ubgL5sFA47Bl79Lo1Becyml+MiIXRru/zs7O4Q2Y0817a8y0y6lyrLSwBNZcDg3n0ZnNp4
0bia16PRvDSVNb5Il6spHrYeZ0rQ990P142+yfOYVgg0+53taId64FTicD43wnlfirDlkjWtaZcq
muvKPUR5UZ77KCm2tY9I0+WZthwUwu/yXWHGZ2WUHyB9m3tBcrdIs3TLBKs5BpP3WqFJ3+JN+SEp
PW8OgpaZOfcXjDNR87UwtkMlfijTXTeYOBFaGTuvCYJNj/RYL8kWBbVImlnXsRVwNXM3cZCjl9oW
ZhZDkI/KE0MqztdZuWd2+YsA7rLOnGJ8rtAIrnsZBPNzBV2gFqt115gIJKPkV5Q3xo6xfYFAKTL3
QUEePZrKrwCywb0HadLkmFEX7bMxmShvPeTleaJOy7XIydmf8okh/LyrD2JxySvO1zjw/8Tgz4Ha
onBEWpVAu71HjrhMpHdxKX6Uk6ffnJ/1iPXVwHeJz4CGFOrnlXg4eVhkJ0o0Yo2iJmGS4RBXBLb3
FtsaUduVf+wzIzsu90gJQNeTWr8xmAttls+tJA+bt16d2ciWECGrA9505zfLmVFBemts8ycmRBiu
8N8sG15nOyFwDdFUcLPF4Cfwht4Ym+5LJ3mNQsu6JvMvzeCvK5WRfhTp4lZ7Z2RtH4IV5nPcg1Dr
s85Z99O6SV/q2HxZFBCZT+SahfJNwLNoO50Jp5sqIL9NvNPH9rpoHEKSWa6182PpB5T/mkX5bCuh
Q1h6BoYEs1gqf9X8ZjtIohfqS0QY+jlU/J6whG2yVLMdQ/5bqatXU/b2Wy3kG625BIonokM3zBEo
mHlWQhvKox+m9AA8/l2elTwG7SGvtr7Q3yhG5CG0RXhpZ+20zMcfdTJiMGZYEwepderG9mdQxcZr
ij1ripqUqLiu32XgsC6UviRbBINz1wyeJqnrPtLQrm9+18ZoG7NdRgNwa4y/htcUV2lia23dStv5
AQMHaRqXhrDvqE2r5wJw6tlwxVPUWheT8/Strzq5NhAzXOs4I7NBQ+saivoc5/WbTFRDXLskM48t
R0rcZEZdNuR/BxRNj+VB57jMnoDTPJuxeEqJSyLXWr3j2CMW25rai/81Jqb35IPmg54aDsradpZn
bMLpBSweYHuTLD5r1nTJzL5Ek4IHkLiHAEBZ2/fIWkTvXCoWydqoybfCCQFHMmtT4fS1rOIZ3HC1
xd25tQKUqnqxjakzv+36q/Yblht+9V4D9BmJjcctkESbAHXOKeVcWbXTFDAW4JVK1E/5RDbghI7k
IZlaHwtrljapwD4CScpWdEEfdqOZ3Rq4irUxgW+urXlVVQ0A8DRzvBpZ/FItkpSpiUGDGSS2O+la
Tnr5sDW7Q2pOXxx3zbWL/F+pH9Wsb8tPhyB3krOz8OAa/jXvpmY3TdCNLZvCI+hJlWYpF948dnFr
lkjNtpnpe21q/QkLr907jR2BJ4Kzwv0ReqH9xcTHSF9oJkq+3GPC3Yz9w8pEc3S7EtON6hlG0f5f
00EcE81hSJXm3trQLO+qUIXiBO5NCgue4ZIc9nUhEX04c83u83zejtTGm1SAi/R0nxmQz+XexTH5
JKvEbYoH+qAcuHFtyUvhO86PLh6AqPVEP2Q6clrNNdIfds9PXyL0+x57N3pmupSxBtowUQ+vAYfe
ZiwcwjXagoLLpJfFsTjTmpIRQFBa3kxniohpoIFNKlraAkJGIzlBnbB/JjpJbWzVGZ+mnL5loDjm
kb8YjoZ+rOkA/bAC2YWl33xj3xk20RiVN2BT26LNuosYJlaVfPdVGJQIL00XXvP89fXIIiMqkuA+
dNdY9Gg39Oyr0xFxVL0wPh3ZkImdvYDvCy5Zp58xEgS7qRu7oxii50zS+gi1aOxM1JYwma3exn0w
T0IFyaWPgKVW/47UxIXpBuOoG4k+XF5cZKhP5RJvsVwHUUrTXkg/O1YBoSBE18rDaEVXXW/Ma2t3
xr3B9FxG51AfuhcV9uFx1kqLLtUw98lp3aWsptRobWNVvBgKCwfe2j+8E21faVhIWpjLmRsUxz5q
R9DbRbc1Aag32MbWmNyjwzLPnRoawMD6MlU9EESayk/Zqb89fdfDSqifm8wxd27LGIWaFaVlZ7gH
E4Hw2i4SmGGyZPCExvAaQtJAU/c718oaXMkooF1qjHfID98IZjTrgYHFy5QxSklB2G+LiHyL3kiJ
Dp1tQrrzpiwCN3p7O5LRfHeZGo5s5J/71HoyE/B3DpaDU4xd5FBGOdTKegxWmWZrHFnG3coK927M
h2AssgPPK+soWKgV3cPLLh0wr2td983KhyOy5lIAGzXV4hjEaFKq2t8ASm13tXoNGUDe2p7guKJn
gULkxNE2JvXkxSwuR9ay+aAuxGUBN7BEepfGuHGjuLmkzIz+afEkA5WjwXysylBIbWpoumA9GUQk
VpjdWFSNZv5Y5jLByOr33zJgYtWzrS09vQCTmhV0ilZirc8+vx5pwb+LPPIHdmOVtNeAn7+MyeuY
VVv6O15iCAdRYK8b331bvlddEyrrhCLd6cNAl9jl5XShIqK4XZRxcQEK0ZvLc+6DZsWwb9rmJKsc
sj67j0oxvRnp8Vdq4vq1eeJLDSFM3HvZXft2fI0JY+0+szz9VQkSYZwQcgDbfvawvZe+gIPaG1l3
jIs0uGhq3nY4bm0gLmAC6sTxTQ/z7mGFAWc/R7mFbPNVy41DEzATLWr/wnACGf68J1R+x5EqAKwR
XKO9ezWLOG/k6CZkOOlDwO62beIrGw7w27pDrblvnpH+kxfg3UDkMAtiXC08jGbiXR1JK5gT4Rqi
mgoBdbbNTVRckY3FmSwAVqyzWfFY5EXwAz9drvLXwCWu14P0A9Nz2A41XqR2hqSMkWECPKGkW+oT
gwc7wW5IrmXX+ii7p2ZPblOzZxz8LYdwAsdmvOglpl8N8hqaJI9dq2NdrQ66MKL0o85Edc0KN7h7
fshtOl8H3pA+R+k2Gpz8y2iTt6ob0dyF7bGJ2ngtaos7OQz+BHZnvYSlIipLhq95ME9AOcBhM6yU
KcZHgmUGlUEHb5LBQcw0p0oqfrr1Wc4OkGlwm4PvfyZF8+WnQ3ppq/ZnPvsZkSe00DEGyfuY8uYU
zT15gijMRqMLII7E17FnVdB/At+dtpFltkfXmWKoQ1l0KvqE8Gx2Nr1RDjerCwXlgVUcmhIYWmk9
aaX9pKkAyS/CuVUxy8Y7v/rWOB4ubsRaAkLPz8mpjCdDWF9k7kyxHv0OouaUzNVS29IETcFQfbbO
tJ/mplCEccGlm2QsWMQ6V0yexiQ4FqX6ZjE9HlUMEUQ5unbKujBZVQYzk7TnWLNrJmPLgKLKM/fi
Kvcvai2OVzbFCH7iaTYhgfHttXKrcKxd6nlriACq2JZFyNEQHYaUa2FRIS7Szc4m2BD9JB5KITny
0ImFlVM+LRrO2R9QtnKdctNfStXset8wrpErmicTw1cZC4RKPkKhfsRLm3ZRtWdAm2zUrLgYXHQ8
Iu0amEc8xviInrJkX1opDSlct6dJnfJZRlxHFF297D44Qk2MqA7ryUVGiUk3BcOIiLwz2/6MDBdm
73IwiLqEkIL0+MykokSURTrVciHG87QUpALfxwf4qwN6AmgDpSM23eJJiCvYH/Jz+sigomBtgV0y
92bt7whOugsJK0fo5P/TkZPGcvCCP5yHNMdlzVBq3j52FYofhFfNUZjxtTaHfofy0P5pEYBgZ+OB
xMvwQFzGNypiHOq95T/G3partE3Iw860+GpXdbHKyP168aT9R7T6bzJXkpsZ6eYbC/XfgT4mN198
mn7rPY2d0W2n1r8XNspcs1Xaixd9Lbeffat7nL2Za/7Wvbq8WbrO8m6uHXBF6duoGN5aJy0ODBWt
VWbK5FF58sWUxAiiCv/rDANpCGPzojSXMiR61ouZPjTLU5sErz4yLuvWF5flzjQRQc67YB9idXZe
Dh+NK9FtC/smY8BMy9d56LgI4PQBr4vhadmSZ5Ti2Co8bGToiFc9y9BN73XoK5YXOrl3VhCI5bXP
2mjiQ47YYZcYZn0K9I7BoNahYZ9PGAT7/SWcV5ZJQ4+TBKsijLSfRTq8h9tmMNVzrcXTbRGCL1WH
nZFU8s8t1cVU2PoqNe1D17fWqQjtCgkiFmybYfVJDglK7/l9jwq4DiSIboexBB4aBshi6DbBvNXv
RvNTS8KdVnZHs/Sqi3SJ+ar9kLHBqH0WTpevSldwAzBJutIKTcC8k35rp7ZxLpU/A40oJ2qWXmsc
YDOqXcT3aUg+Sl9kN9aHxirV++Fi4tou4UItj9Uh0H7rw1jvhyIarp09ovKYH1TNQMUYZ4w5W9nY
58Lpn1MK3dvyNgxFBLtBK4femk24AJz5LHsf2CU6+m3hrlRedLs08qyLmvSMB4MXbRO/93ZhEoFT
Lhr30aOdnMuBfNKRCU1q0/gscFWuzqVpZtiUveYA2tx+lJhV4lH7jhtC61S4iUeYmbHdVi+xDGIS
Y7QebZ+JesIKtFuaQA1Fl3DsW8NDYWK8melY3mNaVt0bxb2cPwb3t8/S6ZHaimVIjS5DTS8Ip1C9
6rgmncC8GgC/5r+U7aGIbR3nmQd3/RQoiBa2chLuAAde3dRK8CkMQWQeXQf3RTRm8phmipMrL5xk
IJn8vNx3k79l4JyeCrazmhZZb3V/TIpi3EuVvaGmZmfnJxrg2dC4NmXerIaqdjCSTOFRMGhxI/uK
Lr7dlQ7NYJWq4pgR/pUlLSHO/6Ye2ICmD498dFQ0T1Poa6+5JMkwtybmwwBSfP2vY1rdMTcR5M3a
TIH6rkBDCtegv3J7VEwrRmNTBBkVKtLwdWN1+auvy4uq0LS6iB+PeRXrtzou35suxEBtpK9BMCbX
NEvcdZTSy7BNqG420DVlYf4J2MTt0aK4K4vN385zk6cUl8JrFb1RLYfnJrHj/3JqBMFu6QwQ7jUb
tLjxK9gEUmKXa9EgJW3tJCLaAriP16iimJHXpbdO0vTW5Lp21DkA/hWHHbaCndbgYy8MHkwC8sCx
JvFs2U1o7jDu9T6neFJj/VSATvn3HRTC/32ZIKHQA404NwM9zXJcekB3/x09qu6LneDIWrOgEfsg
AV6LNGGbZupnUqvq2cghgoBJuSylkR/6/jUzVXYMK/SMscLEpfTEuRYNNIKYrIt93ONuodt5IwzD
3dGaaCwsc38PRi1w1o3LBTGmsfVIuxGUdSKcazC4G1Rs3YECt930mfwxZr5+CVhyLQXYcpBZnxGm
qVWQj/HJq6ls5gbebRhlFih9kP3ot2IWogM40TY64o6LHn4mbu6DtUJxrTfRsFuaOJwloLmZeDzF
fvnhoDZz3aY9y+jiTxpiF6KGGtc9Onp4MXKnfaF+uDJUAYyHEUTXGLzECNBY8gVQ84uq3Iv6ag0D
5D/XyVAQM04WA9njmqFtGaWkUFhObW78WkrVvC1PCckp+8IMgm2n35KeoZHV6uFmNMxyXhN+5JmH
hSVq+jUSO27EYrQeTvle8DiGLRux93CKV3vwWnS+lXc0c8tfYQRpjhDovo3Q7n5XDcBYH9OU4fjP
KJQYXnqVWONM+GOrPHsotkuxBCxbW83erdwsXDU4w2JtQFavmmLnoODYQxq8RlYw3XpTdpsIx6zC
sCZIEe42NdR/pH2vaWumT652YrF2a+M0/9IQlKzscIrObTvS9JDvhM6u4AyIxX2QBE/oof13VJV7
0dtQrYah/LSHaBtLRgM6IiiPaMFTnbQg4argU+Vy9omSEhim8h/g5/8zv1wcnf935temzBF2fP36
P5Hn81f8F/fLNf5jIq4l8JwRhhN4swPxv+P0jP/YZP/wjxyEiLM99H/DvwznPy54Cz3wfcswePDx
Vf8N/3L+gxXcNvlXxKfbpuP/v+BbHe9/OiQDA2UHSk3+dzZIsf+JPKfpxAnnzqMnQt+HUj9XGRp0
qJUwBtFrS7YvySljFi4A72E5OFsaTJ3IWNudd8OJ/qM4msa4FzpQBfaqRvJLG+oTxtaDCxFljgK2
SDaNknZHdYx4ODk5jEMlh5q0P6I8veqjmrdwuxF6BoFFc1tx9jA2j+N4NjHKdNCs+mCYoTAn19CZ
+gK4htMw/31+zXa+6cRHaDYgsHg42k8D5tZZbQE47Qb9lhqW4R8BvRa9uxsbD8flEcsO3XSbLdbd
QyG++oCX5LXMnGuquAlbg36Oy2bbIpLz9TV5QFtT19fEdBUxwj5jVmnzV2Ks569CErmbfyLzqymJ
DA+mmkQW3rgz7AsCPtJg3FvGTUHr6UDBz/8Ij9bWwnAKwnbYR77aB8Z0niOCJy3eBOZv8nsOwKfO
WB12IT6d3Mn+dsV4jiAt+MOlT4a9abQ7P6e25+3pY3ZVLGfmTwDGzInHzknj5WZkpvSvIZ8iDuC9
sP+9PrPjTWv+zeWnXZrQdhFEKje9pnG7ldMr7t6Vq7WbhHAHPRm+Wm3GmjQoAST6c2Odsx2saj7b
iXgcttUB/VDc6+tR/i/2zmPJbixJ068y1utBGrRY9OYCV4YWDIoNLCJIQmuNR+vtvNh8DhqtmKzq
TKt9Laoyk4y4FzjCjx/3X7BIWCDyum0Pa8P5boFYkqGGQXNwLdZXPOOso5+A5/gqS4NW+UFGQAqH
2whS5o3IhdfwGDbMFrqtNYJubd5R7VT9KEcHlpmVB40XRojXlxmUIdARMpRpEx1cG1FYmQiZoE51
SEcZYBRq1Ua9n1vMx1nCMmmOwTBGmOnRYQa3m9vTUV6WuqAvP7Z9zNBD3O5ATHcH2DKHqjRPsqAp
xewTZCFd5WWEmVfDRZMfk0nRsP2J7PcRDV4LdTB5X1HLLDFHdsbhAKjwVoZsWpzbVuH9hfMRNock
b2Gs48KiQAjkOjBmN5ULjzJSaf+8Ub0OSqhdsaPssuJVHm1mw2hNS+u0O8hy2968WI4ZLiRkHzdc
xnddh/Kx2weAcI5l1+5pYwJi+iEKnHFXbhsMj5EnntDEojnuwIjXIZ7TMwi+yM9W6KLLMpG5bec3
wPAhaAUZcxHyRQ7fl5VSpOp9yU/CKw9UlqBrJJcOvS8nt27omvtx3t9bXXfwzOxim9Y2HzLImqfh
tNByWjUHj7n0knZv1tlN2nKCciwizLb3xmLvecOz4ZgnkWDu9elIMRIOEcZE4QJkDXW3Ybza50kf
kFm+yrAkCY1KZlMeaqoZwIUzVrwReSiZB5k9x7rkOl7H0XWOxI/NwGFkdqs6yUUGRl44nPtDEacX
eU0NL6hFt29lkEstu4R1t6/c+SqWa3zyTd4k5Qvbab2SJ0xpcoxt/ko1+17xjJPiLC/W0lJFZBvq
ySVWRjbAo8isiqZy3uXfwTQ/1NGzqChP3vi84llaMOkj21p+s2D2lEqBV9vuB8ZMsz720MjjlJsv
i0+xlitFIzFjV8lIyAIBzXyQT9+mhZ1GazQowuym7lRKX1RGpiHITYaaB3YINi4x6FLX/RHPlDSN
MIEgmiDvi3bzrgZ5tbrZK3jxqyK6LSzbp+F4KYz0JmInwj/YmzNPheijGb3JSl3rPsjY18DHKHs9
LZPmJ1UDOOq9zinGwQAp2aImy0IhwM0kndg8XzqV5yG6GSxglWemD+PgPaGxr4DLX3InvbguI0FA
kcMCxDLkK0YkAkAfLn5PjNS74iZn2mIJ4CYClGt2aWf6nDmaiXAQ6gdUxA4VERavtqOioCvN5vbi
4iIPs8q6FFFUg92CgUdsPIysFvkxEcWuY04g/ilfoFNdWvtuX1h3i1kc6a9A50KSO4dHBP9aPqWF
2t2I/DMbXadnjhbCjby2aq1X8Wh+avLxucqLG407ELDXnfxeIQEztD+NykwVk74Xw2FGiAOXxNTR
OMVRcoXiNBMXqevVMjufGm26ytBnkxHKvFPtLie7NT5ZNNbll7XZPvVoXctrIn/jKzDs5hGlp/iS
ZMZJdbMLmeRBVpr8t0xHrc3PJne/MUUosTqt8/zctcu9NlIDn5HZJUeI2vIGgbo1yS6und7ICOc9
O2Dun00iirx9roLbTLN9xT2kHJajPACVwINTZ4eisWF/EUfC6XEb3MI6ecVlTHvaNemNrNuwSS6R
zonBqTxmK7ymz1q2HuQ0lghBWnVSXMhEuLvN3nqvK/mNqw2PlAT/k9rCU/363/9lIyb0v6e2j9/q
//c/bznJ7f/5meWWf85z+fWfea77B1VR0lHdwwXgV5cCR/8DcwJ0AmzEWlXsIRGu+uns4/2BnTTG
BbqGdgeKYHzezzTX+cOCaYD0DL/kaqr1bzn7iL3Yb0ogtoiOqSjwovDkILT7mxKIYnRWMjYQbR1t
aM5qmb14SXiJzX685tMwrNQxIPeKst11tmkeUZgrdmWpsqEsfPnMbN4jBQfVCOuyxxUBjEq/7yg9
ql7b+TAlbHZWc4pp5z0A00Z/JaHUWHAtr+swsAZktZYu+24h+XNstdWCHDLU1z1KBbY1ci/vDeVY
4ctyGnLrYZgBiCmoa19Gjbbbmpq7ulD7YwR87gZJS9iLfb0PR3KuGBzUzvYAV02LveyKhc5fiLzp
DvUjhYoSn52MHYKWGsna0GOJAoa3PWlR/KZ64birMo93UFW+L1RCv57d09qU4Dr0EReFoS4vvQoW
Z2jdz06tUB3z3I/2rAhg0fD2drV4+9qCWZ1UJnBHmB7pAkMWLtgUbJ/ajCM6HqI1bwPqU+PJ5hSa
YFUW9QfMet84B+d73BrwI6JKF413VgctLu6c+8KLlXOmIsyZfVCcqPsS4SkdNtqXKOf0U5J63csk
rhpCYpkW3kUeZPAcNexymrkHt7Qicwc6cb1+1pZWQT4JFpQoFzqdAiJ1Um9wX4K1qeofpxXKqJfo
PmAFbI1sGj6Zbjl+CUBxl2c4NuIfjO9xRSBv1olq4kp9i56pR8Fw5wpQqNKE6W0q1529RsewSs+l
ieBMjFSVvzgUsIbh0WqGFpBsdPFq5x5B88KnqeX4jgeh1vtIAo50O4XlrUWjl0N6CrX6snG51H1R
Nc81/bI92CqZ8OFqpWpzKgekzOltIeWfNxADs9HbwyvHo0I6bWvpvhmgaW86JbmuDPr6WDvMF23W
rzO0yQ07nXZ6aRnnTQSJMjNN6xzXi0m6dl3YoTYG1umH8F1G0tgsL0Us5bJUfwotoLydvXxq8/rG
6dPqasN/dUjBBKY5QdfF9kado2tqWkhJjxTsinZES2sK78qoQIreoxfkTgtqT723X1fa9EuH0MVA
U0YOCUQ7sgzBisL4vKw6SmSl3ZJsslK3AZo15Bc86nFzY9YMMS/u6tl3PaOvaRsquiFGeTPl9f3Q
wEmDNnxdAgHfWcwpYDd+GuZ3EgP6XVSLu+/wso1Yp9dXg2eFd9tIDgnY+BKUPJRBrzjii4poPnJ5
vnJYO4Q2MlX5Wto6sHONiiF37P3U0Ij2oqo9xQPKihrEzWDQVrzmwv5x1htU68vkezbk5nm2nTt0
O74pCDpTOm6rqzjh4oXY2FGFovZjU0bEKp9q8nuVVyyksUUFj3XXReE7pKMeKMS56NaYy04Ku4QC
/vW4pnujGwGugCEPkhnrvciqjk4yN0f5O001nd0QO6DeB6r/G5Mt9JxkH04glo0VH6o5olGVhsMD
tgLL3oyxNStKszu7aK8GbgJ4MIxx63TRxrcUT+UCWk3XLxs5T1PyJzWqnP02mnNNQhpbKddCtUsB
5ztPSc76aGmkFHGHTwKU/T1sZj/Ssa+ds/YUrXiV9O6ll5VsuzXBQ80elWjCfogl1Dvs7R/aQFjN
BlsNtRyPozMveA8iwjBDavDhLwSLOLUYI8YTWzwoYzCjtiARt+1hL925X9yvihc1Qbd2XybeC1Zj
3d1jwYOXreI0l9VZH9sS5R4MvbGXdZf7XM3uaKyVQHhA2+p5+nlbDjTSuJZEzRWihYBoUFyihBzt
M+hq27PiNP+dy/K37XHXTPvQVxoVAssjV7SEc687GluT2bHtqtqhXsd5Q0Wa6+U8Rxj5StN2GWVv
5+k9zk0JmSphkrAf75Wu6PFEKzxS1O/KCAM/9uwE9Y87rxhvwbJ4+7LEObcFmhdsy1rr4W2Z9vLo
KTTAtnlrEm6aJY14HfZLsqD27sXzqajsx2FN4nNsFzeqfL9RxdeJ1aNNXKLDu2kDAUenvei8bCNR
gh7FZ4ZCNsIkBlyJYLVXAdQI+BgN32hssyCD8LTvoXjsNFNf6e8n4j42HLbYoUwYnkH/PqeFF6GF
W5+6XMmJvSn4iqk2Dk6cX1WFULpnfUZmoqLQOoFBLOblEs36ii4MprO1UY371hsPrApYJmuZ3zW2
8poOwAe2taWY6U6r6Ij3nQaiW4k0JDugWwIyaYnogJIhiEYK+JftxdwC7opdEQ/ANazB4gKWSPMc
DUwVsiSVKJJRZddoA2QayrI0ZZYj0j7xPlaXFn50ZB2LwoS8Q9emNc2DatEnAH7bABiL/BjpBj9K
VKD2Lo9bY8iHZoIOUYBuFpGSpIEwwdU6dY/GpDTBYOp3SwOjsB/SYc9VpkUZGWgTbUt42WOHj5/j
fcnzsdx75OuB0ZpXfQ1yx1NJv9FxuCkN1zj3rsUFvsHgLCyaTeF3t+2i3gRDh5Jo6Sk4ujUoTHWr
Zp4i2tt61jV3Xgc9NEXek1KWG2A88iUs84/6ygZs1/j7FOJCDUb9xAIBmCq4q7k71yk+m70Ke5QQ
VAZaSfaB4Ps5QoYsMLGQGwBpoT9qnJ0w+ro2Df17BEcCXbOMnbYMIZfrQ4XrWpQ1AwWpGTGV3Cyx
H8z39cT1ILfCd2iVtb/SaDuIpFWlYJs0rPiRhn17sj3jfrWABVRNhGDFBCBI5BwgoYM6s5L6KtWj
A0VC8pcJdEblli8unfFEyzzcqMkMotphoVnoXGTxzWRighNH6akG+3OkXteifnJtIIE1Oe51GoJc
caz2iBZst9PliBvlHMiWS+0NnE5LjPoIFy0Uig8GonB+G5rhUzFVuyxHK8QmgjzaRN5QKR8KIGgn
W9edc+Fi4lyZH1I9LACNZO8dokDkE+sL8rf6Q2l7T1LGybKYtMDS7SOiZ9cxKkP+sKLfYrpxutv+
0+iiU9G052EumqvtTzxZ4WliBPlQFeeU1rCvKogmcwC/QEG2QcMSUVEiI66BbgfRQO+hTx9RhMJL
IT6s7Sw3TcpNgC13Ro/5SIJWQSUZiomYReuM36KlZhxqzvA5Yv9EPdQls0CZYjbu5o64kbZgxGmd
esRpKC4uItdHr8XkqzNsuBf8otszEY1kbmr8TRnVmCVj2DuEyVwKMWpHUTZ/iyoQEla9xL5bVxcR
O3JXk29IHjsdd/K0bnCwVGaYIoBUyEYUP1m0BTrW+L79UaUcvNUEQl7j/g22/ji6ZnKdtChMhDHF
zZbf0GQzRlh+dRIuRi9FkWD+EqM7RflmAmVnfqFHA1xcgQXr5A9eyPBtOTGgZa8GCK7GI8ytYsHe
Co+pskb5YJuJTMnng65nn2xJ4twSWoNq3keWE1+vYXeqI6Xw18Gx916GEV/alMVhwSLeNEBE0kxv
yG8m80rB6wxXC8un+UAX0HJxM5PXhVTBO2tIMsbkNEWDEPxa0JI8a6N8W6R8sot6hHlwP3Py7wya
cwCoKfdUnDaUvrPwxfHm+THttRfXixboJTayShrPHIHy3k3egJK9m8FgyRSsotb6q4VV0WlBKsh3
9MUPo7j0tV7vIG45BXKK4wFQr3oGeSTm7Q04ny1taexx2OWA5/EMBiu3LHCFrfkRdZAoSRHM2BA4
GxyRrZjQmiBvBXySosBuTc+T69l+3ZBW5a4USvrPWd9+ssmEr9beftqgIFqEzdTAdUg1pwaTLwyS
EtdtTmo97UNQJr6Xkz6FoKvVGd0rx52SfR6TUlI3flQMTmA3WhJcMQsa25Pk8+00USCVS1dEP7DO
JUUno8HWI9gWjZuiJLWCm0OMhraFRORiwj4ujNuTI5epSNHvabTMp1SpryGwLWjS1U9jadl7Q7Pg
m9eEJxoBSP4BOFLrOhi1fg2SiGUdd36DvsY5Q0eJvkJm+J6jTliTdafCY+Mt9tTu22nec32oruwq
RlTp3nD0Dle9+Sv0dRJb3el3Wk+MnK2svqCi/4XVSIcZ1tTFqNN+v8mDDKvRcW/J0CSuQaEXPchV
eEcmxT005mIudbfF0twaetSeNmAiLdb2IYMesc6F5Wt23t/Y09ohdonrs0O87Jv5U1kN9xbghL0B
Ly4IUevbZSNbjiXnXKv58FrBnTu4JaIdtHWeegQHgLl3E1lJAfxwZuO5VY+6e3IHlWyidFjy0rN2
Aeyi+J3jgraWs9mwFuWg1E20w3nEL2nYBu3UPUeIhJynrvkiVgZH9MuHXe1h8Of0WDJZ3KlUbt27
fCnaw6jFyVGv5/M6hPyUICdHvX9YcoQRI4Bce3OJ3rZQA0r4hvp7f9lIWj06CwyBpezaCobnir48
wmCvjWbi2GA70ymPzKNTjPG+iNf7LVouBuqJm9BPOdpnt2AedTADI8k7R8J4DcCaGjH4V9B1K9cT
fbSClqY5VqAU4nONhkOrksKq0+cl7dsDV7aREj+IgzatqgBfc254I5CGAv3TK+4ACFGtoLKiZL1k
ihKUazKcKiOBizxicZc42otqYAyhpitYS0+7HxeFXNblU/OatAUWpAv3mwuPMxOShu8jABlyjMY8
eFBEW9bptlhBVLqQXwWOPEa7eTBcf7tobntryIVGDFbOt4j+GDmAipD1bhVR/+ie1ZRtpksWu6jK
TaU4QKPj5S1OJFH0rIuVI0CRarOLQFZ5gHLX7razY1R4QDDIbMsI7NzybYXCFKR6j29Mmt/0vZtC
zbSbXVunJKyLduAQQGWH3ls5cC9bV7NA/nOAGxc/GGvuXRtulQT6eC41PFhbjQeyXWiA8qwxlUoK
Nni6tpzIqTHscXxUj2nzhGz2d7Rq2pPZr5/6tb7hckL3hiInqP3HNNVndAcj41i0ZHo5LIBQNMY9
ygmV2wJHUkGASCRvRzfzs8H8XufTbdpYOKCB6DmuNdQWj/Q8A8qGxn0/HmuENRK5uKa2uxMq/0nS
5X0TsQTJ6sfYqai5tEHY4vAsCNRiHJagzSB/pc3Keeu0D3i9MU+l+dyZFFFSi2pZ11qsfqVT/NC9
gxtKx/OSFRX5u5zGW3QbjMVXtdRBepfrB/hcZAc4Ayy0ojG94ERE/MiimwWEfOqRG92iZAJ8Sndp
CJSK9XXlRlOWTA+g3ZMGsDLYNlaI35SF3Zo/kU4zXkgdgWtDAbOr8rOgyMsw2CIqVLC7kRfwf2Q5
TgpNoQuDwUPEffsjp7tV0NTfrWSlhww5UTqDkseySzFK5IJAXYRaxIjnhaH52L2dIdeSY9ZvsKNY
8B3BL+tta6e2VU+qM71uQ1J1VPnoe2ghOz2qPDOg3S2ibWoQazbiw7X5FAEcCGQ5AAR5nwhJ/Ppw
ShcisZfHR8PlSrhFCoTqXvUFtQ5tvt/qLBwDxDYqii7wRj8ey49TDWbcQR1jIDhR8QDANndpdVLi
ym8s+xUZaJBSU4/6aW+8bXuNK5kZsP/ZVujEKuFZpZam1ca75zXf16X7wCIFHB5RKZnVd0xAIvoP
LtU94cLpBSjPdnw19WrZ5WqNdHL2eaYckHA6gaD/PsSwh2jw7+dO2TkFvljWrKH4luyROzo4YOwD
JUN5A+EtkKBN44oxd8dct+cknD5l9DRDVBTcvAzasPwQTyfRaOi98mVeSzEWqb/rdnuMYuIPR09l
Thdl1h7mYhTdO2ojBdXOElouSn75SauwqPTyvr6Nle4DV6obUDjKrZ1qk6/2FrrVUsbMO3yOebzw
4OlWThU3xNw7M1HQaqHxFtoKuLIBfJWzj9Y8aQNCzed+KBK2bsqBj8mrpikBFlrUtagH4fJyVhNa
hkjiJLdu3e6nIj1p1mIgqth/1TV8vVdaKzGui7HmPVLxo9ybfnBW5aU2shMsbdpe+U0YekRo1JXc
aXhtl+IJo69TmpzMkZc3EIPyjYxrDpUJus2Zv1iACJyq82nZT/tm9J4gy5t+ndgdpZze703cUvXc
lQtMclCm5x5SHBAw9X3KEbGD7s6CxeINY53ea50dcuGHIfuA9mJjYAdktA+WasYQBWEUJIjYqu63
tIgRuqjdz2aTfHfyFkDGoNOoX0+VRR1xsg58x0Na1vcTvdlZWz9m40rGraDV2kdUDEjz2gae6aK9
47lx3Srmsk/U9IvbJXiyjM1t1WLrElvJKdLo4MfKbRnxXiaO7GWUssPsix7DwbJExAym9BvloH3s
EfstXGEm+xS65WO05FDS1R7c53prkjzAjbfJWmDAooUephPKk8llcMbPUYzhQGM/sDtftKb+0MTq
hN3r9HLLjWVvx/23olYeitit9mNTzjvcu28a2yrozwJiHT/MJYmaM/A3zTxces07jfH0DTgMZby2
obqRxP4afmwbdQzIrtNdVUKnxCryOxWyKz02PmmJC/wT/s7csCgHVPM9t9J3nlo/kGY+RMn0wY6c
9xrzBq7pF+67NxpjNtUnZDMbK300GsxOkAEMbIUaxJT3t73XUbuKqwD5MYeiKUk3IkmBbpr3OmDP
tOu+DpF+TKr8ucY2t1Wnu7CyNPIgVkMJON8oYH8ueXqFLcx9IvGWAhl2ykvvTyFLcYQSWZIcAkk0
V3q6gxMYRpdSdjDvMCpwzmMKtUd6fLjYBGvUeGfU2QVtAXW0mOCmxMVLqDVvxtSlhx56CGRAEhcu
F90Y+QCxpmvf43y408HFnst+fed8Gw91WD9bKhT/9BbLE8AjupMes8LoGQsIjghYdkY6B30cred8
bNfrKYkPaTdYpK2Zu7PaGknceMWe3cQ9IlxEZeMT9E+Eo9weeGPPZcCEGOmbHAb+BPNt5zX2IbLd
V6gQKGzMzQO6X3dc9i0iiUGK6NbXaKmgJ4i003HCvMSfR68MBlisLmob1I93tR19UWfNum4NrNVz
qB7ij7Ivb/V8QBbb5PtmMyMHq0eA2R0CWu4cFLaxs8UcPiytjxQdD0RNzJYGtPB0F/qeMXp3KmaH
RbigOfyUrzlFq7hGPsiIzRetcK+woHmqWzPa12MKTRPdpaCp41dXXbPrNVKO9AUeImbrA0Q75d5z
rXM546IRu0V8BeTzS5JGXFdzr7zqZyaoUxCXd5VPGG1lF6ubKLYk0JVZu4PbPm7/oc3OvIfzOu29
ZXjSMp0GhcIDxEDHP7YjgnBqhMpZ78Il10IU0FzlFQfjHjvX4WSsDvXBhiwdR7z7io50USzmsfN6
0jqcJe/SLvmMsNsHxxGiR+h9NNEURQknQtOlRQv0W4aBF2dg2PEx8V08F2ju41RLkHYxFHFmTh/8
vgfjPeb+ywLA0ue6a9xPoeGiidXlV7B+MD0LRVxcpxdAtlR5gGV6l+zSsAJtru+VwkF4UPeM4wTa
1l+1/hVuBQKSI/7LZKEYtyEzWIDxqegKAJznzmC7a4cwEE0hGGXgrUXBp42gfsCS3EgeilA99YSK
R66izrRYL0hTUVrbqo8YI3dxvMe9F7QJpg5b12brYLFBPNAY62OdlfRMhgx+GY2xhdt5n6DzuSXg
WkqOFrn2vlM67xRJDwnLLDhmhj8Cg0YUBwV+Tb57KriOGedJG+AjL7A9WKNua3FiLfit/ZAjp5iu
BVSJ/EGnNjIjo3cAKXEOuW5twn6hVrCw3eETHHUnX55XrXpdbe4Ro7WmiG5h9tOEgALcL3i5TKS+
o/DOSdfhJ2YAn+J3tN3Dv/GYMf65J2zQeKZfTVWR3rWgLH91h/CaspmihBvkVqYv5MQOS+XbOmdU
YuH8Fa3zXHqZ/aMggQgIoW6qJypbLMkteWwjWmVbcXChS1p35t5BjMlGnwXWM1KwPWbIEP2BSNqy
Wif6vU1O/SXnpul9qZqF24KqcDgO0QfUp5S/sUrTxKDlV/MgW7N0lH1Ny9Es07Gt31x0usW1ufEb
zX67+TbtcO5tCCetZtCRmL4N0k8xFcoQU4dKBhIjZBpS2cWuoKFpm07ZYzFaT52eC4JkPSs4Yv8C
KfgXJq7W745msLtVj7qup2k2qFZdAKrvr4/oSXf//V/a/y1GelCLrSM1Km1HBOV1yGP36jqoyOKi
sycnccS93A9xXD6MtsMttKUrkw6G97LdBSqCB3X5CFnaBPkyEb7Gu5GRTdTvFf2rW/dZpSp1St0a
9YCvXNWZAaX5Yqv2xVrsMzkPTRK9iUQGuqXYg0yUKxqBU15kvmMtryaKnlfFFMaBBgD9ykGbNLas
MzTz6m5N3rcu2uKxx9zGdQOIv2pwZU2EeBOHQZAFaPkiBk1lhTsrw+ybcZb+8In6D/zaY9f+7xiV
Y/tavn59/RV9Lb/wE5Wi/WE4jueiPwq0GZAzi+8f6GtXpbG2LTtNHAX/AUvR/7BAqmAcg6a2ZYDb
/gcsRfvDA9wCiMSDlQyaxP530Nfa7wEIwwPD9Cwq8fw/T/NbAHInN8tR10wDFQO/AdzoSroH7FLg
vwKlC1PAx8DBbO/ZoXv0y0D9i523eQX+Ghzk2y1klTGNw1rYcH8zPdMqtRxXq0wDgVLL1wpUMlSo
Rxq0bDPufiC1Berlju1egIICMU60t79+jN9DlDyFbasMNEggDXfDP+9/XKssLGPmlKYakFpwXYXc
afLpWFvphtOugF/+9Vf+k3G0fKdDI9cGgM/Le795MtW1ZifzSIdJYJAC+BaUN4iHvWDWKdL7gukV
iCfY8HDC2LO5btKKzBOFqgFUH/BlTEcuSnZBxOM0KvfG+Gr14MYF68BAuSsaWMBysyfEzKFhAuMt
AVDzNyAwdn/9Mig1/Rbk5W08ZtGg7Ek6ZsA++DWCuqXZVzP0niCExyVwa1xwICfhz/KOMM1JZjeC
g6QD0xeAe6aBi+zh1zbAWu23VtX8FmQLphY7QbALSnShbiyAao/+YEb/XoDWHS+tVWD+mBpzwbEG
jD7V3lUnfwHuKd8rLyr/ExCnfOSqhEC/VV8QxOhoHASpacPrBCqoGe3ObN8mpByWsdh+eoI34yYU
zKfHHB8rAXCHwGbd/D0aGhDsLI9IAZEL/FyeSUYT7dYrQe2mIGsER24mw0GmUP5eHsgRGjHzB45f
oNgb2p+JEDiwgHzNAkoBsHTU+V/lWQUI3/KMynjfAXAXUHtMxibbIgF6m+fezmD+5oWtwEzjMvco
oEmWQTmAmQdyq/VvKlD5DfvK8wkOGQzQRZCsspflp2WcZSAEwji2fWDZ5PMN978fmFPBeycooXkt
cOWBpAEEqCBdZwdwLx9tL04QU5IDnpqbKMtntFYAPS0NjMofoPoNLQxGUpDZ8u/I3Qaxd2+QzyE0
Hhrg4CkNC2pc763bDv1VeUGgKwfBnMsjysqQZTyE+imCnACghQcEeC/rQsadzGwDIUtsAuof9PV0
nJk+IOIyaHNqntLaPOlUsam5BAMeogKUVcHwy3tug2aqwVrfanSa/3o//JNj9bYdPNVQbUd3CK2/
mdYNHOt5ZeOYJEtPWAUS2mQzC8ZfCBUtw6pQlFkYdgaG5uxOsMsyMTq9MsELm+abBDsskiiu/Z2n
tiZZ1++BFwASLB4Hn2rC35837ILaMK11wo8KyNuNhh/sESZA4xhYNAjAzE8p5AyWCvNUe+3fDdK/
iLomgcyG+2MyVs5vMaNeytqy6OhsjyARQmJbR623eGzDNwHrD8a9TO+SvMlu/HksVOt9jZ4ntA+Z
RDI7LgqnCplGL3uRZeSgQ56ivYPoASFVwL5/PbsmZ+/vY2fajkqqSEILbvT3sUPEr0WVkAeH84Kc
k82jCLNIwpIOoycOW+QH6Tv3B5uCgOD1JXJorEQqFRLsJDhY7NWVbSwsg23hwlKWEUDmRcgheOSc
ZM8KGFwH5S37uLbIRQ3bl32sQTU1jM9U0a8yzbqFU37CnmIvoTMC/oMlxNxmN9F0L1jvvx6Af0rp
Wd5/GoDfzq7YWUdL8zi1hXokUUuWd0s4kKNFZjLTB0o+ECDg7yCViM0d/A9ZURAgZOKIwALEzsri
5m8e7V+sa5MVzcIR1pppSqr/Syq/cv213Sj7cZRLOBfmBM52fs1ClokSjotQBeQxkM66CAD8r5/h
X5yFPILpuR7VDsvdtt4vjxDFE8TiOUkDWQvytbLZS2I+ZtYX4U50EHxMY/0bl1bLljTltz0tGRwt
VVqDUP5k3f7yxQn6LHntAmJV8vziEWRjk3o8LHIuI9ypFgNQ1ZJfhAGVO+pVUw0HSXYqgrYN60YW
pQQfi+NI+BxOll5Ys0adX6ZCuy+Wvb5iMsdUS8oi7BQhNTmA5jnbivVNqAxClRJChBzBXrYcPU4+
GYa25RRiUYTwTuVIkUU5I8IkrDfLfIvm+brwgPvDRYLZlBG4N/oQJ5wEc133KI2iQafCZoXAI+Sr
Li1uFBLFpSFVixBwFtFAQhnLqsn0e6AxV4L/F5aDjLcwDOTh3DC9yCtIaHU86DnRuxCnknQ5Cr9G
9uyiGyfJflEeOggtwOz5VVLQVMhKxO9xRFLVorAfvTt172Oi2bJ1naVHYhAyBweX7HrJW4QOkJcw
8AhitfI4NPlh7KxTw48LAUZkGH4SUCTiF80AIEu9l1RHAaE8BulxMKODa36OGtBAKk7KrNYBvZEa
FOeb5MU274Ag+Mlkty0sd4UkQRhTQwaoMKcuTgSU7Irx305KomGpa74llKkaWhrvKWmI7JRcSA38
O57v1CR/PLUOitPBGgwKx3Z0OQg5p3sV2FVEg2KFYUle0EEtkwDHgPycLUlzJDMyHfQ+WFc1x3re
s85YW/RdfQ9PmB8rQx4W0j31bMhbfLskRkIXk1wPRNupAgS/lGCaqBtH0ZN8gfC6zIXoosAI48Vk
Ple4PRmHhFotR0m36jABEHFrfmlSbS+zJmlnCrLNRT8TYUD0EwUxB/qJs8/mwyRKy2jNxvScQKOS
1Ymn9kXoozIi8nySnMwUy4SVlZLvAdjKwc87A2kU+YUsAdkWwoSTfyK6dpRXGbHUMTA8EAJfoqo7
MwP4B1trUZarwVqoNTCHEVgwoR2S/1Vrh4MiXwsl1QKLuL6vjXXKoVIJTcqFaRjDYZVvMfNi33Rg
VGDeJDRp1sRCtWeV1PF6pENlDNBD0/Wqdlh1/FNeUgFaIy8ny14OWck8ZSfIHEPFfOx5WlnAkgjo
YwYnB1snFqY5HoWml6TQmkBir0QRyXflxSG6Y4DyJu/DZpYMeKNFMiyyY4XRx9KQTWzZCIvPvlA0
hbxXhiMijS2eySSaQnYiaUuc4biAcq5AynBgsAo2MhsRO5vxGzYgJU3js+QDCLpehDNnTe9Y4dCg
4YpDBJBscuAdNKwG5EOddDouc3ojN0n599FIL0jYiOruTJ2vJqecl/hGXrewnSNgV8dZrjzihLBP
K2sgWKYXMyRuh28Qy+ROKJ+L98gVdhc3qzns+/lLyhqWr3RN/US55dCa7aHnOuc6RTAF8jfCiUsg
IUsMlJAkHytpthnvPUx4hVMmmank0fL8ktw0cFhdKEhbNp7Zn3rKlehJ+5YdXeRnZIgk8W1wOwN2
YkPvylhwRugCguoOwlqyyY/kHeU+IBFA7gLyVdHqAQPlgm2+zaR9kjfIX8smlW+W41HSbLl8SK4u
BD43skD/3C4p1FboVHIlEFsTgysMn4KQK5w8bmJ8ioyP3CJIxjmrKHMj7OCe5HPlQJB1LZfRLbeE
rRgjCmQ3MOYYEOEcjtBSGy29ST3EH9oPtFWPEsoXVpxmNfskVqGagDEzoaRyEdOyV/LF2GZpZ2Mg
6ZRcHjj0qBOEUw9e/DRRU+MPZHhls3JeSQyRe4HJ1pZ7DoqtKtYCQz9fyfxIWA4ZJRncUccwI1zu
Y7t/zNpzYeM8zLgL/XpoDQTF0RKM2ZvcODde4HKnw77uomSnV9cuPuHAUKWYYKzpRdK1PjdJ1Z6q
OSXpTi5CzJVFs92AmDSZf5m8zjn+PDvyjEsRAUEmRxiTkhPK5RbXSbSZoRYS32Qo5GdkkOVR8nU8
+jcqsy63aDnr0cEJhEeoItvEH2FTsRc7DieZgvMASVECiNxVJNLJN8h1CcCs77bZRca/7N+bZfFT
GHbCspOlvCVO/6kfCtPrL+qHA9XDfKi//amCyK/8o4LIwUMB0bHQC7AtkXb4tYLo0D5wdLQdKCGS
7v4kttl/0OjXXc/ybMtybDH9/klss/5wqXQ5nmHyExaaWv9OBdGU686f0k6sfGzLcUwLTpuFj9if
084M2VgbfdUOdrb3PPbNTVgDvy2T5XZG0JUllnDYYq2rqIGVtW/KgKIdbrgCxTTuYMMqJwve0i6c
vyypKXAryGhanO/7tqh9Y+Fw///snVlu5UiapbfSG2CApNFIY6HRD3eepKvZJX8h5IM4D8aZ3FOv
ojfWH5WZKE+PrEjUewH54I5Iue5AGv/hnO/IUnxqVJI6P/o8r1MWpn6L/Ic0VHY6IRuB1FdbA8Lx
qdIv0ayqlbDlta/QEsq8uRnzEplQDMJLZ1cHuoPreT+wDVUUxdHayRuE4JU8dpG8/eWbvPvbp/C/
ii6/K+OiZVngmH/qBiyWO3j9lGsrwE6/d7mzIO0X+2G7MTqWVkbJynAMTgTunL2wh3TcIdUcI+ee
duZb2ohtJhDzlLmK14VtsuOt4i9pgyx1CNCdzZivR3lf1jj0YhtTzDuRWQLjoLxGUT0AKsr3k6Pw
qw4xNV3C0F9VX1SBusEvSL228qMc2lc7cI85iZ1IBqANwMHIhtciI1xE2nDyICKthTevRew+Wr24
jyq+kVjgK2jZeYhO3SaO8Tqiv496+x7hH8kVMNE4F+NVMpUXAlMwyH4Ph+kG+t+1j65SkPWQ1Grr
mzHIWyy5Dq6JlR+AYzNg9aCkkyCADJBxFJyhUW58P8JvxZZzrijdBp4P40x2lIg/Rse5TYW8DyTQ
W9N5K+fsI6jSCvhmSRRgvUdOdol8766t/SejQjnsD29eW17SqHn1G42QH1xWo5x7Ocq96DSL6+gh
mgv413DHYv3Y9MN9Jxt8TAHpHCPfDzDEiWAY/0vs82KbkNWkjngKe8gM5mnwN1B+eZgsqYpfclPz
eRCYBCehEiuBF7JG4lktf276vRU6pMI0pY2SwPgaR+0hm3ham334QdbRDxIFurJZzAYuogFXgE+A
kJm3CdxEK39eLhQjKC6t5TCRI2FjIuekNCnRrMFmzYdPkay8bEYQoEKbf8ExSXfSYmt50UvZMLbs
3Dldd8VtMvGCiHpD7WSyco2t+Pvn7+yy4Acl+SXJJrIzBucDhhk8NcLoJf6IAObbCjfaIyTib0FE
eo9yk8uYOoQVj1S1sxPtpF29djzOQXbGO7eV9+2w60fPPHgFV8kIXJHZdDftytl6cYndLvKuP05Z
WayMGUMWIO+Q3Mw+xiQz9gcX2UDlfbVIzzrIAq0kQVfG0au5oHqkvXlrWmdT1ncEI+No1ZWJeZKT
ZcwNQrrVwbapklNVWJtasFa3J2IssEWuhPLng9cDQoyylJqfKEWQ3insbaTduNAKvZCOimrn2jpd
uwhgSXgxN6Ddbhs3jXdtOx8MP7myNBAb4dpnswZMiIydLqq/9sq8L13SeQz1RlTQNtX496Low031
g8HT1MiN1wiPxqrw7GePj6ghZUCxAo3iFOmgpMzKemRfM3ZTtyPeoUAEyJtwVjWlqQyX7T8wqYJs
5BtIbvdS3lY5akPiOZm7ZNeMxJ0Tk84bXGlf4rJmCdiPHJQk91ldjVfLN1hSRuFHEIp3Ys+vLgTE
TdZ75Ayg4CWjct0537MW0HSg0nQFNO4nuXwvIvkQ2i92bu9ShFjqbNGSekn4YagB2abEalg449VR
ELfrjBgaNsPp1sfM0fj9dojSW1m0ZyB8JR4WFvEtMinAw+s6jw9VDeSw7x+WZlaYQ7gBgN3t+TzW
WU8DE+nnyYo+smmtOpv7hfBB2sION4RTpyvPNsZ1NdGUN/k7YbH8U7nHEt2z1+GzQi5wloF17041
2sQc6UuF7riSKKujGoPujE2DGMcz2b9IbeP4gxtgOWyaU+XGepN0+VEvFBPiKWDfNLiH5NivbyO9
gN0jAscaWqoskz903/q7LkScp2ogvYorxvLAF0RtsAkqTYSLFUJN4GxXs/sjmGMKsXnYIVLHwNkE
yD7o2dzpB/v+o597byN5ZKvIiL9FvJiVe5DdZNJ8chxb2IWRF3O1LuaeqeCkQqJFSC7MyRUdO5zq
kIeGmPE+ZzVHtxU/ziL4WUvnvq6RKI76NfIvLCCddTRl9COYhfC13BuZNSJ37zifrIbVyrwaM5jL
Rgsymatzi1yAhiAjNxfFBCJyN15C45bsnr59YkSguFhsTkWEiXEbXmFPQhs2o38z63L+NObjqUo5
ZLOxUzxdf0dGtdXYw6mgfk/LH7ZLTGJP2+BnO7uarlMunizRHYglZmLgHaDnXtu82M9msjM4tnjo
aN1DfSgeUdVVOt40QbRlmLJJEj6JZFhjZ4WCvNGj+2bUzjG2rRUc4FUknSP2TLOwnspAXBv500yK
m9gxn0IeTNIk7ptUyWtumj+cwLgVyv7+19XEnwevy9tm0+azOURN8btQwRo7TcQBb5taZpUA8iaT
cBmvDGZAx4axnACjhLGVjY5ZV3hg0c4oEInK5/ZQPni4CE02i6qi+Dcz4c865rcqkGQ2x13ULA41
6m8zYZeM6TBrIQ1XI0o80ICqG3ZyeO30XVr/UNAJ26bYtJJZuBTbFDj8gCnAF/HOSw+trr/pdLyK
3L7NYVQVbvaGAAfXokMMxHjmfzYm754mnNn3QaOgaw9YrbaO4M6LzOsyAqp1ebLJ+JucgVkm5L3w
RdkNbqPpkpjZXR1XxygRpx7BUYCRl+poZ0XFKUyqA7InbU4M0JIdcpSNU5G+PJgP2orWUt2mPGKM
cdeeG+4Nr5v2tK6Be1/HOd6E7CHy1B5t5l5Bkhyo4Ao1rpCRbRxYoB3WiL++Bv68W1quAd/xbap9
FwzbstD/ZcqbOC0GECukoCScgWEHVjtxHOt5j7aPCRUJ4bj7iDMryPckYjiK8n0rnQ2hf4dsrG/z
ztn0uXsQAeUzKrjGav/N/Nv7k6SAa8BlqY9r0bOYgP8mp8n6wG/CvGw2OnFhqjK4rZtpgPWNXx+N
KfG9ALxzF/YDuOU3kthg1I+LiSmlaLCi1xYS8ybJvzom1ibNo65g0Nq1myCfy62l550TNtiAnC9I
GllYRQsqW5K9XVA0zIDZsZ/eCzfMcWtlnIYiuZZNeqMDCtyi5/BFnv6ttGyynWK9qlCArkffPTZp
8GRqpFUltlCCTcpVJ/DdowJ+F82Lk1tAb81+HUus6biIhuDVK6ufg9kDGhfTqyatCGsgBUwgb0i4
NNAJxYxb6rLb2FV3MfnFWRbAlcYemuVgYB2bfMSO6GFadyIqubDZi1f/5qS0/tx/CJsFG4tIWkCb
vuafLxc7m3rUDVazAYNyn+c8FCpRfKRIdh2eI7aNwYLt0xdtjqs5ZZPT2s/RpPATgFdYpfP4IwOA
N5EoCGmeR4V9IXLt/fOS/p++3zJp1f/rxv/wHrf/7//+2vV//sDf237P+oPDVEhG5cJfNED/2fZ7
DthGdluAE7nDKKf+s+23zT/MRX+hgP9+gnB+afvVHyYcGWnyj2I0FtL/77T9n8+aXw986Qt2GEI5
lumi+3B/O4dMNP+BYUYeqxduI2uyw6ss7W1rpJvYNuXh0zNuTuHOm7G04wQAoBBgn7zLU/elxNXM
g67fu67gohuiGVcd0b+DtCHIxsWO2IkrDAm5U31/VcD5QWOzp0LjLtjhiL/JJZN4EMdfvoF/0bBb
3vId/dM8Q1JOmCbKK7RafAHWMu/45YCtU+o2I58lRoD+psDsmbtDch7BJ6x0SJ3biwfLxF41M8Yc
k8m/a3nhVo/wfyjcV7ukY2XsneEFDVkp+BjgoQAsqOlsPmjcnNST1p5pOOprBNJbVBU/Y2IlL7Uj
GVss5wkILOsSOjTplbR5mJYePOL2Rz6jswfzdU/2TChnshIqfJxG3VSrgpTjQfbVzrTZrjhp+Izc
dhd0Bn4F5dAHfG1d9xqVlYkyR1wJ/YMjqY4ia95jOm22GDx3y58x6Va4Nvd2QIA76Vkq+8oy5ZxE
3pFW5bYkdowEsz5sHiSU33hKvlmlccWR8SCZgs5Td2vX2b2yCvYhGiufd5tkxtUtlgGC6x0bN3/p
rerBtzqyYIadMrCLlKV9HMbHRKunyuW/FcOjTz2cW9HFuUgnPiDEPceNfuB4+nDM+yBlcJFbDCO9
aj0aJGw5lbxneWWT//WjSgQ+dv/NbKuXmu/OIpiV4UH5DYtMwkqe4L2QmlgNdFuLGD60Kua0c1Cv
24BXZRNnx8dv35dBeynd4Iaq6aOpWgAw2UMmU7CX0VvUnTIAyXlhb+jZj562LoHlkT3ofQkVrjKE
vicrNU50A80Gzgea5wg1vTu01u6qMcqEBoOdljon7dP7OhqWqIrg3Ynl2W8nCQQy+ua54znWii0D
o3SC6IkKH8dbD6fjmrANevyQvjC2glepvqWSwARTgG0cT676sBMienCbfw8a9wYH9Q3eiScndL4E
gfnYThmEdvvSjLhQIytct3HtsnCJVyD/5x3F8Y6Rvmd6uzpuKmR55biltTzoUE5ryBGp54kTlpG1
JjuMhQd2U2c2f/hl8z3RHVaxcNpWqk7WbWQdR2qr3eTihC/LpX6GKFdmuoQPmvSAEL17WDzxChMt
Kl9bsLJOpm3r9wjdRXtXeGa5Ia/FWvVBfusbISD/MsmBMWicpgGid6nbozYXY1BS7XE8evh4RnkI
K1DlmYFYKoS9UDMc/1siAkAVOuLSOQ1mI8+kxTjHXkw/cVKnq85KOJ3y1MeUD5FTTcv/g0p2BYp5
PERme/bI2jj4jftYjYa38ua0unEcvoyYkASFu8tO5wNfpTwMBXOugiy/KinfVVD2+yHqUpaVtbHt
ovmhb9sRYP34dcRLsu8MWi0HhyAfY3Xx0py0GwGgxp/dbYwhdvP5BhW5tWuNkSjIGQ4p2cFpilAH
N8sKKZie+qE4NZGFeyS3Xoap2ohBL1gJfJBw5vdpFh46q873RWe+zQ5InGQisMQOVLIuunRiBVUL
BkzC38hB3/rkmgA29b4iLS/22FH3pjbEyVA/U0Dv5wpj6OdZI+olg955HFWKkcKeyw0DGApn+wmD
fXVNPEZ3JdgJiQlni9fKwImi1L5yA+w/pHoyODHw8wU+mqh2gTsmxAsuZqu1rEI84szMgX30NNx9
U2iw+YKnSum8JoEm7b6e2fZmP6eOZ03v88u1LpKj6QLnb7oQldpiG4pGJ9nitIl2/cTFDu6YIMjF
mKjsalcPub3DbvG9bQvjWPbRbSUz8gub5vaTRW7xD+TJREhpHoF2wk5j+va5pjM7d2F1B6H+phv4
FnKHijusajb1fkyIvSOtA0mmPOT2ZqvFrTNFX/IBv7ZvFC9F6xCdQC+WWGykGgWQF9dzXk3JgeCl
5Bzh007DDc9TrsAyJK2IGQu9itglee1Q9DMncxY7xngvGcwemGYTuFmyWux4dOZ1d2nSyl6TzrdV
DuudmqzcVTXUdxOhQwWvbxfOHlOqsFp3LtOO1tpKi4mvxmRiLG4T01kOlfDihwzM8I324ju0SUZ/
uFS0jUl66tjSLg6WPE+ucccIMVvcLd1PY/G61IvrRWJ/ibDBKA8/TIoxJsUgU7Xkwqt8rFf2KJ39
AIfHNtRd7nW432uDQzAaDt0Ydi8mwPNBBF+4ARmAOkay7c2KZnGejC+9FWAb0i7o1cXIU+PosRdv
z7xYftLF79P0x8+/uBiB9OII8rEGycUjhAtzXy6uIdCi+KoWI9HiKCoXb1GAyUgvbiOg7+0zuJF7
EyOSvziSaqxJbgSrnUDFFLYWL8DHwGRjZJKLoylmRpl/mpwIKlgsTxbmJ2NxQenFD0X6675cHFJL
rIyBZcpbvFMMk1g+4KYKwuauxF6VpUaA6gHHlV1AZkjuyIxst1VcHXrtzgwgDAmjIPmaRjbeHRK1
sXENyyOM0R5cucXjRX4U+rKJVJ06gNO1OMFGLGHR4g0TzIQNqd4VpjEnncKVw2hlLRZHmVy8Zebi
MhN1uyAH3xCkMyT5dKLJdF4hW8OcVmIObPCrjRjXUBnPF6nL+WhGFe+BJ36UguZSQXsI7DiFFlqQ
N3OFI8FaPG2eugjIhhfb320y8I5wF8vrLsYYcknzCFtQPe4kNrtusdstvjs4ssQG5S9iwIvhQ/3o
Fo+eubj12GZs0sW/N2Dk8xZHX4C1z1k8flgrPZLY8f2ViwNwwAo4Lp7ASgI3wNOHBx6/YIFxcOZO
cxYnYbp4CkkR3RjLcdGL7mpl4XscJ089NsQUO6JAQZVL+27qJoJsm/loL87FGgtjJCHjj5ga3YxQ
9UqzASuI2Zu87IFp60ggOGZIiSlyHMoTUa4rFIXfBz09N5gnFSZKpUp7FRT6Sho3Vu9eYbRMh6Pd
S4Zz/jnBilksnsxK+skKnTyK4ua1KPjEXFkfp8XJ2WHpHGPjMMXDSS1ez7ZiTm94zx3svDhQ1Duz
vhkWf2inIOfkdfQgsY625J98te3pZarUcESj++xjM520e2+E7d7W09sQQkouKsx0gHNGAHFkzZYz
c80B42qZ9EdSsTi8jOpBYW11p6d4cboaWF5Dw/+W+TMrITJaCcRzT1CumHvik/UyA7pgeDXM7BRi
pC0WR61TNbcqz7G/pvlXvbhui1ReutL5TmZFvo2LzeykuOfHeFgxDMaWYH8hf24tsvquivv7CWtv
hcWXqJEDKZE2U5kWulL2YTjBWx/mYIRa4yfL8Y0x47JdfMMxBuIaI7FFZNj4jHkGFRooDFJisORj
PHbFblx8yDWGZM5ncQ7Hpxijslgcy1QADZngLdGVuJnTxddcY3BGfAK0ZfE8z5ifi8UFHdFlL65o
Z/FHy8UpncYHD+N0g4HaDOr3APBInnicmCzf0bDtNJZr1nwvJhZsAyt2jCW7XbzZLibtKAB0tpi2
F/f2iI3bx85dLb5ua3F4h2xGQPNsNRKhtaU9Y2PZP9yKnUiEq3zbWvKtqAuuVHgvjmjV3nbsfKVl
DI5jcZjXi9c8WFzncvGfE2KNE71wegTgzAKmWQ7r3HdwrGNdh8H3HCxedqyFZOtRAJWLzx06Aqyl
qj/iZ0bIPot7NIIn7SxEFnR6mOUVpnlL1vm684uXDjt9PBwazPXEKhabZPHbZ7sE8z25a0dOTcbe
iy9fLQ79MMOrT0zNTJUy77py29qEfPZjzwQcg3+M0b9fHP+BoT80cM6M2jHr87dq1BSgDZphf3zP
F2pAtPADUmZl/SdRALSAXBgDJbABE+jAKNoPGwhBqhLGh7Dh2okWKcm3WBq6dTt4E3QsqnaRdawN
6/ypIWgPLzV9cF/TEJsd8ijvmJjhK9C059xU0ypMx68UQ8d2OJCdtrExFia1xSw9JXDFTDNM6E3x
qPKBJPhm2rVVdGsy5UTviE1hTjOxnsKJrURTHoK4/RL2b65U86Yo0ZnopCEajedCp0hgkU6drZRH
NKE1X+vW5y7S06qxmm+JHshr8UckqZLyWWT3zNZfvPnG9uo3/pHHMs9eRk4HslfslelGJMz4ALgE
JYSnnzoLjIguzR+d3+O9KJa2YVz5Vg0xLGzIJ1tgMvC1GUKsmyEXpKIx9vWHy+TJD7JaNZ2B2rR1
oaio+/chKSLwFI5YmYbvUGpE7aq88CxOVgKIX0sSdhOmaOH9x1qQoj5Wmv29ilZur+3t6JDKXVpf
iDPIdx3vY8WSlBg/vQBEWjZLbC2/h0leECNVzrtY1j+tYMxuwrEg7daAOhgJlurceegpd30Q9+dw
SY5oh7U90psnpWlvwxTFTWmbSCwDfMpc6wgup/nQ1P6TWKSmGWBbFs/zrsr8t6lm8YR1jzsRinpR
qhQOjk1KS2o8zKRHAyul7JjLqtyCPOJCT0eyCUAHbmdFblifk5+XsUlOwhkelWWiH9LALBaG2xSY
N7oaq6PZNuuuMuRmtDwYbKTZdTkeT529dk5HNNLyEpfs6CGKQKX585cpVN/cpASjECSPTairvTkC
PYPAupr60LsVy63T1E2wS9R0jNgksfByaQkcDaXTL+xd1ioIVBXZiaXx4UIdh9SczjfFPMZAfVFu
8JE6K/kgvE7sm4bdnwdDFuNqeypIfQRCCz/O98aNfp5GHnY6fBShgKrH8vY2YjUbIXbd2+CriBNj
m8Te/VQgNT4a7lvAEvYS2fqhD+UmCmt+VLvLmmy8EUCOYsOObugAuC3WISUCR2jIMCRxsuOUjykx
0IVea7QZe1lkD8USkBjRseZZp8gX4lhgfN0ekaL5vvODEyq9dLsgYj6AOXoTxvLdVPO7C2UniPP8
LFwWPe1wkzksaB0ZXKKpufXgAm7J9qHWV8V+ELk86ZCdptRsI43BrTaf5tYaW11aqn6T48rY5JmZ
nRmsDLYDYz73YYi46tX2DfcE39LaEKJJCKlB/iEsWr0ei6BEz3gD0Sg8lMGonqYgeOwH7qYUqci+
mlS1iwPWr77oTx28uy04AobPTl9fhqF9pMnM7qfUXLVBfYw85wuaIb1bvgS3RvmQo1GWNV2nmKd4
PfLAVMKgupy5lyJ6NpaXy+Q7t7GItyU9o3CDU6KrqwyNYp1NUHXtjNuJs/Pdz0auZ+EWxD4j0kus
gsG/5wBcjw+fv0MCytnUkJ4zAmGOTOfRv7TBfLGcp6AqWI2aGmtr7xyixvGOsccRJtAYCNRuZXSl
53ARO2SoSJidzRPpLXOX3sJiDDb2NMfbhiH4tSyIDlWBR0K68M8wPT6zpbsB0mmeGOxQi9RE0Nx9
r3nGbkYzmA92ONkIesVNWZjtLuysjzaDQq1EMiMCcJNN8gyU9snpRfwwgKqqxG3SSrROfDIAV8Wq
N5EcOyE4SR2hCHSUdUaqEG4Hg5yBpLOD+0x0DsGFd/3SArZVrI9poLgardo8zGlqr6u0XXFijAfs
4iPK1Aqd5ezfe4Y6mKQv38F4Yj0xjSPI4f427uLptbfMg+va0yYZAFEuDftzEpUY7fRDkQfGc+HC
TIqz6d52GvWUeNGhH8wdHW18cWoHx3MQnBH73AVT9YBVG/xbylUVRdzlZuRc2D9hUBKMbql1i4si
BTH2sfvXE39isX6Qqhk3uKZv86BzVraVbYHbCNJ7OO5ygytHlPE2zKrgpHgehCzZmtzNGSPl/h4c
xLeOfeclDqxNlTpi0zGQgRhcX2fhE4VeI3fVcW9fpGg2jpeif3cQn9b0t16keXF9fglBMXAo03wk
w/RUUixsMsN+4fE9rBql0dKCgNuizn0zSKXeDcZwk5Rodf04dLbhFKBU8FR+FQ3VCwIVyrk8fZji
+KlPkvdKA9SKZ/3FKngO2hWiHK/hdKaTexoChlGthc9yZZCMg+x6HcLPZG1XnZy2/drkKruLCmCr
pdqJsXdOFYiNwk7IwbIBIQUkIZOzQ4tvzMawdvvR3udT0Kwb1l/oxNO3EhDlPMfFM+uim7hzh7P0
L5LVO6Kb6bboW9ghBkuteKjkqjVFuDYYVjHTdq+Bnt8k5M0d58PHYFXBOtZ9vSEjCvZdCxpdtu3P
we6eFdBLRLbiJgESffi8mucQlT/C1kF4N40kQbwtuaBHjxRAiWKhmGA7zYZ5X8SGdRScyRR3FEhx
/hpGkLyzsXgRfS1JAOpuAMGGFyxeZQUmkrnjWXGGMcBgMq7H8tGy2/ahdFEOpUjAwemGJ9PQV+AH
0bkd56/S8NLbtMk30P/4YPox2GnHjR5jmLiW5+21Q85q7zhqZ8ySA67zToaGAC+d+cA5skm1hyAj
sJJ1IvJ8P089j4OQkIzPZ6yljNPYM9f04c0Bgcaqgx8PevHAQafbrl7X/sgDaao/WhRlDEM7Sk/G
oJeq6oNT94YzBJ8e8F4NIJBHX3bxhkCctG2JUxsXa9ml7mNB/Ejnnlqy0o8pR3BkpfF9gqjuZKfB
SecaYkiZdHtcrCzpGdns+1R5d0bR/5ys+tkpudKBLBHPZhK4pr4HnelgE62bG9aJr0ZWax74GpkK
4Mm1OaUMeJISoL1/mvtWrCrY/Ts3l+2B2/gOo3fFWtjDW42EPBraUzzRdn4i+axMccOjyMoSddtS
SWIq0/ap7F3SKP3YP2EZvVgzxcUM0XjLh0Z0Dt1BgE7jbJImmva9s8+ahXTSJyY40fyW56g+E4MX
PeS8pyEieHcIx7PhUgy6RhAgS5x9dC0MQyJFsnelznD+ON/dDeQFcDtxZJ9A4K6yJYN1IiteUy3c
I/q7zkAxEj/npwvhHRDYvTlLPq3ppuFuNKti7Xqdz0UcvBjMMjdesjh4ES3To3bo2fzF3FsqwG1e
692IrIe/5dbVYRpmfQ7y9nWKak7PNj+5zAWMcD6pPLxjky427VSUNwQ83sbRU6rG+mye5uTSaSYe
4YR4Ovcng9DnYVvVfXRq3fpUZoZ8/OQa13E872bgndlQhJeycyNGFLoi87UiQTsKRtBk8FX60Pga
RJIhqPzBFTAi/b4kzVzvM78MNpNRHoqScGY/YhfSIuAkzxutWhBPqwX2afHkiFUkDnnWXgk4lJcl
J6iYowEUsUMCuj/6+7/92qEu4LMh29DOgq6Zou9O7KpH+ygoRy9MXKeLylK0NANJJ4HRndthXpte
cU8d6F4knMrd4JaM34enBmvdtkyi4mgatr/ns4OHOtMCj+B1bl032sVO5F2tDs2HbJ2CirSFSFY4
H+hv9Y5UVUKrxqI9VEt4J8CQSln1vqP7kiLdjOCdAncTW3SHfraPXfY6NDioDNnksHAINgAWvJUd
YgSD4P1dzSKBDJOjk/nkEloRaQoyiU69jxY5Hc9ErkL/qvuPyI5RHI+IjZNYvxu2w3jJL3cJnc7O
j1O1aoepPsw80PzlYT8ytz0gPHgWmTsf4pTU6oQLGXnrC2vXioG6eGLTgBiHWcF2NJgmzHbv7vyE
VV7OTMHyU3mWnlG9BdKqd1P7paxAITdmfIOS8DjQpZ48SJYkZxHd2qmvaUW4tNmWxrkqegCdjYvd
avB2YE2WubTnrUGtdsfRsB4lMIB9WcUxoIAw3hZT2h9GbodJM+UjM97PAhRPzBk6Ukb6MdzHzJeW
jUPBVEB+OE3anUajPhnJRGYuEOp1D9ICC0BIWwRQes+RF+2ozE55wSSEvgM8TfZt6orwaJgV82lw
M3FQiFcqluze8sP5GYP9KVQmClorzS5B4Z9GMDzIO2nu8B4Sb577b7LENbjYXUw9qYtJt59bPB87
wwNaRRApkRiMgVDQOcztAGHa5qT2rW+9GH7LJD/6MKseixFiOLrm6ZDbdrTywoDDtFD2TcH7++s9
8cLm+H1L7CN4lzSzlmuiJv/nLbFduqEWletsg0n7e4vWAyLBJnDJhB6xSloaiWEadzw9SRJeD13n
7rDan1Ri8A5aD1Ue+KIEbKZvZBO+pvGeO8UPmvlQuTniELP7SppbtUNudUqU+ShERTWtSNHM1Pil
CwKA4KQWTsx+PW7Ts8+1kIXMLzI7QYJkFI9BfhgnHZz9yDr99Zt3fxeVuITo2Ow5YJQ4HuwQ9Ae/
rsgbxRjf4wogbSKgJ5iwqgwkHpIgnyEoOUS0OBbKRqBqDq8l+uiCW13J/o5HIKKXbKdc45BF2rsk
idXiMeq/EcHr7rUp3luWfLd+yQ1RKH4KvQoBMQCOyLLdAavChIR7J/iMiyVduGWzbQc/izKOTpUK
3VOV/5iZWXxPsujOvoLQFLdtSvBMGPqowohZ2UgrYQgCp+KMX0+uBsI+tm6OzDmpQUuEgHJ7/nob
592bRzm5Uan5ravT9kbn0thPdj4j+QO52s3JXRCazq3bfnB6UpU4KezxIpnHnRUH5UUghnbTybhI
shfkfPfX3wFGjd+uQNfk1hMeYE7H/hcCjMiffZJ5+YRN7Xxr/PIZpB61tqDKDaOOeitbCNvl0cV6
VungageI45Io/OYsqtBa5R+96NNNN7FNpLqHrquyjVRlSkrxKV3KwQYEEnhCjIHEgeMNS917kP/x
kz8Siu2ngGerymPaYXngmYYEJYjCwGlK6jWzGi+pHjZZ5XKVDJJcjDL9boXaQdjQvrPUeewaM0K4
OZwMIig24aCGDfSo7wZ78q1hWdNOUP+aow74QjLjBDcOXxx3RFSh2U1ZJ7hloR7CUH7NJ3tY9zlS
bJDA0UoGc7LPhP2WQw3f1y5rs0pa5FEQq9uxTHkM2Kmz3hZk7PTA6EZ32BjOEwXBiepmWwS+y9AD
sRr7nnBNOGnEn2CnOaVhnVUgv1uumjZswOaLHelvYeI6RzHNXxuu37MhWzomDwi2Df0Wae5c7m1y
lIg0ovNINhYqgOeQ2BshF4Z2ApjN7YTA7cHFXZRkwBtJSuY8wc+nNulPaWF1b7FzjCxuZZVWvCEx
37exHZ0Nu7ito+4Y9Ja7G7uGQtYkwFvn47ANkxgQQCPL4+cV20XheuzaL+2Y3n22MSqy3sGpZtvP
q/J/pFzWcsb911Ku03v+/lsC7+dP/EPL5f6BYBfGmECcRRnCrfx3B5dHaJmryBhzyeDFH2SiNvqH
g0v9wcmKf0tygy/3Oq/gHw4u7w8kGCYKJVP6OCjRMP2f//19/I/wZ/l3jVPz299/NSl9Kpr+Wcpl
mlL4ri1N7GWet6itf1E8efXcxHXD2i3tc1pvCaj01knKN423a/WpDThORfvQe91D4KCWcE2CJ3Tu
POCnvbV7Em6misLmlw/wXyix/nS+8c5QkILNgrPB+3R+k5EaBJW4o/KS3TD2nK2HBIlRjqRoYRdM
1fggnPDd7ZKPxI1v/Ox+bLJdCCgN3PqLPQ4vAbpvuuKOBUf4YYfpuxPQDjFKa9cjsxYXZ/aqwETU
Rv9G/+q7i6byt8/TciQCu0UbZ7u/S+PSiTdWFiLZATect47SXzM3PY5ZUx3+P3vnsdw4FmXbX+l4
c1TgXvhBT0gC9LKUSU0QSiN47/H1vcB6FZ2pqq6MnvekrFIEgYtrztl77cxGAdYVw4FSzbdERR1R
Z1DuUqO8iWuTPtINVNWT5oznkGNzUtJbabSjtMrbpHNeB6HdIbRYxzn+hdY6TVFytAbNk4QgU8k6
dSXo68wICbPJNZwZ0eRmHMd13X8OyWQlk10tKMuQwD0Hl9miCV8OXjsE6E0QE7qD1j04BZJaHFJG
zI1SBfnhKWJpihX3qX/wu/SsYDQmcxxfeYkRPHyU3bvK4WOKSBoxTQJwcKDEHPFR/+TqalS/UmXe
qPpsrgI7eFUJ1qES0EHnh2FI/5QWynPS6nvRUiNk+yviTRscpG6tcj53ET5pVb9WOB3Sxk5W4G4p
2cuqwLzcTJtgnp6MFBwMviXhXX9CH9OPqnqeCvwncEI76JPNObfzi9+0qatgP5pChd7dMrbRg71x
Qt1DKiUOTI1vEMPcxviL9TJ6NdThqqcB1fBcWPTXnLlc92i7ArV7gNCc0BLbqWZ5ieUqCc3vpaCe
C3qyW1hDmnnXgpNcqTNbUr2K6XfNqAImbDuZFXxvZP7e6Rx64ltRm7um7Y+wO8i2qRXa7TWhEDVg
b9ueBrS3QGKyGG1fVs9PYUa9BUrDexOjNzZN4p4i50XM4YlW+FuY2ERYamv2OSRvRXyBPIj2fiHe
yiF/HzR9WlMFWASCIBkU8ubrmCuzTBUBAc5kSoNP+ejka0o7O7Gwxg3rm+VQq73+Lm52grPDQMmP
GyawhtIb1OkLUlUSYwSLpOrAAmmzH04w3ErTubPonpRswF28k/3Zcp61lGSbBK44pUOsNEH0g39w
KB7/AFxMU7LmmQxyRB2XkItkJxlfeknu88V4UqGl1ya6aWEzDuyC7bAdpR+1jnEnDB4y1Selt+Pk
2y/flB5Xwhbdjcx7EYAtwVDIfg+dP7bEfSElWoUYVaISgnfsccZ5tT9eCLahieqX2yrll3W+Rqtt
oE+3cOtJXSng9AQPIaElAJSxGLHpXOkpo9CeMfJQOFj3PU2JLicJhMCiUdGf9bp9LgXFnZTjJ6FA
BPfVSLCMSq6LkqFYTnq6CUf+Z1DclZDht2NgVUSeUKTtW8iYWt56fYG+ZTQX5n1BTam8bftmV0zz
M2WFlgAQ6BgYm2h0DkVce36bUcKKm1uyItFU1fjd04ojnE7R4xrWN5r1vZNb2EJzH59UvJ5jtiwk
EiQ0aJ2bQSWExMn5Y+YwPQ9a8kIX/qYvOWbDU2Le/2rNJD71wfITSvKezNNz1uM4mnREWklO+2tM
5V1oR+fWiNE7Ep5mTTS0MY/2jXWu1XY57yyPVjuDAOvQS+bvi+3LCcJ3fnx0eXGOtSjWda5krq2I
53mgXQotHM/b+BwntwFyoQ0l9XadaeY5rgQ1SFgVWHyjhRANJK1OdM83lN5TjNs6z96D0Pke4K6c
Ml6pKupIRSGTccUAGe1tnCzYz4U2ShBIhFAT6ykuoczgZxPD5mjgQHrmglIkpavESQGtLtjSJkw+
ZpLEQsInILZo5AY5/nOk47ihXkKuNAtObcVUMBzsVhOlZpYiq5qf86RlvllmW/KOmTN4fih3zIgu
ciSG5zDfaQ2PNiGaA/g75gH8wCtAA69FJVkVAr54ZTSXfhZ3SmBlYFuMH6Iu31OIqjSrgfrEtXpG
IXhX6jxNwa9fEOMPocMDHCNwXjqjmceZub44wqVDVqlIr0LQTWeLEa2M5TfqJ+BGPyieteuu4uuO
qr7rez4hWeJd6ji6JOmEFlIDNiPbWwrm5jroBxc7WrvOqd4DbCMVqKCyfr3tpZ+eOVKH+CWGB5H1
D9pAnDxUhSLrDwVNnIZ3Wk8KGusSg6yRtec5re7mqX1Y1vlibB4kK5NUfDcYg69gh5/t1MSzqD7j
I/qWR/q6GLiyGFywhxDHaRTd7X1cDWX7MgctOV9JztFifr7KKPVeHlrqW13MkG2dYV6FJn5BGris
VEO/Lbr+pvgRlM55dLijVGvzQ9wcVSLB2fzPT7CVabFl2mnw9a1PVABmD16kkhczT6tvxoz9TEve
xUgnwuiyd/Z67bpIxmdRBe+6Kr1YM/d1RsZHyBOsKeelDWaMWSU6TU4XVeMrjBGQ5qQOSMMDcRIn
3JYyKFEYRJim2WRxwkZQ3Ntov6j0DJYF7IkL8U0bfRRS1xiNL4ciHv/UIeQKqC9eh8es9QUQ63wb
LME5c+4gs9nL/JZ4QoOrbopNgdIhb/LDbA7lJreKYOuEJHNZBGakAfuKAC1d2qhnzij4Lwuah3Ya
fSCdpglFpOQyW0a0WFYdv7AtGYTXAaEVrKOl0p7auHZVgh1WIINbJjVsy5J3GkZe6Sk9Ylx1VAh4
0w3bG8oOtyyfu0SV9/Sp+LCdUvFIUpWX5IqSjo1eAq1QHq4frFYM2Vi+i6LIrmPYSlNMPNpNFvlv
QztsZGUKLzUG3qUIXlBFwVUGwLoLaNLsUojmwpFa6Zx+tc6/bRuB1tr58JEr//kMxrh6SqdpD3U9
WbVJ5q/z9EdTlhGm4x8WP4/8mbFsOf5paFWS0QFdV3Z2hxlha4K1j0IG+fIPxYxEuUD9SNdVOyX5
8jBaGkGky3QdW7heULSOy+45I5tydZVSx0q5qRrte2YpwbqJS9Ptx8WBj6ThGhuil/TudKRIejxZ
h2kMbsYxbna9wCyq1V9828R7XVMpzvKhQHnfGK4WUD+S3Z6wQUpZEZTgWCpbjI1o3AaRrrs03I0z
OYAY4YUnlnQ42d0oQi82ZsDuv2YejNncpKW1Ltgo82TTx2AmCPD6/SZnvg+dKuQ8OiDgwdPa91Cf
9CJIVlj5H9Te+CBp6y1X2nZX9zPzi/5AyIzckpp0mmJs81J7cOKcpkNr0eVC68fOBb2tmli0EbbR
AiS7jnlr6IU3JAHBrjzFgBbRsvbImkgcGoz0bZu69DASQENvmkU2hDb2nc4YCCWkbZDM4St18USX
nhGkpS9IO5e6lopso4NInS3qdXW0vuvfkBj/YNJgfh5ZJeSSB8RxgqcFnKzYsJktEps4nJEAnNqm
6cYBxA94K68v4zBl7yBsjknefmidoB8l/X2h10yPGPpb6eyddPjQbLQMy3nBGON3S8ewryT2hdLC
2k4GXjoGtd6yaMFW/NYWAxnQPAvINXLdtl42poVbaTXz6Gi/FKFP+6wgpsl8GJdpNrL4PzqT7zqp
MKL06TFvqGoNPbM2uN67uJ9feXXvwmHRsLH3YP2wQQQwUkXLlTCtrqscidt1j+pE4oWd69NYNihf
Z2ZQjJFIO4OjBrrQme370UCSofHyR9R6kJaQ0YR8pqSjWL3VeYwhjVfZr4EtqGa2ziK+NS1ZsGpk
WaRTnnoqfpcxKh9tR5DhawcA7JXkbGgwVSuDOxMxtU/SGV0n6AGNDC9yWUHTTpToAp/HsZqIlr1r
IgfJUT1uCNb9Ey0/Bz7nJ7TTMs0n+BX0AuKcgW0XU+uadrcu5zR3fcreNDGBGOLaKCueOH5XKl9y
dk1AGH4bvlxB9aoyYBG1EhxPrIFOTHXWVpMC+tiL7UuIprSu42651AYzvhP3bxbU+VVdMmnjcUfb
n9KONSL72BXIedAvvSCyvm6E7dj213b/baBbu8oGDguawdTbnkMNiWjkBB/0C6g5O+Wdk6AbGiBm
wFoLLmGgXOgun8acxdjU4XhJh9GqKyhPBnpgyEw2kDzOQRa/Bq0qPCdVHswg3yRq9B70nGg0vfCM
jrr1xL+YzBTsaqbHHt+GkXIwa4boXWeB8432wFpI46Jk9ocr/WPS1WQbkFygKIsrQiUJckBb5ScM
BMVic9NAk2NNWzCy3Dk2As0r+kllWIbR8pcZaQgK0otesYxc/0vfCeEppjVvrPEV6R/LGMnl6xFO
WoZi3Kf/r3cFJ0ONzHI5xSHxCaBlVdCztfzRY1yGTgXM9MrbHzWxajMSslL2wyq1xpXpiBFmFzLN
wkpoIHWzvaNSuMqwdd22gBGQ6sG81NkwYjttaTlvUiw+G5o2XpIiExEdwjRJG2zdjEsJjzTjzFLz
g5PW5I8mXhfl1mYyU+HVrU58tGmfwpQCZZfcjQPKVAtfH9qk+RI4gddEVrU1dNbEIOsvRjQwZlKK
1qIh8YpWr8WYFPiYaM/bmEmiHsG/YgNkscvx1RFNRQ5Pn7qxnDSO/KwrTd5fCMU8kvY6sD+W63+v
2YjPNemlZgOpCDugo6uGgCz0SyUpJWaydGQSexl9O1WUL5M/bGpKnQcnZuwUgfLSoEFww6Advakm
tXRO3jNcLwjVSedaoGRFz4C4Xtb/VSWFAQP0f65Knt9rZAaf65LLn/n/dUlT/cNaUg9sFQK5I6/P
67/RUpIYP6jeMIJxjVo8yr8Kk/oftk3F0EEfLJGMaIyCvwqT+h8aMfa0WoETGPAZ/3eFyb8RTWmt
MZyo/zlS4wM/mZcdo00VKjv5RiI0fQPl4JNSnS5647diCplQVIbL9JvC43L5v5TvHD6VsqNl6MDp
Jd7pXwdxUsaZUBQ7p0/+0k1PlnwQnGz1BPZe8hayzYalFkBCyp9KJjSzXhfK93Ocoawk+LxyfZYQ
GRLkqf9osifBYTp6dEgp88EMrCprNzWXzrZACD1VYIUI5bbDL6aIfvMqLh7gv38LIQQlZQrPqlhs
rj8VdWtNnZhsiTnOibTPy9fJgVZiM3eqpwTEnC9Ur2uCOxt4VjnYrjE/owJBZMuUwXGI3k5FUm/p
fLGwdJh2gXOFqBRMh1LH25MdwiT30PpW5lcZvxu0TbRk3FcW7n4N035JvCWYL9zvKyN9n8Ie899D
8pW8R7IZXwoYhXqmu1o3uD+Nb84zU1DkP5eyPzcmr4/ONq2lJK4ZVNx//dJRkxpBViE+7Dh6R0hw
CockITyJmfUxsPHMfGutBIb3758qPxd8+VjusGovvmuVev6nEYNQI/KjTstRB+F5o8pgUPhydrpf
7B34lkTbeEp3yDJrh4PHy6tg71QCXtmixlZYpBdCx/ehu+RdtNNPFgKFjMwl80ZahDI17wbsK4da
6b9f9T+Nc66at5vIEzoMxqeyfz3008z3ygnB84ImwCBQbPx0P9pUcMyPhlWlbQDTh/fNSLs/W5m+
jt/xRSte6YTBsX7vAYQLEybrXQTSsJs4cT+1AXlbLiKnJYBoXSxOKIWjgZltmvpiaZeIKV4p66NW
+78Z8f+AOuBqJUEzC4uOrvynxadvw3G0UBuDUZIEYyGtqFoC6fTNMNGXLYyVE8otPCPUG+YeVtcJ
FEajfB/zF8EhuuXkaiDELMd1MQ6/6QmIf5jJfrm2TwNzKMyhU5uZgSkvc9h7Dm7Qmb0W8l1C7Ngj
1Oc2sTcq2Kd/f8ri7zSOX+6KtVzZT/NAw2WF9Klz3JbZRiBfqueIUi2S45XOCaXm3mjZQBlRW/uW
ufnNpy9j6OdWyPXN+O9ncmWF/PTpatzXadvw6UkZuU4Dxzm7k/mjWms0kN9RjK0a9ml15LsUR12U
S7+5ALm8en+7AI0UFWdhHtjOp2mQUnWYqSU3HuX2asAkjmKSiK6FOIobx3H1ItskMLEIy9uUfrbR
FAIKKBS21htp44SfkjF5K3g7luKtBcJVi17ZR+OzwRYF8g2zmURi+5vb9g9LkFA1yIz0BS1kK58e
Wt8pjqoYPVr8lH5I7Hhkf2zPCpLGHLpeDH0sy9BmWyhdbMwmzZuVWCv2WgeF+eQ317Lcoc93UNMs
aSAc1Zcgp18HUNc7VF6nNt9EEKwIzNp0wxOIFKtWV7QZ1iMuiPhVAbdfLvmtt/4Y/u7F/qfpFQSG
LmykLFCGPt0NzUGxGkwwixLeWD8xt30xbCK/vgn7cF/OJ6LX7qhBPDpGcc797KSEh7lWUFoOG5r3
W8DeXmmH335zX/5paNMWkyywNuE11+nop6FdKXmCSxVZUmaQZhIO+7oN97JEgmMZZ7OuvFIUR4kh
B9AXaIjqXo/N39Fd/unl/uka5Kc7Q7W1qcHYsUFCOlvq4UpyV5IkeWmCfNdP3S0cHHy61bFLLihK
fzer/RkP9GlwsEOS7B3ZC9psBn8dHD65B4HTc1gsRweGDboK8sIzemxIsxUgl2Yo0D1l60JvUTez
w4fxE82BF4zaqZraLTi2s2OlX6JBeH79GI36Hl36hg9bS5TVxT11xk0XEAnO5sl0fpDA5ZrwL4jK
8jSgCsv/MuJ6C4cMXSZxt7M45XG/7bHQ2pO+cZj2BexAe34YcQ0YSbAvBaDJKtt1EILQT5NoDm5I
Jduk65OdsNNdb0XgdA12aPY+h6Bd29pBn8M7Mvj2haXTBZLe8lmLorpGv1YFxE8X/mnssh3C4F2i
qR6tzY2m+24tfVell1U0qrdgsls12zUZHib7ES+9O4Ett3xY1kvDjYNdloIdE/pGVdtt32A/Zs+l
cyJ3qofI5JTYK25rySM6bGoTCULQHz0QAv7EQYhsF3Ps18Ve2AFkSHxkhrZZ7lUYnkT7oibfSzPd
ZUN8jw1prfPrldncB3SaVKoSCRYkqdBqG9gbyrex1TB2RCsx81zkG/xqIE2kZysnM1iJIV5Lbj7R
6C7tp3UTvEzjuQ7flhphliDRnLKdJZ+6oF6DtN348VsliNPR8WGpiosqlXq7g0ZOrIe2XeG8WDda
RpOXZTtBrD/mbqNmx2CGLxkOxD72e9OIt0hFNwvIdZqyL/5wdlQ2Etlm7C0KLS/TsEdddJMU+qYd
8rXDHO1TtTLLiqKh9GAxuZIOzOBn63q5Fub2zgQmzV2lfE60BpRaqjUjABpO2VGfrfsEpxgfl2ff
ExhhgD6eFyJEKIszVUuabc1FSIuDK3pj9KTnsjBOvkqjVzRkJ5PEpBJfz05kTjmmT9w783WE6NrN
Jr7ieq19Mx661HLD8FV0EV/6wUe2qVNQ8DXSS1SU9hDTU8RXhgh2vugPWScwpkTIpKm/oi217RtR
52h/Gd7iaPXWrogpPmkkG0PZFwxsqGVVQTnozjQvtqzcoIStQtoqvEnoJWzmulWTgAldsO4t7o0j
5pcNhWTK09fF0EKXXUx3ORjAoWy4cZeqytYjQ6Vmj73Uq4SV7W0Z7jBElPiGlG7G3Q9c0nyoh1cD
/mLlLAGRoN9piiU1ZwaSBnAVuyF+7dGhBikHt81LV2OX2IaxawBJaYFvxdgAKxA0vTavrPy1mu6j
GYBCtwqn0oWIu64N6SrhO7UVij/IISATWPZTY/eejRY9xSowF8MKn2GtEYwEJ42Oq3T12l639Hxr
bGo5/sY6pbJK9zsa1oXFNhyGXzLdGam7PMmAweKnh5K3MCqBhmLrrXg+ssnpFg40qHL4jYWrouxV
nVNWjtx5a+N0upuEmucPgSdmjQOTjgIgWFUKjLHvNc2GmT+QynAt7O8ltUtt/s52eeKu+jZhodob
42GTiqcW5ycFdNT0Or6RYKVhFx3R7nch0UfBrdpS4OJe+9u2T1wZ917eshcoi03nfwPpsEnZX4ZC
2xILtnNwxvdcGFq3Q0ZPCDAixeBiOyJJM5rCq/rOc/rYjW0S0HtrE5ncv/EwoMPwB74qVjGjExsV
Z7E2fagJfnCgJj599J4ZTWkXflOyM4gcVZuDZmvbYJZkdOjg64sNuCUGmIojjCgY5o8GE2NLzzyt
GwLlwQ6zD51opodlf7RJw6bYujZgsdRN7yZZsqILRCH8HBZgiBxyHzpQBtFN3y14zUsTgJusHyL9
2fAfLVmvRVjgScAyYAMlGAHC+tpWKJ2bwiElwflpxr4/aF8dg6AcxwOyQivYOhUxafaeUkd346x4
Cxs4GbM1jeelD7gawmLb8dbYdXGOrMHNx4HfVe5L5EUBWuVJ0CCRgOnyvU5FDo5JZaMkbEh35Yaa
ePH0ger61B2lru4MMCn6HG2mISMGmMmqSrctxu04VXcpTt9SJdQdjJTKNwkhMvmMkQ4u6/gU+C9o
SmHF8+3dCq5ng7XXnJ+mACaAluEupsaPQKeLaX/CkqnkhTZKH2WkmkDQ1xM3j0q3IQ++AnzfpYZX
NCj4O8D8yb1WBixIGPOCLdiSTa6Il6wh1Cvptr7i7yA67GSRbmB7bqPA3texPEjf3yHCX1rGcS+9
Up4qpiIq72geWxLK1MeS7N+GQYx//VEJTVhLd2VvbrTUxzXJGp2KY6j6+0g7GrVFvDWa+2RRUfoY
1bRDXetn1MYkg6TbZeaaK2vfTKq3LMMUnw5pr+GvfGnS2dVY0JZVmabvUeSkaXDTE5T2ENIPeSGO
PWWW3Dc2HUTPWiQ78BaHwaq3iuCiMmo7qnbI5nqrRe0WKKDLW7fJJBfOzkKwI1j+WwDbeVkxVK58
mSMLW9skjHt9CVvHjM35oeFsef3jXbBXVe3U8FGxFN6yEOUYZcxO9YhPR5FKZ9yCLMkskZLbALeJ
0zfEp2W3xCaqq+oNgQR4SqvqJYPSMSyrVDk/9ray0w2WJ6nslt3N0AdepZxaWzvnqThVb20JDiIT
GOSZ4bV6O7a121b5GnEiIATVs3HRlIPcmD1LoK24tnOmQOMtAHT0AV5sOLdp69x2vXXbtQr6JNrt
0ZuKx2zZaAWI74dNqJp7KcUpg/ZWdCALSm66ntxPMafrgTzTJLw3B+24/HskNPommF1150L3HwPh
3qjSXTwZhxCcRCfVYxAqbBy1s1WzMtflAQ1I3CmuMfmEnI5vyUBrTtFvsiDcY7O8HcfvQanfV7nl
NsHObhgnoXbUYjhcfbu9ln24pmWTJGx8uXQu/HR6QSu+l6PCW/mo0LeZ2XgkxbNO8d1UDBJYs/sl
lMU08o0QzdYW7dZk3IazPOJ+dovBuOmxUBZ2cQmM9DS1qFd8+4Lzf8eu0pOVfliGBEA58vaIHZn8
3UgGcczrOulIegwLIThPxCGaRe8fg1q8UMQIV4IO5QosA9tCAuGpTlTsT1Xfv1RFgn+1eqBiAUm5
084MvChmGS58FEgswCYVrgBEUdtwz6sXGTMXYDTFQf0jYucr4g7ywrwVlEr3GvZb1GkIFrA6bamf
ndshVoBIDFgRDJO906tvAkSgxnUkxeLB7MU5D/hwT5+LQ6T6H1rJHlRRXzgN7iO6zijBsYX7t3ac
/uD8fexM9VsrnJMMRi+mjJjU400TjW/CbB6aZHxM2ZkRoFzQ09FflSJBtHgbz6obTeq3XJnfhrB+
0AHLw/1dDUwHcqmUZcOpKKfHNscSobEvZ8lYBwjo8EziTWkm/UQl8Jvm52SKmfZzWxdHVrtTaWlr
VY5vEx+OO7F/q1Tx6HMvge1tpu4DDswdir4bHa6XPb/JWH1JhXnTR+WDWlVPQcqLV2q4puTBir/G
yOawvD1qKmcXSx44dj8Kny5LA/xHpyOqZcl96OfPKiaX2upetXp+NGsUREOefJnUL3o54BGM9Gal
CCaoVD8X5Jgs7ydBPjvRP7a8htxXWAfMQzWnj1r1TCO5nxOGq1BY3DlJMaBaibEwsw5qILyqjt5S
NlzOJebpID8+GUW0Lxmmjj+RZV+z+AfzC6Kd42RT8wVS7mvaMVPUsx3RDlIhCpDYhZ2cvXy7Wr5c
gYI+M/xbh7BVbH/7nje2W/Z+IvF0SiAGgwVEEmgGspmwkZH9PdDfHrORjtaTxY2sDg2cU0v0K0d5
gfDKec8T1Zs+jrTJgk2o1Uc/Tre7Ls3u8dZ9GUniIa8Hk+tOoCnMfXZm01onnaoJv0ZB6OrtB0qz
9TAqlMwiYEkYHNbcIpYaGqAhulMjuh/KZLdMIf4Upasmb1iyef3pAcJPw1ZLMZhbm73Nowk/QfWA
2G+XTzIj9rycDZdJKpy/FWR/JYiehLoZysBrXzuLxU7TDuijXA1f5zJ1Z1kP2H+ThlhZM4OOHmeE
2Nj3CXU1jhXLCWpZhJZKEpJpjnkc0vi7ZGZJSjZ4EKYzR3jLOlor8jxn3bYDI74sh3E1r4uu2dIt
2zhVvZWzfk6Ef2kVNoWD7/YCj1VSbw1ISLIvXSqpnqG4kQZ9QnVux8LZW+zxG4VTFsuzo91rqnVT
SONGAypjsmm19XhXtc02MXNcFIRLNcxXZbazLdXLLWUHSOlGa+TmAGDjMHR0zme2xgZ+cWr+tkY/
kksRVbJT5puh+FgOrssKGrSckbN2S0ruqedMZdc8aMMdLP6VP1xzOiUA8rQc8eeCUyfHvChCSzSq
XlkqFxnVD/V43w3FLrT8izNjLpzo6hQkNCn2g1kZh3k2kIu02yUseFXl2V5aAL8dn458UEYMMv9k
5jub1nNYPi2XZDCgrJqFmRVEF8kXqAGwzqj6stsapVjPGn/nGN+RI8URGY8vj7ogo5z8m4JT8mxx
l3QvqCKvwn7MYwCmhC6LR7sUJFRe/tIS66DmBJn+ecI0GE3Lkb7Aehovc13t7xCIX38miMyVAyhQ
2vV2kNbetLSzgp1dHZx1rtfusvcIWgrVVAiW5kzAQoIGh35pAz8ZiiUI6gn5Cy/qdspQJ9PknuQB
6M8tZJhTKVm6sVR1tFjb/In6yl6U2rGuwNv57HIM7VwZ1DItXl1H3uSBuR++MsLYIrmBJJrc1M5Z
yVYGNDiQto0mtaOVgAeFeJUuNR1+kYlQkOWwU8nnHHHTKndTkt7HxvS2jCLRZzw8Y49XbLNckYVG
D5DMFny+hEbZfpQLahDH7aDvoX1swiZaTpP+rG2czHeT5LYt59VyCyOOd8vbBAR23bEDLxQENBgP
QwpHyiJPzCgeUPRZlhOsrevlDcwM3oZK9ZZdq0XbfHmxlxdcQMmvfYpCvHlBqB2mNqMCJK+/47qT
pe4BXHKd+jflnJ30UAXwRM2mCLe5zFfEzu8nMb0t/43Xw1WwPVqA4TTrLoZv34QGpzjDdbKOYxlX
xictV7jchwbmgOpjnl4qLpSQZt9xW76NbpbPucHYWkpyCjGLS9Uq2F4rk//X7pYqNdj/ud191/2o
2+I/HqJvxc9Q5euf+qvhbfzBtpTOoCk1+tbCoF3wV8Pb+oMgbvwvlLrx1lx5y381vHHiYHbUmQdN
jCjmImtoWA7C//x/wqIXDtARZjA5TOToWv8rJ4743LXFs4te3mSXiFmO1vsnqnIe9UGfxg2y58pC
jQTplp7MVCiH3Da9uqr2gvcSsyyoQyhCNXjEcLrlawJe092mCUh3rMD6ljt0lfsmWpI29PiH2fmn
qnvIpukofV5C3gsOXytZNnvftry+7w5TYW6EOroUNSiw9utAJ0oaWpBeq0SUe11TnkIVe39AvdNy
0Z7c6diIkc9vi4ESBdC2GRRfauRwT9H1VPWBiZzo5sYLSCOVeAIts7gzZXIyB1ZqQc7a1ENKy1cD
4L2pJcgutG+sDk9KXmByce70wb9LouG2nc9may/V1dMQxhclSO9629znCW8lOiK2v54YwMEbnLnj
G5mmJPkQdWjr264bt8692RExjbtBkrfWJusEJ0qS39UQtxIFlW/6ga9jN/TFI5FG2L8tTyMLD2vc
CYIQPkMgcY5xIqWGFXDwHGW41R+GcLzpwMrkg7bLgx6iCNidqPzzPf7Fp/VzM1tbqvc/F9fp/thy
ESMgf9AF7aBfi+tDqWMkFVHmTtEehDbVnnQ1G9TROvB0GjEGZbAx1HbV8CMOhKwQ909TPki1gYpG
oIuWeKpA2s+PQ73cwf+j8P1d2vc+rttxatYRScGNTclOn1HlWpu8moBcNr/pIC2X+evXIG5Mp0VO
CwkW/dV+9lOjZB7w22BICtweJz6bMmPT+ym97fxtDMzTQMtzTvB1/PTq3/3563++eZ/7fjYqxZ8/
dOkp/fShnTPOQLXTAFN5+dDpryOt9Go5IdkEzf77R/2tubt8Fh9GX2eZC/4WOtxCNMjDNgo44IPd
RXm68Yc9MqhNh1alMoiqSZUYJN2rKZWv//7Z8nN3js/GUbg4AZl+Fp3Or9/TDEu1mMFHQkVXDixi
YaoeEtB4KriFpc+Spse5ROIRcAiOKGqxjzVIPEDy+lQ3wu2c+LZG+lwo1SWTX4uqO4XRfaTUp8we
7/79Wv+mDrteK6449BnC0qj6fbrWohcOdHewNwmgN8pzuB+3cSzvZ8O+hCOC+bR+ZFKKqd0drcZ5
FZP9rWqPLbg18qV+c+v++XJsVgHHRK4EJ+HXy4lAqNORx0lfKSz8utWsioqsHQBxxVS/UvXtQIV4
fmrd+gEyvzSDBM4OKshOBnYEdrqPv7k/uBv5yE+vigN7yxYsAJgfP0dnaDmmoVn3QXe2PLvquTSq
mzTjEItE+6WVC5f2gxbIpTDQIEIjmoEOrhPTIMdKaxD1osyFJvJaaDE7rZe5PBdx8qwvuU1RyjaR
bWuQYXvCJnxZItBojbPb6ddGQ3bIoKc/BvDpy5axFenXMDYuIrDubbzxdml8LTQyYbNTFRn3jnA8
J/hqK+ZNjW67h1fZcHTIy3Xbz/cjDQUu8ZpNhj/aAN6E0PIsqewbYX7TmeapttKvuRJ+ZHG5d0T1
JS3DiRAy3P5ljQZegwwkvhvL6iAVKL5N/WrMxWnytftZSwg3mpFU8V2TyCS0y7x+l2soXoE0vRv0
e90KnjqTmKP0FMSIipvJ33Rdc6xz4ybEM4LXe5V06U2nJx/LpQ+kAXFCJ4lLBMcRVa3D9E9Lyuw4
Mmbye0PIWzmKe2OiVJKzzoU8nqL6Oo/Q5QvrxmqMLbEsX/sCYb9Rodw3Uv/LMMszxg2ylBrIUqFv
UJ/V7+0q2VbCxMs4UQHobWtv19WLbY/rSe3ArKX5ek6Mixk7920YflWm9tUnct3lTqziGAWWvqDa
ooZRATPwNGHe0TR4JQ0v1ARtDDG6fhZJ8L0QrJgi+YiqlF6StdUrKqlA4y7DbO0JbbvvMuMoy+o2
mZBFKyyYSUuVWs67tm/fSiehRRmcrJZsPawGdgcbjgIFnvyha91JCagJcmSNYJ65BcqxoScUiiMC
7vsSYNM7WYeSGGzzptLYIcyG+UX1OQoTC73vRmgq12u15ej2gLLbFt3v1NLXUVX1lFlfAt0gJy0k
f/q/2Duz3UaSbMv+SqLfPeHzAPR9aA7iIIoUNURQenGICsl8nt18+Kf+iv6xXqa6icqI7FvZ9dhA
A4XKzAhRnNzNjp2z99qptDBDUI/XQ33CXmpH4tnEqrEo6vzqZt5xlP6xnPID1MhTm33mFZfRZKKS
RvmIvLk8a160g9JxyhP+Bhcu0rCmW9IG2HlcwSa3RmrR2WWEDeAeR89C1IHioSdLhk2gWV0TtbRL
GwZTakyrifrxaIAdItNhPATeAHrFIz7Fg3aa5l93xTC8j03zg99IvgH3i9deqkBMi8oiInPoqU6m
B5pofIMlqJMRhgGUFLABTPJ4RaEHVrQjycuzVbChyS8PtfizD8J1lnDsJAFIMWpGINMQ1MYHsCEX
WdnaPzjudjvzK9WFqDPQrDSX1D2bNdX3UE1Ywd6V6Vtn1S9lLDKAxtoHnXmhGenaa1kC1Vo7UckN
AqyLLT7zwKFH6/cPhqfdq3usLrJPPyYqjnwK8LzXAX0y7yta0qfgIvB+gLxndDe5cItlBhWGqQqR
heo1fuWUWdJZCqN4tRH1N8b04STWme3iSUbBsfUZOfvUcrggoFrQL+OTIMF7U2ghmU/wqZP7IOou
1H1cyRl8oWB8KQlbW339NKrFZ9BiHJ8TXhZLXJR9mhgENc9/cArSNabOjf7x0powu1rSOiFSuw2x
RRGsAeHC773DnPUXtaaEOX86EePtdWg42+w429a5rrNPvckOquY1Qbx+meNlBj9da4adl5fE7nk7
jbl3AasCxfq5HOc3EpLZNgrmPwrSpD05vUNutrfTXe8IqeWqBXSLAMXqMxetKqnDygULxXdm5d49
wO40zPepGGgOsNTrSfoZuONd37jawpJGt+4wKzBUfMAKyAGdT8NPpnrrcZMb9T2Q0Hc96HHkdZbJ
bQvCaKCUrsQslxOHf/XFlJZ3GJNjqnaaygy4Y8mwCrz4XJXNfpxz6uDmBtE59wgXsO7EdMkMNpOS
UexEw680+MJ6t77EJb8gYmyLhwHMb/sYNN0drfNlpGNXZVe12G2SrDiCeT6rkdfou+w8KhMJImCB
jQHaTRJsfVBnbUDwXBYY5zomoi0xTjK0j7HkU9ASJs91lR+KLr/GdoiVXXySXPgEVK3wklu9ry8q
b2+hPq5Ez9aWgSEIBcEkLZCzZr3smyf6rU/0Xi5ZwpsWmH9YY9Gt5OmnI7kPsplf3bhHDFB3+pv6
t1oPnqpevlfFXWIcAyj9FOOsTTLK3+v62Hf2WX12Iwuseqe+1J7y3jmrLzoOTS6GvoOyd+tHl6on
BdrRbw0ilA2pPlW1bPju0TIBV4fc2FYqUF8WwdGYrPPXKzRdcQ0EH9Hk8QA9zq8hSZ50Zy4OMdO2
Vl00DZKsKbmbzIOP30cmFg7+oQY71Vk/6nzahy6Dda9gF5gCe+3lzqNs+2/kHXQc+9gAJ1DVvRuc
iIa+zYxMRQ9iFWM/xq130UV0LSzjLPKZobzhIgPwn5q4VsmnMJdz7alPVjmGjYX6C0uUn2RjvurP
SQXW3jcePdt7yofyMvdv3hjfqq1blVtiwJxIE2/RZf5ObfRJTvoKXWz183XnHMkiOFdA2ouhehhd
45aTGaIE95EtHc8rbVOY6ENhn9Nz3aTskDy8LnnNtcMFmgXjfZ3g+/MIJuBCrfAcLuf2qM6qk7r0
UluwyisreFkbwGTEInc1FvZaAWUpBAk1R5NGpPYNYELC2G2Y56SAIr8ZVOhpJzYeopC1BJOhIVKq
zFfCyVBh2O7KHrTHL9ipJEfeF/G+taOro2F3H9g6mIWuMcNeBnBOC1llV1WdJ4n2kc7erQltsuen
v5Z+4nmnnLTL2X0xCrZ3VdbnkgvK0Q0yQqIUhwuDXW04ZA5hlPkc7UC1nsfIPgcV26TvqbjdpWoI
NF50lVZ/KQftnIhzRhQnnwBViOfyCXwF1voRL87K7eOM+6qAsksfwqDq/NqPtIp1WvOfxjh4inX9
M/DJAocLOsXsNjXiJG00z2F1UzJOokxNFipqrVC7blTxtWh8I2FO8zERr/VGa8nJ4ybBuvOJ0OTY
CYgNDTbcoWGo4Eiu9XRSb7NJ3+fC+2jxGZERQZ1b0qxcECSx9aIMN7ehgLUNnDYdQUeoPFeN252l
2XzqQ4gywqZPX9k7pBrLup9w8JAqoWI+syD8GDE0FoP/TVCcocXY+FnyWTUUA1bBmjQFjE09GK0O
11ELXDPUzXOWUiE0uputTboWNSOUxsIq1otrNsTXLLM3I3g97rm3MKAk001u5dAhTretzrNASMAw
K6MMCZhehpODVshE5OWcjNi4jz02tkqAVwph83xdskanAuNovFsZbAg3ymHVJ2cYgfmUYJWvhhb3
Fp4raRPbXPOzduQ8CN+/GxpgBJDWfngNJDVPAesdzJ3MR6F7VEi7m2loqA/EJmu0t7wNucbjg51y
orD8HKla4VxM2AXCo4LNQvTKJN85QbRt8uYSxcm105/dtjmao0VDR6fNmtG2hpSEyq9k/p5rID5C
vEtW6JwdZMBrB5TXIq5RfpW4+SJbFThBQ2wyl3swlR6n1I6PNhBAm4y92wb+jSvCW3M0rUUSw7HX
uGNjg/wVV6NvX872Zq50Rqi0RzpWta90P0KR7tOk2QORrOgec8kh5gKxjn+6xhFtIaZfAXVrCLJX
GRDWuZyg29dqOwQZg0/apeQaw3KpOUjiZcK1wiRmZZjtVxyARTecuIIs10nWLB40TMl7Zv4zIhX3
0WmcN/w2OByNvF0ZYUaKBNOFVlYB2EJiv13Qq74uW+JGYbu3Y41RvSYgyuzsdNnUEWJVGK4bsICC
bNFlgjcGO5vzoo/GtEOvT2oXfJMDja27bAiuUxsQjjOEb0HLbgecnpFBm99LkCKkqhxNwle//mam
ZDCU3bZM7XXW8la//ph+aLQ0oYszDi/q7pQwNeDC5J6LZfZMpfmUusbZQuGyyAonXrLox2pYI+2z
GwZ08HvWLmgce0Bpzar3+haFov02wo1bCJdOHv12os0g/wm1x8rwPBUuee0cGEws+CsI9YMPjJhE
ctf/cEoGfXnUE9/okneeZFd1fKspHhduxY5cz6mOVo+q0OJA2zF6Mb3wVMnm8nV6ox105kI+8ger
L9ttOIYvHFDuWp3FiVjmz8EBHsJS9hXRAk0nTYuDeorcZ2baJVc1yEsbKpFOHOy5u7TU/VL6+9Bo
L63Dy1C7gbpiaiv+3hFo7SRXVdpqprnJsnLvq4NmO5zU4UK1K6ZcbJuB1Xzm2pzVMtAX0efYpp9S
412oHXAg7JxoEogngwhBNKKn1ork6o3pN8tmHDUilYm21Tkvo1Vb1z/cyN9Y0Tku8/dY04hAQVWa
VPDbq01Hh1aSeuAzl48muCDSZBIUvuud/4R6jBEqWafBbC9amnCFzpI4vPaVeW+40TrBBOSFybbs
6q0eowBrrF2BixV6Hc25mU2nHWEAc22RogvbvJXBMpE6C60KHWYiI4KA6hpf9aKPOeYwJzx3msd+
jgJTQ5FZD99RnTEP1UG592BI9eyZnjCL46Q81qtaxXhNoxqy8E2H+WMOHbUv5FtvuFvHuCFP9Dsb
6444qEcEsfiZ66cxCvcW9AWW32Wekss+gg2AjvsjknTcmtpZmgOFqj2xPwMt76vqvai49L2UIivV
nnzJVmLSLF2E3JqMH++bMLpmknsgFXj1G28vyLYxBo5fPRsejCtG0uyTaRMr6BRk4HDcenX/WPX6
9usa1EOeqzCaC/HtV+DSyOrIYshaagyzCs+A2nZN8BFP4tvfdI5+HRvQA8SkZ1mujvHSRuP5cyvL
yplMFCM+kgoMn97roPQ87Uk1AOpI7sKuoyC3N6JcenGzHWK833OMmiIZOeNouNv/9cv5S8PX1U3D
NLEPYsT5K0+sBNDntrGvrYBjaWuZgVZlIrPzohfhJN+Til1R3QX/+kkZyPzaPONpsf14PLXBp2D9
0s8zMWDBXMpwTqkVvQwna8EgJT6aEYXwV38vm9henR56EFSDiZfQjQ0Hgs+YGhJP3k61gqZa+cTY
xSUUNIAI2ylUWnRuYWfoLur80yfye81vMVTz7etEOHBuU8dDFQlmuNfJSq8pSgDVUGrG4Cn3moss
/N0Uy1UatRcVxZoqOHPu5chGg11dcTIKCF+JyLUfrPoCpvesDsajr1YNzv1CBdKq07ClikdV8vdq
DSlDeZEcPNyGAzk2hHQOTqqDgLL7qApq9R41hh4zNYzqi/WAaOziR0szgiMtd2qOkqyV8lJQD3nh
yDqGTHOsLxNCO690NoUIn8qivNDtvMycFsnDO+fZmhjqqxnXlw4OuOR3Mo3dII9/GpiF2PPeNatL
S6sNZwyxkBzM1MPbmb2YiTmsFEplT80tRqiKqA4/v044LHpQxoFYp2ob+uK6EyOH/WXdJJTuIqQM
0XUD5UonUP/a50mwkGg6AgmPgUcWnALDzDeVpe+Ezk6pdVQMAVEdyzhlQyGcIMGHBijN7Q4yEOew
IC+64yuMk+YbWvfbVJL+Rn/x2jA4mSQ7pdA+1AGUgNOL6hSJsrrgtljUZFkOJS2sIkMCbMfIgxze
aOBLIAHXJGi/R6z/f3NTYVn66/XNbFB3dN3HYGv82hwep6Lt6U9Sy3nylJTGCq1JF+1jiek7ctbb
ROgnWPKnwK/3KNb3JTLwnm5ezj5m0LwDYe1emxh5FVIcE9134VM0lAbba73W6HTYnJ8TO9o4rf4w
tNrm6xvLW+87uIkHdX2bvTj4QJ26HDQ3AumpPhR9fYOZzAVk5sK5wcM2t+hHswRro48ickZlzh72
6nNfUvAZlBnqqDkkaDUw9oad/q7F07Gemkc9SHY9OR9dki6Bm+zYOIYAfW9DyRAum1K/7Sex6h3u
z3pEPKjRB2SyX5j9ko3tJjEzqp6SDot70NPwxjTlsk97QPsD3GNeD8IKK4uvvaipVVDjDsBgXQ7f
TgTuVLuNWo4oqh1X+nRaUT7fJvklVdgN6lOqyBKB2NjuvdG/V3dCajg76Kw7q6ChyoDOSEkXiOk/
W3G4rmhHOolNqBv9qyi+SsN5rLOJkI4C6FjSs1yEw41iC7VdemrY90gBIZ7DRn/fAetmQ533wnIe
hYNthuBbx2azIqeMu8z+CPQKOg3q42a6k9pCJPXRGrOlQb4AjSFsxhkl02gfiDw8pImGCcq66zXz
HxTg/y8zoH37p61n9da9/fZRdHE3Hd/yj//4b49vcdH9dht3Xfvb9NtRBYf9LDfg0X/IDczf4Wra
pu8Z3LF/wn665u846Zg5mSrJHV8be9kfYgPvd9uAdKhGvoQ7WQ4zon+KDQh9Z8r4hynf/3fEBhh9
/7KguCgMKBwYH3Jq+nVBmaSozRFvKPNY816YKL8HdP35KwONSqMr03NOwZhOhsvSrZ+RazXJs8d/
BPYDpDlIQYgxKSZ1WOJ6cOM5A+U1tKdu5XsvqiSdBNiYitw7/1CF2lJoij+8kbbLYowt3uRhyNtJ
kFh3sUR6+mQPR9SdKz1+ErlBosRn+Ra22dKvInrZGH9SZ115L4Z+HVJtCc4Yv2y+FiGiZd1ZTWi8
zB6daG3gOPjuHAfzMa1cmsY0dn2UEgKmHwNZlF4GfbXvEq1Z86Dn1wYKsmyBOCLOZE+n8fnE7Gsl
IkHvoN6RbrpBC7I24aSgH+EkimMaaeJUi5Wbuii56RW1aIFGNA7caWaN/o+PLe/tvenx7g3Os367
S6hzQfAvShRCMXSua+O8hlPO9nNoeHZxZ9BnMuW6qy490k7QM333KqNT59YP6Sw2tiCiCudV0QvS
VCEgZekBhOLGJIfEcN6i4diiJe/sbskpepu17jL3UcFRoIPL2QwwTyILpp5sToY+c1wA7zZAcGkH
QjmaXdyi05L05Ytg5hRsiYdwbOkGwPUrqYwdmAftbQ18kNinh7lrTomCkxZRQWKreJAY/dVnUMp+
V5vZoQnDOy+nqd6cWijzAsm50mR6nE3M3ll6ssXJETyqj3Ri65q8Q1LZhwf1Yue8W05jD59/uGGP
3Ao3eGi99FW9jErOG/XRF5G5mYaXZLA3bqRtOmti4s4nEvCN1cGhsrJtnbwWQ3PqZ2tvaFxc1jLR
UYLyrqeE/EILCityLoy2hzSI94htD9B7AfDDHUIyOFsnD92/3SevidOvxxaNGrgbO2S7DbrblG5H
RC9i9KeNF4WcZvubBosJTXW2lGwVg1zoiOlA97rxaqZw80iGbgJ6AM1KgTRO+4zlSOiTufESf8Wv
2PooEhPaMXcDbuKh4yDU/Ig7udTJnh3CFV/KriQhoJj1bT7nT2kNDBeio8+mNyUvWno7UIaY/mtX
Ozd5Fq2t8RnEzUrrXsuMg1edcOEJ+y5hE+ql8+iacudIbHThzm+D224OHrSQ473OAdLcunO7o8C+
G2OPiyh0F4x1L307HnKye5LS4lUHvBw4EdxPIQdRgkoUi1JHOF067ptjf7dGgyAe8FKluHULfBHF
zOsyVm0KkAh5cnTp9Q+jK2n+kznrEDnTyc3Idm33H7OZ7mrHpLyIAKv1S8+ZgMSDfBVkO/rUjkwa
G+s7SaeLiWCZUY+WSQTm0P9IhnOXYOH4lDN6ZPro8buDm2SElwgkNiHrRrBDxxxAmFuH+veiuiPY
786HudlbT2V0N0erfFIQzXKT+yYBEs/W8BCZJxQem8D+qIt1QMlhJeld10Qrkp03AyVgWxrLhO9B
bnQ00WmW7iSANanV1DfF3lEOERaquoENNcN2yM4oq4mxe+0jliWTyNTpqrfNolUjKP3q4kw3k3SX
NP0ikLiJOJ3LZr6IEWb9OLFYEu/Q+5to2lTGtDbHcT2Qh1vJ7obD7lqP+i0H/nXDgj1SEpDlyPhy
XhhZvvE0uS0lz1Lld9KytnQlmGYGN60a3WNjbWzmPH66haO0zmW3JoIAh9RF7wd6qix3TXujHgaq
7CD0+VbGMWirKwjrv5EMGbY6rP2khFBiFhulKZudi7rO5O//pN8xBUIIKx65n5J86wzOlkHEs53T
IMuL+5h2qDZE69HESMOXW0hMhuBU/QIDWSnWPnrb2GZINXW7rnG2Ln9OGNcKUtTBtItFCDvOI/tl
dO27WO/BU71WJkBa/2GKxDciWlaxmDeZZDObXehUnKuBeLk9m5cR4b2j4KRpp2nZYjQSZKcuzj1n
Oeu8ioTViRVksMXGxNoYofCs5/5EVChoSfHAmYVIB16F794lc38jNTzMEZFmxGKU4jE1+lu1b1SD
hmAP8hsCra8XqObVHt4cY+Oz0E2kEusSEABrYc90rWPhK82EHxUbVF57mV9qV9z5NP9zwrg6/8En
XmbMtIOeaWcoXhw/YTQFd+zDB7XYhghBWmlACs2Ia+tRErJgtSzaHotdG5PHlzDvmTZd2ZPHkX4z
oeuZ2Ow8d+/q2hke1kOiD0dj9p7jdNy0A7KInslqlG9ln57ZVQ8KfidH1vPxpuwwTlbZVjdZH2hV
ATnYC6xMLTpkQ5b3xDODiYk2Sr09SBCPvFZ7XtZsosTa7HNra2nhZrJs5hY0rwiN87LyvqvK+5aV
z8BijPHkKFjPv+q8f6vivYvfm7ItP7v/rh72jvukwYfQfeHW//lfq8f/8fTbZ9n8dvd48/TrT/70
QEDt//n8qtD86T/AIlN0nlG1Tg8fbZ/940lgvKuf/L/9y/8sXelOUbq+l33Rqd8m4rL4qWg16OH8
18rax7eCIvjQv/+v//n2l4f9Uevqv/uUs1y4BlJ2pklUm39Ia43fFcgdNhjqVl2xef5Z7dq/I3Sy
Fd3eMalslSLqj2rXAnLvA7k3AUkFhgf96Reo/b+E3P8FlcBS4tPOMygaLBe6xs8LymB2rjckUD7m
wVnpKSLQ5FLKBwxHgDwYcTqEOhpUorP+Nwf3X6ts0FU/PbE61v9pJQuxlKMOVE8cnGzaXx0rgfaM
2Wr5p6/k/6R4NNWa+Oc1k2cKgsBT75AVk//9/EzJ6MT0t3mmXjGcHP9BMznQW+JbhZGpM6mdLMXr
0B6rqrhnNXvwXWKDDHaqrGD6VRwqo9tpGmX6oE/4X7PPEBgjvhYGJrQ9qaWlx+CvCh7qCVudZAhu
r0nbWJLzvEG6fOM2oDPT/uQwFy207GCOyb5FFi+aeSUH7Vsto0tB/q41xhu2P+lghomX8JA2vim+
V8WMOyJ5aTwKsoq0OTweA0dl0cpjb8KTSMw7RgoHCXogUHyGsL0tPe1bGvS3o0khhzvKhDeZBPZW
T6m6wmnVUD41PWvyEDy4Q3uYEDJEVHCJZe/7MjsrW96UcUwBHF1bLOp53R+ddiZdJzwkUAbV4o7X
7LFliY2aYNUI/AIFpAbTWcBDv36sPbLBslpj39wmPmMOFR3f4ibwg4cUE5KyO4SGvXVJyaxK73yB
+p25WNj1VY/bb6DhFSmmC3QeOJ8AAMQ2Inc5WWsZgExtBC1Cx6mKUID7T2rrUdtM4so1mZ92nq8l
dWiW4y8bEQHedQYY/TnfxjReS9e8y4tsm5riZdDT7Qa4wNqWw804YN32HiemDQmVKhl0p6AG51CW
B+V2tem6DLN/kD6WrzDdYHercYVo5HkVuIbn0L1NamrC9K0108/Uil604rZLq11rN29knayBKxyE
x0A+jjZJpB2KwNoXjnaIhUOeiQOEchMwIfRoi7dackbUuFSfVIlJvmTzGyrWenzmNYU02ypavdsJ
KHLuOcseSm2ql/ehjdHQH1eRLcB7DmusZjfokHabKHGxg42MTof1IKJNYN6O6AUKElYk2alcbSPb
XZa5e10SWpuPR70cbuzE22Zkdc51TCoZNWmWK1nHmX8ycep2VTsdMXoCId1pgDfbAL9Z5ZGriWXO
XWr5dFSPtENnqa5bREO3pcV+m1O9lLiKi/Awe9xZk1xnmGEjUCm9rg5v2Lu5M4yuPalLLqmbtyEg
DSDHcYQF1mTgUXf2nn17O46PfcjeBvzUcqOzE8ycZfh6cuLIBzZZMEVRgsJoAC0V2lu/e+rm8eIZ
JJtN8Yu0aBzrzYms5Ff1ox3mWmWKmwo+0oA4R30ZttETcG+gAdx8GuxcuniOh2veiB8I6NkOqbM3
2Vll7HAA8R6ZKR+8lsDzYdrMHB3T/OhWxj1lhC9v1Z3nEOOqjLICDm3gM/lzlkXCfWQEh1Q0y7gc
lyPpgS7afWsmPpzXwTh/26k3b1Ybi+GtwOJXDDfUwuR9ctHH4g7y8fvXd0tU6Y0qoMyKnPFIX+mZ
wPEMrnUU+6y1Of+RHy7Sc6NlW82QBBFZK4QYCAXFZnSdrXpPEyk9WtyeOr3bAcpZ173y8urw4Ama
D9udNbS7lFrES4rD0IybAgdi6T8PZnzj1/c+WAlwUJE8qfNnVrK8AoEJ+dzILd/HYnjx8sdK4M62
IXmj+GV5cJbxcOagtRrD5CU3ubOb0HtuW+17V1JAhpLAPySPLJ9VV761XnGKTe+uaKw7O/B+kBy/
ryvxUOXec5p3Ozsv74UWfmdjBRDBxRR/5SgdfcGR6lZQvjp1crD6bFObuKZcfSXqFydh6aAloqXZ
LTYkgCSY20b+2YgnPQ0eHJZ8a+CElAcVSGxFgI9g6JnRZ6QfNKx+cyOvjYsVoQhRAOb2vk6jdcuq
rhdkMLbHiCVEdSDbeOCe5PKvmrcurE8xSOUMU76jAObC3dZhcNDD9oTc4avKk5gOORwfVA0cdRNO
zgRva2bdpAYZiNhJ+xEHuHaIWJlnpSHu+XR88BwG70bWwWOXtMSH5Ics4wqM+lsjno96TKWcDtfO
I0EWl3td2zd8GI+zh0N00A81oGRtK4ZgUeXhwm804DjAdMqCjy6EUMPy4pl3QWcjp8vuq3g4auSg
qqsyPtHYPauqNtPSLR2AYz8U917x4VmQ/yJgA1BoG29YuLj7c7N6lAHOupnPoUrOk6mdtcB/bJ3o
MPvZg9kkCNXK+z5x7pxuujIvzpuNrNqrpk3HdPCfS0hDi+bDCPpHt+DS5Tvps9e6se9qcfRtczNH
Lf599DlBdTIm5w63KwN6zjoMl0WwkVm182UGjwH5g9NdRZC86qnm860hoalGdjMc7Gk7HjPke2zi
twTqbMNx3kweByqWqRgPanAftOVbjIPZiwHW0iEiwvim4ZuedKyP0n92PDplMbmE3XzbhB/u7P6g
AvgROPEuGuuNUeRUEsZL4ayKvtnNDZ657I3IiZVXThtNdrvaIjq2tbaqNqmRopeN9zB4kBtj1Lg5
eJSnEXSyFM0K1/SqhpfcC5pjmr3ty2jPvGMTIMkgAnw1pTMpl5zjZklnnoEQkejDHL9GQDKatiYX
pXrrE5QJlRIVpX71QkkDgvLGPokEcwwFlMzlOo7bVfquvgcmDieT0C75FnJER7BKsUxR/W+dLzYf
pWozt78eGn46bPw/d7xQ4U7/9fECmWAR/3j7QTv9qby+iZ/te+qx/zxj2JwELM9y6QiYmPX+fMYI
LCinyMPB5hFO+KczhvE7XXSHmtj8KpCVi/CPM4b+uw69zA88C7IBjEDj3zlj/OreCEyP16UyxV1f
V6eWn+tvQyBa12Mg0a6P9b1RqStOozj/37I8fyUSig4rWxPLdfs3Zwzj13aJemoFOEQoY7j4FNVL
+9Mho3HjFuuIFSyBQTSR9hh7qBaM0dnaY/2oSVI6VR5Hlk7fMruUCzEgsSNWD7EN0TUMouQuz3ET
5v3feH68Xx2NLiBWJHKYJm0fvzmY0V9eWZ14WU3uKLnWgN0SbTqLuhQ3gTNl24C2A1MEVEucvtKK
gXajeRenN99mUFVGBHSd6UpHrktJ6FQKEipr65VroeVJmWB3Li3/xJuWXS3CxRYOPJG4Ztlz97c3
EbSLVYMDxtoluXhoEHp3dnYTjWzoRcVqEnTZKY4YUTj9ri3fO2esV9ns3nu+uCuzrKHRD4Hcio99
IEymhIhKynpgQ9BmgpwbSFUBmUbN0eLIYZmEY9XJ1QiwETYohWr/qCb946h/g+h9DtOqIo0q2PTr
wIANpuvpVXqltpxt+9lUxuyggp0zTyciyymmOFPg8lNkkuJ9NrE6DwUBlJVLrRz/SOnrI5Rkmu6J
/WxRh0Qa2HNLD7+F+Obtwh93nPy2ZYs6ZsQj7XcwGfOBVBkHoYuan7pG9mq1xnsFtSaXTNeVJCFK
bNTKzItDcmGV0MWjf7MMDLqS5a0nynaVV462kLMHrQjijY5rB21bhHjKuu0Sem52kq2Fi3Y2gZ0u
LNQ3anJr5HCf8goKQitIcUHXaV7rrP4Bl/AUNkDg5tlCuVPxxl3mwcSRYxyJRKCRXtWb27zzaZEZ
SHr0/i4NlCwUVKgH6HeB2DdbVG7w5IUTv7XssRQgBkroCoEk3nc9l1aUIoPsRvBCVrthwk3SegW9
Fu252TbpUXzjNETTV+jBsjUrOmZ4+IBMVOGm1zkg6br2nCS4DSIiFLGM8OzlDNwehYkzEAnxJWSH
Z0Wkz5vyGwRx+ZjXpYRMGKMobJWcrWTCRm9rB91h37ey2WpS3JmMnA7+EN7lbO+blDUPmTWAT1aY
eOV0oZLsAM6B8lJPTvfodOU+TwCqpcZaoM1u3dvKNreDO31rmxZFNDGrDt9+32QnawT/FJZAq8Ms
JkcZmnxm2Mu6qck2tidGyn7nbQYX+mqRIicgf/isdEXrKhI8d5Unt1PcHhNz9pZuQApbzRAu9Kpp
3+SoxMeGqPvs0RnMjcj5VDiAtciLs9cMRXY3vo+jc5iG6aESvOfMzYAy0mApsqlaBVn/GBTMwB0f
SWQ4vVRuMa+bdjbIfRDtcVL/15n+0bXMfGsh+FQnahsBsT8lALFioDsoHArHvfHM7L2bj0nAdelU
6cR9qRHWYBAFJXmQGeWv6oIWNRQ+AubLEIFf5pzbksU3E9YHrRIm+065HGd7J8K52GTxXK2TDtOZ
EWuMPJznFqVrF6NISzLvprLErQy6VVfBb9QMYMl5C4kvcr2L6DV+KedoZvGIAKVJdkTYV/dNCq+C
KIkfJql3HaJsAmYqPlJu3bTLDkb0kruJvrRSg0sF6hA2zPJR2B1vEn1uEY7fCLAmzEK7hA23Q2Xx
2nEhL2TS3c6zvMvLSedD4RWTwPPIGX8TWf0OpjkiYjNqlwwRGZGGgCb0eyHp+gb5vVNQ8eg9RAQj
3dAeXhK78tQ41tHwjLM+I5DSrc/aKp46GyRbLbnR6wE2GW0GoWURwmjU/SmSwBkcrIfwiWXpSXOc
G3PgR3x1bUbFcKzn5MZsLTRvySvtYPIowES7RXg7tOXC6MCZxMwXAPus3YKVI8/EvRPEN7LAvmJF
SHcN9K+pWV4qe/w2VYhZOzV7nVgY2CuyOPkR60gzgHsNSYkdzWG/G72XQq9uyRjyF2UnAPeY+wxx
d6dM7EQIPndtTiUZ9f6q7Z2HuRK3uvbhp2yIOMwn2ufvhuXtlYAvTPmSfffBSWZaBiFLWtlZpzye
Duwt6xgZOTKtvZp/wKNiSP69yLlI44EtXljuccrdI1J42+fr/nKiO3q28DpcIf68by0OLikwS2gm
95453ND61Bat7j3Re1uw3PI8kO1TroUqjV49M7lOGSCNFqqUxncSsKzW/nPaPYceEYNpH/3wQ3ZC
MUbXagJ86fmHL5dIM0sSZCrjNYuKQ5GyUXrE1y6II3wV4d5h2Pv1zOTo9jdtHXI7wNhIIhK5R6vd
JsjqPbsBftckr6gHCM8t21MgXLI9zG+OcPCjF7xeb3yYsqXbBM5SL1iP5946jhCxnNLZs111aMzc
G9L57kfHHfA8PLGrRItYQFT0Zfw8emzpknlbDfhqLeuJfizmrBgood9DGYpDtqcZfM/Xbl8BC8Cq
BZwu+pQRH5ccwyfTJJ+H3HZ0dzBugmdf9hx/sh2lzlNacW/NDi4YQFaSphXhNxNxTBjr0ib5kfDh
hTS7cGhrN3aREAJvxte6L16VeO9/s3ceyXEk2Z++yv8CURZabFMiIRIJQRDEJgwgiNBax43mHHOx
+V5WVTeQZINWM7u22XSxmgVEpKf78yd+Yojd/RSTIqhGSMsiaC+qpD3rq6upJVXB7WmMr21mtTmz
6Ux6UcMwvvmZRVHdAQ+rRwV9sPA18YpDjwV55FXPcVpqqMISAeYegsSRYmf1YPjjfVO1+mqQH0Ru
cBFrjDMEOI7jybmuW3eRd5ObODfrpUsocNWthtUYyMTQWBeu941hWYFQHa6/aX85g43wy+6KTJmy
yaAf0Lj1ZdOJ6VhxULT0MpoR43Py+K7IEJ2JEKJaOrWOYGnHpAz3wilBm+ZbkULo6gsWq2rkfucW
obXeLzVFxBgGmGeKtjCD8LVpw7fS7q4ypKNMrDgTQ/muyxguC+B0jrX7UjCBRrM6sXG6k9ToCJgl
ChJLo+l+DGz0xvqraGaX2hMxzsmzLRLLIduPFXGa9Mnv8oNhafR7yQGq/MYsz5xcuwZbjrkChBG/
2dZFudeV/La0uXFmJyzXwUSrOWK0PHVEj1xdp6UybSbvemiN9lxvwN138eXc5HeFVingtWemawOd
xYQYFPfm0g1D+UORLYHUea3yGiOt4HTIW/JARm4OWADNR8o/95JD3BrrfkhvgzT/gug+SzGAB8mf
svk29tGVnWf6Gnk8LJvkMuwgGLtFYW6aosBnPGzu3XLeoevl7gZG252LNxmR4TyKEd7PjU04KOdk
oA+Jrp8hd6NjKRrAF7RaHZ9Spz+DsY5p33yVel631nysZLOyuSBXHHX+p4zZ3N0IElJTvOcu8Oje
g40cm+juvJnSF2vSblJdh4xEMpZa/mu2a9K0A95h51uIiUgJYAGplQ03HbFPBibKokMPazEcoBcy
xWs5jWaxyyIwpL3fktGHgzTq8WXszRf8BPhmR1KlrHaebKO6f1cy/mL8cVoC2WJFr1sG9sWGaxvq
qU657jfgnLoaYBAfFWNLQcByddsGZ622rvU5AadOn5IQpVXpwRnJjwSllFjt+Y3j4HZB6Xkf+kjA
fv5m+gke+q83o/ZxAWhr5qkVh2fbdWsVncI2+loXw9d6Dl5tZ/LAgnQL+hvrhJQdz9P7LoRolXSP
kY8bICjN56kflnpReBtzkIkVYbx09HHlds3Z3HKPR2QRHSAVy6wAO0ti0kCOQnQUJNEAdlbTxt9M
mX75YUxVQzVBR9GD2fzHek5BAcrSUkoXPQo2s/DNS9XdacT0Vd2RvnLmZx+ASQSjycwOOXTBqg7P
CR0IUtkXqj8tBR2ZVFyVyQgm12oubQth5CrT+UBu8Tj68PKVYlF63aFTjV0w55e9EZS/+STaibzK
8WsxMcdCZkFEF04Npod+itR+jpWlMxpgLz31Yda46Hv7XEntG0cBPszgGlf1hm1sKN8+3xUnaN6/
ng6Ol84tnQcZwL6v2N2oaSv8arGuUtork8KsVIz954+Q0vrdPPD4CAchI0d3pLVxap8zdeWE4ABO
BSJnm9bmvleV86Ynpn7+HP0IrT95Eo8wwd8bOsvpnsgWITeaEQxjH2k+amYsix8060sxjd9weMDE
E/kiBpImQ7yFo0tI101oEVWDaSTCy2CZsBZM2Q8p0rUw3PJt4wT20qm0Bzv079Kp2nKCSGfr8FVJ
zZtSY6PDq78IBUDAE2yy33Ai668gSoMJWBrNoOLRmrylzXWnYmMHG8pp8TMEJnad2z5zQ271GKUN
Ehd7M3fUNVxIj5AiYKg1cIxRgFvkjgskva52qod8Aw61NgxpZALiEI1u7U25g/W2lOxGSn9bjR+0
/Iq+/Z3th/MSKQ+Qd0DGAcVl103nUjzIFKa6m/rkLQjCt3xCLTj1L3OzhXHu7pIfg9uD8KJRA0vt
gZY1Bmizf+8YiH72BpqjzvQloZ6OuscQcmrpUd6Ok7NxuSRw67kwu+ou8CkLEuXcNoxtZiAaJPh6
G6HfwAfF2RY0kYMRYDTqRXCDnxq3PFiDu8s85quDvS+B2KDDXdwBNYcHQ3ixUkxNkzA5MPfbuqZC
t0XD+5rOyb6YqzuP4dEidBGt7FxmU12LeOu5jAsFx6agRDMYyPIlPYDpjByYCyOkbSGwwEevs/0l
wDzXeRji5F7OQItXzcK2p33kJpijkez6GR8S1YU7v6fGDH/EVX45V3xBQFawVdAWQwIzI0ZOXimg
BJgpM7HgzS+yddjhxuj51WNQdbipKz/yERh3G0xfTBOVAa270s34ok9SwNX2ro3nh3KOXkMFufAW
hcfI3ZtG8OKTxvcRMO+We8HDrnppFG8U8s+IxJv+16xjo1VGd+U39NJrgc22zWXAfF3oXahrXzJI
dqmA0a0OofyZLV2IsHPukx4qdAy3oI9fGD7H3EmkBqEUVFGBmFZYnaNJUdJASQ+iHoRl3j0aYGdI
89LPD7hArC1gh2FR2859rPFjIaK7Cz0joqoWFSSla9YL009I43UVvXaUJm7+1KntU5TVD7VKimRA
x7CqYndUkygqZz8F8Ys+wlceNeqfAr1ytaRpEO6VxPiSglqrdIT6juHj/7e98QZ5F0gFtfMBSE7+
9Nz8z31XJwIkXz6jW9d8QNfIj//V+XaA0LiCnkGIDh8WMpl/db4d/Q/TpReOYJyNS5opN/JfWHJd
+0PiPo1hxxLIi1g8/dX55q80l3ANugY1Jnrs/wRbc3LRWDizSXvdcsjBeIdTsN6o1nHaN0xOyNCw
iO/wFU6hI+tGdddJj3aykifgmA+2Oe7wf2qC4MKwArzcdMScEfVJSmf3biV/kQ2egm7kjSxVN03d
pOePNdfH29Vx1anVHaSxPWj1dkvZ5Cr9gzOx5ytj+BMX9h+F2kyW8f1Fe/z8liqZBPY0CBPI27zr
vlee0tftoPH5A+Q44g5SWUDPWM29bdzQyGnoVLRjiwsaPiQm3mphYN5EPZegO4wP5sCt0lrmF/i/
95PigcX2V3NtIrMP/KNvONbjlL3NDejZatpUE01cEImK8bWxEHS1CTyOipR+xtSEni1CdXn9XelQ
zbUM8JEThOLUis/1fvhu9SuwN9dBSFCVSvD/ZtElpTEcGgJHAtO7ZdD7lKZOhTwBtl/9Ig7oahhq
/Fa3137R/iZ7Ox14HL9g/DUsbJIsE7rhyZKHPgF5ZMv5+bpt0ExPJuoW2pEAWRt8UIbx++cfTsZO
p1+yraqOZYBGpmd/uqXqBB09S+WJalReeY1yBuCCCn1KNimxWc1CiEPBCnYjktPkCqY5TxdRmF6X
GdeNkfRXod5cZSqKLFaEH89wW9VXYVBsxmA8c9N1cwaqtVrK2fj8xU8nMLI7P7w48eH97hwaj4xD
VCPQndmH7vCQKdEr2Al6jj5JFyhEJHD0XTGAUKgcl/6ptMEzkbUATK4NxZ/x/j8el1+/kAQlV4Ov
yrDu4wv5VVaoEGODTR8U9wQKHDH6RVQp57QDX3Om26lDt6mexgewzViJTpfIXG/BWN3WnfKbsvE4
lHuXuh5XxxCJRZvNZNHG+vgyJKkRWpcIKdtV+cXRFSh04aWXa1dTlaprx+y/YsIO4wz6IYPiiBEO
MtFAzujWt4/Yul11jn/rt5fY9LRdVS/7LH1hRvnY0rbSWw6+j0Bwmw7DzvCyu8LBqwQRWa7epYaZ
fVxND+CAKvCutH87up/LOUWqwKpfx8beQyR40QYUepX2UdPpX/lZ8uQaTFk6d3/Mb30UhfP2tuj0
JyW3H3TaxIrKDB+aDjLxfOfk1vFE7y6Ap2DEg0gz5V9LW3XoVYdvndM/2LW1bUPrkXYb7TniNsIF
4erzTSir+NMqg3ExdGzuDVS/Pq5y5XfRrKYIRURT9kS3HE44CRdtLfoNMnURtZJWJbn8/LGnNd6f
3y4aT1SsDEVV5rsf9r7TdZiFExmguK/iuf7SiWQBY2Q4nc4ZYKvzHnF3Kg68OOLfbHPjF3eQQxwE
P285Jlv95Nk944Qqp4kOsd1KL5qkXXUxQu+iKWXVc8Xspbuy0i7daVZ35jT3Djabl/74PHVes/SR
rUYmnG7lHBeXZQOPvKyTaWGY5T6L9VWMg4MxXqfjamR8tqhj7pA0ps+jNFmFQbh6DW6hEg+0dt3N
F3HQJOuprYuV108PlkbvHajw7z6yZvwcJEWI0iHpoKtB3JG/f3cFhE096EC9wFBo5NFVk92r5lVn
9iZoc3zGDbSv6YI7GnchVQ0CMar/0ivbihIGaxBrZ9KUVuwOzm5d32nkD4bzUjL82HRjichOkh1q
09pWavp0VBuAW7qZ+TeKyXiVO/WZQcpeJc4+G9pxZ7hMKtvxrA29eKuLAyQuLGchRE6vTRCxLnQ8
iJVzxVQflAZpOjCIttNdqTONCDtKbhS1Oq+G6LV2PEgdPj7dLfYytFj97x7mf+ukpYI1mFGJQMVK
86JvVgjLCqTg1sqdt5SKhvKE2YeHiB2s2/CiHPhCe+kojyq2D0ATb+GB71OKMzQ3kKxOS/O+mae1
b1rjjrQN4kpeJMhkzeexqjwz2bPXqHH33uRToiIiGE78aKYbZ7oyu5u8C89VDSaJRfae9Qdpm3aZ
j2GAf9AHspLEQoNKPwf+5ZfFxoCr1/Yexept2BjJaixTbzOOXAqhB/Yyx4Jn5LxIiVGXYOgmg+5h
yAWnoDgbU3iHFVQ2C+yNgyzJwkTaYWGhPZkRw7sYNJoNAtSw7e9tklxMFrofTaK+JLZP+90NIURk
t1mbvAg2zkpM4Giw33o3RffEuPk8EMgd9zH+kOTCdOQgSg/OO4k/pmr6KdhL6Fc21XsT0E2zKxq7
RpG8ECIeU//Nj0esMMlX/umTCTsG8HdHI1mh2/PxRAj0ZIwnCGRWw2iszm+MrrusK/ZB42CqZKKG
6JhbbeCm+PzB+kl/i9iHwCGxFn1Yy4JjegIH5/+FR6Y3VMYDE0JdwYWp7/w3qOF7p6btbGkhFMCU
nIPBumlVNx2V/rFAt0NaBObMSExpvgA/WJftjHhhdRiQldT1+eHzN/35y+FFbSkeNKyc6It/XKIS
u4LC62cPypL+wsm6EOWBlJq/VpK1MP1tbsVx8H+zQD/Hqo+PPYlV6pzmfR3Thg09RqQpTfAFk8eD
qzHz+vwDWsIgPtl/PItqCztm+TZO7z/U8samrjVvHYSwter2m2LdWlMDWGPa1J27i5CL6GK5BxmF
R338zcNozBrGDVTzZB1qnDm/CvCPpoUxKrStglz7FqUZ5orF15DeNRODOxpt6TLtkSJQLa4Du4aG
AwK31wkRE4ocWyPQHoIugXpvWN9mpelRHhtL2PNOsZxjFRXper7Wq4j5voOSg11MEM+0u8pzgaGn
DJ/HwDxLUPxuaeqCCA1KBuwhw7bA3TidsRvDIt11bc6wuWKKU93oKbPWQsH7zYucrdO9JbZuXSC6
my88cxtbTcet7H1TK0/F71jTF26KDaTkMMnBnxITyh6qYjIEUSwkF4sQim5vZq+o9UQ1LUJqvGEZ
aZD2LW2J54QamtsyYGbmmmg65dAdwPSGLGR+rU6CxwqbhMWRIcHc2Ks8qnapOsD1TnP8DRmmS5oc
mQsQ+cAMgcDUNcMbQUxNBoaCQf5VIFTHRlIVlDFWWfB3TNTYfbVZeEP80ofJq2mvldZGW1kgOtEV
XZNyG+oiPGd2S3RB/HNp3BUxTgdoApTLLKi4KmsT0XdvuO1D/zD5xPC+ZPjH5JJKqgEZhUr5RV0g
RQPK1B78kvgeb3AvKWfMVRg5vjTBNKDmFuPLp1z0U8rCdNFb4q7VKH2MUGdkQWIwyzFUKU85t2bu
LX8wr8KWj1aL3l8zTmd+CtR+dNVzrzEOIl/glsMVzkFPmccsKGruqs5GhWrWr8ty7RWwRh+iBpQb
ba4DfFx8c7z7UDSGS9vnK2jUBL8VBSPJftNVXIUOen8YnVWH3EOTzcxemgHgpxdikmC4T7qiZYto
5IsAi4OrdEb9Pm69dgxQkoXOXSi3QVliWq4mq8HrXjpQ206SbFtAHMs+pEeMH+GUNl/4D56yEWiI
ObIyxj5pPXuP2TbCeyNzK93saEV71ZmiwD7Pta4D1pRdtyFh2RucfQUJVu63NgbiU1uYKkW5et1A
1sMrjllGMNB95WbsnO6LjY5dV3P9RS0j1TAkergVY7GsTHbM769ENxiDMpp7WvYUK+ZDanlAUsgB
RBVFZA5J1K4wiiXzV857BRyBhmZTYHENj7mBR3ievAZ29FbCut2W6DgGA2pHLvJ+IYQlNE0JIzG5
lN3/yLXxO2y1FZkgvltMMEeLqrgO2x8V4rVOgzae03ABmpW10yca1H1ob9zSxffNVVHvgF+boQkG
xoZaOmBSlg7Vs91ehUP1eITDdTOJmjKMsIkn5VZvZxjkJgsR+jAUre6bBXR+6HWNjiet0Cn2r/x4
uPKV+LUx7hvNRSWKDmORBzx5ajbdkOLNnqrYjVTYermrOLBe2wbLeREOPgqrjimJnzKQyw4dw0t/
eI1TDLHMUqW3NG1tZ0Dovn8oTSRnAgdK6oynBoxpzsWiadAHNFXgBxVT6JqCTZ/bq8472MZ8d2zd
aiAw7D5Y2gqwd/M6puWPkpsKmdio6WTpdbkJneAQTmIXhHhwfa9a1uNxWOGE7Tl6HjvFyu+UxrmH
wUjPvrgydAT9VOcKwWqMkpq1YvMFBZVgG5GJiz3jJi/maAs06EKh274sKobqJkN1cucrtMgSbqFh
nfZAR9J4WJVMvTMFwpWbzAa4PEgj7nUbD2+k3w1IJf2h1f1nkQw2UiddRs+U8Lw0IjlrWoYHI53O
WcezKnG/FRoUHlX7AsnH2wxBCyimje7o/6JeyNGx5njvlIzezcqrzjsR68e2eKWW3kOZBVe9M3zN
WpAeLWfCbelKZTj6kmoSzAmyL+acrpmXBbhrYxLR6MB0vH7dI805zWAwOhuaVeKI0159bSG06dTY
F4ADBzzqLnSXQAFV5W70/DOGPow/x3Q/FbzClF6MhfNsdwwatCi8cBX6+i3crSbcQo0J+BBk9ZT4
f85iJgNIQaZkzw2CwZoTL22duXVXcyxNjVOoWBBJyb1rIzAXI/io5M5Jw2Tjmd9R/pzRlJR+fatt
EUmCNT6fFQyX0NhfmZak7RE1Kof9KRxBhHnZeZmVe7UclYWFklswoBwUWNXjqOV3TQAeSk27b/rk
3XWD+eYxg4jShvMUM6HCBUZPCuCYmg9QN3rJ6+EFuOOymbuzfpxfQbG/GkhsLWwLBKyl1DtMEPlk
XYpVmE0N6N+jpo6yv0fosb3hLG6/VD3zHWm0enF8i9v9c5ewaG7LdL/sGRCreULWZzDZcmnLTXhD
+BDDP891bOMXqY5OMxo/FIspkyF//64EzH1jthSt9uBfjehWuZsxV2/TRH0oEqqCOX1u8RP9nuog
g6LQ2draczL54y5znK/0QBnPv1EMTtJMixYzqsmazUAsdvk209B9pjn3EFbgUo/H6ij0N0ClTJK+
WQwN+m0ZLpIqPoGo9PQcTMQKCoWk1aoRHGge58r+kWooTXoMzHuMCmjSEuaykiGizNAtgwVLjfnS
zPtvUYjonSPbHTDaXe7Z/OZqOfVAJqN2P041o6vxCWXp9SQaeQL0KgYmka6I/Pi3zlQ+fb62Pym2
kNLTzjZsRqwqHf3Tia5ZGMiq5oW3zkCYLRrQtCT1ucEGYS60UpHDXugj1S+5w3JE9t0P6oMTmwhS
xsypeqR4TdV5jFEWYvA2PIx5TLMZjfNBM/f1bBziOb/x3fBGjxAK7Dtkc5VJXX/+IYxf1CU6j0Hb
BgsIaRN83CC4tbttn4XeulLtXdgXl3VGUMugnTKNPzRoDZd1dUhbkEAZoiN6fdADG+cZcmA7JxUD
XHw25sOzj578Ym7Tg/QJkmHe6WGwla62gwrcskN/UFeLO6uo7lDePY8yYGaGAh2JtPfzT3S0ev9Y
XQK9B+ZOOxPkiX3aZapCD9En+ovrefLwJ8/VO7ik+8ICy5hQtp91GpbP4ePMOLmaRx28FjhbVQ8f
JgGmQTsmMmaFsYSCFceJtoUygGMDoMXP39P8xcqLoBByPyZAGfABH1feR5Sjpz2B8GxBA0hcOJpS
drecMCo+RHBxNkZLcO1grBZyJTkBOYLfKfvUsu7piiP17TJC8VUERjEITIFNSS/T0YhBakZ3iS9o
ASjshz5UN63hL/VwvFIBxfdFf0XPN14gISYq5mBA56XbJP5KocRsKFScieM3ZN65EiOMJ0NwL0t/
c35+UYWhkajbBnMhh7a4/vHzN1TalepbztoiZ8cpGYoZ/ThdLI5RG0svP1/uX5S1BlbHOnMojKM0
V76Nd4HQGfhOvYJdAdbxUM0ElpmOHugEVc+euSWc5VSDiZLQ9M8fzAEzVIYU5I+nPHCz1eso8maH
mg2JPy9PzJWZxQ9xn5ybo/slyDHSzVAaQ54v+03D9VcrbDFphH9D+Ac++vEzz1asgIBunXU/MskX
/fUaC425o+c4gqFFPeo30USTLurp2RPHFCg/DlPOYxfk3SoXYVxhF9A467Tiesw9/tRD9Y2AKNHu
C7/NJgpp4gN6jPZd6uGskR2OC/6PJtj/pcIQYjr1n5lbCEP8z0P0/Ufe/mCELePsbf2cP79G+XPz
YZQtv+ZvEheTZ81SXcwPwXUZdMf+Ncq2tT9MCEMoHNIU1DXEzv41ytaMPwwmRTr3hQ2iCUmYf42y
NVTWmIwL6woZs+OU+x8Ms3XvNIFBeQ39es32UFSlgWafRMnIGyoFEirOxtirRFoL4tYGJZgt1cne
WoCPs8nb9YhyDnq/kn8CdXQVfeUp5lZ6OSUtiwgpLpEAZSC5Edie/KjDnMUAEq/29hYNeNwonF1d
uLvQYK6FOSSN5aN3cW3dyI/MQExzHyZDipooB4nyljaPHp1xIVpDcRlNLcmrs8tG6ya3rL2YDYhh
tTjldLPon57JW8TMgHFFzpAaFRhYzKxSR3VNXhKELwo6Z05bXNKpv5T3c+f4RfWcfd6ZD1Z1LtA+
j+k+Slf9Cg2LF79Evn124bHVZ5Njb3HA3nolYkcGv9epcPc1jRtv4qJgZW/kgYqq3yhmfqnTaRWJ
RXAE22S4HpLyNsbtLRwQYfbCbcDvkF+Ig8gudFpcN4rLPM+XLeiVmfblSO9W3kYWtEeNV35W7BtG
x9zLy8tUxQQTI0peJULuJd+dOMCP2OmIIQFx6VJDkLloV2IjVAXWLnKsnU0Hyg7wWODptXN99KdD
dxWJblK4ZkDom+lNyvzR2LMpd4JcVAuYGzIEaIZd3tRLEY510K/PTVYYmVv5+xz92MA9K4zqIiLg
g9je6j36sChNq5NxU6P3Sjfwxu67lZlYWytbG2CQioYXwhtEw3tPksmBzyb/JPnYR/EXjRIVd4aK
b86NeyjHP8QzYp74jzq+Ii181Ers6vHxlg8v93NVIULL+B+7YAtVSvHGG5L+esTwyMY5AVOkxvoh
P5ArxlYPjyabNJS3E+mgxg4VqxP5KDlCwj1Sr6abHD+6/LSJL2pVtXw2Yyvyr7IkGpYoHV4G1Ry+
qTq3DA5j2WTtAjxNHN41GlHdl6Xpi42QYI4fjiykZwknvnhZE/kdstui0dyKjK283ozpDmAx2nsi
zEk7ytkZLJ2cPTmfPYrSsvNFKDc3kTbg19Wqd29wVmUtS+Tn2sHYBjUQOBwIuS9WlQsMPwP0xvo6
yCnJ6RMnp6nz11MJ7J/DKVZfYgIqH01eoVDctQxLBbJiT2DGQGorHPr5W29Od4F6G6m38jz5nRIb
QjbYwMeCyvY8aRx6WSLFWs0DoqVbtRgvZGHoIXCs29/kej+VCkQxshxipVzHyO+c5DpdbSipFmDd
otAayLTpbDZq2jyYkSjRi7x5KJdiXbs7EN67P8VP28vOgV5JlKhN1F+dVS+idg0eI+xOHGe3Pp92
4bJc3mjsXfRl5Vt6d4Ec/ry53xv3Sdf9/X1++t4n5WNZ9j1Qbd5bT6tHOZ7iwxGNyvPnj3FPM5Xj
c6hBmMgIldg4WR88KMK+GvMEaC9mGfFz5FR4oYHCrIINcq4tQJ4RpqRsdfn+ZcUyTrgeE/SIAuLj
U2JPIiYtYv2SxMb+WjxpamSzSjqxCowy6SYr3ipxw80AfhNtly89aX6g9ndCLRvopM5derQcSjP/
Xv5zCbC4Xexkn7aW/+zKKITjJb1CXWGf4gNTDdY+ASbUJtAu60cddbRgNjdeDxJQXMD+Pkby3siF
HU2yZE+23ryLi42cOj+5hJ44DfqdxCLhWR3zebmphuCHWlsrm29Zwp2GErSEHF3sf0TWXkxEZFxf
asqhMrfgA/diehTlKHZq4W92wylu4PRbOtkNheH8tYtlaWV9BFUrUbYSSUm8rUPT2n2+M2QUeLoB
aVwws6fEBkQmr/QuoYSzNVPFOPHxPpfrBmvxe4lyFe5/nz/K/OWzgKdRHZiOjgTWx2fVcVkbja3H
K5Fql4v87xyBAeVOrjvZanK1yfUtoSahsxkIpedWsg25JOXCBJK3jwmEdJngCGWXY7XGamMn6yMv
LlWOrFfMYRUTV7mGKraprOPxTsAPjjoGu5i9o3YLsTiQC01s4o7htPDu0begeoY2xHXqc5t/vg5H
BsRPaw7D1HNc0j4Uwj6uA5JtQZ67Wrxqmo3jOM8q5jMZliNyk0e9uuyCHzjzbuVllcDeBSQN0r3+
/C1+9WVIYSyAQeaR7knepxldZbSdheI46yV7TW5+uY7A1f1mW/9Utci+BnIEUUUms/ppJZ4wZw5B
UsQrHS85yfogQm/bM1PrVgWDruPtT8YjJ3ga/d9sO+e0DyBP94ArivSaw5KfdGASrYcijWDgahZR
dLwWNhIe0szbyT9rw14OVPap266NQYHJnF0WcCJlt0naKBBs2Zdyscg1KfeHpMSdaZyNqJvJfg0E
cE/oslCqB5h8KQ5NcoEYdKckPM1ElRnJENmOEuTlGfNACkeIC23g0CW+HmNobOO82I5Xx5CFg4ES
K/eSFclNL2ydUudYkuSIfY9QR2oNoDtTUt4y3MCKv28g48uzJF00CoRuVPYwl5sSH6Zur/TmuTjb
yJ4SJ5DP99NPODeW2XbhXzDbdl06oieRJFGg1noZkUQKCV2Lt8xYGTwmiH8dB43ymhLn64DbFuMI
Tq6kDxHv+vmb/OQS++ebACB2HTarwH0/xrTKj8An2PGqysGD6do2ba9rrzj3wglk1JlPQ1kyADly
8kKy+fGcu3RIRiVw1CTYImcuCZMkRQZvKclMXFSXNU4dn7/tL25mm5hIk4ajAZvoJCjiVGFX3sjL
TkQBJtIUS/eSfKMOvE7z3+QB1s/VHmfQZqYDHpGIf4rPSELkPR2f0FOQA/Nt3QSldd6E5d4rrsWh
Too/cX9vwCHIN4M612VacllTW3URIvw0vYijbeLt58zdN3p6rSjGWpyvJN6WcM7x+sGpFbvbKl+I
XZmTeiscWaTI02CYSnKVquPSaB2xtT8mX1KfiO+M7Fdfyy/FcNQiPfVUYy9hG+mBhdfY8L2NjZub
MrBgEKXsEjGyVAP3N0yiX2wguRFdneiIEoCqSxfm3aVYwO0GjMQqHevICSkRBPyTeZ0wLJXsXWDW
Yog4cmdEHMYMKyw5woqBZ2YiUmFc2RS5fxZKylo+T5Mp6+P3iuL15zvo56zBBuXDDc7NKi3mk+3e
Ax1N3WCKyV8pSIL6MWIcEfj+vVj8HCsBJdgcH/mPWkD/ndo9Dqv3eQdo3TXtc9VFH3V75Of+bvno
f3ggexwH+DRu6YTEf7d8jD9UVfeoTxyXY8j1+++Wj/MHUgWmof6t6sNf/a3b49AoMkE2AaVRaWVz
v/6Dls+RnvY+/XBt2/RgjGJQblsGaK2Pu1sDi5DpEzqXaoyPCr4QTEhuhGKlBEBzprXZ3eoKWg99
97WDYTYH3d0M0yidi7Ma0yHUcJHAdFZDg5r7Ta97DDuXEQZxWlDt9BrF5tJadb65FRXgPo+4trrb
DipR7psI7s3LsRup1/MnrIo2rpNiu3zRzRa6ECXzbejrifLD5tdF/NlL+9s5czY0XVbeNCz9nh6H
l21Gu8SfCjOXIQVhSltBaTZJr9zlPhJ8brRQSqQjUmbcsEJro9h2qFkYuEbOLY15m0l2p2zAnG7U
AGRJPH/JZ8DJRXOeD/YXvLz2Pd6QdjRfy9jXiFbwPc4VG0EVJ1rn+nD9zw/T1yiJyh+v0fN/lRIW
xfjvTtPiuWZ6XWT/+3+976Aef/Dfx4mEgvakxnCBDEMsIv6W2sVYAhYK0HpQjszYdC7PfxtLcAgd
T3IAjzNls8v/fZy4aW3+zrJoNNn/yFfiNPi6dOMxrrBUWElM3U+Jrd3cOukcmvpK3WZ7f5efFZfJ
KvwN5YZ0gDP58cyKD4aEBgteE23hj2fWznOjb+GFrGwIxSH2BwvACJG3zLMN9tihf92ha6stApwz
0Z5CvhRPFG3b60gvAiNYmDf9NzBAGI9aK2aML+hKjN/Qf8XHDOFw/6qrlggMufDuFgxqmCxA1kHp
tn11D8qX6L7NFmKtee1kHGoANsgXLfK7FoGva5FbwZLtcn4Oso3xRkfAX+nr8lv5FaVxlGgwO5wr
+UP4XN2olNDy56BdO09+e46OlXkX0Z7EiHClFpvAXKEk6gESY3SGvEpz1r4RXNKH9AlDPmRf03wF
mCZBLF9dpUAZp2309d0O/EVD5viF/bzSpmSOfJ2kZR9XWmHCl8z1zMptuq2yN9fJOdbYLvnZptyW
WwyjNuDRzwEGBV+N8jdF2U9J9HE7UR3//fSTuzwthnkY4BWsMJhkALysYAwsmxWODwuI/EvYN1dQ
Sv8fP/LJ5rLoMnT4GAOx7xb5q1qgnrXoXwAAAZMxDwWb5mbOFpTmu/EqZPKPCmPxp73Of2TJ2JLm
flx2jjBsP7h+wIahOH1cdqxPR99sMK3wn0wsFIE8vTnoQNzRI79X9t0T4jU39ja7qXfNj/Y12cYP
KdilHclrsVBfESSe1WU78aaAXfRNvfW+aVeA8TbYF6+1tbP2v+Uv5sG4UbbOufEF2M7GO1iv7pNx
yO68a5q2wM+uaQIHG1LcqvhNf/JI0Prs48nHf5dRmkaLBKx8vOgBhBIHR1+nXwFin3k/zLPmZf4t
NwG+5G9WVELKu0e6gap4NR43q/y7+Zztrfv+tUcgzFyaHryUleou63rlwEwgPFwFd/oVEcALDlO6
C/rb8jBdJc/WNwbT/m2IVhsqwdt22IC50oxllb21+HsOFyOsxmQZVos6QetghcqP0q8RcPAKWMxn
tYlS07LrN9NN+90GjOUuKneBl+hEarpBvJd+ZPyl5PfNIBk343324jyG7Q6nHSvemO5FHDJAWJfp
skccztwZaGugHGGAS9oOiFN/nwLEH1619t4zLmG19BRNmDKvU+vWzLRt63zpN6V9qeQbqz/LzDN0
R/pyU3WIFsm7uLcFukMxZPOlc906Z2a889UlyYsfLZapiggJBLbLqd7Od8Vz9jIiMxsIhgoXMufQ
vA3tYriZXlAria6BbFcXqF5l4yq/nF6mc3KPBnKEv0CyaCiRJl3WzZl+6z9pqPLgHjMtcLGCID0s
8uvW20FldNF/nrGt26FipTXba5TIrHY36retvyPcM0N/8YKVi34Y6g1fy4PvrFzyq+yKCUvrnk3q
VZooaD7vvejS0F+dATPfdKPo+Ku4d+gy64ClwLPBHrHtRVd9r+fDZK/SR7NfCcN/wuQBn6OlJi6e
MAX0C3hZzlvDPfLVzJbOc/diiE39Vjtoj8VLgQK19n+YO68lt7Uty/5Lv+MGvHnojiiQAF0ymVZp
XhCZKQnebXh8fQ/kvVVHonTFPtUvFSdCcWRBEBvbrDXnmK4dHUOAw7rX577CiQ/0HAnqA+qx+B4O
70IkXcJ0cbutpnyT0fea2SWu+ffVxlcsbBgkeh218DqF99Lci3pbhDdGj+p3jYDNIRNI3STK1zpd
Vyp5uqgosYptknltvpSqi8Ub2+cUbLK3OiAr2NPoT6nmhwOe3S2UzZT5mYUOFWoAzHA3+pbdEq1i
kqZirId43eJPQO8mkTOxb8Z9MV119hU8b6Z+x/gabHrx4DRHu/UTXI3ls9ZfW8qqe4lv2dYKGN5X
eshgu9HSPQscqWsVZ9PEn3IfJaylAJFJeaa8Y26EDclZW/FJJKd0fHCq/VJQeDRIARdHcnat0p1e
nXen9hqL1wZR6mp+ob45MlCfsN4hmTOpUCcboaAyW+sdtoWV8UgQXB5uumAPJV3ZIDQxi5VauVIE
MmHVRCRNAUTZWAXvAXDpQ5j6Mht3gapz+USSvGK1tYo1OXYRrjr10BlrUTG+qXEj14aRsLJNXwuJ
kX/kE2ng5vTVMK04BqM2z9sT+GytWbFq2xFgh60crirFlb9PkHZWOut3xt/xnG+y6uH8UPiK0Ka1
60HyxYRJD9o7aPRkrdWb0oHlTHykm6ZezhsG4OdrRdp7s2qxbPRemNLnXM/tbqp9u9y0xqkCeU9S
TLZPCdC1wzf2JUbgWfnaxCIAhPhz7jmowWa2nmsD/vK6QsvTg1kSH7O9yrJ9Bzaz+1CVm6L+0gBR
BM47b6N6lXwPr4J7MITABR0yqcVBmcCae5PittOqI1r3QPC7YRJ/e9zptseoH95Sbibz1QnTguuU
W8bnUEFUfhfJznHuA0TD8m6+412PviDeG7QvEJ3BAfp68zzRTV26i9tPbrhnlW/dvE5P1R7W8E1O
iJC6JkgrMQ+ie0sY10jfYFrssp26D7dNCPdmpStu8kaYkgDXXqyr4NAUd6Z1lQ3f0GKF40qdNnnx
3g43BZFm7bMsGAeeLW+dap0Q+prvTM0Hb2yq16I4jPtKOdbKGpyeUyPZBIuI66p5KqSHpDzCzjIb
Xyvd8kv6hGxdfV10iiQjokYsV+kIlGktjztWi/GJaFZ6sSoQUwK7+rWkU3W9L2yGltsDwtCf4IbJ
p5m5omLtJvLpoBp0wW4SaRNrJGEv0s611vu8v6jkbcXtLcpKW5JpknTrdI8EFpzG5o7nRNBxinp/
m9/M39kC9PNOX/TT2kcqH1Lt2olOKPXj1/bd0Vca691TyARe7rDZyf1R5wB470xu2QPE84vH4rV8
Cd/6I4BxUoZmNluUx6MnHh5bMUosS6RLRl+TVC+CSb2q8DOZ4II1H7a3/YkpEkWOBUpuE5GYeSIo
8srca6f4ab6HiEUrltnX+AhpN7jT0cS7dmcFKBbc4VtWudkHaJ5cXy5lVy4vc32EvW+y5K0AS4Ys
JTfFm8PWfOe8AxYjT9QA7Kas29xjFBDm3MXLRp1f7MQ6xY8usNxwwL1iDFV3Il9uSb6BWeZbOpRE
dzgtLnJmIJoqtwDLq2/Vt0Txg1vk83G64rhgC0T1kAlZhL28WrYSClTptTOuWhvtW3zUu2d5vo5J
oTavwJJY6TG1QdSvxCtfapV7lowpZRVEzGIrliTQrHLvpjYxr37+ZD8V33tmBVdn+HJcwGp3ABjl
sw9NdKwJK97lZSCwXcOkA3YUh0/ldsEqYbo11siFjZHqBbuPdYmJlOXSul5Mi4t8HVq6q+OkIvH+
Q0nocq8AidlgSZ0HZNhibz/D9yDTCLoLpF2wVHThgZv138qUluXa+qIw8FVgN5tKPbA/s9bVh/XA
n46+zTfliwWxh0Wj9OdiJa6Hh/oJVfSg0S5w69g3QWu+RqGbfZMOWeyGhbs+TPsIsxNu1dnNnjV2
MIDSQcHs1OvquVT2msoEu57Jhhu8bYrZhe8We2Llk/KV2n4W3uOblW1fCrdzeWcrJFixPK4Ujy/Z
lgAJIcfEnLhSCTZnonF43s+5sSMNvGbqJmvD6ndhuhpTr1rFqMiB+L9Fnt7fjB9Jb5DQ56YMlfp2
3mBNt9GW3dd3qlG7vO0ZW7y3KfyuyDeF4lq52wzbKjuW4V6Bp8xgl66a8WDO/mR6QXMvs92sYNPf
DNUee2Q17fFnYkOJy10Z+yBarcFLmOoXVbrLSJO/ax/NrblvXwQMr3EvSj8PUFsAryP+Yys/lyfp
tnwomXzmdX1i+MVXzr5/NB6ITZx2bPme2o39XKRYOrzwJHhVqdaKDV7YcL5yeiDrb7CDK2k7x4fq
OD2V+IbjVfBRMgFeRbfOHhJkeMqe69ZN3+QDs7/zEBymA0ycfXuUhKt8cXb2Krkj1+SRg191rb3V
hzZfqUcWeW4uSW/kjlQM3FqHyvINdjk1mB43P+WEQB6ZIa2X8k29Dp8LPjWum+4hatxpWwECfgse
STU1Xtj4HZqDAlGPmIV7kufmS4fLc5iZQeHvpzPW2dFWSZTZSQsOIfOaqMkjxrH79GDeKE+FX53y
o+ExcTAO6h3Z6TfQozxzE1zbfnBdfDNuhm38fuHced6Y+/w8Ku1AEpRoQn6CRn44oYCYCIpGZ7/V
+/2ufwq/6bvRI0cjXZUXqBCf+oZfzl+qoVP0gVMD1eLsMBSTONNmHHGdpzr9iENXcW4J3DANLG7L
kqTy8hZrEIXdY/cSLkJmV5sJjV7JqrsE+VbgJE4SPWc8DNJB3NqNp31JQfz2DyUFl/DCkfyzBfyn
z3t2HMYmXUqNTL1nscywsbDW+iOMIqeHIuM7QPzfxjvjtbiznxRPgbpKVeZ2kg7Apy48o2VM/OmD
nB1cS2nCpjryjPgg0QNS/3mLvHuT3pJ3ts1Auvhh4jcXHpdy3pz+58j463GdnV2ztB7zoefsSnGL
U1EcHQNAkH6O5jx04xv9XeIdnVwl9bS3/GW69PVfHC5nb8pEIF5Qq5Rh8jfcpux3zbfqRnvvH3TP
vrJL34D99m4cOUL031NSZCe3fbO3Zu8zteTv+oFwWJZN45mV4p2d9ZNyQbWxCEp/fSyGA4EHY4RG
zeRsPMtdZWS0GtbFzXAnTjZr+HtyPz8UV8ZzfY0Ap3Jlr/W1B9XLN8GmOYaP+kl4jhecUIJtp7W1
yza9p9yGNwNbou8mRR52vPvIk7YYKZ4kcLJrxIjSQT7UF57uomv99cNblHnwpy8i17NvFw03woRR
5dtdwkTpR3uYWTHiETVCBiShml8k+Us6eWUNjPjUPnTfeWHtI77RsPTiN7h62EE4atfGQ4I1xtnw
17VuFcWkmW5m06tsjGe+zjzKJMspiLOtsxnJYvHqY/ZBKa+tPF5tXUcj6EssQ6CoHdy+7kROZeQh
7UxdzpfLBmbLkSg9ls9UKsfHGZuqvYo5n9401EA/UI/k3QoXFTyE4IEpQe73BI5M1kmFKXBdHaK7
lGLFCEp6FXZuVPvd07RnVzWiUOxvu+ifXbl/W0TTfjsqaL1Tt4Q2Q0bCz6Mim+tISZfXpts3ADK+
hgyLggKxz56jiRBH8goTfTWSu4pZgX0IydzVNh88WNqatB5BhpJy+45rzeRMdMwf2YISVhoTIpTs
bLEjcJEYVEvecnzupHX1eGGyWZQYv0w2FOwhdQESwc3/8+fv61hF68BrZx/N/XAEGE508LX+MJ2C
k3ylHuJTshVeu4eTfE9h48LVfzss/7r6p5/kh+UIe8YQpT3v1PihjIf2pqdWRTGcesH3Yl4NqluU
HtspGSfX++el/1Y79f9NUX/91uNePW8SLRf6rzjG/xkZi4sG6N/3Uf9DhKjo0c3/2PRZ/sq/ej6G
9g+EG7JMX4eupyVr/Na/ej6W9g+IVPRtbBnEBMOcteFfPR8JzJuFzIh2kQIYzlKXF+BfTR+Y7P+g
R05bn99FZuHw8vyNJurPCxTNWDru0JxM+rIkqfwSftKqmV50FOt3WsEB0ljH0rbQZbeS7n74Wm7+
OfZ/1If+PCZ/vc7ZG9ElNfl/hR150wIAaGSwxhRLJJog/43r4KEBR0HWDOKQn9+8bupbUdlG5LUA
U94VTHcnJSo5rf35Mss/89cL/nk7XEC2ED4YKp28s3XdSGwlxNYSeXKrfVFTu6A2owrivACONxLy
BRA3l0SVZ3upf10UICC5UBbUwPOLNmqkiM4oiRjOzDGwvVmaY7iio21QAyvJqX2pWs1CRxVVHADz
vIqiDatW07+0KakxZA6wYBHcWpeakDZha4Q0SvKFLtD3iUOhGgNfttGqtqHyNJXSQ2nBgYA4ZmoX
uiQ/z++/3snZU4pw3cWzylNCu+dVNctjEmcbNQQWokjRV2fuR4/Hdqklpv7mqSGjgnW4vFjqp57x
h4mxrSw7sXJt3rWtAlpDupnx9IfU0eVwcNzByp/K2DoaIt3aYvQnXTuO1nyJo7Z0vs6Hzo8f4uze
GymVBgtOp6clzVi/AJpJoFsoWm5Fz2iDYThfeCV+84qrJiYrQ4bSAaiFKejH/kmqTLUMFYOAL4D3
EA3zkmjwpHEIg+SFjBEIALdwLlz0/C7xiGL8YVozcYxwUjm7S0dKc9Q8neWpuUyPpjeondghir5i
6v0/v4tnl2LqwjSHuGmxCDoADM+mFhOjdj/YCvE+Y/kR2iBYe5U4zhSCx5c/Xwkh0s8P7/xa56+g
pXCdOZ+qXZJkBqkcgEmo4QaBSXTQzmjJRblrlLym8qwmUqWDASOjBHl4q7UYFs1yDro3TZQBcZo6
oQjydooLxwGLXEt2FiNcGXNbwaCp9uZMFOCcWuMKAnLHfjGc1HZ8wQoapgNdiNmgZBqlRhWEK1sM
NA70oqU558HlEabuiSaOgnSL+jkjTNWIVQJ11gPzk3nVJ43UfCVusKAIWaMcr2To9vIYE4tSVEX5
dSidyXTYcnZjaN3kSZhJJhVDh/HjlyFpphCB2TiCyRg9SWnmjSIlpgzbEn/vqbZyC09okUdm8KEp
jTWcCI9t2aKpw1QvDgG5q+n+13mTltV6JltDOZaVSXnTmGdH27JcOSnecEFW7rFO5ZdMmYiBrzr6
mcKaMoucokETV0aDVaXP60c8UwHN++oub4pEJUrcImjEhZq8BDIE/BSTbKAqCxhJqdGJUyzNRJeS
mT3IfVw+2q1uhsn9IITpUJFcNArkq5MVFGtrLYibRtqQQ1P3AarBUQ8QK9QAIZurWi70mfiNwa7F
+5AW6kSmQ5OHtOJwhswENDZWz06QQCQcsnhtSlGIfpNMaalQGGWUDmym+ZfVK1jBNtrAoBVh7bd9
SfRmhju5TG4trYBxgry6mqnZ5mSrO8WzpUa5TvrEpCXIj0zsyA8Y3nPm+6FRDGhMcxSrUFUQYVTf
LQ1zp46aNWRTSL5TEcY0NsZaDuvV0JqBovokkGvSt6CzEvRIqtK2leMlWoru0mtUjZ/DhImDIUjr
VesMPXKrWQtta14JWypmRrae2CSb76WqbgkLcqW87UfKhqWdG9ZMAbwsQJvo3AJhE2rhlNTMZ77u
OdplSddY9W5G4kXk+1gHUmfTQ7FCxqFe4r8BjErKE9XTqDCKGMuQ5uhj7wI+M8cNu6higclYUedU
j6mZJZg/OsJ8O4N8VAee7cauuIHXWB2jHChLZ9hJdcjSeKiPg1xa9UcaAXFZEMyoKML7cBrl6FaP
C8IV/UQSsnWP9ToUb6EV6pCN5FIrbRW8gGMEB7kpJ3tY24GQJ0J5ExZXw4U7k8fl1raMnmKizB+k
EJ4MUl/sGsdKksIP24bEBTLcnKlstqHqhENKrziT5GPIF0DDoXEUk3ZjUshDZR8yE4x+QKM7j5V0
q5e5RoNHyaaZaN3RaTmEQqsE4ObQeepboN6+OWcjXIoy7meIGBRhBmlFWNuA2q029VbpyDBQu1Jw
YuylaaYtbejTgxJA+jPWZViTieeaeTyQBhSHpSTfl1HJe0B1yVBH+TbSZVmUdH9ho/MochVZQHYX
94SQ6kAZEiug5qcJwlynqzKUNFAFeHmSxlwrsUYiDwV/lvnkhUlJDrKNMuPzeYwMc7Y7v4r73uoQ
xklTcetkoorIDyKVqxSEUxLM1V2FSmHIH2FsCA58UtiygqXZLJiUWjuT+sYPy3KkWWUVJP6iFao0
iXhlJwwkoqx0XUBuQSkwzG1HDTw1GEGPchNkgbaSzZIevZQ6KXs5wjSDtFxpIirmB3KRlPYraKep
ad1yzDPx5sS5QteuAP+Du0NOcE4rK4E3WyWGNrEKBEMTKkIsfnkPHkIFX2dLtF9EkdXjQzIyVgmS
EeQi0wTNFMnOXa0VxPC4Y66kjQTtJwpmbYU80MjSBbIQ6m8aX1td8x0zUY9Eg3UJffBSKU30hEo9
6OnXqcrq8k2IXJZk5sDK6t7ntK+ZcPRiKGPohdSsrNqN+6grX1tlIoJ2bSWWZOl0g9iaPBkpe/TE
n9NSHh4JKFsiH1TJbkaqQiZ/gv54GwsqQ2Io2ylhE9EZzeOsDRqNbFELGRtWHuWxIOmvzvVbggCm
svXZYxo5neBU9LwWEHCYyAmXn4elb6EI1NAlh6HqadIKw3ksVRBnfGacC/gcWrPMEmLVFKcwv8l5
yPTiBkknZy/gjqoZi/qcCoC0osf4RfmD95/vpcFEZt4Lo220L7WcG8N7JrV5/V4At6BoMNlQ7elV
JRkwYKPJ57bwZLscYSGwHCUJZbnJDpGCDGo4UxwP7UrlIaWKTDS3a6VxXn6dFJaJF7MUdvMURI7e
Cr9sa6Y5NzXjwjjlRZ5IT1pncjBxHXK6SGllCqmiF6Jo+uEJsVLPfFlkokHL0ds187nVNPiGydaQ
qVrEIhhGWDR6bD1KTleNlIQYmNJ2kIpiDr1y7HIs84i3a4fgGpvNUkCAWJ5COAmwS79JUiC6LzOs
fzpRjYm3Hm2Q3qRUYNshj5qD3pCK9gqoL9TltTHFEmoXOeBg+NSwyoIDbRxY1fEGDQ41k6qeBlKv
JHo0g5lr3S52+kbZ2E7em/0GXpnQSyK1We4fOJ219JKNQYT2jdP2Ac22oKI08VowWSv0+ZREDdN1
SrJOsc2FMxD4ruWtfNeZWCQR6GDUCNXVUkjRQSCEpvIiSe34LR/yuX4NSlaXQx6gcW9Wo0Uk0bcg
72SBK1BVcLVJEb8PnFcTJojvkJ3a8JCXuXlrtvIMHSMJwE8RUYYpNK0UVnOzCfWvnSRb9HdEINfU
x/RaUqLrvLDCtt3Os8JWBVVwr3f0LMNRSu/LshGsZZFpSMUxyNUUSUDlaLV9b3dQveKV6MMWhjC+
RZK+MjFP5Sme6hFyitbE2nRMBqdK3kclbnFhd/IgzGtNlZOGODClz9gfaCWMyZU9VXVHP5v/lpT5
foQeTgJaPMIqNbJorOu3cZiclBJfYHfK+s/73rMTBLteuLDL/lqh6uBQJvj5BDHLQ2P2ETHqPbEM
+mFGSkA7ttEuFenPigS/XGf5HD+czwJTVyQzm+edTFWztfFd6GNw6SJnZ08TXKWNtYfqAIuZgpX0
54vkgyNnMwvYjoDFhU2r7HVNv1HN6bqMpV2QjqBrlAvlgqUC9OOh7/OiyHcXz6C11FzOzmBy02UQ
slWUDWaNYqekHzeFL7Vj+HIk07GsirsJwViRBKo7N7EXJvXffYbc9o+fYDkb//DdlviIJbnjGRpK
sk1HbVvZ8KvjMEHjQgv+zwPmlwf5ebHFo2aq9MXOT39TYsVF7+gzWe7Z1grap7K8FBVw6RLLY/7h
frIpm9OpMead1URXZdb6UZ9euItfhj13AYFaVaiyQd1ZPA4/XoL0Y+BoEgfLgW5oF+ANnmjP32qV
cUEW/bt70RGNqtQKOaefj45hYl2aihGbbyS7Wp7sErbJf34iv456dXFxEKzAyRyEx9khuYqyMYs0
pDWkGI7KBPT3tq5uMxPO2HTVz82F0fabAb9cT6fuyYCn7HD23UmRlheTXM+QESZ/sOge05mZ5Oe+
mw5T2qyqksgVdT8TzCaCC2/bLwUBnJk/XPu8e9DMUpLkrMI7/C8w3xK5WGfD7s/f569j4+drnNU3
cqdlu1DyfYIILqavQfYy1le59fL/d5WzQb6EMzlmwp0YfUnKsQ/+x88oz3ZlfuGB/ToEf76fs/Ex
KJkWjiH3o8cqUpUPvf97JT9mwOUCnyQY3f7VX9AHWlTIM4VmBzl0aJKADNjkix2a21l9rqRLdeDf
P5+/Lnd2P6rhhDphevMuZ+HtOxJyWDD1lZz+d94rU6HVw+roQDP6eY6AeSCxR2yXca5+UZdoLCqx
a8m5SqZrNpt+mV1aS377Jv9wxbOJvE3rPiJniMki6dib0UYWO6d8m9D0qvVemS+VD5eR/EO9cnlw
3BgbAAJisHWdl7zsrIX/BHUTcyAyYORRerGaixmqcGq9agNl5T+P+fO311IozxqsuaZK/w+PyM/f
aCxxZjGmctjNQynv59a2noYxhIlfJaP350st/9SPt/Z5qSX9ZUm0wHhz9vBoeQxDS8Llbi4fEufd
4iQ2zfWHoUBZvja7721iXnBknvkiOFktd/fDJc+2Uqm91Aq7cdgJa5441Q0J+YujY4xPiejUe5UD
4LwlRJSYiQlEKngUVRmsrTpqzT2EuuYUhAHkQ8UQl9oLv/3ese2yPrBBsc87JxMnAq0QRYSVWLKv
ikgvN5TTqkPRhuQd/vmLv3At/eyLp0Ehqqwrlo2x8Djqr9o+RHlYXni+v6xCy7cNVhOAO+Ypi3L0
z2OpasY5i/Ro2AXoEafOcivoKMuhpIBrvSS6WyUqggkhesWWtkkvLETnk+o/L+/QhcLzZTBB/Hz5
OsvVpJdhxZNhBxWhaG0PPuhFjuGly5yNqUhOsjGoJGRxcrXv2cBm0m0L46fHnZwR8cZ2eG+TKddZ
A9N7szLNTR0cAuMSwO58zv28XYYO1l2g379scivbgvRdhlwkJJbD6ud+41QT8v4ML0PuDIH/51H0
2/vWuaBiwiX7ZZeZMEZ1Ilz7XaYpH13ft768mJP/fJHz6Y+bYrukAd3l4EOX9Gw6Gjm4ceKVup1e
IMKYw1WrESybbftFbqJeaptov3kzlswR9szOcjg5p//rYW2ZRJ80uzqaenHTUTRKinUEt2haj1Hl
GGydrNgw0NbGg24d5lCkGlod7IY4mjqGIbrYYY5wSNDcUpTET0Z7qNNtEvbU+w8dNfrEPGYRRQgO
sUGIVjWaiPu8yoO+kTd6UYynxigp0Kx7ec5n8mo5Z1bKjnRESgTrLlfN9Dso5HB41sYpolcY9IpA
SEHNcYxhuleVMgbBqlULYsobR5Yr+UoQ7wgFOVDL5qYwbQDdF2aUMzzpMrECEQQLRNIaBsNfvjiQ
u03mCD3c5SnY9TbRbNLeB4DXcSOw1WYIztFXT/nwPqbaXRirO0FsZVPHV30dIRqSEcbL442StgQt
TXRCmuhai6u1BpFZnbpXESUU/MuTFvU6G9nwayrU15CoXDtcCgBBse6KrL8wgXx2JH9eoZg1VPyg
fH4Nvt3ZNnoq7ao3A0GZnJIceUsg1UKd8L8Q8U1rjVdNlpeellPgKG18QUkGRr65GklHDa2gufBp
fn0V+DDawvcDjwGD5OxVyDMlBpfZRLs0rXHsTOZBko1wpRjNteaUayOcN39+935/+/ABHToNGq7U
s/lb78Hdxwm3X1XoTOsYOqvgMClyrDCS4jomdofG8Kn5nQZ4K5SBjwXoYHLTLswCv1m3eS1JA4HB
ShfVtM4fRNDriSEgFHO2fSQgCPUk2YypeshkCjbDjYabRUSn8KRju1MqtXatzNrWmfl24Ss570By
JuWDWEvuhkJSnnz2EDTaPNXYG3wlCVV8K9xKdeTHFATrWbtpO0KZkjnc6ATPOdL957X/lrrn97qd
H2U7/+ff8RT+B4p7Fvzavxf3uCWLccwDWiQ+7bT7+r//1/IX/lPaA8zAYK2D64wEhKmaqfw/7dzO
P0C/cwSlbgY8gWnpL2kPvwXC14LFAcTMWmA+f0l7VIALss4z1RH2oO8gm+rvSHuQBP+8weXgrYBt
IKyNj7lAms7Oj3yGaJQ7W/ZsrWProYanYDJmP7CIFgtaEtI4E4XRqY7j6UrtEEouf+Tzh89f//y/
zCFApsjr/efPrP/6E85ImnSpDPE//+HPv8BWq7p2chvLG5AzLa4fO1pKdzGpFoOkVI+fP+CSagm6
rzK5vEmd+U1kYrpJxiS7I9rhVthLRVOqd0J3VCyeRrmOhHgnAwUXnCnujJy4A6NIWewyiZDGWXWj
Z6mIJ7zitvVN1+iqFA6K905Tlugs8j/q4apLUhmSkLROtOl1kEB/qnEa7poulHZdMmdXVUj0VmG3
V6UzeH3Bwj7GSe2Dg9u1gdrxvU1c3ghg6x8GRyUfoDCSmyyUKc062h1L047gE8VLnLrcSHZBblmE
DH/hB6Y2S0hP7ohfjCK9n+WxWdvjBIFBUgtfDCZBveLaSSPpGEpqcCxLYuysYJ80FhYvezLWfdnq
22q8j2Npxpvq4CwiV6zUOy80ZnutR07L3i91sBvLR5XODv3GWH5lahowc7Q1RHc1IpWWBBt7Y1MG
WhpDIcG8mupzsL2R+gprGiumhexlTrWSFBpeiFOrqriVjHDD42APhPmh1yxvmuZx1WVQbcohO+TW
9MTZ19gZTlVDJco89gsjDQmcV8KO8xUZKo9yj/uiK/hw6fCaTnG1mkAUlgAn10KyNnqIB7MqxCP7
9dBNkoGQqVkmYRlrU2t8VJ297QM27XlbMWynpyFXbqVIBoiv4+23tQMQ7wIlQXUcFdyhE5lEA5gF
F/mzK3Upzr+BYYAXCtddRLMaLYRbiFC4tZHQ21pJhDSsilS90maTiJy5pKjYgtSOntpM8mOyhoK+
/ybaVKyyITyS/30Ii/lDqRuyCKz2u6agso8iDGXOqzEFGBcn35bmawkaYRxrcPCfcw3LkRGRFlKk
z7V6BF3yLU2hE4jBuGoF6ty40Qx34H7obZvNNQWZfdznMv1rNL/ELHqBpQc0NZ8Zfplb9DHpLJRZ
13Di+dV09qWIXmPXTjgHZ0JecizOpuBZd4nxpk4qQdTk9dzWbf1NmgN536bv9tjYvokeBWiCQUVY
QQKemfZuMJQbYg/inaL01pZ0VH1d5/WXqevsfZo1Idkj3QaVft4owybIUe+njPVW1V6KuUXFHD4g
Qxp5kDjMRNjtNInGxOcPEd3uTRGXT3atk3qamZA7kUuUqa55Zpq0ODffJno8e8fAS9EMYkNI6DWR
d7FnysL6YsXqS85m8pu0k3OHaQb7dKzlOIUD23ALBHveGHBVLc/3fQuQTNe6PRv8TWOjgGXD7Y50
ejfNyFhWta8DrwojXVmVutRvibO+og38Fmr5IRia+6GjQwx+46swi8m1qgbIhFXTyJ1KLzCUg0Pb
0tWgv7htLw5dHj3aanyUerRkqj3SCIrGrRkHV3liMtFaOfHb8NnidrjmkHQdaHTY9Phj1qI3pm/P
CcrZsyveyxpzH1uaeR0UCxYym28Ryd/KuF6LetLXlRybLuJEm64s3qu4yL5YAc3eQ9QOTONgD6zA
DHZCsp8T2RFweiV/yMxyXdakCWrgdfdt51oxUVW5Cqm468xi3bBiYSEb911gNxsQ5TwTbLr5PF9H
pt7ts6Lu95//F2BBneQx9/Kmv4+QnaxnRcoZx8G9HD3ZCskDmT5jiQbaoSTxplj+ZhhM/T4g0XSf
TuYVi6e6Tmd+0sxAMBnWuQZFI11+qKZ0N2fagHmScla1RtNhrCryujeJOeJNzAzyQ7BeavfUn5xj
3Wp3cwYaPqffLhzyBId5XhkdIgoYLM9S5RQLr+cxtJV9reEoy4K4XItUOaRtEe5GB765UcbvFNIa
X9U5CaTiaTTodWuEovgg4vycJDh/tnnMBYChVf8i6+20SS0azejfdXrRawHAoyicZwFpc6Vpd5oZ
AmlN09TN5vxRSaVTZ5fRIU0ct3USzG4h2ot+6u+yKk9WMUwQ1gfF623nm2CBfSiOsMuCLRqveDOO
wavFGZ+RKNbjQJJ8rpEpzEi4Zh9+I6qECJ/acfygrG+sLMBjXrXWJuPb9MpMvNjy0K6rOrt25mlr
CP2rE7TvnRxvgrjWDrXCqXYwe84WAjmPUd8TiXBSpzj1dKdi0xDfaINMVkBX4PQLOGqOFrwkbbaA
ASgIkeYntqNoR2U8qo3sFXX2TLXuNZhwqtPPvEE+sEnYUfuK5BxC1idUU89qSKbaGO9rBxVJr6vX
nLs3PfIppQKsMFvMp8s/5BCLhW4k2UoD2USiBdRil+GparoKU7P+3Jc4noTdPhZx+JqrXtTkeB/D
8DQXdwIW23pyWJETCb/wgLfG2Y9SNHvobRBLiL4jEGE8kkP1RRJQ/kXdbqdMuaZVt1Wy9tYMN4PS
4edI+xTVkzeVubLOOvl26orXfglOlBLWGDW2qLcU9WNQzX6h+tlCKuicJSEA3/aQHdOBFDbVaVdU
qGAuqKTEl+GDMpBoo3Tc/tBkUKCz6tqUw1PX38dkMxZD85iq9vfceF0ojBO7eidrNsh6aP9jVupy
zpyVnBMOWo/XNfXSW+b2r3PUv5kp/QE1F986rCOCN9ob+6njNN492KJPVpKsaWvbAZMJhiYW42tv
54+VMJ+s1vI1q151QXIK1AkiNEVXlYRIV62amWNn5sm061fDiJe2bbPv/5ep81qOXFey6Bcxgt68
FllepZJ3L4xWGxqAJGhA9/WzSvdOzDwchlz3qS6RQGLnzrWX7LyOOOym0gHqYjEVnLVQethJ7jsr
gneXZLgRmF0N/5nwycWA7WaEcu7k5YdLVk7cSI9AJW8lvsV7FYE8kyLqStIxtZcjeVqo5z1mF0WF
2rkms/bTiMadlp+kE21KWEXgJxRTtTXN8LVe7nMJJMUbmMmtIan25t08RiEvnFstsnaly4bPGgK6
m01/AqrhDq2KDZuKQJnpgZCiO8dgL3OK3YoCGo6MpN64z2aB2lLw1mofls+QkpBUGvbXjENTzMZ9
HkzqnK5+ko9Yts6uTn8NZUVIVr9yWzfi2jAPOev+GrlMf9qUYW6f43mxQ5KPuigGlbkrX2y7AUUE
cbrJerJI3OVgVyDGRrTYXQm3cFrcbytsPxdS0Vz2psgzL76cH+tCYZdLy9NUJdj8ZjZQTRpc/toN
OXNQFl/J26tJgoqs2TuG3gNzltqXGRtUcnv51dyO2AD19zDX+9osL0PkfJmwNzihAKNR3h6LUjyv
/d8gpC4UyyesoXicGfthkhjb0KaLinfcEozkSgbfJ/W42kt3Kjskit1ozfddRqXW1v7BI4OHWB95
JoeC2Ct9Hn3jVy+ArzzgId4vdvPm9Sm3OknJmFaeAsP3wC+4ftJ5W78q2cXl+8hK6OXtuXGI0JlG
mZRmoiacc2tWHpyVsVm7/DfTU2wdC4K6Y8aLtTRx56RH9uN9p8kOHLuTC/lJhY/uwjy1FVlBgpdi
axv6b1fZe70yqa/s4dSM5TP+7J1daHA658Js50PgClwZo7/TdOE2WDjLZK7JQ7MFYZuTBBEwg4iZ
Ah0dcc6/Kk17iz8DWW751MNMWFGg9xrdWRXhI0XaWaOxO5SWoZisnVObQPKjU5+Oe2NxnlP4fKBc
ODNV2G6W7ll7THlJs9yOflMeGnf4PfrWnZBYboU7prt2DmgZUDd4NkgrGyh+Paokle/YbxgzX8oX
VpGneia0VS8rpYCBmFE5TnPAupMUVA240aQH7SBgsrrGDzrmAcDHRRxSt3kguCNLen+6L8wmh9w1
ty+yWItdp+rqvgkc5+zyJ7fsC7DzlkC+uaYENNWqY+HOb8vCJBctEEG2Lnk+FHl94o/Fb2Nqpy0s
ZWeureM6dwonqd+cZOA/9nbZJSMHHIMD1cl/dU3BiRC9nqe8VAyN63/+whgJKT+SKmCKGHkzLOBb
oYTeMKdvzGKF2yF1nnxn0nFTVU+zFXKkcYw7qwcBpgRIgLkfmtN4u4jCZYCMzgfROjUyoEx9ogby
jJqia2Plv2KxVyfyzrbEdhHjnJYvUyOaNe4ZWKew2UpZvcnVWKCczIdiYYAxDZSdyAGMvSkD8CY3
x9uaNqefi1nXN9F++eWs2AiX9dPxeau9rN82RalP1e3S6movFIIzzqW/64ijz+hmeAnYEw173M9a
6seCdzgaMPOn1QtnKggOxStzRXGlgFN4EvNpS+Lh6rL+FG02bgKIiJVi+H8i3nIU5lfANnLXVxZZ
AzTM+7z9wyMKYwO8tDNUr4vbbgtv2UXCeOYOgpCgcqCmRo2HBkV4U8jg79wzhEjhGsSY/qd47Ju3
bJ4IdWoyYjcKUBBmSXVmphPj+MFyPwbFPphaPImTeDDMrCSFz3nWZl1th6E7oib7sZVX8IrGgffM
KwIKD9gfvXrwNAsjpr6WiNJUPnxVEznR2TLcIY+V8NRA2WjINdt6aHai7aY7NzX2XTMSwcrtHbOd
YEeQRvXgVG39YGQgmZbMKA8+E5na7C8uJ9ajSPvtUkgjbu023UpdTvFs2vN+rb4wcuM3FVF0ICK1
e8QNO2Ji748p+Xwbq5TTQWC9BOVQuOgGfpyJQVxS81pyXkxc9T3m7V5Xa0MWaes8zMtqP2CE1wxy
mtNmqaMHoyTxzoaGpGE9O6xKSTXyYIl+6JI2A4Exl+Gvpl9jglOtx6g0AYE74QjGgX8j/uqkLWBi
i8IcdjWOX45K3rFV2Uilv+wM6SHgqjbfioDwUEXpN/eeoOFXjI/8M2gwrisYcR9PZeUP40H1L6nb
5efRm395lXkdUv+Z7RsKtJo+pGHAJ7OK10lO06PDmXUx1wwdaJ1PdgB7iQUxrvzG2A/+X4yOFxuz
7p5uxofdWupAr555FOqwDR5bdRC2QkrndRSq049u98e0yJmzDKjWVXZfhwWgHX/u4tSIDmGzEHhr
3U9ePW+rlEyrNQ2fbE1259SyCBDAWyQUmd6mbdsswSxUdtWxoKtqLJrzE52QKZ8q3nA/pBBjN17z
ewJ78xN7hXMiCi87pWgzMxAhAuWiW9ko4orDF7wuFtFeHavm3VpQ18rS+h10Yj0xorCcgprTj6dm
vQGr/ZFrMEERgCoCF60kDLKPVolhlwXl27QYL5ET9bvJXbJD1S6HJoui08+lHKfuZMkvqcT87Y+m
hahv7KXbeCe7C9p7Ak55dNtieRdBzaYPKYKj9UcW9NvKrEIM4wgxaY3fQgrXeNYre+Lwii2y/m5M
gzBStTaPQvk8rl7OncgMCgrScg0iaD6jYMKseGqzR9/W4VOQT2+ev3hxw1aY1mUDHyLUD8vM88Lg
lP2mC6aluvlQmQ3AHFd6h2pYv+vb3zkwXbGpSKdEIsAFZEL4WgMQ+AWPgjaU9Y04BG04+y1TTybC
noK47/HgrT6UKE+v88Fo8m8dCQunUuByzOztnec1sJTWeS/Z8J/EMBNUnDfZNh/GKLb6Mt2bgqKr
vZemkbTl6D/YnBMfhs73H0B8H2SxnTrHudStlz1VuJjul7reDRVKYczG4u4WnhNEX+QiQ+RPoTlk
T53fkTjbZpdmDtRej6F+ER1VWmWED5NVXX0Ug01l2Z+5TdTqUP0qyFzd26r5ptcvk2GlIZaNGmkk
lLe+WQHFTZqwlv20tLfr0KY4nisCbLF8jxeV+kNcEfGaZENdbgcrbWK7KqeLseJzhkSV42tSMM+0
Q0+5bNN+t3aNR3pgSaZDZE2JZjWJO1da2zQFvbMwYnZhRqFMMrstsaY6iRrC+p6AiaeGX8kh7Yz+
Ug/Wfy9a+OPR6sM76cpvZxqJtGnVcPm55CyZVDrNS223j+NYyEOuouFS3i6579sMjDS1vlRj+ExE
Y70e+tunTj3rC8+qvvx8+nOpMvlgWv5dNwKXbuvgvz/wn4/oWlfhBGUIS/fOtWzQPmmDfVHAtmeE
8Cpad70Wc4Uw1mZ6K4m4vjpEKt0zGt4R4nd1QskQlsPr+/l0SQfzWt3+kDM6J4GPZe/a4UMu5pU5
c/7994F/GHy5oLA0NitNxuC7M4bjqZnSJ4ZGjHI7i9neWUIzrtV4YJ+qzMFAL+xrrbV1RR5JChvu
eclzcw4ZZznXNS5LUWdV4k1Cn+lkAv/5+bC3Bn0ulmZCgPLtuO2D4VwoA993DhL8bB1/vmJIIvmM
4masLtVwjuplOP989H+XKOBsafRewPyk0Z/lwp0+13A+3UWdzZppgU0bMVOwKDECV3WFYjLN1xwU
qXYct4XZ5FZy5ThZUD/NTnOWo27Ow5qp88+nPxeRA4hwrWg+tIsQkMyEuR1ld5x6076G5WM5z8sT
42Qby1nNV0YZWmw1nK79+7RsioeiFdGLbqEq+etrE3Tli1P/kjFOEPnqBkSqQ/eZt6ps2f1l9jRS
6r3mfv7sNvXNjpPL16nihXuc1E/WANewXYpTuACygcRGe9xbvV2UMs5arVF3CbzB3mKZdxkXQ0HB
H/5pm+rSu9fBRSdD+sqTuQMZt+YlIDLnRmzW7nJeW94s1WbRrZLrIC+nj15gwRdsc3HQt9gfAoG/
jME1n1xImE/5cPUcsi71/mYav6fJnb/pyrwUeeEQJUxUwdJHb9Bp13zu3tsog08WuflGRAAJdFje
G8uHwd14jAzCmCs/JBGmls+Qm51nM6u3Pbv2u2Us2NAbUGv+yZY5bvx8jO4GUzwNKtRbErtgzK0B
5w8wD34PJLDLjjo3Ss4OItr1tn8ildfb5B6JQg2+S7fvt2XXNnFYqQMzXMxYODxsUxZsm4w0iK6D
VIXuSv+c0mioK1I9kbyS23PoET1B9uh6NgJuochM4TL5s7lp5UsbGr8YN7lgUaCgFxB9804fZitd
b+vmpl0CFqTVW04tSLzQ12+lh/15rkl/5jb51+buq9YjPKuFRRKCeI8YhNqNKJRZ5XgJ+diLysd6
Qleo+388/tYuJqcsiTADb8aIjtY6WvWxyIpfk9cdREAcKYb4OFLNLvA4uQVePcbuZInE9BM7X//Y
TFdtTKc+EMhsH3g+HoVnYxmACWmOacMENZHYUkb91k3hdo1z+rx2hcu62r076XwvOBTnsNUCXer9
2o8PdIgxGy3Gl4hKCizSgTfeUGL/iXY+A03HtICD2KiGzOByjAclxTZyUmfTZKO9l0qCERpbBu+E
rcGQQX/T8q3ApLBJ85R1fuj39ZInUa/8hCHt+i5r13e7885daC/PiuQPYTIPmbYBW9dQQ2YlLGFT
NWbSpUb45tICUmDKMiWNB10NL5O3cCp3wHExDmkiG4OFbHMTD/7afS78dNdpMk7JdWUfcKcztT+B
riviYlWLq6aM4+iTklZdN19rfw640+hK/rYdEFuLAc/OM+c7oRy9Kwx7F7azt61zcT/2HE91WMhr
36aXIARSIeq+pZ/eE7A6pMAd55Q9MnIAsd86ieEUsrq1qX9SYdqc17Uk3p30h1hksjxiB1CvWSv4
nUbltPdqpV6dbix2Y2UHSU+B20xh8zpPlO+6duEzu2PzatOtP9oZ5dzPd107f1Ktk+9rvNIb2dr1
a9RM3YVO6b+fzxy3dq/pSlSvAu9SR8VysNIAOZSwoX0+5zvCd5dXlXf5c83W+/NZTUbMgSEzh6UE
8JHXzK9pJbNXCrSfT3QKwT5kid8q7282p3eKOiEeGuKOyQD+yG9R8P5XJ7r81DbNITdDsieSqk29
jVFbaNlW8ZajTJBvCECJJKLXZpgrOITQC1vAlPVtoaFLAVptsatDX7dPfh4wz0sxGXc5UMzUPtWr
dRS+HyUzLUo6X9QxK83GTYYnclNRlsx+cYkC9q0migNVP3Kb5GeZzj19P2Yzy2gpHr1Ql8D12jT5
+ZQOq9oNLYKT3wux11LRPrv93M93Z4/xgLLguP7zKZQCTthjdD+k5nrXp9NdkU9NFq+RLB/S9oEz
vdjNqZ8lls/UcZs5fdIXanwY5PQ5WkV3mvxFP3RppB9scErkFXEMHKaeMSW+bjHYB1Ewck4h6V1j
bz+P0brLmV9nTy0UOX53uaX8azHIbleP88HNadvpUiJUpTXISIF8LCHq6bz7gJW+9zwQiOM8sCdb
+XIXpV92pXbKtdeTjlg6TQXCboRaWTRj0op7I2IjDeTJGALSmJB9e7s2NsJ5Lit6yGZebWe1AnMw
7BctYVAyJnA2fqlUP808rH2Y16/CydoEUZ5DZKsFZ2K0V9JgrDuO/3G0KqrmLySJ6Ppz6dIiDhUR
ghOFVxxG9XgcFuRQ+tPltSGwiFm1Y6qYcmuKqLp2sn1cShftKETLGAfzkjpq2LumV+/a1Q/QV2Jm
tyAo93QY0ilktgOOolkM83M2Fd3rIK4WWTT9UB+MBT2SEppitxNvntnZ/D/quzBt+w0zUqfKZtJc
s7jHnj+1HPbWO7Pvb3m+aXCxWAA2kpZcX03+uV/KO2mF826Y00NXl0ztZeWpDbfYFsqkcN2rSkPF
e5f/C2fxQvGi7QDeNwXNtqF6ecjt6bI6B5rYu9BK33jof2WCL0wDnc8urJB47S42kCAbAowXMR+R
C1+xJBDaWKZJIMUfS1OUGc9TqZ8837wPU5v7Fqg6NxbHJdSRSe2HTu+pBUu/h/hrVNuxq0J4zBHJ
1gRlTyQ/eGX/wvH6vmhRdgLrzZ+GgrnG+c23ll+9VZLeV8xiU/WEKldR/d0ZeMvSSV3tYAl+V334
yCY5UYwBgc0ymvszj+cgaXUzbM1/pnEclbN1jfAekRkwbNr+xmHifpSNE269wSgOurTzWGtao1MP
/ql3n0J7/IyI+mRXM1CwmOGnmv1w8L7FwQi5eBAVv3nkU3Uzz6ZGwVw/y3okwB5qbRjJuJq/q7X/
3VVev9XmgFBOWJIiemIrzLKNb3nFoyembW5nd2A9vs3K7ZjPXBdMKC7EqknuXMKerM55Cqv1w9Al
8VYlpFFT7zBCfMqG+MzWJwqD7K+rO+CjbWb5Z7HpNU0RL2BmmGTo7I9IOnk8TmQEFMWtqRnZvymu
xSarflk1wM56Kq9j4dJlDhglx1qSL24chP1n2LFmpZ++Auy5lP5hyhexEaxp0dRvcIRSDPYeYqxN
7dtXKXI2ilbnHfPU3SlH8f6MrITa37AZA2meH5CIWvDH6eOSe8PGznEYrFePYYBkLNcbDfTPavEw
pvbK1uWKDWUjXP4heEeJOoj8OHboenh350tZuVtHiKvhhC910+/mNY+OUuT/VObu6rL8bUXuqUir
YWOwx0qvifMJAlbOUgLO3NlY7+tgOSxcw2/ynx6LtH2uHc8nfb04ipv4qypB1KwMgWFaBqhzGzb1
4oZEwQLgK0oO646STdLbEXgJw/kQ4A82nfnbRONN8EU9dwv9oZxGE9Zm1cFPqdp3Zro/Bm6plL+s
MQtoqJAA/HD+tMQNxIoINo5uyE6Fe6h5z0fjkbmCqfvtuICKoxGtKpVrdp6ZJrY6484mFCJoANqk
TfeRluzwdKPMBf/M7QWsKnzjBFr5gs1KRSNlJuBO2dw7WBVmdFeaUxynUYD9eogHr3jSVNHIbd4+
j6qnqAE2jTT04FUb6xAMxm5u6dOG4tUfmQEvMFlgi//XOcN9m8tHHkM4GB2lqQAhTE2ZyG6mJySK
Y6aM+xIB4hSN+8EJHn0FYrWVA5mNTD2PlB3SqS4B5+66uFmc8s+oF3kStsW1ngexTbPo1zw823Wd
J3mUh4nDZj32dccMNNXoSPsrr+U2tGhDOP1rW7GqywyqS3aL3y1uJG7t/TH19DAh+eFvsN9C/G2c
IOvD4sK1SJXk3u5tTj4Zb3N2Afzkb/reW5ieZR4n6A7EJv6ij2+TCIn1g5J0Kv/ePDSa1tWuqw0y
qpDQo1TuVB1slcPJtv0oqvTg9+Fn073lNM63EdgFPMNTQxnrJaTT0bSdJ/Dz1vBaolEM03mRELbr
NKpxhth/JYhv5DZOuDBFBmNp4zZbd5mpLRqesbvUz1UJ2RbUCSe5RiS+4f52s4Gh2NFiGXvEfWDE
DDMWZz8vzgO9fzKafdJ28UTkFmqoJYGKu3OXJXp0tkELDgTrXmxgAABvETZ0MQjlCM1uGzittwE2
Um4n6sNNgVLPtHl6biRQCsnksuehAOHf8hUeLfqpv0yPpcnX84st+mQIp3LauN3kJLU/tgmT4tTr
NyW88s4Tw3nb2WDTkKEtzjlrwn5uLG+fduWl5LzEahCy4gg8nY5FwoDXWicDpvCaG+GRZs9IDP3y
azC9kfroQNUvTyuc8KHNGSu1su7OHfi/R0h96DtzcOoWP4AIi3ptWvTj5L/UEPqumTbqdr730/ps
tlF6qvUC5r3MySuV8VRK0kw8OPqOh/bfRE8WQ+snj1lrBtc5QIGbAt9Z6/JaT9I4CXYBwob46OfS
L2F60nYBQCy0ZkgvOfktdU/3Ud0ulJXGafJQzkFgtFuvUdn55xsmqm5MXx2un3FXOqxMcrz1AW16
61EFDjT8y3RSfzYYYtyuKYPHq/9Yy4jhVdMbEvrozsk0jPKU4sxy2vSE6eq/l3CltdRFLEFzoGna
syxt626QhyIsVhpYltMzhaj7Uxh23aF3yXi7OWTc2wVZ/r8fGQw7H6MQmLgjdlXVtonqINpDg2jY
TLn8fFR6ojmlbrWwFdrfJe7fE/0Oj2aW+LZN80BcDgjH0N3qws7P/e3y89HUr9UhpV0050Z+tuF2
nCG2GXtDLcfU6LNT5j6s3QS2eqbRMyp7h0b8kU9Z2G7cbOVaT7mxa1vxTgov6dsStbH8+fY0hvbZ
c6RzXt2wPtjavyuZIv9/l8ZfjXPhnkn2KDYri9IuUsN8/s/FMv73o9vXiu7O55d04hyMqvbzE1Bs
5rOabUiqTfj88yXReOEpH88/38ID8///hp+vmS1qZzQMBHcVWMtSf52vRGF7+9Eo0xOLtdripx84
7A30vaJOPzRV1yaeHLBqtECVSrN3vp1+5T0T4lHT+kVZY1c3HNjOPWkkMjc+5snDEbT2/hOTztjC
lL9cphvrS3UldJa5Pk5mZmG5nLwtG4bxNFJMx6o25Cctnzd39XmRtnLvND1EQ334s+Mnkwpwe91a
pj+Xnw4qLfn8RNNfhNT9Y6eGQ5WKJa4xKF5wIazzhiPEcAmNqL/obtlrux9OP98tOwZzfOkfl7lf
EIVvP5FKYcLZ7HO6W5N9DMP2yyBZM/Znzkd5fRkDRrTCntBBU4H71Kt5Cu3uI7SxDQRRhV2CHvol
Z9CC4W7iX+EP4knAlK6F+maoi7QUlsjbHBKc7rp8YFSjSTLf2/W9M+/c0HqF6YV3DweEIUx5EECa
NsqnWDEK2hT21EYEuaq3tj1PN94R9pki98+lCyba79gsaGsbdO0SuC97SdjB2lgrav28DYre21o9
w8d28IAe5FA6ZGnjJHg2OAqo7D61ioPynX+ZZsai0MDpyzYjS3mKvdR4dEqRxXKhwqN/dBQyutgc
TMu2nPfVUq/J6s0fNhh8rw7TMyriXqNG4s3ODmE+xBPeFravbtoCB8F5o9A7XAl4Dh04JV4jioh0
khCvTXv9PfgD/JXeHrGPDnCC+HW6GSJ7l5MfBKfG3Y2Klbmye2Rl9TVbzi0cgl7B7P5b0/GIyea1
1BU03YgoBXavp0GsV7Oyzv647WCgbRonoh2TRnfsMU9GyqOVvqLYfAtskWqov+oGEEyTOwTLWM1t
pbb/uY21W8oZtDq5GF1d0bHpH3PGrYa2a9mD8DR387Wy4EiVxkSKhh0zADZZWR7T1fhTV6Rm3DzV
wDlUPM/mNQxgK9UwZJ2Rwh3UyrA1q/KPm3fkbnTt+By0L6ldXefFOTFMOyVN1aMP0Y+12A7RLj9v
/wBegUfkAO+VyOxrVXIfT8sBdkVEM06f4Fts1lCAs3Wu3B78y13xUkXmtTenp65m9x0DSS/KgdSL
jW3T2e17M8O9uVWN0hIF3H7ormBnBypX1WHhhHKGbjZQmdOmP+ezuyW67LpUxSeuNSfI7qBfLagz
69+m1cQsQOvZMFpD1d6AfVmD4VCgnbWkZp4a1jyzt9ZNVIK+HcMHl5YeazJxynZ7dVVz7/cBhJJ8
iZ2alnHThxdeHNmm/v2s793OCg4qs7+NsHthT7tgaI5q+k21PlJ611vHtC95W/5Ven3tqFGSQk1k
PsNhNtcobuGmU0EfW6t7lAUKn8zbe+hpOsmrEHQb3UkCeUavPbq+Me7AMr1k7u9+VeCfgg6rW/pX
deZ3Yw3zJnKXJ+TMGqwNRYts4CGAbeR0LTliaH11rfba18OdFEwIG2Z46RqOdBOZ9gGpKH5ILUvT
KQDCU3GO1dW9k2P/oPxsOfz42YJhJ89je7ReGS47qiYc4sDCHIoo5w74SasWxyVwpH4ardicyicU
xQeOdUnqEqs+zZ0XkznjUf1BuntYtbXNST7Huz5xsPS3hioIK5QAnVqkB2QpTs/TKcsK40++/hZW
9SkRajE0AaBfnT8hbcW5wKYy2c2RMbU4K/lNE7/d7dS7EN5udLFnaqLmQGkU/5R5YZSDdsfa+be5
ZfD8vsD5b68fS84A1SJfhZVfHYEf2rEw0ttKvODXk1tjcYNDgQims+xFecPNXVmDjyLNuweZtwvr
IML5BW5wsaxr0ZdN4owQCJUtX7SmEUsNTuul+VU0vbstDu5cZInQ2ctQz4hAPYESeF7KTZ/SBmTm
6peave/JaV6oRLtkWfrvwbM/La+4Nu2FJUwenInDVVaex2y8utD8xGyhV9J0kZDtNhDTvoqKPKxh
fIMk9kmvFLrngNxLoE/Jdo7FHM2nn54mVZKUq6aN94cFp991JTI5gxfvXY9NtjTOvDs2cSiYeeqo
Toa2pPPk8qTo5i3ncLK5/Q5bFqi1KNwjzbivboGMRq/81PW0Jd4nG3Gv8snnojb+s6R+zGRMQwRO
fc+hvmMJxKFSoaAt8zOiTaJNJiRy9Y2p3Nhr138nfv0OEtFxDmsO1CFbd+Wee1s/ZjO5PEOa3q2r
+Eytv6J2cpo+S8DaHO2L3qGIuHnVbhhWpiLzGtxg0IXUmjT/W0RobRwqdz6FKucwXHrQX0YIrlZ2
CQjNu8kb9YZhkCcYbv8YpyA6ZJpnohYKdc9cAe2tuce/op8wov7tZ9vaaUmGiL88jbdfaj5Ov8be
A788E7jHgZayamD1LNmALSRcVHH3ournKJ2zjed9mI42D70MHgOjf2ibCiZjRaHd2H4s3ObLMAk2
yWsCS2FqeLiCitcO3Y49uWnie8wfd15T9omtWIqJT1qxXZazdx0rNFA6qktqY3qPrLNX5CuWVSZY
U+0SECGVv5V+kEInTBu2vxBTtdLmhh223mZjfmj9FHcOYWhyfG8WSeNzbt+XgALcojjj1FmblO9N
4wLA42ioHIcRShQjTs1q2sl+OWY1kkTqBR8sOfxMGs9h8TtPHVwndE3aqX7R3AmbgsRybS7/8LFR
0YPXo4IdS17njOc6snDSZ2H+K8opuI2a6CnUQztMn0U6UPiWxQO2kwDquW0kfs2uY/bzRZBYA8d1
S55Abw7/zHJ4B710WBoVbaSihLSinrL1bpn1AUKJTSVfv5f0G+y6/Gp9jB6GemP6DiwVjiPZjO9+
Vb/SkafbjtxBKY3LxD9BdMOAzHnXRD2ZSkXCTDDvHVoT+2HcuQSvGzoJ62kGtN8Rv5Ga9/YY7ssw
yF8IpnUys2WSQNxn1UNqsyvIXDUX1/7w2yU/zdV6Dczxj+eE9JN6Gsd2MLHl4YI3OjKbQa3FvrMQ
Uq05gRcWerXRP0005g6USzNPmzMQ/Oik5KGUYTYlvviOejQbjnIF3fA9dMDb8mxezYKHNPMNouOs
cWd68sqcxh7/mbGhOQsMGi+3TyDzDijmTkjWD8PjhCrGJjyi3tNRXkfszuqrDqujGbhFHGWeOKaU
qpsGWyj3nHZIZqv2mdmZd1PL6+oQbZYbRG4okaAMfzssRD5p8Vf7vj4rN39dlTkctCFNnHbGPz+4
LguZntXaMTt2S6rCuIcHkCJxcnLO8LARkx54pvDeK3zjbQ4FT5YK9DnkwEyheQxgHq2RRIxlYnsZ
zPFcRIETG576NuiIbLsRm6mJHTP1OeXnM2hDDOZuXM1+t1/UF03Asyfpkhpk3Dglnv9FUk4xVW/g
laSrlyrzyfDNnZWJawnyCOamc42gLSfZ6G2suvy93t4L2zPceMnHQ/Tetyn0Pz3EBpJgvdJytKd3
27doDdj6ro+GgjquxrJrdA9Lo7d5xvteeuqPw9E0Rj5+8nL71Ec0Shc6NxuGSsSuoMU09vk7y6Rx
afPweYR4IDz5r04DOx5OhhF55KOJT05Z7yKcEU/CbxzlV6jc9GH92aPHXsE8dP8tai2TyGAk3Ca7
z6z6u65YKg7QrcLtHSTWmk+YjbLr6JGUg434yOZKtlqkgovUMyp1FE9pZ6HfR4wuF/0fu0PAnoYR
gN+0PneMdvmrCDnJUc4X2Qu2PqJB1vFO68vgDJilS9B7ne3erW2rwKAG/0PSeSy3bmxR9ItQBTRC
A1OCmRQlKksTlKQrITRCI4evf4t+Q9vXtkQC3SfsvTbuwYVS5TaM8heegKIjZaf/k4nBk5pwLEjY
moNlDmsxVfdVKcW683g2EFisJCLGTpKqYzi1RWWzbPnQsELOyRMXN07uBItO9TzEM2JbWV5iWz71
JbO3rtRf2tePrFeQnuvxytwZWX/gvruEAKlF52z/YzzmmJiZ+kXLaWTOmeYRcXGNTx/QRaDP0c+z
VQzQJjfeHsZnTDvEN6LHkbllpxktFnCvoSqiLitWrJwxlSdixs2L/QFh/zoDHvlqVSMxabBI5ZyZ
KCvyiJbOerIo1DDUfM7RUq1ExySI8r7DhcZkbMa3RrYLi7tPShiaAsENUClE632hzzqQ5yCuL80A
AMWI8s9SI7dsJ+sMtWsR8dZ0xjQ0yykAcO6/DJFnngC0Plg5CWaSvJ3bmBRfT7pRqS0PES4uj9vE
qPuR4ZWbntlVvCUjFWPj1eKg3X6bmOMJdW9+QX8YpvNwGwcCuwuCacFvtxAG1vtyJ2gDGbD9q4x0
lYFG2Q8uCuS+RgaJPTFMFUupoUJ+U/RttZKGmRw9yXeKOJPBjvtSYhjRI8ia+Lfz+zqkoMAo3/Dw
1wHZe9UVllK1wXn6bDZpB8WvsQkEpPsFkiLC1mx3Ap7FRvTdwTGzcS3n9H5I3JMdz+V27ElKxjRw
V/Ku4UPifxll5ra16EsWdzmmsR1/S/YDfTDVoVvBa/e9MWwd+8HvJoXOZPheKoYguWQyXRkk+SGE
aUO0bUzTURi5GPgzwT0YwDAO9WJ+s+Wtt3nKZmk2R0T95k5BS884QrGzLk8iSANa7ps+Gskr1+dM
Em4R5PzP14FVpUgQiodhCsQR+sO0nhOyxeSU7Xj07qLS+Otab9ndFEbGhMqli/u9j8icT5LnJBvr
M3jW73paeBWXeuIyM0BRGuw9gH1hd7TWkzRYN7Y8WrZXK7ar6bppubQ7N3l2Jw3P1r5VP0Tljbr9
ptErtl6VKJoPZnhI0lYoVjFjwrrd1FG875T32bHBOicJil0qfyR1ErPg4hTGsc6dv9J0HmSzfGsH
3DMi/zRc0MU5TKTCOCbmB/bEM7bAbBPXef80p+PrIOs0tLkmOSlyQsmYYzJ+YlMK07sKAQm3I2oX
l8wcppZMH+bgVI78ip4SzxOKyFUViRShEXnSRREDyOBnCqz+EVcB/mgZv0L3KVf55HzkwElCIrfH
dUnWWRNNHDfzzeDXmB/e2OTbbOmuBJ/sjYl5iqGGjTcztE8s8Wl76sNnKIZe4AYO/8kNWGk057vZ
FcRcRqtkFGoLp/RLmRAz2Xk4+JaQOpGYHeF++eWfe1snoN8wlRQ71ZH6hqMH00vEEFnHzT7FM4NR
yiTaJwtOPYDhbTDbF3vqXlQSxT/ogQ7DXJNcTC5kNjMnrT32frEi2Qb1HK6w9lvnoM/qMaCBwBJz
8n1wVFGp+20XGJQ/iJ5wwKUWJwx7NNsjssrJ5uSeChEjbEZg7fTcyMw+5TrFq+nme7+Pmp3XRzdb
DBc6/nLnFHXeczoiyIKQd60TUl36pWICb5S4mTf8vAc8G80185OQvGlC8zKE+8oBmJ2Wkl1NQlc1
6AYVVVepzYTvnnkKWUACMX5nBNXOrb8FA3cFTRppKyFNBXhTZcmT1xjVtqmQUoLt+atdr93BfPtY
5ActHM7jGO2mUv0RsjVnfA10OcfEsS4dVCAYHN4ZxuIhDFj7U2pte6YkG9+jBB2lP2186RhhkPOz
tm6cI0G8SwsnXRdk69qRdbVRk60qOfTrOP1OoZ2cmpQZo81CrcsF4bU83DaeIlQCcwrTqD7mIABW
bD/DLEjaI+JMST3Hf3FEXASHNcUEROtX4bpaR1xAa56V1WKmLX2ymYRdaa8Vj8prqqjMZtheSFNZ
PMUi3zNt2k+w4TCjApxn3bf3YtSUrkP/1OU50lk72fbMVRGH/OSy69ZpTE5tsqAjKQQuJXtg6p41
oiRDEw/mwpi7H5d30bmPwszZwpX5JYJpkjGqC/MhztYYUttDEmQnN+DgryuccnY/6ZXnmnvHcCg8
PTbliWdMR1A5Jzz+ydmP6/3S+2IflQnR8G7M1NVogvXoCARgQTWz58i/ZzdRJwetM4pFKgI/vmtj
7Af+MFVbhqz+sdG72erPmcPeMlY1liWDqWHkegdnrpuV2biYqjSnI8i3Z7K18o0YaKGVrN6LEdd+
m5X3FQr1Bg/x3vE7NLhKPtA3l+E4PPuNK69urY6Gy7oeVs4mn8r3zmBYPio6avaOOaJ0bW6yCVRB
1no7czKOyyDVFjxAaHYC442XnssASVffs+M0yRh1lp7ulMcglAuGlnmKVMiX/FNn86s3wGvuY75D
Igc855acFM/X3AQBrvTQbzwjSg5eTnCfHxEZLH2DlMThA1/8trAOtuWOu3p4bHI94BBgyRhR41GB
pSXL28LFV2x/8yN+2DUVj4MPyRyuKBs+/SH+KF3iUAtvT5drG0xqoVX/RRWNH8cfQqPUGUJPbfLY
8J6iRnXPpkt5FHiVt4M3fPJLfZdWAuBQY342S8QMuRyI0QWasJvc6KPRJt+HFX9aN97E5EIaAJFv
MRXiiuwlKtYyoyj2owN0crQRw6s39RRzPmI/EDGW21Jatz4egcFhCJsUhIIw5KYPphmv8SJqnsRh
uInsiL8tkKytmrTaImxnvFYzSy3jG8I4QLxACF/hEzkFVzoE5w/s3B7trV1Ebwm3PV+FUW28unu0
anYOxc1TjhSfG+o5CJBk4muaNkyg823qbh0mtkzz5OtkN/t6UjOPZWlujMHdU3pOxM0yjejgI9Qx
uqIF20qoO/ett0s83orgYFlmeyi+HfIuMLJkClC1x/arUUzZeSC+ObL2QWSW56ms0VPn76Oz6HMr
W5TBxJJlDqe26ZBU5wTvgyeIQlZYakczU9R03RKiRkMJVxeHNq92vTlVd5M+zpoKeWiJWA4aSF9j
XRF8xeXOyBgQRJ5+I+JT+FUA+4619+w2w5tf5O9N0RIbWTJ9BJ1OhDNmeouESd5YfcxuAz4wV+4a
Mwrx2Xos72TZnyb023ufpe3JqvzPeHRovVlAbxwO5pIw6MiSIE2QrTKppwLSaCDNqH3Nev9QBnse
lebClBvGR7uvCgEDjcehQBbhUbDs2bc0TEQrcWLNc8vGxsxNxgWjjaJLDrOffbURhSoWRVS1LtVs
wLgC+Hgfz/uxHN/jQvwVFQEEeR5Zm9b1a0BRzEM6Uw4rGEfq4PTZwBKif+sBvu8HzYA4USbRnppQ
ca/cDEq6kCQoGovMhBVRBQNWujl7moz5oWii84yh4lmO4stMyKV2HbSHLjGROzngXLv5dnDHg+36
s9uYWQSGOSY/+moJoq1FmC2gRiRO6ST4MRLEFsLi2HXL+SGYKXF7t/nMkPOf0cU4g7yfRtM7pdPB
B0QIjoMBV6Geke6oR3by5k7I5EElKViJIkLaYs454mVOaIqBuxsYbEN7H201JXpkCt6uDEEOrqOo
J5HYnfrsLgHI7tmAO2RfmYfBdBGOoTBOBAWXU9U47S3PWc/Go6JOYlbOUzU5hI34tv0P6MW/JkB2
+h+OHNq/f7SjfgUc5hy0vrNbagOcfhtRqzr6bioUsctpkyEoyNZ0sZRNw3T2H4ppKc61QcNESqO5
k777ldY5lZGI0H3U7hZj0MLEN+7BiYMM4yiN5GHuvBZ0ArOQqfN6VPvRjt6SOIybyaAhHNmCXNA0
4tXLmVBFLFhXXd1/xSYuilS726T7jms86FPSHjyneTZKaG0iSb/i0jjInlTp0U6fl0k8F86v6XlH
Z5h+8t6Ot5qCihqVgXpjoD9RQYq1J2xyH61P0JdcEtGpWLwj6SDYg6vvLJIvbQXqTMzPJNRcJ1Ie
+3XDPAMBaVHdR3TBmBYuVm9xqrtRvp5p7XnkKux9QehUGHemfHrvs+rS5UgHTBCx60wL8mUyooYL
r712WBXHlmk7ouFPBsXubfOfGemA4T3YKFqJve4pu4dgPk2W8wR6Df1zL0/JGCVbM8LbMBYOX8WH
OTn5vl9Y0wZQDhiisVVoCK3GhbryNLMfePXk8vKZko/AKt63/uKuiFaY6wnzE/1jET1aBVcTQukW
SXdLmRK0bAihy6aLOqBsYWc2Mxwq4kxdnImRJhPhznEbRtRc473DwVwCVVnZ31GL1ClVzM6iVH0n
9myvq5yDia+2nsorqZo4Ek3SgDnKDK5FQtkH2Z2XqkHWnBA7yDvws1jGM4Er5fH2Q6s0u0azMSJZ
hcqiJU2bmwK+N4kIlPaCssK9NxyL4yPpzuMwvPDHhpUVn2un01s++GpDiMzi+ltrke02K92f3MvX
/kJOu4WZj8wuB5spEdm2G4zbasmnVZuyEWr9+IL2969t4jPlJn1LsfxT1LerLMaGFGQ2I+2ufsz4
4bbGJI5KjdxpHRNK12yZiymgRHlOgWwHr0Xum0cz1p83LSbfIKGzJusFc/5yqhyRRQkBP4/g15eu
/LADjUHRH68iJQERr26yzZtM7TI4LQ1VJQKjMT8wx4hDZdA/IKNEM9jE/6oJIOjULBlzuscA5UMP
8BuvQl8Qo+EOYW+imbbymDeFFe61zeSboiVcGUWGtwo6nMZIV1uQ0YrQB2csW3Ga/Op7Fn2zmrTD
q8nHVLQ9IIDlVyDhQ1vUbIycbtmnc+JDeWIrBBSBMHLcSS5Lf0LkyBV5TRL5S4DXbuKTHbNpph6e
ftMO8aBF7+dSwG7n0UPp03mMYUr2IzHhTCWx8YLu14+KeZcuMfnxLT9vlS0PaLKOljuBng0wUmjB
FjlN0BLbqNg95h8qVJ3HA+MINn4J4xooCAupOr5bfBXNe+MWn9OQXCubKThRNe06IFGgz0EF+hMr
lTlSejcacYufotuyBn2P4oaVP3TzXZc/qcFB0Q0ja19awR5UxAqIgwzhtZQIbu0PX/sIM7j/Y9v/
VRGZIaknvzIX1lVQRsVpiJZL4wN3UXW6b7X9nifRXZO3vOclKJucQZ8tiJIz3dehvfGegfrL0sdk
1CDiD9C4Bi/ZZBH9g6ti56n+bqn7f22sPskVAr6SWKwozU+PrSZQK3LQDc4S6nknLNmHF3b6Bv6B
HQIbmKhQZDPhsd5o94RYvUPyQ+j28O5OuF0gGJ2a2qoJOd6Vo2UdFQ7bmJMC8WzJqtEKAmJZ5Vdf
iad6mb4SUZyzhtfRhTTo2UO8LUblHDP1BowGfH/9rm/xhd2AitAZUSMljxlQoKJjcSqleqg0wFC4
Nw+qJU7d9iJnNRQpLT5REqJWE3p9vXG4DZFhQFFceirMoPyL6qg6LLV8bSnROLt2s53Io2Scm6Xq
pxtuawQquo0pi49hMnH4noVO1P2i2wub/Y9Fd5eptKO1it3tchNvycTucMzjvq49FJ1MLrF5OVtr
dla2oray9UeZQ4yEsXhn+owtGC2/odN+4sc6+G3zkLKvyocCgRr6Ztg/7XqovDvepG8TPgUKV0nh
Qi/pdNYxT5aPaOCttL3MgVOQNHgMNP7DIcWDMv22zfvC3irm21jZfppsWz2/u17+fNPqLgR+TX47
h16af4/4bkKneNZIHyw7i/auX3DJ2P7Z41BufS/ZlzLDxIvejGXZnyc42fKS1eeN79HH5XVckDVA
r6oO3rQVfj6cSKUBVdLTVjGxRX7hvLYJqIfWDF7T3oju8+lFy4JnmV5KFOq2+CMru/V3jsMjy5m/
7bG3MtlqL74R8Z9qym1S90boUE+sh9p+7SOCAtzOpnCpUfNNS3rmJeRDJihnRLMYx/2EZJLxhpvc
ERlaXxQcDaShMkwsHLKVQ8QTShl/pZHvhblTR7uBKIsnj2wwhBTL05JEX3hU1LYJ8rtU80+MnDLS
7I6Yu0iCH6c/09LsqcGFbVRiH9Kx2AbdSGevI/KcKsqAycTu4XjIdoCXBSIjhSs623MMFDlJ3gYL
6sqMBe92LrTcrBOqj/wdcYFkOl1TDyeao8tnzu7VrRMGN6pDwYR5NUtQMJ2QZ8WLuS6YZnoBygzb
27SlO6z9bLQ4v5Gy0hzdPjOGr8FbQF5XOEcOvV1fsZNPQp054li34omn70Xk/ZrNgmZA1pgn3gb4
R/LL6fqYKKW+2LT3Xd9QMMeEJLn2xwy3LBT+oVLB+Oi1waU07JQX28f03KV/olj+PLC2x6rhAo+E
2LtieKo4t6J0uglEKU7mwfO2ubxNFiRaPdeHpTNUyH0tFd5+1cmEHDvN2fdg9M52Cua1YXiQZsXc
buJqeViYwazHYBdT+UGboZPpq/zoj026gYvjGwBZdHQZfUTVFXPrGI0YM1I/CCfbeHEqid7M02xX
xdoDRLHSEWppnkauE0tcShe1jPJ1x2zYO5A5t4vRitm4BTbEVLMCmet71zI+5cz6aqnpRvHjmaEF
jJKvDPFUVuPgRuNjnxLzhnkLuKpR6q4GBrKrmjYUAg359WgIWn8uUZglBS1VgihNTHhk55ou0OMX
tMWA+LgvQX+JJN7YJYSlChXt1kA5a5XUDUOmlzX43eQ+BUDkw1YybrRJ2CCQzWN05Q14hItoAx89
MdBeThUkx33nr/VtGtsgYqoc8TNrYHyFf3Zn9Fp1RKHzX+WS31s97VEPHwpiCeIklw1o23cL2WYj
8k5EmjgWDPaJqr2IOnnudWIcCE+C1DawasmxJVpbxBDJYco04BUbpoo9oahs9DvXAue2sU7N7KIs
m7UAYZK66l+DfmjWFXwhDNznvILVFGXpy6RLJtSzs7eqjVO392kFFiNB1p5o8er4/pn5RcERdFcS
lIYF3Nz3Cbsmo1c8zUFC14nxjIXQVgzGRt2Ey6nhctS25nYS6Ac8WpEist8dcuHWurQfp8wFjSPE
2dD9R+8OP1GMwg5WyVlFyUuVKxdYx/haZYxUlMubidKBBPj+urSIt51eh6QPrlRPHKMy2I3yqL5W
FCobDBmvRqLOMR7PUOXVe3YzVlriyFl1FQYbqVlYd63XlluvKJ7AU69xK2RDsSuacmfATVzF03D2
2WQzBkl+SmO+t6K53S9YZ4ZBPlY0rhur80+lV9yravxusaH3HSmWWshNoFovTDXjXx4QGOJed/YX
Tg7kwPfGFwwPXhkbkY/pWHeq+LpZ/dQ4XC1tPhEsx/jI1iwvs2XndV66Z4pwSVyTIPZ+XRJptfa8
4k5M44E1Pn8mdadzINSlb5ujLfaOW/2NYLeZVnFr+Z645khUbq2KBQYGMKWah53PVG7VLN0lKht4
QOmbY9aHbOwuJvi32vit5ARgxVl8vsr9CMZLoHCk6qvon63pxZuNO7vBmAlFx9b8RqhZEvZ0Uct0
biYIN/XjX/xbzhbM87UyxMNtoeUV1OM5umQqOpg0I6qGBdbJpjDMUznAznSIc1myallp66oDr1u5
GJn7JngOaGBAKHrPMxB2dEqQOxHZXa2q+5gLg4WoZoIyzFH6UaAcDk0AmCiuPfGqa4NiciSKZglY
wC/9vInLcoP77CFtFV4wu2o/W1Wyu0imG/dwOc6DfwkYyKKhqNgtq4w1q+V/+6lfH/rZCq6D2WIT
E+qjbbqIYbxCj3z7o25tri2BG6gQfXw2ma0Qz8cAQbcWFE7Da5+cZroMPcMchH37AVDaycSU/xSk
8bGcZuedzKsXc3KfZpE+ggknVJGEujCfYg0xwt4ng+s/18igzmkR9IgmuuOodY/GCmrSbKjyYnWe
+Siz9Ik/OX7IHmZb1GkRFq3bYEbW5YdvfWc4It8EntOjh1N9PVq3EqykGU+tpjuhlNoRteo9MuJ8
6Ee7/NCzgeYKfMmOxV71QZOy9pyovdRB+l4nIrmiuEboHcgXwfSKG0VQKEko5SObIKAtxUc6i+B2
7+iTrAL1ZjLimG//V6tPnb2oaP+TWp/txg0eSUEAZy7wDFszw0kbzhBjSGIrQdS1vaAccLmrCn95
SSYZhKROHRqJJgwHZvLC7ZPuzbnU6///5dK5R99EQvXfX+ZNFdwpO/joWG4cJ6mKMJON9bA48pgr
v8FwasyPNmeD41dYUwB47sB2dGuzfUszGwZWglMn4DXSsZIvAXjuJ52yk2jq8m5Ol792rteDgaHf
uOmmFUO20aLet6HI++Ag2QKw37NhStA7NjdbQLYGVDfJ1t4xmPpwd11dlmsjRppRUU2AjbNWppEc
HaOfIUbeKl8CegoKCQAoYTs05WNp7UXS+Pdx84FBkmwnTWWl5rs4T3KweSjERwaIldkjT5M/tVPh
zPFwQtbzBlEzCocC/e8YWD8TQmsRMEIL5iMzpBfRoY/tvfzXs6ZPY1KXKBmYNqP0BPNAp2ANbMHH
bQftdFWLJFijbfgy6xnVnrSpFuyrKLy3pK6GncKbBEkK25KMb7+H+d15y9nPjId4MH4MY0q3pWDM
YvdvZrL8VdJ5HRV6IGuo3yKz+lOp3vez+WLNagiVZ7+TnIrZB5FnZzgOm7QJQBoy8KBnqKOHJloB
BzloEfzrjXoOMfKNRGXeeAD1qnHUl2ExI6QyTlLPWNmTqjeirg8I1t7bfvopg2hLIU00SeutfN9r
NhZiZSYAbZiTP70ubevYuw6r1sEHjZPB1kCG3JM2mBqYJztjR6LSPxDssDadaBsFaP8rJBiCnzcS
/rnp0h/Nzs0wGvpqHFNxVR6YCsJvM9m92941ZykbqgV1tD2lzMwB5qSMLNCnWiCmCmfZAsm+kh4w
hUv0swQe7QVumDy5DpSyamlIFh5HiL1wquIa0v+n5TPZNn2WQRMF9kqO3r6isCGcMCYmtPh0YnLw
2IOU0KyHtSzwk1Y2mMGeyTwyaOPgOPBZjTt9G4nfVBYWVJ6xlSHuhz1hSDaZgLVJLxD7WPBxuTpw
lLvpi41Wvxms4GjsBWpl+F+MNqtyzQfPZzuPh6JtiGgRSMutDPxG/9CSM2RTAPXRA4uRx4B57ajt
tdlE7Asqsk1lllwX0k5Xi/FrtgN3R75u+1tgtgdWDzF/pw5i7ijHbnLx2WOI1FzHgIoSK9c9iS04
4aCDBsL4xMu8n0D3joxSRlQ3gc/vYNnmNmjjazVnz3XR3jvMMCAMPaeJdZfisV5FlkHAceE8375Z
x0aDa7v5M/EouPlKcFUmQvYMbQNs8LB1OekYED1NviCxrHwbAu/iBj7ClvIjRwgVFqn5mCb1wSsm
bPTBxXFL8DvZswNpWNTyqWjje7/1vhCnP0XyqmtuI4a55hZk1IKSsv3w/fkCpgrTqCHWS8+VCsmY
u9A6QV4MORPCzF/KDUilZUWqxgYU0Bu0AJ+06lRcMMKisBWLhhsm+O1itC6WZ5Jvju3b1q89hj/H
GIvQXECi8Q0S15jFiIqsLwImGaR67kH42YZ2ZzPiJlyp6Nlsn3JV/RZkpKExslnU5PdmYvPeifku
yAmQdIMXOyMWdWhxHFLX+JRroe96wdafew3ikee5b6/U+n9FKwC2WcsctgY7euFml3ZUJ55+4KXm
rzskt93FdEjlfS/xD8QMCQzs9Ukxk8+b4y8VWSglsv5FJJe4FRtHQERC4BROABmxpVTCfkhgwNDc
p8fMzVhcwedp4xJJi30oksHm5qx2luh+FIQglFXMoDJevrpkENpP+yoJ5GPhp+/NxNXu8QqtgFXN
NESa7QKig8wod13l7eUcYPuryk/8dS078f482pBovYEVmBbtleKXsNkXYSOU6+SymxTf2bicXAvj
L4cCa70Ixm6UsTxaognXWF0imo4Qp/m0LIDFsTJjxSNPXBknKWNYDWYAds1nDJMEFuSaA2RwJpjW
nG5dm50GpRkOWNW/6FyX+wyIiZmXj9ZiQcgqx3iTmvkr5vgTKaP+twCLOqqkWMeSN2wxyt+4aYat
76JBj1s2d3Z6wQlZX6Ts0sdB+vdtNdwTE4BpPbN+6KrL44AIexMAOqAZAHSJ0+chZvk/pd5OR1hI
NLnkCv3WAKlhLQPjhDgTkpWfnm8EkqMucnGcZ/lupqwZjYrRmmmyLO7zuLhvk/xojlMelsRYl4Gr
Hm0Vn7HQsPZ22VHhyNolTnp2g1qtDeVGYBSdep+W9OAwFPRVonxIvQIkcInwrGD2xoQH5aQlFeVH
uqDf8OOIOtbdmbYRogy8QVTsLXZeeUdSPO8e1U014J+CN3MHI+s4TUZxMW1m64uH5c6afs2IlMxx
dDbQM/AzOohi2Up3zoIo1p++pDvQnMRyYEGCrLvWCwgR4Bu0NLCvktx9AOe3ZUD8Pdlzu1NoP+96
C8mHAu8NtZC9CDStFR4mFpL24vNrRPXOiC616aKrmNdLhZ9ScheMlMqbyIEvSZ8Kj2nsKKgHwa7D
enIbHeyqXN6TC7wjbAeMcjVyzMecHIx9QikQpMkiiFdlLatLPeT/2ACmW8jVB0Nn2V2Rl2+FzcXX
xXh26IRCDzPtOuoK8smMx3bghC7qteDjxq+tHzrY6qGJRmItMmwKuUtxF01IlWaPDbc/5791GmDQ
mSCo4ba7k7zfp679KSyM1lYacMRGtNXAfkPv20E4gUCu/TNqPDG9n79kQvWPWa7PVZHkD7JogAsH
qd7VJZo/2zDvp8YwzzizGoY0/lU0Y3+dDCRgs6ir/TTvzDYeww7qU1C0/4wRdnQsmz9/aIuHTk7f
QFTTB6P+HBp49wZb/Jv4BqZiH5KCm68d5xYcgMdqs/C3xtb+S3OT0raWNapIDt+ctSwajFfOsGqL
tuZvymnWPfN7gtlx04txXHHflXKVDQveziT5jfvAYDDb3E9Z81QuUh778gayCqqHpeLEJ4AWZKeB
Qs+OmfuP1saFNxQaxgBYgt30gA3UrjWU/yV6RJO/mZaJNyJq3hL9T1gsgxuhHwMJ4afGh4mv4nFR
kClKwsbWvBHPBdsT0payTcOs0Exxggu2nW33hqwJbVyCKiJoIu92nb7U2fIO1hnxl9XfCs2bz8ml
zFNkp9muCHMdv9iDG1/bdo1uDbsOcyzyjjxopixaOxEgmo0sQSsm7H01jxUGN0QN/jQ2h7Irxnek
sBsdjOkLV3x+mTv3FarVWrbQWsshPhdNpR5r6euHCAWYdj3NyJb9oUxM9ShcnR+GbuahgJL3+N+f
jXEWsyygw+vyy39/27z9MyLsHzNCts///YuNp0cQbPMaN/7MhenKrdG0QDhm23rQBcWhZKpgUIRa
nUld4uQPPTr6E03jBczIx5AlMImS0VmVvv8TeUYL7AT1B3BPO4xqU2+B837JvOAEvaRm6TFGt2CL
iXZ6W0Y2bw3mQ4vhqQpEvKsmwwqVq/Ktyxyk98TR9CrEZEO8szhMjo0x0CFAHJtzuNvlwLInCsxP
gHVAmYbudaxyEzZeNm2nSt6X+eOI31sawUWl3qaqzIADMl472vwuph9RPdR9r9eVjAN6kfre93tv
zREFQ9nYxG2HiiK77ZtmhugSeSSo3uCn8K8oSzZ55qv3tAV7MLKhnrCoEmeQ70vur6hLjrGurC/+
dRO8HFOYwO5PyvQEgqvSOMZQ43x7XLfQgRhKGlQwDJxLMEr9WJvo93t5HByWch1B1btUghJbOu8R
tHz50E+Z+WpX/2r0QjsS7vG6V/3bkChN2FS3R7eM6kSba6chNKWO62CjK1K/BKMI9hhM1Av1PhRZ
e+oKa77attR8wxz3Gp2tb1ErBXMNm0SwQfCkBu1fhYsJh4NL4nuOR+51/58IKE0DhVe/aqwvL89Y
kXFTquitS0oFzK+JXyzb/xFl+6Zh5G+aVvJ5Fl+2wshg2zccUrGO3JYWuRwwoGbjuzezhw+0WAGW
AtO12HetWVyb4CkfVHFwBHbJ3C2aF1s7zP75d8M4Oo4Jlp9aEJSK08qFcbEUK2eyKSsy92VEXgOp
C7onaM9tH3Oi+XbVn4f03U/dP0MsNkY+1FBs2zcwRc4kVVtwDAcMlekO2QevQ5u512Xkk7mt+ozK
mMDoaWL8bDzVVfkwlGnCFSWfdTDL38K6mTiK/KFAWUYVYjwI3rMtRpZ3u0qeByo01JMjJxSrtE1n
3xK7POuIhuuUWt73hN5sRSYM/cqQPcMiec80SxKFb33F9ije5CaXlaXb01hiTDEEs2syXhJeBHwM
/0TPloYHiQnOF/K06WIN5leKDuRMqOhd51GqL6C5ODSB9rgL7mc5xkxe03dSO2pCchDEpCxzgyW5
kcDY5jugmsKmYIPWLPea8mxtLNLY2Jm/BdHA5wp4lGh4MintPt3WQz1Sm1gR7pagWdN6DVTD8mgp
dD6l9T/Kzmw3bmXbsr9ycJ+LB+wZBOoWUMq+k1JKWZL9Qsgdgz0Zwf7ra1BnF/a2q2qfui8JpCXb
2ZARK9aac8zmi6mnn/gAEZLLYptpTusd+IfGPpkktZwtPGP0FH66tDYxvjAuFcp9yoAMcVQhVz6m
K3znhcHX/tuMtP/g9g5gv77etIT0YNqL612E8vVOCv1UN1q/BhBixsF/jmZ985s+xMFj7ipY8OvZ
JYS27w/KK+XVNxFox3gSwdNX4dZT9gMiqYqyku8ffAQzOzgfJa5jn0PsAp3tAt/jo3RK6oFbxFgK
p2T73XD9aFsaPk5U0LMY505BToVtquwL6iK1s+v8DD6RUtbVrECWjy00/O62IV7nvOn2NMfzzUQU
/aqi7751ndbjMgf6kyC139ZeQSxLyHQ+VeLRTZXa+LpF2MhlmQrCDgKFMaHrCx8UUw5FGu2t0Obe
Doiqx6xdkY2Cbuw2aMPdzGZ2D3rwpUho/jKPFyd/HJJdPMiXDLslDS+bI2aKoyYfa2BCBY5UzDKI
/ljMU+srEE/iXOra3yUIdxlSYqXOOCkw5/phR40HKcBnzlEhjkORBBHQdd4LjFWjTzeodcxncAxP
WrrPMRZL9DNin9fBq5eNSJFzusbjCJRRgUfjlxEERb6+mF9e8NzmWztKtmQwnCxaF3vbdXGrgMpo
ZPspkuVhVsW28fv3sAMXSaQE2PEuvsZxdpaCZZkawhLz09Cnu4I+XBPb+6bxT8pSF8x1MIux3KUc
k5TmiFm8CWuNSpcURU8fW8g0qzRRP6WJirNfzh6xfPTCfN3rEQJhiczCb4CbwEY8uJHzMEkmi4Na
e4uTWqcyR2Wgx02vkIwwIwcbvZEW+ukmKEnriJ4DT3/zLKtZT2b55ua6ea+m6DALk0iwBmgteMdW
o6Yr0+HZhzag6yUv46qKwkMsE59VTfCwgw0txEkS6RNN+zchzHuGkIfIIrKhC73PVk+Bqbz+ROLZ
k4iCpw60tLK4ckJTfVGdfA787D1ywy178WbohvciTZ0zNd4TlOxN9O6E3ks8LfaQYfwMKAlEyxR/
c3S11L23qAKgNjoQsSDihV39qajLH5HR4nLBh+twOaQj4lILwkiIuYWzrfOOxpAmGNGJtekZ0Ii5
8iokCa0MD6p23Q1dfE7Ejd4KwbVd956zRERA0ev0MfPTK+DyhtlX9IIRNTkznt0MNMVO5uSJfZC1
eGvICoqY1K7MODmQ7PPoLHZ2zUW0bjzjoaApVobjN0uP0OFeTe0hem8aug25twHa6/L13zvojleq
hn1ZkqW+n8f+3Sbzb6GngUGvfjRq/tRQUqZxdbFQ5N7FgC00Xt+xHi7WBJ5cHgLOMWyOmC7a4kYB
l+zHKsdVxIE2NWW4KRlXrxjkDp/cXCI6Zc2pcRHFqqMmxISf+UW2sh2BxLlAFdwp5MMWwgeqhNhh
MIjQQN0pNHzJTBOkq8d9nkM5/GiQTWgFWduZX2uiKYsovnYqnRmqjijWiGYKOuZ6IYNCRolsf7GD
Eh1loX2YSVjYSMFmTRflp+vPx0Ko5nu+REIxuWoKT78SSVoesl7j8uoZeKsCnXLMycD14vci9NrP
XiSZoduh8YwIgtpY1vUuQbt51y/mAsqcaK3c/hwtYgKqI+J+uHQoJGkuRpkEQRDg1Wna+ubhe99M
KEUfYD5cP66cmp0WvsfPsBpfcpJFMd3hkMBpe9ebDMDRM6ZXkyLlPu5R3cDctGz/kaQA+l9GHZwd
u4K6CfU5ibLnzJN6mzcFY0kKHTpTLW2biWl9FCTA5gQHoXTmtlVtfF/nIWgnS++Hqibbzlnl3Cgr
RrvxmpY39F7t3UvbtI5m8kTHpoPjVFaPQATt3WR0CZCaCpQyau+1H7TlIZxpyzaB+XmCtPvDFEDI
28YiswZsJjNDZ5fG7s7Fmb6EpdH9bPMnnfePsftilYH1Okyv3Nmn3uuhQirD2g+x97NMBeCMea3d
Ep1bIFi1ou9oy4EmhlsEPGszfGjC/slOS3dt231BYM4trujiRjNq2wIWZj854HWM8SVlkMyQCN9K
CUbISykmrZUABVU1OHXlwpNsk8ZdMjjutZ4II9IZOkgLabwajbvB3SY1XgZtu1gAQ9ayGuUzDQtG
9TGtKLMBLmE4Y7wlW/AdnstKV+KTbLH2dxPnGgtja5uVuHfIZmU2oR4bn64TQ9Gb2yVvlUkKFKdf
b9/18wmfOXK6aH4csuYFMN3TJFBCp+OFvE7SZQeo/WFSThDIgBc5TvhWbL0OpkM7pe+qQtRl6E+M
lpmBJ4jVucr2JcqKWb5NVpNfkOLiirCBGxjBS1tf565xjl4xsdaB3OwwjW6DFNcy7udcx+0xLFPz
mPXcOZFqcXARJrpNGbFCdbIOOmu5qGKUXkE6i30cjjHSJD5Mp08Y/kmQIxl7ROfB2whKwnEi44td
NP6a4sNeeQEWfhbyKcabEcRPnMuHY+XXV0yefVF0dKEltqLJfC6QhicRqwF+8/uq7r95o/+pQyl3
F1RtsZozYgUZpo4hZpve/DZhDTQr66VU30D0vOR1Q9fDcTe1H73H00hAXsL/2HXqQaFaGvPsVea7
geOqExenOEDZRJIc0pZFZJd692ik8NC73UvGlB/BDhZvh4Y5Q1F10OAlm8bxV6YuLiCJvxRedYq7
CtHP3BLJl3hYXAecNhYyLSXbezn2zICbcx15Tw1JhK5pov3XCdy8mEEpNEJYtyjPmE7QEms7eRWz
vZOK2BCZxBjBzphOjn0qwGzbcjiEaraOKbcY4nAVH52mrDaCSdI51y6H0HpsbhYMOLS3GSEPXrgL
4giLv4PcBX8vNg6UGlGRrvEwY8IbTQ6vxUmq6Zi0hG8w87F29jDx3/B9WGl4SayUiinjnFPOmAZF
YdImVsOauQOpODWTLMl5OKnAiuZqWlfGszOMcPOq/M6fqVQdUKzksxubKaimNTTXBrNRsSpiINBR
mua0yZBW2AE1RjfzeUg+4FZcozY74wL173tl7dkB5a7TyeuApGkc61MyK2y0DLB81X+uJHKH3hGM
6EPeTqGuTc9mOczijByAmzWbSRsd8tssiEaS/ecPRjvS4GGV8G6Q/50pOXHc9uFdNxK/KeZq7xf5
VxyrCm5jzMoTEPaHjeYS0uYWTadIw4msrU5iY+XY2DpaGfNWoSxxjxuHKNJqFajum4hTNIJmiIiO
8TiN3KjdjE4NjITOInmUzdHjXrnpCgIcTab0IvhUEHci6uEjroPqJ4Jeem1W9Jr4+etYYGdDOYhP
eObkMFuYZBVrTjxDz+hLZBlxzMmSBKaBD3o9qAy2RQdkIfA/9Umn9jhls4OCn7t14857DesecUVm
fp2CpeEnovGhEaI+Z9qhvWLP5lfz1ZdEqGpn8NYtSsZDlUi47eH4YtVnJCjjK0QwSFitbLmHeIqV
iTxQz822H0+9kWYDoO7ibEe+exhg1XNlovLq1bvfDsblzwdp+n88ZR7N+uD44+7PP/vz9/yxQJtr
0pbz4ADOdx8/wS5lXHTLV95Onz/+xCMn4UC2OJF7jOv9DOmYT4752cgbgSCgXC4q0Pw2AYV/eUgJ
HPzL0+WnH78XZ/bCYwEsh1YCbrcNmrVxdnPfLhxHF3kvNJtVo7Lp2R05EQDPH5DSWyhd9Ugf1i2D
E+t0dLAybPKZi2xnXHjpw5siA2lBVTt3vp08qzh/mrEWgcGx6PkPy4mgjt+007UMQZyf81wDcEqb
6TjPuOgQSE3HqViCAINh0bqJ4uLqDBfGQNuxZhpE6waUCsYAajzJUamocR0pCXuAmIPAuUdS+qP2
5Lcc+h6n43JjKGM3LUK7qUSrIcQAP4U28yrqu/kiZbLpqkXsnNzYNIKtTR5DWwHB7ojKMHV3Gaua
nuhdoD4lpEyvcyNmOtaE71G9V/TVGc8lNmkD7Q8zGW/cLTdZ1M9DY92KIbyZM2SiGpdWNCRvOE7Q
eBAkJ23KZwf0RTJ9LWpac179o6gA8tZQterqMfE5ZU78E1EXMI6N7s2MAqGAAKMBHSjUsdTU4tBa
1kgZAa2sNV59d7zALOYYMIzvbWptjdR5SUV4hoSt953wni2nu7NkgqfNI4kO/vPGl2Sz5ohDXB8R
xoACxmEK1Nb+jz4DQk8EAorFbWQm4Wl5JYTKf6VDiSqh4/Sp0rjd4DFHKaMmoMIyfzLl4g+ymn1B
fQXQ74j9gZ2h/+JIro8ptcE11D4cCcxRNWNB62pB6HHo2vZR9K4TzOI5MQYbICxQhd/6fL4xpWru
CmEDsPFrPgc7XGdd/bnBcz1RFK6bkH+5d5YsHIm9w1Deg2mMj5goHK5MDA9GMtbnjwfqXSdfl9Lf
O8IoDtXs1+dmeRAg6o7/9XTw/1f09y/54Ovb/3z+x89K/eNy2z7/919Swf/Hr0/1v57HP6r1e/v+
yxOCm7D4P5LHNj39IJKx/d9B2ctv/v/+8I9g7+ep/vGf//Gt6sp2+ddi1Hl/zfz2/zYkfPOte/9e
qd//wh8h4YH3T0u4nvBo4tlYvHxy4/8ICQ/tf5rEh9qeYwUO0dwWPyqJr5f/+R/WP/kTEYShRfA9
ok73z4hw9584EIUV8hdMx3HdwPmvRIQHhI3XVT4t0gjSzIG0BKGFg0gIZuQWtOAlbf7b+xPSfM3L
+G9RbLa1MHS4caW+qaL0T7wL718PYyTAf/35/M8fIzFTewsf/t2UJNVLXoIqMjWDItgT/WasQgPV
SzfswiSNTn5dhwc7lNXBU719TvMp4kbtggfNuWUD2A2rwML7cmirveYCsAgqh+ndNoIre1/1k6DC
VSD9huYQe1xefi6kR1XGOf2uTQVAg+UhtBG7+4g19Dy+yWry90jT1X2QSfBE1dDtIhlUpz/+TGMC
HO3OQkTHrtvKP54FGT8oHExvbY3/6eOvYvfaRxEzTZP5Ej6HSZIgO5n+RdHY+nj28QMJRewe62pw
AbQ4Lb/aC7H/S/b89V9fyj8QLF9hobd8+h9h7b98V8Lks3eZ5jvL9eT+Fubu2Up2Mz4kaJVkAmVR
9gkXOWq2RnZbyC49bfzU2Q/uBA6vZJ2CPr/l99N9HE/TOa7b58KEnlcAcYb+iuk0o6y4y8w52UkD
iSwz3Y1hWcSoWSUn1TxfjLbYImf2gA2lIQVLDScSwv7D378zhxvq16uQi59L0Reh5dmeZXu/XoXS
R4lbVz5IuIHgMh9uk/ZKjysnJH4DZ+Gadg1OAWJdtqWuyYFndnLH/WG89mmwg4N1ii3o77PV/NCi
ZYXUeQwIiACEIU6nXcuRbT+QF70TPrqcIUzfBmG1z9yEOzFgAqetwyCJQcUuNAm+TIsvsRrXDcy6
mwNZHUONpk6M4UD70Gn+zZv/7Rb0As/xLT9E3237wLc9+9c378YoOIPBMJnL5GAb5HwclSwYbuVn
2w+Gvc/8eUMoxpe2IbR3+BJ+vOKq3Wk/Q1jZEirgDqRdBb57qzUKlXEJ0JLKe0TbMN6sboRYA77F
MswbI6kScAGHfiB9OPQ1Om/88QGJUofenW5dx8Dq79/fslr+9csNPd9nMUN1SeNBLI+/vr9AD3Mn
2hhHVFpefVTw2yK3nIvtVPdp2QlOzjMYOc1si4YUje/yldTa5B5wLbDCuf2SVRHDNGLdvDqZd0YY
QoztpnBlmDPLU1wsDM+O6UXp80G4Cfg/vjUk6etZ1+Yq9UBBBhyc0BKI797wXUjTPgZ1Q5TPWFyL
AFNj6KP1wckOpcEcrwOTlU0CLom8LsPbNG7frhlXlxvfjz29xRoi1mX9ZEzm+OBii1HMStzhaU5z
lqlivNIIC84SExvNTzgidZ+2z1yPyMk+6DL1NzdDNQfF4k02FtwME21flDwUsxWu3aFuPhMz+KM1
qn9tz+ysbI//l+UjCP6P7yHwiZZiG3Jslxvut+usJRMJg+JkLypx1MhOayWbsALk39IrcNwfVVpB
aSv64Zs/zVwx76MM1vHopZ9b099yQyJBNBxzE/uxfhQDpaK9yEGW3PWiK19s8l/orVXZiRQo9xEJ
2UXk9HhLS/H1JbW795pCPWA33wNwRBnvVc42kbreuh4bRIsjDhPjBeRbdqzzcTrMpKrtxFT4G8FJ
gljdxcZTGBDFMa2WkIKuhHKEO5iRYv1xc880hfLSGS6tO72KevBO+UAeZZDeg6xuT5aQiv55jB95
EvdOnCdr0SqyNea+30+2fTR0N5y6ACXbkhAuTL5rom+PuvPfYndW57CFnuKRFgUvajbpHOLroXp8
dSbYvPTXrE1H9vPaQed2+Pt7yFq+m78s/dxDgK1M2/YoE5g2/b70D0mcGxqDw8YQD3NWMgJMvWkd
y9wE4OFgGOxC+VDNkGbSAsZQns/RKaipw3XAQODvX4xjUX78/mpYq2wKm9AJBPf0r3d0lQ2jniPP
33BAGq8phryDbhSSv6kZV6TdWERvBj+9Ygn/SRJAQIFtfpVjQXOKbIOniYAT7tumP9CTxZiQKoTQ
UcOvmZ/nRKiT19TuvWWAPwyK/ORiNqWTlueHhuhgil9aRmRbn4KGSrsImV4CrIgvY7ubHVGdOnGv
S1hDRhWZXwlzpe+G8hiVLdM1BaXOU+HDx4Pjd4yTl8tEVli5XDo/G5oF6W4Y/PAQhpyZ3BoPsEHz
bjcoUx0G3O1xTSZqjHX1LPvsWyoETsrlWTw+4vALcAIZYgnkM3fYnJ2tcrhjmDHdKg+0CplXRCVd
zchkc7PkovZDXmvgR4CAZdLMjJ19Onl4wLF5zE6IQHbBww6grjeTEdIoTR0cbUxvVuBTgod+/hYb
Iw0Zryhgj5IWbLvti9M7NO7I1oY+wFw+H7z2bYYMb+Dno/HdRJ8q4tI19CijheQQQW+qxBze5oa/
Ao6l+gItxamZ96D31g+qZpTSIVbCe9eX1zwIP4Mgmbt1GJu4iRj/nEEzcWmq6NUtUDIt+xNnpmMi
RfY48XTvQoPSjTY2tIi8Q8f60aedgaV5JMSjQGIYQjDZM1UI97OjdpBPI6aQjfNa3nBjP4lchMfJ
A+BT4d89xF73VqG8KMuSrMEJEgrEKPOrhX156dfa17CFlCEHmrtF0O+zOdYPPocyMYkHKHclta47
Mmm4xkDnNpZs5ouu+23nEFk8FYrOB5fN4zCiOZpifCKSkGzpI8pyy5NjFeWmKmjnDG2EX5TJ8gml
O2sKZJOD0fTBhvVEnjjyopRLQ8oxRjuRtpx9u0ZnXT/4YjqOWL1vZY1iIMX3EZci3MQmDkwEL8Y6
TFvCSTitb6Ksf67iqb+P6iW+xp3haZUBDteRUlanjxNW7LNNs3JdLTfiVBWPPmPFx8i1vWP2scqj
ZuiOai4/L4avuzSNjDPNgz0+LM1Y2S8PY47ikJ137yvfRWRsyAN4YRtTWSiJIU/nlTAb5IpQcPtm
Ho75p7oFbtKHTnqTpUUEXClP1bYxKiLXP14Fc3eP8ITD7AFGknFCTZP6zVMZt7sY9/OdAS7sE761
mkgWtFtRDeaJnn/ACVeP69LuFuk2cukUftk6p5e5lgPMMYsG1KrxR/+PjSHp+juNR/TORLaEnCsV
WGLzFhTusd3EoZvcMBA122IiUjCdgvIhWgsXc1ONHVlysbOYc3+gUZznAdWBHybqMUCzsMktHV5I
VM/3dXsunMy6eiFsnkoAycGTVl3oC7J1VA+ycVJEmmGzLRtrYxq+S9ESwpWqigRJ2hzugKegoWcf
PcA57VGQoYTN5HAmc/5L5bfxhRCo96wgMikIwBCluckpJsPS1zQwzD7WJogJ8QoVer/KK5s+CKSt
YOizm5qNn7MRDOAyUlRSrJTPcnYfajYSlA19wKxL+CSHxlhfP04nPRF+NPbNnDcM+/Pv9wTBWfW3
LUHYtrBd0+MMuchift0SqDcYohJvygATtiYOmOyILOKsx+XUEHN9z4lHyeWCFJjYIa6kvkAt7OGZ
aSTqmxKjyzJ3LxHAeOqQqsWJ0+JrjfeDasJdVHqPpsQkTuPO3f5rtexbcUg0xm44HeF6CkkSKJ0c
vUrafPI8zz2InL5ezTEVNFhIEcAoTTPiOCdTOK9FVnm41BAvoyaLZCV3YvER+8F07d00fxE9oolk
KdA+HqYEp3UfnPqPV+O7kpcUQjJdlJ1WeImZ9x6Dpjgjib1HOF1zz3nOfSCyfQyAc10QkMnWDOdP
xyMgoZT87I/6ZsQrDSRlBvcK/TKhIGr7tZUBkgQYuyt9bFyy5MwlAnXIWmhqVtvyV/1mPuZIChuX
eMzIem+tEMm/kdwYsDb/pvhwl9PXr8UHHQw79By+YNxI/m+nM6z2bV6OjYcwktJXdAGXYA7u8KMQ
8WF8eHCRurobaLdx+WeKgRdaar3rcZfc+UHVHBPh3kkzz57jOP6SWsOxD7kjwxpq2qyNr5GNr6jB
GspBwnuIYrZjXLJ3KW1rBIBzf4okYxG/Q+HWNK5cqx7hmmnGCwks1ZDkO+NujKb0ZNefcy7Ak0sa
8yYurHVkiWfb8DJmJ018Cm3k8aadvCFn6dd/fwtY5q9Fmu+4nI3tQLi2bbmBGfx+ihWhMwyBiVsu
dkO1NeJOXex0D16QURclW8bxdTUWyDHKzqMhiqf50OvhKxSm8aStz+he5X2p/PFc0P5WTfKi7dQ/
Wikrx1wRajwvZQPdy6AYykfMmoeP8qsy5XQtp+YwzjlhdFkxntw+xY+UA30VZbLviVleIQgJTioH
dJy3iF+GqD7Gcszv4xGBqsZxKycIMU4yPRBVvUkCx71UyHVM3eyiZJ635L2iyerkqRAeU/LuUk4U
cZnZyL2lG7w4QdjsWjfijODBOhsxH9xVU2tu9ALiIdjpm0aVAJOkfKZy9B4RlOwiryBKfSnfxbzl
5FKf2sn9GsTddvR8B4G2f093l3RlJjHbOUeUKk1ZXsvxjJ5Gogpz4HXD76bOvW8GNaycfCA4XtvL
ywGY4ZnRfKAWRKiWF0iACMN7cir11qLvTUdoVyWL5cbIcoV5uSjWKalxGzSY0baRlnkJQ9KLLF1e
TTIgV39/sdi/HsY+rhUuBUC+vuPYofnR6/lL3w1IjSuS0bY3yiYkfS5NXBxleIGmiKvdiDeZUwzP
hGCnWyskcNYeOLFlLj+rii8hgn50v0N0/FiyYpNRSEPU6twkZ/Z1i3jZJbI1LIiiI59tb/saAKNp
NFs/0M6xtC3n6EiR/5tzgfj1oM978kzf5BZ3aFO5NHSWn//lPRHKYBsOCS7rCD4bSjHTTr9mOTM/
3C+HKfNb+s84Utz880dtbmdY4bxh+AqUdd6rmgbWWGbVpi3mL/gpp+vkpPYhld2N8KGtqab2KdE4
HsysQIjVlFcvbrcqRtWXL9HX08gYyUgy956wWwzxRU/2ogC+r9wfZD6K25CTTWzmF7iJLBlGjqEl
k/YmrdFpkGuOfqBYvm2SPzsK+Mg7ujLb1F1l3H/U62OInfuj4ViaFZEgdJOm0rKeEy/IVz6o4mPD
O0P1NoHyfpGFQeJl5oL0CqtTqaR5ki/CI/wRoHK91gcMn97Nn4q9P3QSWADk1jbN8Rckr+CAg7XZ
uj4YMsY+XtZnZ9sNw32C3z3bR2HwMFvR2R4KfsOyXIRGbrmDd/AsB4SPYewQMCo+/Zsrlg7zL/vA
8v3SfAyFb2I88VEK//b9GjY3jjd3MUYgF6M9m1VcNoeaLBuLnGGLYCtFS/tuwC1LnDvJpCgmj7Kz
v4vUJBDKRHo5kVqLsH+4d6ykPVgMjgcVePcuBRykv74L/T04wI5RNTFvoJYp07kbCL3Eh91JpEbm
bGFQQLR957vmGlJ5sOG7+jFPTHJqC8NulJNXsiSStol9Nn0bYheU8YsdaHKjsp2V6uHecycyAKZ5
3IyKOfP4XhcVk3OyMHSRxBvsfPtJOd5qkN1Xw6yRwajq6JTJJ7fYDNHVSyHmWHZsbjFF0wsuH/vO
29cVLSKyb37Q/vBWrnaHVZEyNhWfiHgzNr3JFggt+DPuGb1T9tocYwvlJVkfbO58fCZTeAm7dzMY
VbEGFXhtoyq4o37rrh1qGfhlaQUEIBUrIlXenUikLPkEsureGNas1PFB01xk+0U1ww2BzdQM1o1J
ngvX0tpP4r3MEBdaOSMp4aTlzqoU3KeUkR+YMmaf/s5aEiS6qd26AnRbZaOA4MplxA32eEZ1ZhVj
d5cnOxwiC9LE6jniNLiGkkJvQ9pxOLfYmJPlQc3cUx7Nh7mjQIZHtZocgrc6avXK7tDu5v28zqO7
DlRF5hMWEWmyxarxuzPmx0Hb8971b0EwZ2cOnLhvDOIgB/uS0sW5m8vCAdYbHZypOtrEAmMRNFf+
QH/ENfgIYjyRCSF5kBtRwLJU3M3YN/dtlRLHOH5ih3A+tU1vQpSM+aym4QtO5pLmsI25bJ8bIiQo
ALeXrI1bBVH3rEzIqxjSso3IPfyqM+ZA7jNA8oSobyx7AEbrdaCWSusRCncFXtz3+feUXmdo+hIK
lUETTU2GLXwIOyc6xS0PkdNsfBvojhVD+yzNe8f9ORiDdVV4fYbISY5K7lQy4ESKm1eXM9Exn70X
AFrdwfGJVMzG4JLKryz505p5JCw44ysEfs3hg+Fhg+3iJBqm9NJhFGNDV60DvqNFHzY1/YWchWgX
EZx0x+T2iq7X5oNV853OZiSTkzhktcWQeGSsWQ83ENzt5eNBT6pb4wafVwO3fY8I0LQi/MWdHvAC
D7uJNLU1+aIouAj7Y2gEDgxRTNI4G4YuMIempb1WIR6gSV+LmbQc+iKqmcjx1N1BNO24huJ2KltE
UAVhD3ttpBen7d9FOw8bmuDoDIkfcz0UofSevtqD8Z5DYsEDjKqIOAHOdZRaMVJ5gOE+aZCskKxJ
gzdcuWsIsBTy5HCyyC3Ft53AGFAS0Zq3wSNgMemJmEG4xi4I8LZiY111Pd+3S38ABkPBLQNEUjST
j5OaBSfjNdummAgciOCgiRCGgxNbF+6edON4u2nK5z1gfeK4cuNZBNExNrPnMkAUUDr8v5rSChBI
cW9E+BuD4UuZ0CJjtbeSYQSzUHBNpjbw25wFls7qJmm0YBfRaBczjph0ulckHHtPiYq3YQVspgae
Z1H0we3H0Rw55FAC15Yrcncgm09AjRiNnIp9QorrOjJu9H6+MaOk96MK4otmuWcyh8x0vJqdDnDh
a8CV9Y+2O5pdRI89ia21l2b4PKpwJyVA7GxC9GfW88US8GocmP6CRijHtGnFyY0yuNEXanaOMZnx
2Zvjas30OaYgPPeLY9TQ2bkYeJnumIErXOYVLiLittbQY7aVG/TfAzwRd4FoT44Yo0e/nsDLUe4u
bojc6fXKSDnDm6Tk5FUCm8Opn7lY5lUblc2a7LHiSao1YuGF4SryQ8gQryNGPkxm+1y7BjFtcPBo
hMEWJThPUTI6c6DWSAyR8iq7fyyBUrV44kPbHc896nmuM/+ejPXksSpZ3uEGqXVfI40vg/s8SMdD
GGC99Hxqc1m0j/EUH6PQ0JePZ1OejA+CeDD7USbJUXh2eikDCIJjouSB9uN06GOW9tqHRZDwhmbf
HR4NXw6PIWlshm0QsFm7HC9cD365rTfACmfYrxVBu+F71jfGg6hh0aR4xWA+4PWnV3EPWmoL4ZXI
BJtucZmY1xx0XwEh9KFxwYVqAzC07HNwLPX8KGo3x81eppt2Tf4dwpRyhAlkmiiYU+BaKzuvlx40
dC+HYFaiNgDTxvOOdpv5KOU00wQMDx/PUMgTcKA7cqxIcr8rGfWto0XSQaAKAJrZpjQ1O+sxQGi0
m6GRrD6e9oQH3sWYPNd2BjGxBee6Jg8cGbi7oLOwQRc+vBOpcMnXAJgGIGrjpbS5Bvs5eC9T8ozH
XIirFXrsUjKnSnRBErkyRWBhHiqlzK8Am3Ah4a1zZ33vpL26WCo29ya2h73RNe6Th+ofGOJU3btN
kq0bfj+ErC6L6DFY/DlOxm215PUN6FUfkMQlWzPBiRSO+CMcv6FhBkzOGtV3VN+nVKpvXtoHV2Jt
NB4wb0s+c3KS0ShWXUq7qM6sFsBAN706SX8dJsv8TtjpYyeibkOMpbvLCvYcX8/fbZRq2zc7Ql83
GdX9mGDRV8HcsCEg+G4S/sMBdB1sQFIcxpYMtEp9J0ECK7Xlkjc5CrHGQRaSAZcjjvGIzZnqRK1T
zwcjO1/JgqtfYgtgUWZRhBQKqKQZ9RfqmWpn4IMiNVtuDSzgqxznPhE1CSV3SYwqIh1O3FDviOUt
v1hOtrgao/qS5xzUi9CXy7FwWLf6QHYAMuAGsGaNddksN16smdHli7GBmM3nymvzXReAXmX6u0Hf
y6tNoU/MOXtq4lodgkNwSLW6zJFLHnKGfSZLtYOBE2uIQiTOq9Q+l3003kb1OGpeKF334eRUFp4U
pLnVckiN4i9d0H5Lg+G7O7b64ti+InsqWM6Tc3gVunhzevPUtsHjxMjgxe3qHwYAhnNENw37sUnm
vfsj57SyqXr3W9X6lyQaEaiDeAh8DBQFljijM48Dqqu7UZXPjS6Wpi9z56q9jTZwFMz9qa3OPctn
0CPWdfOo3uJR0depRVjEDCOrQR6rN5mK7pjwpV0Bq8zXaiyARmTibPUxgDI/kbsGzf/Vjtnroqp/
TyJUkp5MOnqbkB9rBOXXltD2q0/aIQ3tQ5ZBNfv4nzpdtFhX0LIp9vaqDclxAsDoeea8lW0prgMX
L+j+hBSbgXkh12l0oi8MHbbr/hd159EdOZJe0f+iPUYBG8BCs0jvmWTSb3DoCt4EPPDrdcHuIzM7
LbWp6eo5VU0ygYjPvHffJYqz1TgE4yW0FL4Vz1xxT0Vr36uFz/ZAfx+YR9PHFjHHFIwp6JZRtjel
tmqdhumrPIIkGfnQvrirz4H+ieWTOA9LH5cU/uuJXForFZz9Sfw+qOy5NyhaiHknHdMLSCYDSOxx
FJVIyewpuTNkfylXVYneUrWuxVaquG9KtepyioIRtD2IzqUL+W2oblo3nhKvvUUcHnTJD0nLMmcC
Frsxy/w1QwYx5N0d2aTVcpJlz9cjSw4iojgI54a8GrqHynoOy3RFgiOlSERkRzWGb11R+jsuuKVT
EI2SeVq80tL7dPzubAbsnZtDqWCwLYOLNJscKTfDxCpKiDQv4Wvjlm4USG7yJ1bBGP8ZhdqWExmz
0n1RTfZex8w/6Xx5cW1sRM3RCYqnvlfZQXkZXI2mvqYpJYORXEcuabgp/pcttWWGKptzDYzBbNDn
CeelkHA3KBGgWdO1TJi2Ndcy1yHaZkbY91kcrczQSfG8OeemLw66m250SbHlW/hLNCgKY6UdTTt+
18P6eWD5Dq0wv+Se8YnO561nDBaOJCJNNBW5VZ3igUtYA9hpR9VROfxcYHFmywLeUTfstMk6l7o8
1xXj0tnlWHhsd4aShZiQPzmE/KHP97WN86TRtRe3gRVcjXB+Q6ZsnJNkFDfakwgFvU6m2xsb3NsY
91fHaU8c8tibeSUcD85S4LbXxEz3tu+j09VPkwOCKseG05oxtQl4HFxwmOnxDQ/Vprbm1xCvtWux
0Z+Q+A8hgJlkO9qK1JVywKcoVz1j4k2fiyujcpCVsfcxesNCZhaULQXnLs73I12R3+tfvUU+kSYA
EKtuS5jgPeqTHeo8mO/R20y5jovoNXdBXYFmaIHvE/Uw65iL9F1ChoUv/6YAOfBSy6+x7XZmn5jE
oKVYZQihSlv9BuWS6IncXtvii2Th7BSI+rki/4H7famPzmvm4Gc2NLdZVLZxjhy4CUHLvDyvz42g
kMeTS/xxurc8QFYAuierfSiAes7qTHsRFt33wL7z4hjGS16r6MChlm60npRE3XdXjRuPhLEnJmAX
iX0g30cxPQeLkvdc0TwqaTw4TgV7TA+eHM9Sm7oOeJHwLsia8UcKoIJboZpIvtN/Zg3tNtHjk509
tXqxbVr9rc2mB6qxP1WvbuYkNJZOTA+18XOMQaoGcPVgeWekByrnw0s2dBxbGSIwBde7koPZL8jd
g02aPk2VJPK9Ltt13HEXml2PJKFjITbntxN/lZUm/bNun40Gu0Iz+0iT4sm0AYoYRXKwy3wrSSsb
/CjaVk1y0SJeygyR+d7Jv0IuKFQCwXsyhBAX9SMrNXc3hYJXHL4TdqrgfUCqTj2yAyL+aeKxRQfa
9M1mCotjKmSwabvyC1gtTWX1qtpim5k+C3cpXocC04jGHULK1tVoPZqATj9AHudVRYDNG+9bzVuZ
BlyJq44zee8Qwq0VprEF2cVdjWbYTbCB8Hkv7NIEgNToz17R4TKS2ULpihTx1NwiS6Nlj/qIFz5n
iS+Jk/S+AXqpDebLd9c9KwW4q+GbQN3ufA2kqrhBt4uqpt8ysGX7Y/Jn2Ac/ToQG10K3iUZrQ8qt
jgsvcJ7w+nGhxUvfnbKtqSpEfg5Hac2Ns/XCt7ATn1As3zB+Vojbk9e+HjawZIivi3XyBc1+w0D1
G80RdomYi9ejq1I+dW8QwjPGVLJikLNnrjax0wYY0s9oHZugTlpTQjhQRFXjDKIDXyp01GYRw4dO
4FEg/KSg5ijn8yFJKd0K2gHueBbzcF512KSc/JaxyPJZ0V1J+mAvIFQTeqOd7Yd2QzHmnKr0le1T
8QRTkoQxFNS9ZxjLCJ37Ikng7CRg87Yx4/txsmCMBB5haKOa2Zvl9FCZcL069tqIU4CPc3TsyPK2
13jKWXYAoZp5gyFZfCylOLlD1PWhw0+QCXRwTdD0dWNTrLUgaXZ21XZreCY3rWGI1UczUbERB80M
t1EtoUMCkQOhhvcq1rV276RiP6XtfcuU504vFB9TQtPV+vux9nw2XsmnqKzDWBkpmuec+w8rPJUe
iRNRsxPYMTgGqk3shY9EhH0beZkt0MWxtOnNbdTADBwHy2eGwA+dgUAMzH6DiGMHDObmZUG4LUj7
XCqtQ/vOkhDBVbnpE/1gVvreqfkJWuGwDzPx0vTY9kSLpHt0C1bc83CWnIAlkBJCw2LRHH2qGRKA
g2gmkbCx5C7EXBZ+jDY47l5BLpbQ0WODIUaBc2wJ0z1KqKuYiGECLSsISbkD2QMx04LQDg588BoL
K8wvpBZFuLSmvZaDXi1TZlLl2FxHr2233RDgd6iqnyEOxLFtmV/kUyqxTM+qsxhbJf3aspkoB8ty
WszbLhcydJwSJt6GdAxczm5sPTRs/BnlJ0vTwpNp5zAdq4obhSeXyi/EPG895GXf7sLPxKjjS2H5
0ao0SQ0oKrd6yMduP2BUwUaAXbCVn0ZXmLdsKtfCS6JjaTg/wH3aqgN1l0q+RrM8Jm2yM3rsALXd
wvSlk91kg//Ee2fNsEjcaX4YQd/TMcq18ozZ/ODUwx05LKtsCq4q51hx3Lah0QHeFIby4rk2o4wU
jr1ycEXwdqpieMyPyHcnutCZR54VBPIM+grHLRZkh0VClBFdo07kap0HYvdCZ/yKKoLJjBAa7DCy
DI3ILGHUdbCS6MeU6QueJyyv9PJNSMCuw/xtqH0JuMf7g20D7FaKMkF+plbwaHkTJ4AGRdjVgU5o
3Q/xBjQRBNNYuMjC2jwVOFDYUuCRTCbuRgBpdVTcVw3URWQmxK5l+JNa+w8xxeWa4+rFtatDnbtb
BA4vLWyVZaaV71ohH1ptJICHvz7gukMMh7LRj24S9pBvjeM2HEEwBNCvGE02QITkRA5cX4Qn0gIy
pKj2V9CnK89nVcccaxiHd6Ajr7NdK9Hoh+wkoBg3fooGeKcYusvgdBZ4TQJYqqzY1kPwmpWip1/y
zwTcyqtm7kOCQwSevAXpWfrSCa/YjbpUfKk6zzccrOEWjvlC0I9zT9bElHakWOR6ca/1UcyizOl2
6dTfgh5htD7CJeM4JMiDLmQpS8dFEe7vDDG9uwapR6PPscgIUAts9gCTylZzgKo1MEQ1o4YqFqMz
FSLoUvVo87QtQBnGqD1TEogWaNxIRWafil3ODNd8piM2zE1tUiY2qiCmE4+Un9+hJR83wwTkxEu5
uUFTGZCvibrzpLlL6ynekK6KAMQegdvrgWACp+5DB0BTYTG9bl0zvdRmubKFl558PVt6Kvi0CkmV
aTgIPjj0V254QJfR0ejwaBpxaO8wc4yBaub0mmcv/SkmmWAML+pN3hLuHYwhODPYQ4XAptNYNVN7
1O7KbvPVoDhv/Th4rAbaBc1vtrHP/we13VnDjtJZgXhkjpzNgX9rggtdBwRqjRFqcN3Cq05KF/Ib
sbNbUkfnO09H8j1GJAfTyF0x3O5gVofnpOeMYBWSArRZJ0iHN14Jxkpl7rNvdezo7YHsXP53loL5
8RVpTbiZbOyEANA59LJk48sKY4recRc4m14YO1PAkqxD6J9TIAmbrMSW39yFxJUMExEYoHqANGsn
TvZNjGhvMYn2x0Zizy2LoCMrj7i3Pyu9TpA687Z6nQc1eADSQqbeWNgj49X87ESMjBuPuBm2CKoc
jnn7jMKk2edhg5bYf2xD/Ygpj7UHsQ9MVYEaTBY4yj5jf2AF0JZzNzf3KWN0lHDV3TQHopk1QtMc
Sva67TNtM4b+BsM+2c6mv+v6OcssZsbpif5Q5W0NvInasHQMEBS9/eApXJGcGGs3OISDY35runxQ
zuzVnlazy2+FLXba6JpBGZKJ88A9vYJhFm2RNJJznGFw13tqrUrqUJikXNqtZS/qFAUgk5V7P0w7
7D/dhdYNipqW7bBCtStT3mOZnYidCJHMFvpSd6OWlpjIq8bC1d7m9nuGFHTN3U8bbIgzoq4NDpQK
mbX+3Not5k26/y2t/pZalElLhLhvmCTOMHRGOfVqXKKd1wWttq3hXIoiyLSSjPDStZJVRplz4nxO
qj5eCyM5jR7AavdRJgMu7YGKyZhIyItS+fILUM6c4E65lPJOUvJsIgEze3hNxSh4q2AelG7Nkn+o
WYuxJ0DpHa5FAVwk4nvf9NZN6vjmjJEbqPQLa29P3T7tgRpFTU3ynpE9+CnWRAeYVCoT7b5PuYn7
+2ks5Q5H6Y1eCFaqDoW0Vges+ezBcp5upyIirgH8No7WLrWIonHa+tSI4M8Q6lj6nanejbJ956/J
eYl9qg6O9ycNqcra1/tu21Sh/dQDZFpBhTK2qatvg1lt648Wow1Gw9uxxxnnjwUdvUr3WakucddA
bc5yhkKUZyjHI/uCrXDYNkFAolpbju9NGt+q4E3RbCxzx3zurGBl+FV9nOxqk4PWuxhBb69HnUeL
16tsa/VptrW3VPHsUAv4E71JrBMQk+3vljqjiBFmYaylbA3mltIC1gAlNtdTbQ1GE3Ab0wQ9fYnT
RL1lssRRYX/3RJEy8Qn0l0QXh7YCiw/EJnto9fg8hVF5F7JyQVWjgVjVp/tY6MWGBXaxqvPIOHc4
rf/SXRb+9led6U/OoZ0mzP+W597xAnz+JWqg86sZYQ9z4x1qnERN/5QCEe/cqHvJeUzPORPXhWF2
T3kEFqlSbExBi7YHggDTV+7ijG/woKJ0JC2RiLCDQAext+RwG0vd3YqsN1ZU+tMWBUEGHtISpzyB
aBTyFS2LEmwBRxbhWW4Hkpz+YFsIVGlTRRBNT+TaA2LQQ6IC+q6Ag8YT2WPOg2M1A3i2MLyLhyJ7
JBlpk4qaF9WawK+yb/R97wC7cGIKCgZzdKDDMbMVw0PGowfWVtFnZ9Om49THdRR9auV1APl2bA1l
HVm5oSULz0x+iHH8FU/Pv2TsVe/HAVmuA1Y2pV6/+En1MSSxWqshuamh7g80BWxCyjZ8aI2u2tux
ySQi8m0mvSCSf1UHI6senyv1L9FBeNPyT6MchiseU3mvplCStGbuJVsMVkRkmDTkeJ9+f6EsL06B
2Y882uPNrLX2CPV9RlPBt3QmQufn5KjKbN6QLH9Us9CimX/RDCu/y64ml9vS1EVAuCOBAzLVvGPg
RnBNC5WetAz8QOhS6AaMZMvWGaIFBABMSgwSQEDWNbgpUyRPgFB95s2vkWDK3DWpfjeI1N4RhyG2
jt/j8hIsGIVsz8xOWZNWCKg8RcEX4yan82G93mZYmkYYgCulaxHpTT0hO/0MnHG4EzMHr0lgniui
nUMLrUEmtfxCMNyEdtn9KNMqOZhBwopzaI2zWfhk8UDawAyQmZc4Y1CFDSZaeg5bniluX2K2aCJr
6sukEpJDZ+sCrFmIsLNSOoerGVmWWqSVQ/KWXkBzM2xGdfGQPToEu1BQdTRtwFoCJD3bkZrR7jL0
QLDe4hUhEuWSiUz06HjFO/zReeOuMT0Ch0Waj/7et1Z9N/D9XpDEfPSpf9BrN7zgMq4fQJukp6ZI
X1zBWByMFJoMG308WgRvg7AUgbNV0Ps2ub52ZOJfbOToy3FgFuuV7ZwezNPRRTs/0tw3AZ4+sxNO
YV7nXZ/n58rqEcEgtVv/KmgIGpnIIc4KkCHB81RP53Vol9Zfekvc2GT2tGpXSzl8zY474ktZvsku
2w1AUWZi1MIx2/BmNCvCQACuAvJg4yECtsBVPSIacLtt3xq3YOj1RzHeLEVUC3RQdQkiUiec2tui
+DFnLE4EVX6PMuBo2Vp/lkFJnUaiyEoQxvio4zdPTSM7S2EGj9H4U0e9w39N1++cFEmLY9kUT2qd
JUJ7GBToGi9JrZeR7Th8fiyOmZrkKkkRV2dleisbh+rYaK6FybqVvIl75HVskkl7wIDGQ4rPOVVD
eEvIxKzK+7hFwPFrX+nM2RAm9a8otfutaQgTTSsXJ/Ccda3jg+NHzmnG5RtqU7C18p5aaoj9NVLx
iTE7KvWpzwuskKlHaY9zunawA1eygyfmtfTfJhkVu99/CfnVP2nFh1ak2Z/Wy0hxAJrduwxBWDKG
OmvQ7L4warVn5i7PPRCzdZ6u/TzI//rqWQdof4vOw9iw94Fu6XjKov4Qd6NzcyNvNRkUpUNHSbFE
lm6vpWDJQCZ6cEIZjywITFKJxUMj7cwJmvHBUtZwjfIEAV+WmC9BThuOCGTb0ViAoxqDdSxsuSRc
9BJ6Y3/9tRrZiFwecsi5v/paUQaraYqPmuuP8BrVpVUED0pO46Rizeij7rH07oWz1IVogiehZSBz
KOcF/oD4lLjnaps6clgLoMM50/J7vuGBoeKulXl5NwlvvPGDPhipgjjGgubMKBpYW58FZ12enCDr
kOk73z7zkg82bOaC/5wLgCEj8zYZr6KPTFgR1Z27bjqLB8goq0UxYDw0dORnKbLINVD2Aw666aP0
IKswrMSNPqIC1mJZs4crWHmi8Pv7n4xjYsftJiJV+eoI4FV9KaLHQTpgnFoIb3FnhZtwhh3g++0f
/RrNvYdQ7TrCHtgA3+BeIKd8xdFENgGJDaAunEXXZu5WGi1kHdO5Y8u2T02VwjVmCAFxjYsRu/JC
12f1YtqN75WO9n+0gj/TgHOy76fihXC/ZTkrstOcLxawSncKRx59XPfOwpw/6aruAbCVQwkoMf8a
WoFfr0XW1cvkW7nDfoyqd5fr/xh7MIv7ynl3R/nIlds91phXV6ryv1kGwiHqLO+iK+GQ2Bdu06IR
98OEYLlkCfsZdfG+M5+hJ0wffQIi1bIEmySoBrLJtFPn9l8dT+CuqvVHDcP/nY9T52CUDWgtBGgF
myZIcqF/p0jH+v0dyL7X31va8L1x+avrZ9QZnOnrXBDRocfwEAS4ZPso5qxEFy0vFqpqr9hfn31X
ZHskxcUa3RDhbVzWzSKJ3eJFoZ/d+pq6ENvNXo1Z/K2TPmM1iPssE8inXehaX62nQXpnp28IW/q9
F5TTkj1k9PXdWL7YnE2HGhT8kwK+FLsjrEKW1XsBoPoUGdyPHfxKSrc+36my3Oejd/r1YPxlbQQ6
LVlNuBW2kYAkPC7qZwd1iK0zm3aIfDqgGqSjTbNxSSgjeOPce+ay2bT1V5BZ46li+HjnjpFFd1iC
H2kKQgeUhtNwWuttSq2CBiFb/p7Dv7/UQXxxuap2v3W0rkyk0hwUWxUji41dMM2qarwdacUMarJo
vBbIv88FSbGa7fCMptpOzT52f4qgATrgb5VwDUR49rbk4dkiTWUIVAVsiKrfH4tLs8YA4tc52I7W
U8JY9Ozi7tpYvLy/B3GSQoj+67DVKw/qs4a+u4j8s2vFu8KaNW12b144BKhlsvwjKD357SJfMfKQ
LDKsQABt/KfY689+Y0VLPcRcVcH1XNl9SMpyPBLcCpxv8XsrA7CS5LWZ5nxZriGbFTfPvxJW3W0i
ByCG1Zvvej/YH4k7qoUdkS7oVJH5AkCOFhBh8NnE4/okCYp0kYxTZzXDVWv5qLEWXUWHpqERbPzL
anxyWIitiC0wV4MxiueR1BW0RM9BmZ0bCTzIJ5t0qXheRlZyGnb5HtlXCXCnnLfWDclFKRuHcNKu
nmKiPWX1U+H4n9JjptEKa8u0qFhUMASpwPJv9mxMKRBnmjmbs6S7ljYbq6h5E0at7fjRINJSoDsC
XMBLDbBSxVR4ETTlqncEcW45MYBtww74zjUrPt2YSrzInS9lc+G2NemylUbeV3gZxlBumP+Vi7yP
3AUbqWe7KChnsmmbW0pilU9uZvbVto259/rpVAZ4ZUr54wWwEglCJDpKVfdTCFt1CNxna15WZmMO
GS+C55q/G4bnQ/ALH1yzfkWMd/F8Elda5RpLJvsdu3xMEKrV7gHPn+GgPTqIMf1MQA9GM+ZJFJmj
8HHJ0v5b9dzDw44cmANrFMD4Q0DKh/xD0qonIZKD66F5HnVCI6HApX01HMpk9JfYapF1WR7rdGUR
WdSBTszDFaGTDbat7DNqbdbuJ41NttLnbo1QX4L4dpJ0hIVZ9n8c4dNHg0BMuurUu2ipMUMBjSSM
fkmSyE3a2iFLYwev3azXMCcacRoKPBRIzCbL2gbXPkTnMUXNPdl0/iqfWCXH5A6bkD8D0QQHwifu
PBEgbuVJXgedfKkKB8VaeIdq+BuOXHFi6BjOPW5OSpxytp5nPlvaJkMDRlPbgADNp8/wEhIMnkbq
jzF6LtTjuxqLxKqFW8EaeZ1i/Eaks8F+AbLCo2pu8nzHCPbUZTpicOen15p4nZD+Nc173Tml2545
/hT6TzLK0PFZ42tueqewAf6FKyHeh+66gngzpdlBjzq6AI3bbia+yphsTBu/d+y1L5xVLDg44V0G
dgDLNCLno5CZAJdlrziVRBpvxwKcgD+9iECQNU5WLkzVh1hVe0NtRe0dazujCzC1xzY134B4CgY3
8Tulj4ke6D3B47jmc63UrBwhNYt4texZFEayioCxkzxcPoMeqgqkkWr0vjiVPsH2MaDOXj0mYnnH
dqte9Gl/JJRyr8EcWQ4Dk6KWyUPlg48yRLcVoNsqvduSjeUM9NfDCIDNrXZoAi0Gy8vB4r/M+GTt
yvyPLprnKPWPtld2aJx1/4F9oi2ZBNph+kcbdWy0gfEVeP3nqF8n6YUrE4Unax61QgldHdm6IOBx
DVixDeLZXrBtIl9cz+NbV1hLlmVfzLw/xz586moEKWASySjQys3Ik2RSq7Jsiami2yteuV0p5aam
+GjC5J5X9CzS8pm1/c6oUA6QC96BnkYokhyK0jqxKMSbmeZfnXsasOEnkoC+kOwg2YQrNXa3ScQC
raL+hyHlSZKnwDlExm5tF9+uN/+8ac9yE+0A07eexgG5fx9RntDPy+aYYptGMaHutJTFsQIi5pBy
6mi0fl7RHMvaeuaQuxbGrDdlWeqWMPbsCrmf13TPoRYiO5QkuwzeY4eOeDk5AO4zH+yWetRTpPVV
fiYCzQdCizSecIsDYSnXwPJ3yoU/Ze8zSv6AVWtWsrzp03eSip/ypCQlgCzHwn6GJfuu9fdQFvZE
ogmMcAvz1gqHOLvgAcDJa06aHTtaxVMswoeiLEKAnjHB6gXRI4OwH5ueJVdBNa5GgXwk8u6nDB6A
jIqjPyPtLMBgrY26KwJI6iOPI+V760jLgHfe31ixfNKRPYEH4ISL6qNrA1R268E61IJ0Sfu7YCXh
fiRV+2PJ94oM+xOBaj3dSsNee9/DWl2AH0dEQOgklhce0PbHyTDaCigObIKT06QNw9Jd5r72Egbx
gQCNkFUw0806lM+2NmA+87ora6Gu5ZMFfCfZ+jQzDw/EvQg3cRoimIhZt7h8dkhutvR/JDihmIn6
6YXPYDFo1Zvra0zP5yNdEwVW8QqNTQya1aPURIOYzSsyggpIAmZOFCKymAgxMEIm3QZDe0MnyI0a
PkBGcIgbmlVpkD2hc8d2QIer6TtyrG/fmftG7t5OOjr3uHsKW7Bz40Ap3UWzRAHiXRERUaTuAzEX
A3o4oPEsFVaMgPrfafd9OhfSboIu2yeirrsRdfaJZeCPVvcrlATYwgQbb1VBe4WSRWgZQwX4Yimx
EnmdvPeoNaC8IqZfkHn/ZGl84X6TP0FDQA0G3o4HRHzLiKeOcMGjHAlWRpaFqNKsVtY8bHSNfUva
NGo3comJGHmu53ZZmB2zp5U9WDuGk0d4L4v2j9TRiEzs/Ui2c1cYRpCYqH3dKXLoSuutnbTXytWr
RamaOz6M5HLTQuiBccIZbZf6fTME2C3Q3yXjukAy50pBMEha1ZfetAGEz6GLqXNlS+KuHR1mHjC+
gWJW8XjmmnFoAjh9RbUh+AV0c05uat22M8E+XEaoHVdMOS8ku1NsMP3xK0ud3fkXo4rusZdcAG6O
a9G2+CYqp/3iR0bsEsnsNmnR+rbW45iMVvcu9r0VrzT5UKTTk2UcoBeTNjt/dPlL1FSRQaKQoSdM
eMxnElazjat/xHbIRAliC1HR17InHACdAOLndln23CTolhYQB9DwZ+z+q2wkZ1OwQmQx90WOXwNd
RXp7wUo4Ef01EcW0YrT1CGXmfmBNp3Br7xxKXa9R/YKp/LQ0auNZK6CHIr1/SuhqNlmG0lZnO9OU
r/HYIAPGHsA16nB4Vw7cagLbMsdBPTjFlCKZsa412MSOwy4qYNCyzKv+6vXFI4LWO9SAGQchIfYT
rzjBojG1zK9xacaG/Tf4BFAYv/8qyrGKgrD5l9/+c/tTXD6yn/p/08X+95/55/83LJnuQhL69/+J
PfsbZzZ/q//xb7e2ivKP7H9yyX7/xN9gMtv8hyelhVNP6paJswuH4t9gMtsFTIbdC1uiZ1u6mI18
f4PJnH9g8BMsfgxbGJbFCOe/yGT6P1wTsxnFmS0NA46s/n8Bk9Hg/gtlxNFntz1QJFu6jiP4W//F
TlgJsodqx8U/XlQIUrBxuHaPmiVAt2hrLtl48bj2Q/0aEdUQjH5KDTnhoC3MY8d6qKZQBMUctdts
Xq44IFP7WB4yDUeky1iohuKyMhsypqugO1VWdB0gPGxTj/mZgELv6Qr9X8w5M3OuDTXv2fCMJp7Y
OFW2bUwmvoVp9si2o7sYuSXSv+g+0gYbdHP+rJjZ0Qa4f1jOFBs3qa/k3nrrbKzOA6Gb+8Bbmz3m
K83w0x2RgQNqM3BxMJh0YnzM6FET9AaO5z+OCAd2htng5cCHvakHQiUNQNYuemuiJ5nVRV5a7mJz
ePWGYteqFu2mFTwHifIJdPDZEf00nhGSTUaYTlOYHc5FsnWFM/6YeotgSr0H+l1GzvgmIsFvKZB7
nSENXFKnWVaR4d7MGEiY34FiH/nhhw5trkWORNORizIigOxd9BeVH1hEtRjHnPVK0WNqgzSMp0En
TdkciKedwDCr9Eb/aF4cgrCXbKIRFpB+SgO+gNSlb8XwpBq0nIYGpjQjVyZo+W5ovZ1lkPQInyJ/
izxMWxeXdviYgG7Q9TQvKIzVEqsCfiO0RhMW50EK1oiK4Bu7f8kSxBUytIDWac5L4zf7yKnRUEAL
WcWYPkKvzl/b3r8L6/rLROO7mIwg2+PKwRBhA5gsmg9YASWHFR+hZTjuJhGfmt7z0zbUYy877wzI
f4lHS1ytiTVjWXEl1hh/Rvgveq0V67ZOtugfsD/OKd2ONA20NPmtVJiosCnyRYwWZMpCZWAwISM9
2+Oojh68wCV9G1zc1CpXJVOPVY90pMT5f2njmy5CTmOX5GoD5QZ88PZgkEy1GEL+slqSMliI5rMw
CAkdpL0LT5o1lseB/ALSXwwspw78kRgAeUP7WmKPR8gLHKGOj73BoL4tsbpAc8D2Xa2G1HiMrbDc
uwXEpdmNaQfJQ+W9R0qzoOX7pIq2IxIcLF9RzCsXEclODDHjXGFXIFKYjsYlalJ67ZoXAoGBWe6L
EFOFx3xtWRUd9SxrcGdC4cr6EF6b31MPxg0dmaN1axt5MYRVYN0OZIFe1mpVr4vUnu4qXV9auX1f
5xQ6lZ3yFTeZtbMm2axNMW/EZO6jAPHuQz6kdVW/SmTWa0n6S6ccg9xN/76Jh7fUfkltVj3Ws5/C
jbZa+FhDQO/Fey4tev8SYOJC8IWWZnfHoCZZwWEYVqNTLu0CAFVWR91dX9CIadgV0oRDReTAaJSx
MDPVb3uFSS0uCH6qnf5ihMiQCRl/ctDCW57mbLKYVCCB3ig3cXhNdYYPbLrmjJ/viCZ9ElH6WXnV
e8r4x8izbxALBAiYudyMBWNlqaxXW6o1CvA32YC5KBhAL4nyIBKzZ0EalXay7igVolG3LlaBbjmk
OEomCb87IRFQC8Q1aBCUuwEDDlLFqBuICQll/ESeFmqSaVzHxQMIrp6v1x42pW18hmQiEi6RbIOO
97jvOpBMTviMOSZdRkZ3w6/qLLscs4g1oK5gart02CvG7k5ZpsvZ4GDsJRuosyqUUqRrmMRUtm6F
DuwbBES+I9XUwFxkVsukA1sU+N4tVkThdtN1CGHlEvDn9Ow422G8Dm7prJXsedT6V3aYpGOSsUAi
GYxIkGFi7rgEueyVFj+l7xkBeQc/Nf+oxDtQKd/S4oEYQ31h2tTrVuz9mJ57ZFjcki8D67agyjdS
wJe+7RPJiHAnD8ZNXiAf09oBKXHXHgewNivmuyPmWqgfNg/LUCXdqtFmv6uB1aI0OhZnaGgmzEtr
3R4vccyAvujzapOk93Zc/JANcAWXWG1M8+Z0CCDwR72r4S4Q84LATIZjZJa0yeW4MzI8iiaHRcsa
uiIADy876ThBytPmSHQb4N5bOvyVktqP2zl/WMhvzOjeHW3j1HbFfaqTvM1F+lMBsTkw/X+xiJNZ
Z8hGFz3ZvitLviH9t2hm1c7XMOOAI0ck29VnOWA/7Kyk3nQ94ulAloQMdsdc3dcC+HnrhfVxrN03
h5o8sgnGav3pjNbcPgrduh8ac0DxTw+nk1cCyOHTLrVdnHjvQCqr4+RZOGc0R6ym0XvSquq5PWsC
di+87Dun1beMjdKBVF+eXyDINS10kFSvdcGmG+4Y0n+rQtzqmhcvVNtsMLJ9GhH+ZeuEokY5rZIi
4MAuwx+7Dtdmg8+Llzk7VsMtYbhbZOLDBLcNBWsJ2vlBtONDV8OQku1eEINaaNqTFSU/LK5n3Bh3
hvXA1G7j+OVAmuR0YnuCN7N74PulHZr3ae1/snceO9Ir6XZ9lztngwyaIAd3kt5WZmVVlpsQZel9
0D79XTwtCboaCNBck8IBun+XSUZ8Zu+1PUlhED5PgfYoOjoc/LfYL3Zjrn8GGpp8U5jAzGHQlSkR
Q0jyhY3syTS2pq795AkWQSoOTHXjOeGKOaH7PBbRmQiYWYj0WmZ0WAhUrh12tyZ7iV7qlhgnlVrx
siYnZcHzQl8Z3HU0vlwAnEJD71yHkatpms6TsJ8SIPJNe5aR9545WrArBNy/grDWpG9g6QXIvEA8
kOpF7jQ0BX2d5uT0FDEbQnYC7sqC3YpVGp5aPJyg2RwIvr8kHuTleNAuzLmQDTH7RNm9Smx8QKVP
diJK3wCp7MIavTd0ixh8OYbCQP6ZERqm0e5uNrmxTC03TKzuPXwHUjXu1G9QIHsE1k5B0k+3Yxy9
Vjx6huu/a363Gl31Ba3doUGSNi4ksiVchfMlnfhewrA9Ek5w5d7ceUaLc00wwRfhLezZ4jgOmSo4
Vpt2+rZ8Op6shAzQk/C4EepL91GoCGvc9kVSb3o0T2t03gwBWIGLzFSUgxVxefKlsOq3MW4vxUxL
4dHby5H1bIH3ctUmwzrr/fAcay24IFVsLEUcaSijLfRWhFR8jqp41Ju+2ZGS5vH9jqinmmrh5c2E
zrCpjoqqLE/7EYA8zmi4gVtAl3AZfaKEwvE3kVa2BRnHVB2T/KoaqBfDpgq32G5uTVn4OO4Y5NZB
1a81n1HTzEOJlPeoTYqXHYMuim1cd0K9Nl0OSU5O67AFi6hw1AwzXraxIBs0yMQ8RzIwDn7MftDP
nY6fXO9f7IZEVc1l1xHrab3KwgDVf2XuWoexZpXJYyCwxyRGv2lghyycOMM6M5oLAJjpvYzEFhpl
iqA02AVp9+ealX4hk5S1Oo5hdJrWRevkXgtYWeo9pZ3ZGds249Pqqa1GTXtkhQdXsiQvlFM7CyZJ
WN+Iug8FEcAqG3KN+B1rG+KCaGgOIAyTjQIZPLvFZTFdlDVTRYM3fODWpotK45CsoQgvuw79NfZV
9Oym+6yzl1tnSFaLLKRk1POPsoI3NLJKXUcU7lDq9sAXnIPSNaZ6XWIfOhclAlFAnGPtSasTWmU4
O/A1yAhG5SYy6xd88MqAQLzuLO6EIcNGjLEa63MMrgxkpfWErvruJs6izUW+RxburHjNUcgZgt/S
Zt/10hWGfEyjT5aEUFUCTho9wZCiK/BSYS0+Rj8GNBcz1hgt7FexI47CqnDqe/kDwcL22s1mCBmp
BmQZ/GUOmSCdPmTb3uISj1IgTjnhxe1N6kN7/MLit9RBn12aHv9MMXA9D7x6Q8k8IZqYSUgz/W3r
4DFpNf/QRRVBbpOxmiNkrTB4S6AOsCgCcRcGjPSwNPuJDsaQvRXHT50uU897R9kD61J5sGJtn8Tu
kLCjfPBf4pDxXjqSbjQGk76qgwlpcCibA4QLwhM0gjvJu5EMYdovg93iYmSxNnI5LmF5GJvB4IXS
bMKxevPMXZvvLL25az4jOq5GtRFkz5HbRX5T7rkHnebN77M3qRMUx6QTLVV47sb2ZGWut+9yRjdN
eTdy+65TRylUTA48M5bSzd2oo9tUuoSzO1e3E3hbgiba9BIMphIsimoSwwGFNHB74mSBJms88sdu
MnS8x6lPh6UWkXjb+KSCmXLs11jBuKBbbQ9H/BAVRIBEJY4jrf1lutmtGBCgpG6y7BBnS345EDuj
eGcePqxB/53kNLBWyEpucjSzC3pwk3+lsZdZtDdKD7Aed3Xc1N/VpN5NTRHXO8l2UykN7ZQRiFXk
8kmpmDU0M8J9O8EvJDBElJHc2iOmGD0t8jVfO0HjaXxy5BxSaj0pzMQol+kPJuzea8guXlXCU0N5
tgtrYuP1Yr5pPPBVEu3Qps+UsybcTCMKARqUNAH19fqMpGxfqwwFuBDPoYEHvJgVAZU37LPC+cAF
RMOOZjYk0XRdhOARxVgwbBujmycQAyAo3jJ4fmJbV80e7HAlA8aMVMqhE73iS0cdADcpxthKuoo+
LU02WRuNrpvdFG7R5RBAq/EcN3jI2Oh6GKtMpINvo16AaBiJhhTmmRY9hwrSLBA3WgiSoDDMrXon
4IAgdrZY+eXW4Z8fqIqzXYBFHzpzyNWee/xj1SDUmsz3j8B/szRlEXaGlbQmKgJ5a7IwNQzMMjJO
epSH78ZucGhttdgm4LzW5MkT0dW2iTIp/LneBPuHTwbbC+rEk93KZo84aG+WIj2LDDcyAIJ41Uqt
eCoIuyyiRC4lSN51aUTmY1GxMLLSgXFx8qVldMDgyNGUoAG+CNKGcMCh68fRyKVoW+7CqNVDG43u
Oc7a4tr4rDhnYkvMBjHs85mSyYFGXpJ/1B3D20a6vLaFZZ+6oeWHFjonpMY8voYzNxlOtlchSC7G
oPqiS6uQ+YHBf/KZLHsLA2brh/uarebJ4sk8/fNf//xI7CrfqDz+DcrBBGTCj2qEs0cFgC8rEfqD
YI21/bdAEzcQ+Jsp8lCq8kP19f/4L6MOGet63tEGjX5jDr/DGaHz8TkZ+5AiPRaBBjFDEj3Mfs5k
XTMMiAZJwlEMaVeBG19GqpUr/qUHTfC5xjlPn+BubaZG7OxQV1QAhBrq+psV9PKWWiPZU3mib3vq
NixyjFIRmJZr8r4CvFR9cLG0IDi6sDP9ATcf/s6bAx3kmOfJwJIjb9/yVzPQkt0IUoYRllPOZvFy
xrcyjDWzceuhHAalVGH9T4MrOCR/O1g9igIWWQzOOeoZtbnxA1S75MF2c5JeIQeFwmbabzodQtA6
K06lh7XRlP0m8FpooCnslKoFXx5ZKjimmhEVM6lDLPt4Yo1MMKOB26wsKSdpw7NUZXs553OIuA+e
3SQkjVO4xyF32heK/NfMVcaJjbi+GCymGuA/iXrKsGuEvNYL+CPVoRYGyZ0510HVyRyFirlqJi+/
8fZ2aEYrceEZfh94yq+OsYFCFhyLJoB/4uzadkhuoKUcnOF+uBgQ1ix77ocb217/0a1D7TkwxmRd
H800Uxe/d/sLLNr66Ev/SDdKAkf3UxOGQoldR28hwCbyTexZzWLavKpeuItCnwy/Wc/VBWwEolx4
W8LLhpVqTdwFaLDX2VSXK+xh8aNjW2DK635tMoBZ6vakjnD/1i02WtyBlkTPXe6sKLau9sPYG9FR
q7tqPSVjv+z7uL3lNYmY9ENbz+pLeATACnzr2oi62KacPVQ/wLHstkvXmkvc1z+Wim4wz2g5EGya
ZXsq+xK0cDHQcZEjvggmE31B7J+mPN47scgOYx4OZ9nMBrhYtuupN8cHo5Q3ylYdY68aYQDwA5UB
XrSqAPjuGA8OATevdTKINVlULODxF3Kb9OfSj41zE2gQayAOYVc8Sam+pAmAiiQV+2Xg6F520CyQ
oUTJuc6fDHaCj1A+0z0RcOMCRX97VmW2JXiYZ+eZz/RvSHu5oSSZp6VDtVEDr6MTa5vE5RFJDZw+
bvw5zJWui50FlclUbPwU7cGnQXgUK+bq2KEnpaQWL5OHuBM/kdqoXuCMVyrau84sPDLTceOa1FVM
HsdnLvh3r2k1upH5ckiBEHgIuuikfcxhHZGdNPKdyrs7+VNf5VhdwCaQfVF65Nq+KKD7q2Fgn8lb
hXmB4s11xkujdmnltTucmiiyMzpZFPnENeZXM2o3sG4d1kRucWgbxnZOOi/y+NAnhdQdjTUjxtj/
mT9GvEEuXijZPnO0XsNxpYK6P9F67/+JIPIH8kIbgsHXflXdI23Ml1WPEMxE092lQQRBxQDcPfW/
VUHqZyAgBxts4ymhHZOV/0Ailh9OG8/0D76fViimplWp+I7d9NHXMqCPCdjQgEZ25zd0iPmgu8tI
79Be++SIyYndnfI6BrSFpBmRnViaRbF0Ez7nmFwqEsHKLcx5aPWY7jIzhQ7DEn0D2ayadHuv9/YH
OJQnvhP/nOfOp5bNLaFljhuz5rcIuomZRN8vKj7Cck5T6gTgI5JvRz71uxy17tXgWV0bZunue+g/
+75cez3W5Kl0im1g4VGRXgyxreEsL8D12SUDSq1EMByUlHala1zNlJQtEr5ip7mW+kVy/JykInRI
9h6PWuf1yGIKqJVudyA8bFrh51Z7imP0e227DFo+UckDCFuGSA9wgIcxEDi8g+JzMgDSOT5MxyQS
wUfF7tmMw33Q2dg53ODXDdZa6AH9MFNjmeFheph8jGqgtaINtxO6gsQy4fTlh9oo3aNUBIpNMavC
XEuAAgyPjeDXKe1xHCl8cjKQ/X/CrP1OB55tsbNstyiV0zfZ3QFgIfEULuatMu7WCEUoJ4DvLYNK
Am+Yz6he7BKt1A6OcHt21t6rTKKOkNLmj5e4IYKK+Ek/YfTA4zwxybi5cS1w8tUO5jiTbkDkN85t
ZGcsFJZMsowT9/8lYBLBkBPFikbiJ2bPElELGhImHEgQaicG59NsHIoh0wHd4Xf1tDVQrcb4yfAk
F3Id5xkDl1+He/BIcGW+FoHWr8Eky0VeWfGmE5uq55AG/JC++6w+Irt9iOsIVaPZxRsoUsy3Wwnc
FMYrokl82zV/OT8wKhKn6q8BbpwX2+ozNxlpZ+SKahHGOzrnemFkjXNkKlkdim6AHoG5dpeKcwv5
6daLnj4onV4L1+q33DriGGvJK0zXgj+wKJ8mPL4ks7tUyr5mrnREa2t4BdCRK1GwUgFyEWRk3Exm
c3Ct0dyW3YSP8iUiKHyZDhPHakqfHWIzcpPPnKpslTozOsds+teZaFG6NiVm0w0YI5iaxZrYjWES
AXUKL33GX7Eyh0VsOnjGOmZSpeYy4IrQCuJU3yLAfW8iNa0SroWNxXt7NeD/sUPcISTZsBTqHnKj
f/CBFx1Ule+mnrjdHMgWwgqck2NPnp5KABLOJ31qy1cr4I1DjzCug6RFhO4HL2NhOZchZBZFeBiW
1jHZ1eyyBjzSg7QIA+1L78AnqhuvwsyhxUbjRlQ50eCQxC1fJkeEEzWjZ/tptNvpFMawRtC6Wdvc
NRiV8np6VU2nNcabKjaBA1juuMCMjwAfH9/8ZWeaYMExN3zW1EaPXVi85Ln348ckDzSZlezhPmyR
9NJhswoaR2K9G2s6OFginrv4SPEG/xm6gpoJ9NVTXkcEB5KRsFJstRa8A5gDwns0wjcGYW0uUY3k
e1vMLtfGf+SaDF+dAmcasTazVJ2yxKycte5h8mN2u8w506yqhaA0Zx7UnB4rY4j3llMBE81wo5E/
nKbhHH3+p2jzeKWDba+Z1Aa2+tUK42aRGL532muXKOdie+NvrDcnhNHaGhvyPMC04aa4W1EnRB9K
U9+7cf9QpenDSHDNQsrsJ6w+rIeBuJAvdBdoL8QbJDl04blxpk1FYuPrXPqfnQp+9MxlHrEklbzd
BGT9THm3BPM5BwZjZTXdbNdH0QdZKuBWKB952uE9OOU3F8KVsYxpOZzJVr/qAv9IXO7Ot4J7EoYf
dssUeIJHhbva3kSfo1F1YI8idrF2DMCvDHfIgFaZ3R3K2rh5OYQFX0ysH8k4VKUDbH2IPvwwQ/bM
CRKU5WfkZU8jRodtSeTU1OZIGFJY42NHpKbdXhLMvgaf0Ap46hc6+27Vxf2L5Q7uyg6hDDd8FEkx
3RORHxwkcGWF+ToAY6ZjF1t1kf1j/7FWIQ7UrtZeGpGXGhEDVLzFoQes3W3Y88EZFxS2UoOvMCn9
I27GW3SNFKaKOodjWsNmoxXfo5CCmVz/Olzvi6BTD3losOEyHAaDp2kAypxq6itBtLJgc1oH4j5p
8SGtYYbMm0BLhyTRCwbFfJs1yyOcy46/NYL826eXjPvxANS5ZbackBE6EnEN7YtNnUYaFUI/v8cW
ZX2mbvyIAYL23RBvju8OW4YR6KKohxdOybir7kq8jjSDHQqhSMcABiydj0JRk0rf2sdYYLmh6hXq
nlU6ajzzjV4w6WH1FvNkBFU6otd2GUNgbUiau5lkv3oICGSCCRo0ajWO9TMGgaMbOOoWetNbG3rY
ujCHCmQv1l8X8vSNDVc8YWurXpNfnHCwNAPeocR6drsXaZYlakS8w4kGelBlruTCilYjnD5cPu6N
pueFPv7q+CjJE/us18MbEENsnu1ZeF9OxSSxaz4CM0KN3Nz0HjCE6w3ggETxW6TJd5OymgMtuR2Y
QWGLYZLBMnlPAopke37UvM4/sDwqF6KiOu+0s3nP+PcheVwVTkoJXbbFKmRAEuVNt9AH39x6CeQs
Z9yT+Hzs3QqeSXQP6uHXtYdzNuuXTHMEBGaW5530X0jfxD/W1vdKemgIKZPlxc7FGVTiXKoAMEGS
AIfdeygTyJLwLiSmFz42ptOBHvy4qkEQCj+nyKZqqUCAQ9Zc1WlsL9sRH5o2OvMkhMsPot3UssZh
xsp1We1NrlI5B9WybiLSB3bxkqsCGyGH2HLqRnC9+UVMJ8erjpQi3QENxbhI6NN5xGIrKAnerMqD
TXyH6uwbwVnkhDkhCtmSnFRDoTOlmFuUI7+nVxS/vWPv3NIG9u309OTwOtI2I5U34bbXtBTSFoS6
ou53UaUoi/JmRxKLtap/fRPKTZFn3zmC80Xfmv++kEGyrIgtffMdEuS6qPjlf34nwuxuxOaDZbl3
zxmXI+CBVZW2JwLw1m4vHk2zfCv7g7KbZ69o5xHb7IKANxGpemcZJpFHotmpFPAeJR7Q7MfGqfYB
hISlzvOsrPTkwhtkmb/vkx6gOfh0L9HRGaTPiaM/NSBdFAk7S+C+qx6XUq8Vj6KQJ4B5j1Hpblp4
aFNHN1sLXGd8UHiwvAAJed2BqkIrLalKyIZ5LhGqtXH5JlC64/HTVxGIJQHuEewZGFmhrwrPuMUu
2TD1yeK0Elm5SWSbrZJKId2cG12vW+ede7Aqfeuxy6srW6dDf5BZN2//G7GqjnmDS4AZXbVDo+bB
rVUkxmxRsI9oTWAQRpG3MLoK/0zv7hX2BjgfrkUclKmoRuxyg8F3Wdv4UjBZ0x6EzXVou2DvDmgh
irhvF04wkM6ZqdvUkQgoc7hCysQnMzIiy60OtkFzHxp9r5uSOZfqDv3QMVvrymMdPMW19QiMAgUL
qawokV5YlnAAlRQu/D0pYVoSUdPsG1bgQ2IPf/ipt5Y5GISeXv2wRpMnxs/O5rdPwIaI1hmRG8Yx
wYlsuBLUuTvSXzZZywLe66MvZ16QOd0mYM/Pyq5gDmqduywUW4l5XXT2q2ZH3AND7m3G9kfHjkRK
j3qyTed97CLijyrv3LJoSLVwrUbtKhC0jEWdL00nzVY9/rnqntvYxpmbDzsybHAhJvo1d0i66GX6
N2EyZs5iYOgbKM9dXgW8D29YnitqwoGsBXMTDPjFJA9urlVzkt5orauGGs0LGY9bwfSVOTriVSM7
WkTVd7b7UQEU2+Qm5AONX8awGjFQhrXB7sZPXdT6ziutt2gyNnpraQdOgGM/zQJ5A12u0cufHG8e
dAZWqspwrtZwwThPTIyKTrmt+1upp9DsFfSoRNnfKoIJGKlVag/U8WktDsRM4dO1Si6io2UE7tqr
Yuwv3rOWkqDVGRR+ISg3lEwldl52FQVWkx1I57ss5sksf1PApSOXB1pmL8Q6gJUnPtWG+anrOATL
uEDzaoSXWrQfqTdOF6QeVMcDTIPGsnZo5sobZI4HPOe8EcJ4FhqAmP+vcRzngFIAcv83jeP1s/4M
2s/xv4sc+SX/U+Ro/UvYHkpGFz+O5+r/m8jREf+iDdSpERn1SBOdyf8SOWqG9y9BjI0J/Qantanr
/G9NQbrIf/6HJuS/HN2VqD5szP62kP9P+auWlN5/p+ozCnSI8+TPs+fwBPP/TE0g3NrrwqgJ1q6A
wmGUCgjCYK+Fbaaw9XRjZkMjU+foqnuAY3p39Jr62utybk117BbWkVJsl/W8ySRBGJZ1Suv2HOr6
0SXMi8lQ+jra5euAVnEhHfXRGgGpCtFeL/oPpTr6q4EBi0coBPfFC20NgGC2UTyrZESyhMHgkwNR
XFm9uAWu9cX06ckykfnHNoo3v/ylCyV12b/0mvU7Toegat61sH91rPQ8mOYb1wZj7vIamMZH1Je/
AszAYmSX0XbMJ2YST95cggDqM241BXOTNt3PKFWHggzGuri0hfHhdPSrNZBdgATzOBCcYkcL4Gnu
hxvCvspxxioXNTyc1YFPqlppFb6DOMMqOciGkPe4Wpie3y61BlF3XKZLJbBmcG5DXovdTeBf/UbA
4cQgaZqdIkmsVAsbamDCaKq3xbunyXM8Jm8tl6SyMmjvZj9XqLQ1YXAFNYPRrWPfFjhi3SL6l7Bc
hF3+mNov2qQrnftak857O5JDpOcDdz+NoIa9MXbKtySoP0kU29ch4q1Qf2XITZgNOiOjQ6lJCMUP
TCDC44arxZacHIXgjdtxORTxWdnhH+PtT7PV3+Ma/C0YhdF17tRjZ8aNB9PWnmwUMRX50TJzXhLN
P1u1955HzXsFsXNIsqUNZbCZQpgaBPGqsHsSNag1r3DuQMreXRy0K78oVl4x/qhgmEGUdbYSU/fK
1EdbJsNw0on4XMQ9TumomubpqQuDqWhWVpy/kSexcuPp3UHPhJgedxzF2MrgOaaOtOftDnBIW+OO
A1dMSmTBHjzfEBCA52UENDv4p9F2CaJF/MO9oT3m6CxGfEspj2VUezOuOAuXVUkJ7Wnt42BVD4RM
GGwJVqA52KRa1XvhUeMc2sT4wKX7OgXhsS76bzyrMYPBYI3T+91jRbVoK1ge8BIWuIx/wUbHWfM5
DHhtEQx+j7HUaUHMQwgcrGPc6qocMb5l3niJdsYQ3pWyXuTU76q+e+ib5NGmbsSIsJ8Sss7z8h5F
/A7UOsvCxUnUju3SoL1a4F75SXpeKsCk+7idNoMGiZAkCTaHzGGkfWYxk7v6zzAXthGezSY61Qwq
GKx1UOEePfBkmKdTHkDYvJ1h3lK9u8TZ8FMFOesYgG6m/Atrex6l7IpwvJco+5AtMSINSHzGS3oj
8/EvnrQz1mGFRwOhXGo+T2b0ajCLhy9uNCaEmXx4Ynv2Yqfth+H8lu30qDAusKuVX13kAX0bnJtn
E0I5wG/oDXUb2gA74kTvLMSb5vgvdY9VC9LhD2zBXWF0v1TZQPst595Pzmlw7ddiKm+2qN6JyLlP
7OuFqx0Ns93hoHiLMN9O6pkd5Ldpyd/Gg6TRMZqoG4jUeFFWvdn/6doTkcg/CXNt7DX4fBIVPkdF
vwXczHsaQsfP/YToA9dtlhajYLBLLLyJC3FidGG2j+GtxlfogZwXIZKdHsfkOLlUmfWwMS3/Vd8m
KlVUmPFXJxAxNHDogY3Z+gqD7Rp8C8fQGNDKEcGU2NYVJiHf918i1W2c1J3GnCLH+kkn58kpAJAW
k/0L4PjPbz5dx3psiugh4TxEhhPeZxsOfNrjFIEuzfkTPM1aebo8oIsjnJaA7NH1rkNEBW13V0ua
z6PtnUscQtw9yCQFPt/xGyn4vjHcq5lrlwTWnkmSGzKt6tL1VEHqLWVtl7fD2RrKm3I6cjKaHNlY
do+rbmMW1touynXVu9ucngUN4W/kj5+EiHyi8G4WjlGzy2EkKptl6yN/pje6l++lbB88RWoCub14
dHQUfQaQ0mUssNVZvbNKRPlpjDwquYFcVBnqCX3lznkcMvWXTCC5y4JFj4EGrwA0Oc8bpJAXJ59e
A2U/yoA3EQYmvXrfYpRvlqFZHQE88F7V7PRBpqCglG9FMowbWw/RZrj8fxmmskxE/hG4j5klaFFL
LOB69ZXE1rds6tP8jVUtZIIWAUnksbVOwmwlAZcuYLhydrcu0z3QLmn5kdVc1bBeuXuza8RKIRic
kxiiH5HujSR+DYzB+CdlJG7raxghPjYfU7SmsC7dV8rHV1ekKQYxdMKdbrGLX5utINEiOOowjOHf
v7IDuxQFC6g0+fRdqKYmE/0FiLTUJ70CVCWjEj1646Bk9JU9SWn/dWyG0sK7GaF7bjSCkuIE3WSI
FCMr72UNsanMAZyEJxSHMVzaBr+nR/J6L5dGRpSIZERPlxywtu+/pxCjd9jXRA/A/DAa/xp4JhkT
dQh5Mo2XZlVdI/yAqzZFo44Gg2xQ666MVw7ha91BmLNGlrylZe9kKL41gnhaCbWbno7wjUC/2FUP
fThAeCeL4mArWS2TAKSA36q7008LJb+gtTeTS/8VU6AAVnM3zrw7YAvOAGo5GYRApExSENFGPv4k
qp+ivA95uUvLggZRq0iebGLF+KJ/yxjEL9KAtSpfpVVH3+xnqLb8DJOg/NE0eWHLioiZNSqeWEjA
LkbOarxVUWwup5ytg6E3LJwHVjXTR6s4bwLUNSzIEEbpDa1HV3xrRrkmIvi90hUiQx4RfVa7uURx
w1r4YAk+LEtgF4sBVCj4nyRHNOII5D1VcY0Tm85BctHJqxK8M7P4FQzNMqu/zeI9oLFvMfnFvY8T
PzXYSeRo3JtQHKLG+koLXABVzJiFd8y1kR4Odn4T/hP5Hu+EEOwli6iJtHflZ1sB6WOhDb9RGB1V
AxNPWAp54TQJtg0OUO4fglh/GgP8nynmqWJ1VxWcFOU/BOaIzCr61mwUC076IkT+MwXDeZD+PkA7
E3XfTW98aEH23jXRveg/qUihf3e80ar3Vu6gfViMM9BeeXc3DF5YSGGr7J91s9pNzvjmxubdG6ur
LqsnEf2BfP9MvJMR1jfZouBvcPNRPJ1t0gPRMsWbNOrMlVHsq6A/BaIn9yVEtDm74HV3FtbFAUPj
nDs9d08qbXad6i/I7a2o+8Xw+c6K+liF3UrvzT28Fmw8iAyyiAjLyD60mcEsMEdMKSN7a8DWaeLx
nTgK0BGxeRUlILdxp5L6QfPyjVuKc6FTDlZDufRYSqVV9uoa+Hr1GYCOjuGpZ9LrSU57PftQbYP6
rdKe+NcDfR0RIxhdj7nX2MCv/Ar65pyNuMLD+NNS5nNtUqX6Xb+xq+6RIR/FsC4fwzw99bU8tdnA
sNt9INH4Qj751XXs89AhHTRJRmnQriT5rrGxsvpMmFllK1K2km+jZijX59UH2vR+Pbjw0qWBl1ev
XlrZMup1nhDCvvide80a8VzDeZkT9ha4VRG7UcqxmrtBsPxAhsKJgNHPNeP7qOVfNB7fqIM2Zqdt
qB2y+uSH5dnjnXZdXPuhsm59bB/CFP6J0TyGFcAvS7evQZfejT69RBbzgDjCfJX1UIA6e12HwY/f
y+fBtjaW/lHp/oPTlCzhMHZ7Sf2alfoeoVO2QHb/Hqvu5jsdAyaydTsylDt1Vab4SaPiVrCDcdlU
oVkZX+2OoXHokgArFXhahYY5Cu1VNrZ7RT7BcgyQ9AtzI1xQxUwihzUq6fJqUdj46YsXBEh0vBUG
kbchoXEoVAnJwbAfqJEvkF54xdEiZHwjWICCPZJLxO0ucL48swdCDqnC50ipemK847fMrnSPKRYC
YZut1qJWfggBeK9LTV8FGd1M0iNeTuph5wcAJ5BKoCi3DOq2QN9Zlk1wnHIxsWG3rXWSBSDKkZWL
MrZNjXReDcGQgkFk8Xl4LNON8teLYmzf1ijXg4eFBzf3H/wb9ECBbJcgpaD8T3aJMg9wHToeh1cV
tFZOTGkt+ZGi/zeyudRMr/00vCN7I6C0nccjKVBS04dNGxDaJqvqhRTAt9wChdc2KDqtUJvX8F+Y
/QYy0vIKGeu+Cad6F6jyped8RZOY35NRI10hR1PYK3jxZQUBa+jSA5YR7VjHrQ4/UjJiCtt06RIR
CZsSRj349F4C/YfjW5P7wrarMLHzkYMxOFy1vSXsrcmc1dbre1SLeEtcqFiOuPLg0I3cCjqunlpW
xxSJ+ULwbTVyyR4R+SLp6jXDxFwZa9JgDnVPGrHt4S0oApKPxQATEr2fR3kPciAEpGHBdxp6dcAO
ZGymFjYYxWha1Y/MMG6scH40A1MhgNGtMLK3KJDawgBXgUQaqZtVt2hInGtMXqEqbd75xoKE110a
1iuL1iYuAAWZQeFIrWKsE7sEC9LuWPTzBqHdRQ80+2fGm/QMXALh7CpP8SBoYPNKutKlDeKNrmwL
n+kTEyLMqioFhBgOCE9MwP28Mk3JnnTgqvGiKFrZarbfRUG3siw4ACAVHrUcNhx4G4443X5MB1rq
ye++SmIDaVq54cLCMxdNK3H+I2Ndd37yzhBwxVDiSqrT8E/kxhoWGjqzlfL7DYNMpPlhmnDjdA9p
zFMkM3W20wSxc2M8JTAGFiGCU9iVthd9JHH5GttcHQDe6nb2PVQqX3o9RhxE8AjXKFcsSDskoP1N
hJ+B+qi2g4i2lpOh6c9w59hEFgp3OWnpj2EM3BY4z2CusISU6JFMWd9i8juxNmdfucmIInXzm9Hs
bckDMRqzquAwOM2TOxqzitLcx9kZC+tsr3Mp2grun9wnO6Bj3a5VBArEwVM6JFvpi8+S458YySt4
BIiB4HcgnWTquRMlwT2Qf0tLPKOK4qw1XrD6B5uQbdVEPDrl400F2LAURu4LDt6/KcShHpClu6v0
0FlVEUSCaKB5mCrcVnrVHSun0zDMtIRsckQv8U091BakgzQ1/4ul81iSFGmX6BNhBgQQsE0tK0ur
DVZiCq0JIHj6/9D3bsqmu6e7RJIRn3A/7l1q2P8gfBfNnQWjkE5nTEizPA7KpECuzf0UGKyvyDgG
4LlmdIWW0Uke6gH9UFyoiTcWpj0e+R1VH/sW4XtHK45flD8fZ6K5znjSDgNJDgBx0AzOCAPYK2R4
c0MEyTrFghURrxxR+9vjpajcowOnl6U4Q5WWd1TYe1BBF0fucGd0HevF5XT2A/NjjMYf7cj3Nijb
dWi5yOwsJupRnkmiPFBMN41cQCyP6VQ+BVV9nr2CEQsBzZM/s2W0kOTkgTiycDdxCeGEIFPkN+2C
H6+VZLGhdbVqzm455Y8+rLeq86Od4dkoPjNmyK1DMJO8j/MrS55+Zfk2moUywDGDsbOkFE3x+oih
kpzNlMCIuT/CRcagSWlfHG3wyhx2VFJx4ajKh69EU7p8XzqK/zNGJCz12OIuHNKtMf4MZeVcEEBs
ncSeCRJLsc4Wwcj2rz+rZWvPfhmVgUspalQH9MfmyjMoWTKno4AZ5M4dyG6IiFhb4w989zNz2g1Z
813A7l9leoJdOjAv7xnDYNh6LOslVC0lobPOAAKhzvzIOCRM9NEs0AkDRuqiSCcAGsdwpIsAIeTB
nZGad5UZrAyT+njxe9MZM98DwP0SQDgLAySoQ/omRuxHI0AJGq94o+JqnQN0XQ8TXszqLi9c6lRH
qTfJDgEmRHQumaeupTZ/eyNz0QksVboHlqWLxw94yBckHx9FotR2CIZrMqJNB8iQrmZEC9UXsFpY
sZ3+cscfMwBlEdqfmek/TG1/EsLW233rN++yAvfjkrHgiKRbTdBcVh670RUJuz9y8AnlzuyXrG+J
v8iStR3kT9WCdyhQSCj7ux8nwJX+j5FZH/1cO1tRTFe8+DSpS89uD94G4rQwYMhn9k5Lhn/C9H5Z
eGP5+w1N1uzwpRApTjRGKYcZI2SuQKO948QiDtmla26wXxlFFh4zsztrsOUzjPlVJrIvP2sOWCs+
lX0eTOM5z1obr5L9UJbWpkuNMy7+n6h/sUJWdVY/IDjtDqJEGbsl3YHCLsgZPzqptW3RvNQShxJ9
CvD3BK0/Whqs89nzqOWOiiUErpzcz8NfTd4AN1p3nQEZEcPpaUAdYJZIhkYQyNuG1RWfStcGVcbM
pQNzkQ24bpxjZdKcogIeI8e7wiNlbSMzUpnLZLzkahtnA89uGBQbQWKypVW7jWEb0NrgAKYwaAnl
6RTKUGXR3NnFiFZxNKZtxBkvVHY0J+vcieye3c/HPDj2oithcd8WvHmr4s0xoILFvNqGzzkrWxCI
DizkFUf1a506J99XHdZI+6lPjXulWEpSQyDkfobIB8SCn2+TkrJsMzjUloIFy0Bt1QbFo9AtIke1
6JgMyjPCBqToFk0eZchAwyGakbkI9nVHmTT2E/pF1GqXtjV2wKgxtHncFbH+KXjWK1AhN7fLXxKJ
BX/GNo+CETpodW5D98cqxTmICTx0gOPAltersGvD45FzKOMFJlWOmfZx9Cx56vQVQhC+B7/3txq1
7CrnKsdc9cNA2ltxkrcbYRm36m4+9GBIN33lAASPKQryDjws9KGy5HcM/YPACuD32ABm8P7sCVZz
wCGBB1vLY9fqV4Hgb8OZ/ITb0KBdc3ajiQCtywYasljqc9DzLNXox7BjS9HuSVz4JUQsA6LL+0NJ
yLUm773amtXBa4N91uVvocCrkhrWXRbNaNI/6inszkUa7KdSbR3qNmAAzNdSgJ5uwwsB1PhpnuAQ
qMqEc0YJhiBtItnymFX22S05ZyOoA2qClDkhxm3nG2F/gFvCCgdkdzaK+NU2/qKY3a87pBTRKTpI
+D1kiJDXwGw4OPnawN8XZNvQSFEbAayAiAAGygEVXyi//sW3dM6qaOPXmfNWIOxGW/GL8MYm81hz
L5sINFyriHfV4jUaUTCuUbi/dRDvQrdncrmc5PXIGMT8TEKkCBRhOzs2kATFd3Voo/BJc/LTOpxl
oj4FPq8PIYNHaOcgXboh2rqueAFFxkwDw4ERfsC5GNfhCKcPe/173ObmKY0JiWiyPVEPLrOje8Zw
AToWoKhTichqQveeEqLWPoUBIThj7UIL8IdhTeCBnJ077MI7xFPOZpwi6rzBd/d4IKFGqXDLewBZ
LfzQ1PzSsfcc1465xuGXL9bqtSMUGpUi3A5G3xNxefM8lKxKHYPevuU+dh7WW9VascdPBTO52m5P
5TRjXhdEr5DawA0KatugV911cGb2ld1+EAW4HRV+t1yO/iZEKLaaMiBfQ4qXsql/iEr5r6N6Aqxs
c2bk8XlW8tNJmnrdwZUOlJHuUhs3rWQV44juUWedtY9ZK668tru4aGrNaIZICF0ODla2hAb54Qa9
bk27xGkN8F4g+vPD8Fkq6yl2mJS6KjiTsuludEdhNgT1a48viNwbVuwyZiI8EjmdlY8maEjZBJ9d
2/Ioe5qa2rCuhDivWzs6YK8+kXHTPvCZRUWWRZdX7m5wJgwFeLcD59nlO9z7TfLn+0dUgpOnVt2I
oI7T4Ybf9MOpF6etcYiX5PReyUcrQL7TB2+hnR1t8m1zvUWaOO4s3wd8kDZkw2CqFn1KJskQ79ls
olaqX4jy5uh0W5YSkPrWAYgj2JIwjpsgOky12Hlt+DF33RXxF6W4qpkEtsV7OkS7rMj1Ju2nWyLc
A6yHhK3enbmE42gOEokS7VLKjSQScFVMMfDwCfXgQJJVcDfXBI4yB2GKFeUHFl1EghgoH6CbccXz
2bj4WXi26mjW5MJFuX9VOdTorqGuVk2tDiqd6tNUT7/AJ89+QZaODup3XXwFdfKuHRFsHJKe1302
HlTmvmLpZRvsI3357l1sv4Nx34Hy4HvBCdmh3MzrAFlHCGQ5Vde6619MNLmmPT7n3SOjWDKz3A40
QWO+QFT6z2mNB39oPuYiIBpGtUeA2J9+7SAHKjg/zUX0PuAvCtxqqz12mZYPH7wnoXNtEP56aAbz
Fbcw20twiLmKcakB4QgmXNSRRTWmxJctHYJq4+7Tkfm2tkcQG4SArBmXVXTh/qcWJGY59FdodEOC
F9YiY2zgjebr1HD0+jqg1gBJZ8Z7bBz0d9kTA4CrObcPiJwQPDbVLRicb4arDyqnFJ8bVA/pNMNY
PPRECB48y/8MNBI7rChNRHgdZ9PJtkl/mqX7E5TxWnbyIJDgsGZ20y2ImZPhppcUXx36DTxQuByC
klwJMO97PzAuJzBdLFFAeKcIUPy5fEg8gyEqe9aaVW7T108ILZ7zQb4GxPPNZL5FmsNhCDo2SCiV
Cx56dszroGW8QNeiGGDEQ4i+txF7A9Ouh89rlKbEtgMjxhGMVGrCAJyqZDkN6JazqfqW09KNZenv
uMhr3N9U6DcMMZz7po8alDRHxlBptuRcomF3GwKMKQ81YzuQp19EX7ySKsacuIpvRjf/lBnUSqN0
Kekag/fglxH0z1mKhCazjGvhaZwvySdNEeqg5OZEPC318BNC+zAMgXZs1Q/Wl2dzTfZW84xRIV35
y1oxCSATeN3JA0oIvSHdhGo0Vwzi2IwFX4Sk0dPmN22NWKVs78Nq5HEAF7gt8OTvW3xpm7TDtjX4
DAujNNn6vnz3oXW0YXpUKE83PVnDG6LPb6mAQCdIWYQEGGGhZBwuxKcYOfyirRAmYTRcCDWv+tgt
F39ycrP5ZwqfBrN+4FiPgi+7ll+eFQEJAMxWd6w98uReTOO1tZxh71Tmn4zdFdYS5t71xlzA8IYf
b0wvJ/vGMp6kETz4ap7OECA/Epd+K3Tu4GKczKQ3tjrI8/Wk1DXq5RY9xh76/sWFkjkM82cxjN8p
1mZt2DAV5iOcsXjT+czA48otNvk4fhkspab0J+/8O/pIYzgXCeaYmhn0esau4kRRuzQeGN4BqHYF
o34aX/sAC6I6IqStV+pHZgEZ9w1KBjLoVoQ7NGul7Itv2W8auhHjMUCsZnux7fBjKCDK+y7BablG
CikYALV4gTgJ9irpb023gKfybEWtO/FoD/BgWY1Ye/IeuJs8oOKCc2us7ePUBg8sDy8TVOEudHCm
euradv1dxLOy1j2jhijxzwxcvltVnGKVvWQNGozMIIh9bh+noH72iOlG7olusXzKA9xinvKv0q8J
YONi7P3yBGOPAy4ifKjNSBUTZ1/MO9iSq9jC8YcjimGYxVxyem5cBtmAp58V8r+V1MWzoZgPpibn
k6vuRQNWm3dxWeQNTu6C64/dXyuQsoxUvcBgYXmJhZP9bnSGWMVl+V+ogHnCBhUxw7K5BwtCqgR3
Uhp+EDez9iqWu1MWhsThzQTxWaT8COQBRkIgCABKkKcmM76Ei0O3JKCB7V8NKgs3+X3j+802wbOx
H9BHhkRkrJ0Jsz9ktasmaw7+FucJzJXd6PHd5JSllgjiVcVUOhopq6MOTrA5fFhueMZOwTYnu5js
FV1RP0XJcoQxHUEBxGnaxt7ON4JP4NHrwDSCdU6o2NafaA/AkA9e9FOV/6lZ76T9X9HOjMFBr7Oq
9h7Qo0J4Zr6/2k0BnmpYhf+hnnmhCVL7erJxeAbHMtDMYeLpzhj8Z0OYT4R8oxUNffxU1DOWlIRy
8nZVisVoRYhJbef9xrSDI99ovgNef9J9HG1wT4GWteWzWcbPja0PPo0gUxAAhkCYesv8RgACtdRr
NnXL7V960V9YdtvGNaqd6YCXbRrny41Uui4sVW+xC+erXg/MwGcgNSTs4fkbX+k1zyAEM6YvYKEx
gwB5qJBem/KpS8yHUHqwcboxP2XdPKy5PF9cSg4mze+zLly8ZekLyiVmp7X5ZAl583uCk83yLcda
f8FDiRB7mq9TYTs75RLUgoT3rAeQt5PPS+ZCrgrtvSBUmqaOQGwWSFyfRX3wMfZVrYlmNcpvZVNe
p5AlnN0Vxy7LuaBNFDkkO60cOAeLeOSZO7rbZvwtnef2NhrTcVsn+K6n7g2yFrO6cWvO7icNIy+f
N4CeDcZgrRLhoEgFlUQDyUjEIYUIwdXNHGOI0Yn/ljB7ZKuMLnJx8LcFIs24t9p1kXU2Iy32Q17v
rVhs3gCpF4eATWIyQOGygsM4Mi+jl6kwJ3J6i3rACwHEZVYob8CXHoqa6DMQzfhdGHNb3rBeWDBA
I0kkYEU3+nlx9HvnPkI+G/W809LCSu7mGRRzkxHWGSb1tmRgZfEnoUTjwcQkNPynTtvGe7eQVFjZ
BjJ4FnBJDnJXGcwkWVk5ewJjfSwe62yBaOOuOBtL4l4avNMU7G3M6Bl/Kxyrmwcjd6MJQMVXkFgb
DacrZQ5wdFDSdp79FhqIqnU4/ZqjfZcR1RBWXBNZ4L6gm30x2+TDrkkzKNDdOZiloj6/M/0BHFs2
Hcmbeg9s0LXcMV/KOzsEzh3j9moEsNpIBnbt+S/ieDDpt0jp/nEIOiGud0T1gz9el+VvAIScmOm2
2Nl8emg/F255xsOJRlPdX1U8p/i2HEalbEIz49cKwu/GUX+At+9Hks0k75UNhGkT0Wv6mCczMXED
jh/iJlDBDdPZhBFLJgwXeo4INYjkuG86971DvgBtPSWFlP45cB/nhts4kSW4gSBgQT3eOwH6NIoo
wML98OxWxX0/OUegCimYjoVZkujvOMuzDc3rw4jopIO4uZrK6sOYMA/mzPUkgqw6C+5LySJY4PVb
aTgdbG6qn6pToPmZ+gOzTledDE+FgJhEpGVQ6790gBzkRaTalvG5k6gqYi2CbTDNbCwJuDGABjKa
ItcMy+Jz30L0lZn3ICoAu9yQzXpK5MLSgt4TtESL+kQnZ+K+nmtjnQvmYKNpolihyoIqykYyMA+l
Uw+XnF23LZqnCkzC2Y5C0OQ+4u9e2bveINsmMb3PUhls88Fhnk3TqzZjFll7QnrWhsQdObnuD5UW
mKLPyBtaRoLRLuH+3BcV88qgt45ZTteVhAbHB5za2XO/bYMVK/OcB6yv3mMWDLu4NtRuruIvKa9W
lUootMxlg0Vl0rvyVGXOXatnbG1NDwcXOMbKrVscxvop9Cjtkgjajjk6u3JCQemluOJdC1lSbtgu
Sm7O4HxCdZDG67riHozEmbppOqR6mZs2L6O84ydDHUb8J9nD9saXw5MfDu+gEJjgk8rMkpXHjqNs
ZC9XX9qpeTWW+HBj1jfPqv6aJmRVxK6zXxYZTNLbUpyw/a9zKfU6IqvUm7KvAff9sbUKUOADiyYA
75udHxvWDprnX0X5ScbIQ4CRiVTO4dpC5ye0YWV1TreKE9Zacy0wksTOS9R5fxYaSEBR9G0BSIAF
htjNrj61zKy4YlBQVWhgE8T2Bzvj6EhcDtNs+VeNrzZ/ZhoMhdcMjXXk0/1O1ny2Ygg3HpGj1IfE
zpeITCrYa5xTPK6AY9Y1BxrgN2i4SUNzF3R0qbo5lByOjPx0tx08ccpzE4ck4Gyz8k+cusFO5VhX
eic+5l4HFCKn3ouRhnoTZpgap5Iys8cwHoKLyONk73qnsqywKBr6rm/q6I1ifTvOSjyFQ5k/leA1
QqPt15EzsIiY31MFiAHay7oLHIQCQWTf4Xdq31zuUN0Fr6pzmNwk4oL98JpGYfzahWZzJyK19wQ+
sZtLi/UYKYcPcv5cIjJXbrNwqKWVv7tAuIqcAIKmgUpqwrNeIcbX50KwFjDjtD1SDrPhtUPG8iAi
Lr1zE+YSdYNoIstC6CTKISC3t7fw/9trGLJIxmLh7jpdMGjhdFhVjU5Odm+uPRZymH4yhqwqzl/c
qjTuEi9+Gh2ivVSfR4/NvzyzdNq6stQ7HDT5C0iF8quWbfrMyGR+Gci3A9j3bHD23/OYIK5/NZVo
nm0xmy9TxHIRds4jzxnftn0b8/YI9cjctjrLNriGQFnFPYGmBSN8JlCqOgMGqc4ExzH1KnKixsEz
4UOI6rMoHGNjRjw9senwRc91NvACdMamWf4f6cn6/O+/FFqjfaHlvW0Y3RltGrQpKRWneN2f/30w
hGfhe1h+HaVARSNur3ULpPNsH5MM2Rpzy/787zf+fagdz16nuhrXoqtYvCeerc7QB/7/Q15GxaYq
SZLEFazO2fKnqS29YwjGnswj62ZUrnXDOGtj2+T2qZMmWZOZaGO75k+RXlu3xHXMG+XAoyRG5zSS
esakhB9vR1byzQp784a23G1j4y5a/s9/vxMJ795sonnPIvlEzticbgdAmAdpJgxuGoeEaOMy26l7
V9vJfMM5A8PGYnqTjT32CF/ANkhkfsln8EF8y1yheM7ZeJOiQafvlZO6Ch1yFBiZ5MQLHQQj6X0F
hEKcGoMvaGvX3lNSB/2VzIX+atRzf428ZQWHGBidMMm0uf9U9VZ3DYyQ6XYMMez670PLeo1lcfqN
aPFiE9dFunvLumL5gCWmu46oGQ61N/H06PJuGLEPa3g73cxip+nATYaVK9aGScaaDe1vnQbWSJYt
jqPBTFkPC4HXh4N+RZ4flNAKifJAePXE0+YOiPv4wBiIhtGK4foboBHyie7K6G007VGZD1dRDMPV
Qyy9neCXknxZAVC1KfXbUiqMW3yIw1hwtxjYzO38OzXGaa+KrwRxAXRK8wMeBfoTN7uxKbv3nYF4
zWhUzxBImCzO4WVgBEj6nAHAp81t5opEg6VN4uwKQo0epdlHj0la7Ar03Hf/fsVYV1wxtGZmccD3
792r1vPuG5l697UZbvSl69PuVocy2Pea3YigaNhmMAH2LkT/R3Yce3am7sasc3vXtoPzRMtnXqQV
fuU2EpYhIFfbdGALZwFbFZfBNJj1MfohBlml0vwOPKtfMI/VxY2uMcs4jlcUNa5krNb2ckmeG7+Z
5AIP9ZN0axnDQdXWlavXetUChymkSXUPu7w8R0FH3JFaXioyLCilHxMQ0vdMmH0uY7YWWTXemDLQ
CS1CVX9AXtf5ZfUQ1TCtLDAeZEi1LyhMXbc1nsBKOuuuY0AXxjFeUpe91GyW73ZQ77OxOMy+Ob0F
EUJvJMFLFJ1wTrE09p7EXlGzrPqexEcyjEyzoyD4vw95ow+DA/fOF3yxgzaedVa8eja/kDJ6V440
N7ysG3qobses7t2pWfV65WBvprJB3ZCk1g/oYbWd4rcZA/Ix9B9DVCRrE10/9Tl5cJOgvHeLuyGa
ohN8LHGqUR2cBnGNdIGzgDtoNcTsm62UkCqtFvQPrXTaUvofam4KQFC5i2gSlmFVk0hdBLn1YHje
I3mvJXIVdCOiucsQEvDX/UM1ID+RjuQJ7EMe4G6LCXA6jv4PA7x+UeGqh8ytNuC964NB8OEqDOm7
CruvD71ZvIdNme8NE3JVQ/cbG3sK+2itYvevHprplKg6upsDTZxbRvhrH71MsWvsGr9/d9zJ2ceu
82TVZGa7YKMp386BgaSQmCkWbSSDFa0E50RHkC1fR95BxCTJgjRyCqh5zuItrmuPFfiE6pRDfSI0
u02BpnVD3+90YgJ8DQx84W0CUs6m1NOV/WCpyXoYNclYo/vVBMxUuqJqN1jJJTrEyN7YMiG/ujKv
bY0btZT3hQ2nxA96nM2T7QEtDKk6Wrfai/p7qEk+LNgnVWl2rQ2X8DopcF3aPIgtnImipyCMJO7a
KlRX1xzahwXdciCzHJGEA6CGKUYMF3Od9Fm41UWE48Jvt6odqmPhN1dsR0g2RXogoj6D+KJ4C1BI
Mt4w4xy2Jd/biOMuE/F4matyp2SebYNyaDBuoCaL/PZSMEFe3dXJnN9r6qc1/kB/N7RxfZ/2uzJe
eIDlIuaa/oM96K2l3/A0IukYwRBTKbLAd6LhI7fmYi8AL4m5Ihve4zBVGSXFpEBbkOut++iviONH
vOlUsr9WMR4j95rhFN96cdce2SSlXkvMYmEfYoJ2nKq5d2uxlx7vnfRDg1je5Kr71RXyUKMejY1F
M7Zi5gqYJh+Rqhl6K6ph3KeOOJDTdIsbOB7FZK07A25dgZ935vKNq4ykF2UzH6xYnYeAfrEpp8dw
K7MFcYF+iqVQQvRsSEyCOkm4VxS/ARLi9IU5F+YAr/727EfLrb7VxCnlFvZZe85hbOrHzFRfchTn
Us5/QkIgjBs6INNv92xQdm1haOo1nSDjkS2GnPSc+NEfL+2F7V62AY1+SJENOLYZHEgjLna4DJi2
M9dBPyEPkf8ZTRNTN8iGmi1CS0tBAuPW/Sf8wDZEVY5MYKAXR4FwKECerlmlgzVha17GyXvW1J/9
bEAx5yvCF3WYhXdudbpNx9zauK1+z8Z2b6bvfaEBw4XqxXAXITIqcTdhsWeLF39w9kVf3rKm+caR
9V4tGveuh02+GDV9wBmnNvP+Q3KCEoXgtnnY5zJiL1UPBNgNRCjKYl9V+FSrJblPesm2sfrvHsEG
o1gfSOKwFSGHVFUPvynM87PD8IR8F0hnUL0xu5QRmRj5eAfPTq+GdnpMIvMUwvECXtX+uNV03+Xl
c9gkeo+YC1rvl6reCtffFF+C43jrSPU9tHKLvmtRllv9GxnYeyO0gVa2RHV6vp+uFKPLmr7HCm0H
cKV6r+vcWFcWBB5iPxGdTRey3TB0KBjsIjGeEw+pi+ntMUYhzzPJkQtEvOusACoK64TB8NnZFUgj
WjjHkoA1OPu8jP/iT6p74WLd6uaNVyCpKoUIH8L2qUGPy7omuh+JM+2b5L7qnwtBfLdyn02NWH7w
77p0mFa+N71qH1eawyXMbYci05UMjWXIs1SpilN7AJER+Qx0iJayI51T+HzaBJOnZvkjvBYI5SzW
CYFDaJ1xe6RKnENf4cKCy5AHZ+iFfyAevWtUCb1BK3jMmq7YB272Dl0+3jrEvPkGQoXBJC0zR30d
WTDAfZdevB3U1pupiJco33UhzG9O6hOX+AhJEYGbIFYV7dQF2txLmtYgKgcSk4hzA/Rgjy/a+cxq
oqnTqnpxc31Wkf1eC4e04JDAhsLbep35Ez3JIhz2jUaUX7Sgw1E47aTyxRoFNtQiYefIpw1jiwpi
p8jpzL0L29xFbUFTymqPQ6RYKEkyfuGY3ABH6M/afglazMMzgXrrRow4vHn24NswfRxMtr9tDFFK
It6glU1iD61SMTXPvmRmS64xuXf+sqO/t2zx3GfVfcGgLM0DWua5zXcMIKO0AWOGda6J2mAjgQYD
nCASLvDTKxmh5yyeXxnXPDhevYiZBhoZm3qO5hOB3fAZWHg4A4W0jd0BpKqHWLLFpbdEKYnBr4vO
DYiPa21F0ZpCtAVO7Ey0UDi3Gkzd6J2wfcE8SFwu0+RMsxn21tekrZqnGG17nNLCh4XnbLwR8qyc
gEwN08yMeXgAQkOVofhrhlO/E7V2b9pawnn1j61HDIPlY0+CAG/RiIgnC7PSnuRj9NVvcR5+SqGf
ZheOeBA1W16lHUgZ8ur49Ee7Li+h2gnk47C0i2f0Mm92xUjTrifqnujURlWwaYrpHft/RrSH9NZi
tl6swi13nkqYm8T0wpEVMeVqvc3sE1mPiAlCp2dfTXqyjdeTi1Bg5ZjlfAxM/Wma8zMjPkCQUUJu
Gg806dbtloBh9CGPpuW+L3tE3u57O2Uq4f54w/DQF/ilmlYDM/YOAkURVhZkvDXSqDkueBeTBHeL
6+kIQOjUGlujh0TTpPlFjI7A9MbSIx/ezTzGKNwiKdYdtvqwAjvEcif0fUKtWro70rBWkQ+YRRXX
aqieHMmCz2+VPnRZ/OmbS9C81KsnKFHpKWIctTlkWcR7bWKYCQuNcK+wwSU38T20zJUcvEJ5cCjT
0P6eDBhebqAPU4XupLfA4OjposoqvWvr/Ojgjq10MiJDtwEWtQtMfmsBT2Xciz3XMKa3CPwjfkR9
kg2vQ+z47aEJPoJEc3LkHO3ougVPImpk00EwKIx3FNlUgCkgqMYRV54n/Ix+2+1Bce/cnvy9FscK
jkr06nbGphdKvR7KeRfbzcEAsVH54tpQ660GI3j2tIZhMcsL+u9oPdsIrHzNKox8pTZJcKo6kQK2
61a7iQmAW0OsiJInL4NEr5OfYixunD1EvA3k2WvT1wcxPJgd2pSS+r8vHpHK3OqE1pFAq7qDVC61
g/S9SIyDm9hXOx9uYTm/4FMJtpAYGCxnuAVDHJ4D/KTVSBAzCn5j26QOS8F+Vsw4umln0dSzmfdz
yv/wlqctvk5gO3wtAC0GozlNBsVRmB3qsMRZbgtiEs2gWftMamiT/AOmpOE6+1SibUXRks36KHtY
zFnRuccaVHNfrTOUeOzOFgKs15LJ7j30rbawnvrjfu67g54AWRhj+dB7wIv9hOIdrjz6PGCbhuDD
v/8y3QzNZtStE67209DMBdZzzXc7uX868ModUwr7XNCFyu6BpDvgolPb3kYXWYtw40Oq9gH5FIg3
+lc/bJGH2lm2861AvnUez23Cl3HtzES+EdOoO/ctkDGgxbo6htBr2fZ57ptilL7zRyfdN3NJFAw6
TraljbirvIYkhrDqEQN82Hpi+1rCCUPeuXTg/HIcBo9HLzb3ZWPwE3Ogjsna/Auo6W+uL+WL7T8j
NiaUK341Y9c8J/EEdaLAiRKrN9eIa2KJzIYgDITI2AXjldUD2Q4bXMoE4drAmyBJyaH7HbsQ/c0i
6s4TSTfJ8N9yDm7zT5Kbn0LJPH62B1Y4LZFokfEnYooiAbqYHDhzE/DWQUlBykwioMUCTNS7mdKC
DdO36bC7g+vMgH1mhAWXlFTEaR3ZqYcweUiQWbI66hUOl4x/aZqyJ6aNC6sPxafrVsGKpi1FUg6U
hVhqB0kWaEciIqgzThH6QniOgKrQcTUc6YW5KZcep9LFuSHEZz0IC5jNYNpbRrDflSZ1JwBJGBnv
Y+h/WOZA5IysHzSN52bZ+qOMq4+696Zd3rH4HlBiBT1xwpkF0lZTNLJSnBuNEDk70WVcYF5iZrTZ
ywLEZIVdDFvVNxe3XsxDc4rMdrT+c0AE3PrZBDdDaJnbdi89KQo+WdmVm95EQjoJLrq9V6tsPTbR
OXIJfcvraGDEHdBJ8UMAvupt0qw6x6BOVsSrM1uM09fUtO+mafaxOhG24ljzqZfBf8pCwTlrFgVJ
HfHQzAB5e2WYtwhT4Nho2nXU0VtmfE9VMd6ZRrp3rQHalk3LIpmtVIcgyc+1y2NX5gmtpl1/lKm7
wIZnEI0wcbuORsUDRwQoagARJfQ5bSgZXWRzvfZ/K802dlIb5nRrYO7+q6GLXRIDRKM52xAi8+ay
D0S8osa9K00yr5PNrMYlVpYSs2UUEJFhO1dOv0s7H92oJd/LLMO8EBgcuoS8Fa43L/pN2AYT0wOd
kGERu+qQp1azyWTSH8zpAjbzQ9cYpvAjpowI9nNaX/LYT1AWJmJj19lHlkPS88fuyemLeCtzvz8F
Sb2Zve63Jo6g18QuNc5emRdy/C50qvfxxAZCSwrtziE/N2SqCDGD8YLX25sI0x54rInGACvkAQEO
xXTQLLcCGTt2bt+7Mj7UCU++X2FRn4zyjfZ7AUjh0Z2zU1248DTsZhun422ci/+xd2bbjSNJmn6V
eYBGHcCxz6VIcddG7brBIQUR+77j6ftzZlZNZlR15pn7vghFhESRgMPdzdzsX4L1lOV4dAk8VUEv
51lBfR77WEhRMKXq8LHMKcLRLXAXlWcs9by+g6Z/ntT5GFrGLtesdhPNCEZGZD9OanI4gaew8pp5
jxrJljoiRkHJ1C9MJIB7lFp5L95Q93R/xrbFyJR54WHFqZkVZO0IC84SzH+YuiChkeyj8oQoQYxq
WFukYummR3C+sk2iP9ciyjGsgOUHUcdc6WP8Pra0UJDkOVEZiKVXjRHfhTY5FOiIZTsijJ5HqGDk
ESyYLIhXAFsPVgEQsRqnwyi7nl7vXiJF3+t5v53gXG2sW+R7EcyoUvu2C2ZfcXdFxsrHUGOfZ9Z4
Mw1MSQQf+hTxp1FVQjSlPHM/tNXRTLWRFioQ4KnBzzk2WO22TZTAzlvH0J6SzGskG5pNji8xzNFm
wdowg0Hde1140znAgpSIFkZfNRvPwnqtN5FJm6ghUPSnDJsIHEsPZg6ISx8DBa8Lto9QJCtEGTxi
Bly8KASJXhYaOp0IHpjQ5NMOFB2OImEzodVfbOERkqwZRANgU4A5m7dCpfpr5d2rSdII/4FOWqhK
GhYrOnbMC+8ekgFqK2W00BRxqKvA0hI31CPWY5tK+Y2IFhWb5yBPJ6MpcDoMNlY+9BtyJNIp07o3
O4OOuAdYsKL+YATpWSQgYVK6jZ0VTqALCDmmtpKdjUVLF+s211jk8cAtaE6GsGKkdFtG9q0G6QZU
3jl1FfLOjRAcZeDkHtEoQ2gpP7mp4ZPyvYZp+dJlWQg9Cl1GHU1kE+V2WHHKNlKH5LZtOEogen0L
UAqCABshWvPtISy0GrRVhRIJ2oHuDLZkqE5a7EAds5H1EpoJpFT+N/emz2mCSO6lkjRABzNSvXiJ
+xrglQNxfVV09ALTSPOW1pgfrQejJP6IlYVhSQhpZUNikt2Qt4aAyO/TcPY1ToB0gOcTUn4LYzWV
Np7wUM1vQaEscYdF9muClqj1dGtrhUqD6RZLSG1GVUXYeVAd8WyO6gGKB1NlediRmfnOitXqgDwo
a1KhBAr7egGmlIIrsQKgEAR0C3SfB45gEaowE10PNzfHiJaly5IrtJCyVbTJqPUuYqzN0FwDa5mz
s5aAkilOqgvUPZ+7DIhQIeBcF+jE3yKzvrFh9lq9gwGTZQrMaVtYV9CP8O2yKQ/9DKbynRvIBQ7g
CNeysDTiuzl5Vrh1ezxrlCLu6c0C59EqASCMudMBQIaTg9/PfSX7jrldApJ1KFQVLfmPtGvVY+2r
wVD1QeT5GqTdyR1sYwXSEvH+HPwdChYoklbVInVwi1Gn7CfM1efJJl2HA/MWxGG70M1Rwe8sItut
4bQ2aB/d4fBhAi6CK2Yo2wx/sxkCUUULrILrhU8bOv3WfHIFNC67AV6c9cpDapa71mCjrR2C9xSP
OmTrOQJxBxJQUVkakzV+FWP01hgQf0BYN7rJA+ipznUSYJQGSNy5+rPoqpnW2xuaieh92hFkBsvA
GDV2OPSP9hGRfdFx4EGQHVJHM581F2SNbo9boTfGwgWIBBA9Pca6uXLsEkxyAru38uAz23hD4BsE
GgsLacSey6Ut0HDOk+IntY1ho/RndklxD4SZlb9AoKFaZCoDEp408K8dwaMJhgbRIhOAikIPpI97
BVlB5zYfaMUDEDgSDN8RGMNw0tF+ktFttxY4jIH8kQN7vcJW5c7GfgfatHOIKRrfJjELo0rqu1Ez
8RrKC0o1VveK04RsRBkBAofiZ9CmG7Baa8hDxUjxuCwad1/RrEP8miOGwtkxrnwaerc4ublLjUJX
hNbieqQWYng0xmPgCggqcfoN0BpBHIMLZHdQPAX9htr9Ug9Yc6fVxxgic+sYLQBat+GIY58tox4W
xXZAU3YxJxfdUZEjZqYCd1PXAdBS3JAsnCYBcA2VZMGRhggd6xxIjqisexqHCGuEtl3lyznQV6PO
FDbzdpA1Yy5bxWbcDOCc0J1CoBEA8kg1aQ7iZxtZbVSC2HBjmj1kYzKRjoBQlaY5rQV2DTFyGaKD
MdqyNlyHqmWA+BLeKe4PlaeB4jU592ZqEbxGCvoR4dhH+pkG7HQ83oQBAFzhxE1/utkG46Omkum7
jgJ4B0qxB1iVEJjilZwf4nSObnu0y6AWiFvDkLU9nIgj4plq2QjhWWCQjAzrpxLD+dgod4luuitL
5yDreDuzItA0bjwuA2k4WLbizSxdJLKqkdIbWjbLEIdJlryxMEatWMRQ/Nd9B18Wj6dhxxaxyTQd
1J5crGOfW2wY0cbu+uwW6+oHSqEbiGCv2kgdTQmb+zqwZhQo42Uh1KOjsQOUSvOIReOn/R7WfXML
UG2HHsM3S1GCFAqqESWLnJI1+HfM+OabrEkgUnsfLSX5fYTM5QKw3UXY7m4cm/uqjcYVKgb3iKXR
pLKBpeFxh3q9emtrNdJPZvFaotSx66Tr3BDRuR7BcMyNdjSbbyf10m1pEIZSjZJpJBRvFcQPrq0q
QLnL5gY8C8+bnvRTlpAzOdp4KHKJsEVEBuiyOFqGNGrGTG3hlQNnOhcDQrUvl2JplfZHl8I9Dj0g
LKQJQb8rAofQyMlcD8nRHQ2bwjo5IcM6w0RByVaW7NJOAYEPKWxheZMfV+qnlnTgLBxxcagm3mSd
HS7yIX9B+ZUSs5y7RinQngrzaB0NXkXaoLC/i+axiYt2i7YhRXZNbFIj+MzYhPeB1zzaZlexMkKX
E3k4LYY5pUs2Bz+elSWrQZjOTgle8x7mSh+XFxAm+ocwbCgCeKDYAkRUDhtVb9R12tCT1qrxJUoA
HlJGgceGNS2iMPNdaVBnjHPWgeXdl4Fgig1dd0BwH/t4syetHh+r2lD3FdqasbZvRdQ96Rr2MDYk
ThWG4t3UdoQXJKdxDKy7XTlKf/X8ppqs5hA6VC3hKH/o88fcj/qp8pYIj+gIdgoPNhH7PTJCeAY0
RzcVwUPmWPkSTianj8betTl1uiGc4g1pAneD9KhefdqRYEWb0Yz9LsX2weQ2tQzFJMYFpZwRoVnb
HDk4ufW0TCzYVTqWN8jLbsDS8GywKsNVGKgqXAdd8escSE1rxD1eBzpaLYYaL5Kw1G9RG0oebZWO
SpLq+PDG0X1ZPpm4cd/p6fiT9tO8oshG+6DfDCOPhIrgLnJxuBPDRlTjQVPHcmtHj4o1+hQt+mc2
4PS287T41piYBJPsNuXO6N63+vvQ6PZ+MEqfE3+wNESzVYohvoUHaj+OlgY6pQnJK3PR3eUFHf6M
5glegnN2z1Y33KgVUI3StPZwTRq4MeWKif5C51Q91V35zKrmcUQ4XcLxQ0qugqQIL0EfKVbVOJjt
FA2PQRa4ixndqmnbjIOdHaH2T0+ptIVvIX4WWui1psLZ6TZYHBPv8DunxOo80Aexb4sDQt36ocK3
LreLfKfjIdBMDuLrSObDvSJ7dqRwTRdvezTgLbwzsJD/9gYQyvEYngQAtp5DqG7rT0jTUXivnZe+
eDGROvIQhrppG3ihUzDfRkGHR1z/Cer9W+Aqe4NHPB1DXfJj5dl71N+TgDxcMLWN4cONUPvUE+db
azKsjEAtVTkVh6nG4NwxHlrE7jOLWoA7BDQDOoIvMXKfm/dJgxVEnbCzenxnmXXhK/jTjdEMP12g
7xqiOjxuTOgmDV4tjjwQJ6m1OWHXLAbaxtXwWGkwghXNPKL7eyBdeL+AdnrDRhdUBXucUYFkNvC3
wA+qwTmns4zHMHFfs7KCC2fML71QN5Vmb2LLQgOLInbuhv7Y2mhHoe8TeXRneBQIAkE68cKvNq/W
/6tBOkkNUmEg2fk/+6y//eQ/c/eTnv4oQnr9nX+KkLr/cFTdtl1LFRDhbQfPdFiFLWKitv4P3TZ0
1bSFqbq2Zf4/p3XN/Af9bvArwkW71EYk9F8apOo/LEtYQlWhGbqa7aq2/f9ltc6HlEU6BUUub880
6ejYwOZVw3Esw7R0+fPv0zGiFIsC63+pUdINxlTNwEkq52DYHELq7D5ri/ss9cAQdXP6kMXlMVfP
gCAotEs7xTABQqjH5vBoVt5TgITmoZ6kuaARfUSTtbISL30RHnU3T+t10s3Qd920eOBIPh5BMCEW
sPjDsD/+dsH/J++yR1C6LVcm/eD/eBuOa5kmJxT5l9BdW/z5NryKLjdNXzzd0U9c94o3IbtPcAKS
jLpaSNGU0vx089cfKn5xqTddFS0dVXddV0VHyb3+/A+DJ8XGLZL5aTkPBkrvnlVupjmcQd+jcFCX
mXhAoeQ2sqLs4EVudwv87aMuu+6piaedG5eYJsbhT1VHUOgZxNdQALAHmmWijtU/gUN0bgX+xTOX
wblkyI/ouP62cr/H/xv8FP9h4DQ5l/40dNyEpWkmsCFHs1TzVw3aClfX2gjhPlgW5lnhneGI+P76
papw1rRMuNpTZAhqLih0ulbd3VN8OBQcTQDFzxn9gzk+BOW3hWn4fZC5oXbTa/VP4M3QcrM+22lF
hKPDhC/KDGdiZQ6Ot79+iSsqQChpk8DY/XjvAl5d1MVUnMPxZ1Cy2FfQcbwRPWwiF0X/2xwDgcP1
C0UkHGihH6EO497klFDeFCloFaAtQaqR+LD15xUaL9O6n2wqpig7TTSIquhVrYzhKN3atPnYzUX/
TYyTSp+p9wC6Ltwzdx6CGgYlue8pVS0S6FrQl++NSxVq84M6ivIWWTFYi+3g3VdQpQAcpMHKsurP
HuPXD6d1o6UGtAQXhsTbRYmX3M4Yr9wHquPce0gw3ACaRVbJmYoNklbIvQi45V0Hh98pAPCr+jzt
k9Qdkcl1jnlm7NvOTKhkV8aKEKChopVPefIOHWSjqtoynMN930tPBltvm/31S1rABs2mvsUepgST
Kr+Y5QSdPU54Ibq5fDVpfsgGPKj+dEm9JNnrnedxLq2T/fVL1Ku//+v6X2DwR9MBEAHNnVP8aKWH
sinqzRw4d3kWAcWZrS1yVxqTNwUD1Rb2jd5CgjMIzc+VUe5RaftpuwNCeclL2vFIMhj2Jip/cA3L
hWit4Q2P5IwEQG23hhQcaCavOITC3YA+8Z6h2bR3cRS8m5RksIBF601r4nugr8F9vzHGxv6ESkyV
BIA0FqrpLugRAa5e06pQjqlO6zo2zfyH3HZwkp9p/9c7gs52/utiAo1o2YIarGnD9/zzPjQV7HyK
Chu6pUaEeFC3Hrxc/2z6FMXNVPbT0s/EjYKdmdorwAT46Y4U6mxS7xSLyc0MOmsjwkC26DH2HoXd
rnExdg+p0EiHixz/rcFDfreWNsFhM+xAAWHt3A3zkxLiT0TpKTt6DgynIq4fSAG1bTZF49/sGv++
82mq6ur4aOm6IzRXxq4/ho1atY2kUspqKXK0DIx5snbXL0iprRDBArWctMFjlrigz9qoPWZ51x5H
EKfOpzo6xhP7eIHPNHTOcGxAs+Zj9JoiLUhu5kGLo+G0DIW+qe10Xk/SeyAic/ubmKH9GjTwfLY1
9j5o+Tq3YP4SNIBzhVVouMlypBGyneeohXA9wywFonWDtuWPHsbasqvTj7oKJWtvvA17rDWHvFF2
cPuKVcCRncI4lGYlNZqD1ozVb+ru/+P+/G8hhmsUaA9zYLyqhf8y0FY92glya8kysKhaDHYZUjRg
1/zreSun5R/DpxwJnc2HeqFmEAp++RSkMUnxsa9ZosX3UdlddCtRf3SsoECPtwKlyNktSIL+lSn9
h8hj/DL8ZESsE1UQdBzTNQlCf55DWApjOCimctmj5AT2NQweYuCMra3ee4gCGMyprsUxZkhD5XYw
9bPA3mqhIbD8BouIYJ++AWvsjjV4CkfPhjctVuqdi/I03ewe7lKdc0avXbC8YbFWx1A/GqMRPbQl
MmeRmwC062nocuaDkBN9oHaH4JFOScwJgVBEaDsc9GbqdnOSXlhHu8HIm3tkZJ+zzu221/9ZHBOa
jva/okE3RtoS2TK3furn4uWvB0v7ZWNhsGxDo9gpUCTElkaofx4sZnCgzHWVLVs9E0sweMbdQC20
tWLjhnZgvZx13VyMNKrooCv9tjY19k+3+5uU5z9dB3kWqwWXJYPgh97+Hxc+eEQtImhiKeGo1U4C
VEu3fggMJ35TWD/9qJpPqnDf29l4AMBePhQQMZd/MxhyOv5huloqQkikXAyJqdlkWFJW/w95V9+i
3mUUZbZU7WpciFErd0MKBV24+XwfznlDSYb2s17WBqoX9ZG2vDS7M0k2RJZvlDksV32RvJg9dC5N
0/vN31yg8UtS9dsV2jq0xWveb/3yuFybetOIM9Eyj+sdVfjgfkINGLYSl42iHyZDeviQwDpeERrm
2yp3hrvrFz1HJcqeLQHq1SnxvInau+FtmOiXDlkUrkEvtDAuUK/O3EnZKQilb1CcUnZQ1h67sEWd
MWlwakpVKLXmAB+z875Mz8SM0yyMZ4vbd6wq+hCYwHadWq3sIU1X9dhihoZC2G0L+nRVdmB5ihjC
DgR9DG0azcEUygkfAhsbkBqYDXXwojoqBuSxLLK7HaUSAHONplCPKu7R76BbMdS4qbjFvKaXsKAu
yUIfBnuT9QBng4H6CNgI5YbKLVq+97qm8SXU9FWkU1ssaDqRWVQ7Q9MogSBBs8GX+McrabOIPlQW
DdSmwIhy1H0T0AlTPWg7yIG7oVaKY1B4XxHoy58caYcinu+HqkXHw6MJr+fYFcrZGsD/QfifnGVI
4fmG6mcEk21//WIgFpSlsYt0Ann9kCfTrUk5Aa33CR5F1K0pR9eo5IhHB6EllNnpBgXKY43uLSZe
gOKcGn2T2aZhNIHQX103BRrFOgUpz7rRwa/bNcMkv2SJY22Dsr0HwtHduXWkbdRpeMZenRJOXps7
K+iO8PbgdBhT9z2hvGYl2XqczDuuN7mP7EB7dYJpUduOP8KYfbRTTewSo9ZuEjQU4Fub6zCP3QdT
TSBrIcc/6937mKHW/NezXsi1/8uydE1h4f1pIltgODKW/WFZthRCDMTuUhrvOKSkk/nST+4qsJiP
eaePUGbzAUIYfj6A+oK1S7ftxnIsVK3iGihDrVxi7RV+x9YG2/AasK2B9h4WmAtjStX31VvQAJlE
LPAcjC1CxmPuZyz7v9vi/v02NM3CMEQIeTJSf41LFeIJXdSj+D1QEK5H78Xtc8yXS8rO9ZS7G8So
6v2caYYfoHC7Bf4slkhRFVDBaGoNzcrNTXPPA/vr4XU4mv86wA7ZiqZb7HvCoArwS3aJW1CoVjoy
0UZTnE0vPXt0pKzJpTmX/QC/PKUDvf+qey5H9yUenuVLBq04u1VxEPT+ykj4ahef6UnfNI37FNjF
WQmz3/6406Vw2lWWXZgxaE3PvtljLFFlZ2suf+p+vigKshNaep+WwndmVDg0607+utUMF8Vov3pJ
/zA/Mq84yz+GggefK2WCYF2iRYIwwRkxcb91kNisi1u9ybdlZZ3pzp3sUfh0g6Eth8d5mi+tkZ3h
o50csY50Oruocsq3tMv5kobeS+5udYqPaa5s5QUmXKy8T1sVJ6sDd5Ch5RTeBiVoe3xL5UuoG/vy
bzBSp6QtHzELWFZ6fAZH2SfJh8aPIgXgrvx5kz03xfwOkMQPc74PhkKrUGwIUDAcm8BH9/PMQW+P
yP3KcfhpM4Jn8rxvcpJjDNsrjrDcjKfpZFSq707hcx3IM+J4qUHB0eqyP2PYC2AJHgw3Ap9TnL00
PrNxbAGjrJRwPMm7yXCSM4RJAVg/yEun9Eq4+YSDCJ4J50BHKLu5VG6drDy7RkDxtfyZncBfIdd3
mdXmZ1ai9wl2cq2/dfUP7IAlDs2qcm8ps+/oyNdYgL/U8lEOuHwwTkkp0UG/IlV9IpAvjOFio1Yu
7Ff5Eq8uz+GUPpv0SADAXbRZ+PK5AdN40BG3lg+nnBgn5Zni50XOkusE84wF7sIPcmTl5FPZA6L8
1Ab8NhMsttOzpc+HaKLLl6s+Aou+YU4+GvSoNDB+eh36lW3ucHJZ20l+rrXu0hf5uRPJ2RYLjL0+
5Yhen17Wxz64T7yB4Sir85McBTk71XkDN/VdmRwQR+nSxBpvmB5yV/PdAvXxWBpr+91QnOUK0VK0
XbXA79G8rPFBxqGR0TXK4avIh0vF0+pzJgHO4z147ZLJgEr9SS7JEekwM3Uemjg69n3+U7MUFefO
0qZ3+Vk2Ivuebh3lyMj5OCjWweC4Lf/fM9HU+rsq9U9vVn7k85ZzcpjDI/r8AAZGCjPQfqziLF8u
rzPS3O94co5JfonL+owz1ik0rbMcI+glywpFtshKzim1YPl3JMYL+dw5HJ4kYjacP8yKaTpCaZN/
cFS8ZPhyezn422H0ERK/IA11NjDqMTRri/CirxjWWc5YfcSaLwKK/PvekTbiJP8NLaEzm52DdIhc
hvIi5bflQroO6uiReHMT9oSKdRkur7Pa+n3ViU68ZgXLpfpEqmObuvPaGlkZrATVUVcawIZKL855
Op7kYCJSzKLGYD63n1J18Bu7RxYtW8sPLOLYxwJ462HnoljOjxxJpWLUaN7F9WfYMrVw9vHbOTvr
Mj7DIJL/NtTmrocDZDZMIdd8cIJ2MbD9yN/N2YLsOfADl2IoeDP5vRBBSrMyD3jNXuQDlJ8tH8WY
mVvdqDfGE6nDhxwdUaLMXwd+U4RkadaN/DeMqLNcAVo3+IJhy9pDSqterhH8xvx8aL9ctQSHrlX3
DRWS604upw13LihrmsH0LD9xjNA9iIDS830zZs7IkXFStrp6jczJjfbdo3ss6mjjJua6bLGxkNua
nO4AAXZgdG+v+1LC6iuH7qJX+c2cOU/ER9/LlG8DwgJogS0V3kB/FWP6Mw39d5Fa58nF94KiKxIq
/hCMPj6sPgjqz5Fd2x78gkWE367fIqydqahRW+5328ef9J9QajqF0+yjuuurbD0uaqda3CKBYH+6
Xn6mrbtP5nBbC3Wlh/PJytNzo6h+LvhZVt2qvbuX4hd9WTzK2Xu9ARnuFB0/twCYGwODsYx/N3Jd
cocMhuGis2OZmbewWoU2c+D/vkECo2Yd5PkdiMmVyzO+zhdGWr6Ja/IIODMj1eEtIiniThyKuBNF
Poo69uEtnjvTO8pH0iMvNg3fmFxdP1wuAjnUTmp8x8zo8bnqT/Kq5COaO+9TBi5vwlEzdZ/+uVo0
JXzDthfazaAT5ppoHbTzu6ZB++CDZYySlx7W9Zvd7uReIFeR3E60XgNkaj5FdflTuPMpm2FvV9Fa
rhTNq54A/cJpYHXws96q2WPG0zi3z6I5y4XWueOr6E5yfctLqxNanQOmSUwT+VuQyH35aXkV3HUG
zC/WT4VBcj7ABvstUA7ozgK7lNciN12jG76Sot3kIBmQBb2USAoG0bBL5Upihcnb6HSQv94aIaWL
fEhWTjT11PoLZq8MOcPA/9Eg2GMFtQK4iNao9kj76pOoQRodHTvHfk/Th7FOz3g7nKvW/lRd6y1S
d7rGIq9rnqxXqadcHbZprm4yV7x6wUdiG9eQKTcBvXyYJu1L7dRTUPNxk6aeoO42ZCVml55pAp45
S1C1y89pq/nysnTnCCryXY3YjPmWB3XW6fBgZ/LKuGrIuxBIihpl+hTIJ2aP3X2PXaIzhR+YRcg8
pTUdTHkVgMSEyaA8yz2ky51PjlRbpRvX8ul4TLtyUp4At10E8WdiRcN33yIECvQ928m9Rk560nHf
aKNV3nabxEBVvhCEYDIwz/4cTY3nhItBGa7kviljpYxZ0gioN0joSEtkynhdQa166UfvEa2H35Ka
ftIfTSxIG3ylqC27P/ZAyHRwzfCgehFsZOST72h6X0MusFxpv+Sbx3RkAYuAGyTdk4F80LzvKunW
k9psZVJUucUPIhEnS3HWqgFEjrtIUNqWSYJie49pCxV2glBChVvOPLnI5MKR8r4JpThHf5CLS7TR
EtOYA8wKM7PPATvK9R2YgXLM5Lyl3Zsjq42+vww0ci3IV/RkH6iS7/vOXcrrkK8cYD6HSvAgZzwu
ervYnldyoWasFznC8j7R2KG2XD2AlfBBLn7C95KRTW7+jdX92ABR1NN1kcaZ+Rpl7zIpkwtXPs56
mr5CxLS4VzlIg/rb52I5uywM4FXAfzreV46F/Ftek4I4TkW7V362rmu+M3rfhbcXjf1V97+Pbe2J
57TA6QGuaJOHR6ozwCJn/zobwLfKTUbeU837Tp3Hcl1UUAYjvb+Tty6MyJfPzdNwDs+nO/l4kkb1
u6Y7wdtVeTBlcb3Y1O6Pk0Drl3uRF3fdNwuzuaNsxaFyvlSK7sNs+4oLAHpS7kEu3zINfS3TXgzM
lFpOETLQyi1A7hqweag03rXRyTELwKF3Mtp2YXmOizK60R3zUymjXc8G0gVMDEIuqpwvtkWOGhAM
kGpDDeehNZTvNPI+ddyu1eoR1TaEPufTPKTnjCUqNbcRKwF1zSbH90dlfouyfRerfmywmOVGMVV7
BKRQD5svMvsFiQrcSgGkC3yLrWtsSL9luDLEydG0TVL0W5A27C0BK2wma1XzlSuCA3JlP1HcfA9k
f1bWbHAmAnbrfecqI9GFypPqoHeGbVhl1d95hH1YL83Vg6fKQ2UwIOUyB/BfBpW86BjXIFEi8uEJ
rL5lNC80gViGMcqBhfOQus6umQtEIkefN7KKGEAnwEDokHaPLDpnEljLF6sPnotquCnJk+UHmDxe
MEPoGyBMSsRv5HvOTb9VkmLzzxe5xvQaAySTVyiv9Poiy35DUOnNGph3cj9A6cB3eZETJS/ymwYZ
YpvSJ+5WrTv58Es+u4iEADRpPwCn4P8RghUuR50MR4wcA+LBGU5aYpzl3QdjTSnFeJLXUKXZT0Q+
a04b1cve5a8UCdmTWn3rnfmTt8FbkZmfLfSRCRW5gtWUttE+qFARRaFymPNXr3KwTXePNfeL8qBf
t+NlKFaOm3zIC5fDAyANsxlEo2dN7OWYeWL05ZhFGcBCZCuDZD6MNO/SarzIn+fdtKU9vpJvUIz8
MlITp3KofjznDdLVu3xT+Tqn7y5VfoypidVKfCgCZspsed8o/V3K6px6zlMbzX4QcdDjKKFET7zj
oQSkqNEMtLuKfao/It9+V4NvjtkX9WncToWCyG53cTn4kICgqlM9txAtm9fBC78LMqPCiM5RrSCk
pq4tghF60r5bJV+jdXuNSYY1+zJuj2P9VhifSubcUEF7SgcSCGZ5SM42ppkfobSiex9za58VmSUN
6muE+bGM1/B5nLH+kutXnsllUjXY2QP6KAhSooSaxU90MmD/cJx37bcZ+XsXYExcHYF1olZFtCw0
7yu5nbrgC8Jckvpyf0D6Z9NqYhtiDW9eQ6yMo4jaidqfSBGtKfbjxKEigZMJuxyrGPsIX6jNWxoc
WhLDKInXzVytr6vSEHvL8l7l92WE7cWHTBBkcmCp6let3+L+AlqcANFyoJkQGgvjOzmAIpl8Xc/2
YwJFFXUK3bM+5r2gUYcjDskl2bD8W740fkB9DAhbdj/10TnhkPXPn6Bh86apx9RuvlKbFT2+dL12
bLDPHCCZNw0L3mu+imY+QW08V7HzbEDirAsigpmfm5azL59hTOk6qFF2ALCu5V9NEPmakpyDjrkk
P3/cqE1xkleU9o9TML07vAKBvus94FV2o9vVEbjxOW57H0gm9lpni5fMoXUe8DeunoYfi+JZgElT
Z0dnx3I/ql1ckC0wTvK78kqmZE936m0OlSVqYQf5wVn12wW61bzGZ2k5Z8OpmXU/K9oHzYVkEU9+
HSvfOseHWBs2I3LcYIC/G6qrApEUGBsXeZ1yQJAY2DV4NMjbUKccT6iO1XmQ9z+30ZPcySElwOAl
btiCkC3VPWfA5/VBFidkPi8rEBCFwHDGj3La4TPij2zj7Ohenp6uGaDc+Q3ok8kwbr2h/5JbvDem
F+0gJ9/URT5SXT6I6WUcxfdyUsgck0bUt7kRnf0p41rZD6cuI8GDhR4LzLLKHd1BxP7Sc5gR0Jv+
WONQGo/DSb5cTlMrD7Yu9UBZS5HBSNj1FyQqWf8y+wnEekx1w3wNvfmt5y0gc5/V0v5MEHcwyEop
9nBy4IlxNxg/rm2KjXL1yjuW5RpDyXaRoqxlzJTfv9awCFKY3h+Se7NXljJj6smFZHoiD+GyTCgN
rC0yTWLiYUpvSl2crufhfyWugSr1K91nMasn+dFlbn1a2S5ISGJKMohiPjV9eaB3Bg4+xIpc23uc
2CKLGYOEQN1/AXf6nNt93OLxJJ9sPzHde4IhmEM5h12TEJQTxZLmUVVGfzBDCrkT8dy9MZzgvqAU
UaBUb6rWQ2BOJ0gSfiTnPVptZ/Qa+wZ2eTcstDwDijL5Kd9Gup9yBUkS/BgxNQc5Sz3s9lo1f5Cz
U65muRpqIJmu8yK3BjkJW3SJpsS6zjjsKl6T8iRfiaHQdR0J1yFPwV8rPyeU8zIFIhk98ccEuSbs
KFYerK1EFvtKqn9y9y+s+Anq3iLvx4tT5udp7i7y++U03QQInckooExHrcUck1+JpDQ8UQJ8zln+
P+w4gvO3mgRLtzXuLVmh0YgsSXGAV36900Jxl+YwwgycfMA2Pjqy5xrL5jRv95U2naRRLFAuxys/
5BIsWYrFyNbW39ld/sGp9QNSrOVgKqK293JbQef8jOCJjwLOajJDJBzCdxGflVb1BzWkmKrgAWlR
jlK+Xcc+htPFQ32pRtxQzk50aK77lRJVK8uNtnKLKEPNl4tCruPMsFfl7G0IanLA7em35xRTjZLP
1VPENzoewa4ckk/5cQB5fY3rlmOuGw9My3c5R+RrVWUzFO6HfORJPH5GCdie5ivmycuxQLna0Jo3
+cYmn5sHwXP3gzEWJsrfY7vH5S4vusfedFG6Vr7Bsf0ICgtBdMlD90XGB/Cm1zfSMM7CvXflltOj
hoyG3DVH/b+ZOq/ltoFt234RqpDDK3MUKcmKLyjJlpFzxtffseC997kPlm0FigQb3SvMNWbzuayZ
SrlMNGDllfmT8Uf2fq3N7mXTrqM+/2iZOGJHkDBz2Ua0lquerFXL/R221ffya6bqdaqoOlMQ5FHk
UQlm7wh3gbiH7AxclNAAoO09o1z+niFBIqJ/bCh7StwhcYyPiVEX7+W/SEX+0Bb4g2LoGMFuK9Ps
qgf2RnbgjLcd7tlvuTqB4e7HTN/LVijPjFVHDay5Yx/6YXrDX0lztZmBpaY5Llvu5JDUm/mb4ywn
sJQ1qpLgPKk/LW5TskvJX4iwfjPWcO3iGX4AWeOS3BFyoXaLSgXwSohuMPxTECSJFWjSNEAzLM7i
8S+suT+uWu+B6jJ6h9Cdl1PxtFNiaKmmpyBgVL4u9Z2lVClVzBmPi1R9m2rtC21X5VucR7xS1vzM
1ukUu1ahiQFoeE+bipkJCLfN74SjGCTDH6ldNfZ87gEztpxuUNI2ReJeHNYxufYHxneFqVJZ5omx
TvCLpk5bXCt4a73jLr9JilAlO8IYfTZG+eEbX/+rojpEfVERbUxzvizXIu69H3zrzp3GRAMRMd4h
X5L82WW0M0rrIBcwVrWlnwBCnb2YM4RI2HAZUaUEVJfjDt35q1UdJUGb7H+JWhzWJ59zxKv8JZOP
CaobcF9Oa5zt0lvelyUJp9Vcelj+kPX7Vfwtf9NTOyIhh5VRfUplgIeW3zB3+XHGuXgs3R8pwI/E
5SpGTknzLW+o1IHtHvvhYtxlksmggvntkdvHA5QnZhCHeRuThoAMpGzZ/YU1TqRrNBrBPs+x1fdx
4e+l0rBUGWJ1es4VeyWVate3f4iPf9ScOaycRi6FglB21BzjUfRdz0bGKDfxt0dsLmmpEiX3ToYf
1Zc2Mt+Zm/sNPZKkUcHI9RUru1eDaN8dguUnAtxsg6F6GvLqJ2H59JZ/ggm61R1Cw6hem834IO8+
qsM/vec9ecEzwZ60q4iKWAID+8Joofpw3gLupHTsH3yNUiU7B9Y3H8Rrodm8OKwl1f333awvhsqG
czgSJnEYjhURnIC0lMLcZKkFKs73PvC539bJcMEa5YHbBrcjoneiQVlefTx/5Tg9xMp0TYjH5Dng
V/mtDNvBbN4hk33lBPp2V1Evezf6+BVUC3IB+w7m+GcM/B9II98K14u0bo8P2amYupeCtUeSJq0q
wy5QUab75a3tvGdZmyaGbrmm0U6mPCSploPNp0bk5Zpr8LZXaVLVlf4lxQQpOGY6BG7bPkmCkJvG
eZyx6J1MFl/7W8qE84TtR32UWotEIXPj721dYTKBmh/Lvt7IA0pVRSoT0rpQsCgrxulQUvaW/oqU
Q8cwvxo9N4ELDdeZUcMTf1CMQLuBlxiATPRdV9kq7DI8lkZ0TDhhsFL5A5J0j9702HDayK4h3yNb
EC35jeIy8F9uJyMhxWQ99cOLDqQm6OcvWecxJKuyh+RvuNukC05SAHG1+WtovW+LFLXW/LtUYuQ5
G6HzPdILmTtw3eSggf6vtpZZ3J2BfrR85bdcUHmMKNxZHjVpkmQptFudwySJdezq7mXZLKTfotdn
7IHeZT3/b9MbS/8hAnXitO5eAaeN0uHflmNzeHgcQdkwkwQdpVqPhbGqN58aB6TsiPK3bfZvzLRI
E6jyku+kPUexTp2DBMLs/mrcZIOS/LgPjMPtQJcf5H6yOYL+Vfyw/AHxuSut77Sg5snzlpeiq6ip
jDesSv5ITUm2Mbf1N46jgJpgAp16ncSkkkpKxjm21hFG1U4SuaS0/pVHpyg/Vf7ETk0FfI7gF8Qn
CUFtvLUZKsRBgIYc8fFSY8ITM8zrfy0+vSk+8pGafDamT6MLvJftT54ZvizBygY1E2TjZSZPlpch
50ySHb2x/pBe4tLeYFOpRRjEnZARplnsQmpFPcPGtwSP6F5Pb8vxE/qgtPgm3WeQBDbyckmYc1y6
acuuH3rWPjNJEfqtrDrHnr6QA/1Bav2nbKLvUCkuA5Pz7mDf5mxkNoujngNOvg417ms6yAmjK8FX
cpN3c9mI2EqWhscYnPuh2waEUfI1dA5/GqZ9E8++dX55rIB+L5/njZX3WdaLrBvcMxgg/qWYb3Hc
f7Kr/vxvJcnN4dGJmboPPbPPkD020t6Rn3Jz7UteQV/sGFgmlk++GSGQywkawcN6SuJQ/6H1yk/f
rH6gnYcr+e2+3j64YLtaEiMFfC+uR099qvySr02D9hUycJpWeAJweS25OhpGEXZE7Nkkd/mlfq4B
kGyvckksTuiyBZfAD4JBIrnMN67xIs/RCygX81rQSC6vMmrsHQMUy6J3y60TW5+KOX2Bzlw6RBIS
9MERSvVZg32y3Ac8I7kn5MFlswdfLvLZR6PSzm5kbnt+Gbnc2TZ5qvrgfQA/OCkM/fw3Whl9hz5X
/uAQ1Uc13yRhjVzbmVFZJJNPqVSTBiwTk39vBm82fCm9/C1vu1X9W4+qFq3HrnmStbkcc31Tvnva
m9THZfeQ/RHJwpNPDVd2QangL6td6q3TgOe8+iAdpbHbU+r9lK1VdltJ8ORvv2MaFlFEGkcnldKv
1HaX+ruXA15gSkib3+V4/G/pedwZjv176pl80xLUXcW3aCLyjBJLYP1JgulY99F+eWSOeqRqD0tt
W7JN+tt36Y9KX7TuKCBxEKDH4uJZjGyN7snLhxeidbnBJY3UgUbilHRekk35xCL7yF58P3ld6sQN
Bau48yi75zuJk424+kg5/jrTOMyxt2stQr6Nyem3RNZpuFXku3ObXZCTmRBPNZnp82t60HTASUMc
eS9zjulUo0GDX3mGnzvqStp41GKW2nTc7/GCPMbMwevoSGBM0p3dS4mi4T7A8OfZsz4lfs5JaaQE
IOnObta880QMmejcrB0RQkkwLX7B1Ty9NIzN5s6/XU4uVGsk+AY7dyYYv/EpwY2KHF2+4DTHyLfe
vbr56c3w0uv4NJPaEwbsalpek5l/SJLgacmKYsgvdegfaqwuc+c6/BTN+BqNeG5XXHGDPis6FjfU
3lUWgJUph5zTM6fHHKjmH6WjjJ41m6qYr9LBT6vqo9bsb71+mp3sTU4jCdPqVnzRMbAMn8bAepUI
XzoyRkqP1y/WeMyRZHC0Sg3ZgKdBoVvOAz4VjoSAIwtzGBe1RjhGx5QBfLhBS6S4bCUi10jYbhHn
N5H92JPmSbiYslGbvgm5ODnJapaugFwgiSWgJ4dB9lsag5PZvfnmx7KQwiP0j9do0M4laP9eMT/C
iuSF38XVCqz5TVYNfNi3bPjXUJQHaDv3OoLnlWZOEA6f1th/mNlezjBRDYh6QE5w+cPQ5aot2+fG
GbZWWJzkBFdT6ir0jBqjfXKLVwnF5VvlrpT3N8i8uxZZS6HIUKNX2Hcw4IonM7O+9Gkl11GidcmW
5i6gCvAizRo3ZH3KuY9Gk2OsfpyoDizaIdkeLPjDc5bciyo+6xM5MjFMwFYSxeqV0TBmj9m4Z1Vd
vjC7/qvm/8jPyf2tJhSay3bXxYC6sHWRz0n0t2w50NG/GD+WeEgeUx5GcfiZ3H+EMoleUnvuqjfJ
wkDl/ZUjUw13dpq/LzuJkbLNi7Zp1uKNGo8MbkuT4d/vdbCMwLfBdYOtfGp5LfKiNF25gyBYAvnl
k7Jspih7KDyICeyNchUkPbJ9Rn0j5SbXXFagXOQ5/tQM80Ua06KJkNYYuJSXxn/unE0YOd9+5n78
6+5R45KmUSkjpBoITue3XVmYsKbLmlo69ghopNVaBPV+qKvDEjXI8pcg2LphUh1BQ5QOlwiUJAhN
y/a9f5fkiQzgk7RsedPrlJJzsh6N+q5b3INyJUu5NAyxoYnuH+T6STa7XC8zTn6H+xbyThx5h+X4
kDRrMtWvLDvKi5d7qadbUhjNacq07VTG3wM6/L7tHuQQkMOgKV51tX0yc1QxkpHZ5qMPWXGJMLl1
dNl9JeBGhnbKKm2PwdW+JnyWcFUupAhR7HT4lNlbuqNSL6yGgMIxzt3ETkTZH1LQX7b4yZ1+OdET
SJn/HC//PWrkb+nwj4m7Uurj2EyXiZi/as1v+T1dnnzFl4qWl/xPnlrTJC8U4CSuD7SIkhW1ey5t
lJurGQcvw3jAfoJSz7+9Y5zCcze1h0DnxUgUhx3jm2EfRCaGUTYCPI5cWXI1VCw/tbeS6wwe5uqy
JrOkfTVqGCf/7tZF5iJrgjjdNPDWCLHoJdmUW0ECNSWNv8h8JciTuFa6odIgNth4eg/RDStN2sql
e2T/gRxdfcgrd5pmk/ghg1OEq0n/hUZMurz/OwAzNf4TgbjW7eyydD2kHC2dDo8RsWjZI6RRgzHn
rz69yeGlk93JxgU55aTDqOsr6bOwa0lXZla0C8z+bVti09yF94FRfiAYi9DJMtI/kpF5VvUIzHAl
Oo5mdM9V2G+qkX53JQoAvDpNpzjL1ZclJm/KGDBtLWuJe0xeOq4iGAXu5KaVHfmfGIC55ri0rku2
JfsVPqu3VMFFqPkXzOAVTkBv7mHpbGR9yb4q0iuwAOMKN/U3PdTPS9GIi4pl5lULho1Z2p/Fq5RB
/v8sKk7dI2TsnRT557bYTH16lpK59CPCmILnHJ7mMT9Bn9hLGVEqm1L4lGqf1qpvBYYj33G4movq
pTGfpWKIhPZjsgeuvLMIwoSF1GfKI8w5iATNdVmfhFwetgeekt+ZFH0ZgH/JySSxXa56QO2KJbGT
S9bGrL6Meyc2hiV+k5hNLpinnnvKXPJP+bPsAkmrr9RQf6yJIqCa/YrhL8oWYSlUMqkQMa8RAjZT
EDn8pygiP5rHwW9AAjwpeXKLSGg2bpMwXgS98G5G4a+W7mjTvixKP5HKWfMhTaP9kmLyLCPeZAnW
A7N4yRLOFznxgUZ9DNlRfgV0U+p+nEctgd+7JN/yzoXkUIztPXvh56z9y2MjyWUZ34pCfYW79Gkp
THEfoYMm1cIWMB1uWCgcVTM/iMBB5BgSNC5qDXjRZTI/6gWKWbO99L6HIWOwSHjlcDfSz2zs3pY6
Aj+aspqTtDxL+6YxmjXe9A8ZPlIria0Sr7oZgbrxZrYo3frX/jAhrkSp9zy281/RB8+e/uXH8XPU
YbpO9Np56rEMsp08IRGAxV3+ZQCEY3eTX/K/W7XCAR6qwI5pkhsGuGt5crZHB4PEXd4Gy96SsS4Z
rtwpcse4XbaSQogcCKFqfRh4bJnGGxwD9vXqIFuNtFrkkJDLHPXKaZxxxEK2KII/t3SZUwh38uaq
RoBDko/gN/vWDRNBr/db/k4m4+jXybZI5j+yJ1Gkm+mCl1QeBuC9cu/I4SQPITpC3SseqnBY/1dt
NuA4Myg6Cs9/auie/rIJxS+Pmx/s+76wh/0zzLe+yt/k9coOZ8NX8tV3ORVEPWbAQo/zjokUZFkI
WhpLf9ERaEjUamnDr2R8WUJ9ed/lIZYTw+cbkwmhAnSwMle38oaLYkMOELngfRJyjbP18s3LgUOn
aQuh4ywbqayFvN0q5vAt75BoiRe9G48uZswhXeQoqS4iFJMgWdprNKAiz3yXVqVsokCFHpPoLwX9
tqp/SV9OSuuxrn0xlPoaVyfpZ0qHFTc1uqvRd1dYW013jukYUX1v11nRf7Jx/pUOBkPou6FEykoF
T/qDEtzhZ7n23eQqTWzDLz/k8Vol2ji1fQ5G563wX6XxEQAKT8lKtHncDtF09igjghT7a47pe1zR
UoDEJfmNPO9AZwujp6K1NWUTdZcO4RGxx9IYtsmXEeB9l/1OGlwMKSO5cHXYMsZdRAbSJ5K/Cwe0
YWgfgtxYhA5xRo4d1GhCne5m2MYvzUZIqTb5aiyy+pDhh3g3TGbPC1oM71OuPjZVNPwN7XrdGjri
xRZa1pj37jNsm3hnGUN+GRn6Onu5M+6QXITPpgtMJ/f8/jsHb7z8eDNP1w7FwMfYASn0YKzc28iw
92beKsdcN4IHRmYDmJJh9ppQnV053lz9xWC8m/q/kWr+xKBoX/MeJD288PxB7xPY4Pms7CfP0O9z
lsL/rczxg20dehlP2KUNY1UFXluYxKx6La2enZ6Yt3IT64wRVnixNCXfZWQZz+oAZoyiQfbbZqkv
P04H/F7lbfbRaCBZuxGaURZn2YExyOkYjMPwYKeAq4oRz0qQBzZmdStEC5heZDEGAvmTpTHPiiv6
vI4qF/JUg/d10G1SSshtaVvbJB3yVT7omLDWhvJaz94O04yDU7XTRUfi2Ck9gPS2Vfc4xW+Qtvyt
uzHZOI2NCUHK4BLjY+CDkmHjTBHVhfxoVx4hbf1Lo5YxKtlLFDTOCuM+rJ3LdZV733kNw86cvd9h
FkUbWrx1PGyKRjc2ucEFwDDsBRD+S68M5wYVcNyGH5k6vfql8mNasFNwNTv143QfG/zp66zbIPDF
IJFXroBV4AmBnOpUa+uJI9FEj3MVgyqyw9Ja4U7XbGL3K0is7hiVE+FkPDxp5EH+TJxceYtBJrwS
T5qwTXYfXWH/a+9tr2fAgjEl1pn7ggW2zxiCXinYQaKJSG4YSr/kIZj/kqWR5O5hAJmlppAutQo1
gNN0WNHk38w0dKsfu/AwfvX1YV1lwWOraurRHh47vTTWXlGtZlPD4mjw3CN0RDi6HZ4uExh/GSRn
LqMK203vzq96/TXPpgOzH0700CFEUQcNkv90gttwI6Um7xlUGVp+bkP3Mlb1oXbNh1mjbIxAEP4x
hq29ohyyEOcliLB5lt2DEAv1oD/TFx1AOV1pwA1rFVTmSm2hfCeUl+DR0SowxhwfhPxnqEG+uf14
o6H7ins5XGrvwJDyq0FpYg9QxoFlp71qdorAMMNqEz6Bhutv44qVFllwYH8YvVitVPivGtUOlDle
if6EZVt1qDBmoMEexvuSdzXr5u/QQE2PIPY4KsE3pkU539NTDQDKCIcc8sNYSOwDXkPP78b4nkEx
N6nCtHOebG093ONzzszUhClyFxIKVcOzPUdnSrW/AxB3J01/iAPFPmDVsCNpt7acpCxyjInB7uAe
ZgpDqgJMPfr0HebuWqdpuG49PdxozANQY4K8b2pboAI3vVd+9NxjlK7Wt7P1VOUq6tcIzGMdKX/N
sP12K1gUJaP1ywcrBaaW7NOZvan2nGYD694yIDjV8njcYlmlcguVTJ2rcJWmZCxZ8sHnYLQ4Vg8n
DMSwoW1nYIy5heQznnYJcNm0UjB4DkNYdebvTZewOwzjbK+HJizWo9Vu6SS2vASApoGjUgtmWjyD
11OqTsZxrE+U1PTq0PXDtfAmEUtMp8joXgNLu2um8pb4+pNqRdDt53c4m6jHwwQMqA9BumggjBb5
OtLrBvleZa/wjUg3qAWNTZjkPe0m0NGdmrmbHvMs/hus9aK32ATaeOv0KY2XPN6OsxVsItUBTx7j
npBXKdZkBJugz15BZoUra25M2I5MctZVsi8r6uBpfmszF3uiblp3cwT5l5aJmdfNtjajYlcw1cIk
KBZB0F5uLOt+zrde2Xi7Gp0RAPXyeRrCh1g3PtOkpy6cFLtcqRlcY6LG0Uv/qOCOmFcdz0ZRQC2Z
wBsTX13FXbRX3Wyd5fMvph7tS6OE7wh25k2kWWcPFh2IIxvn+AqOlYlrE0KRYeVYOqpQs1mbbvrZ
llp/GN0Mg8SuuvXhF0gl7oAiNzej7u2AGdDZV3euipOghQInZpDgNoOG24PWCiRarBrvDgDrD7AL
pmML/eKW2jlNh1VKmdqK4Ik6FJuSNF7NyUDdDnNRFepFGO/amW2y7LVjmNnDquFyrswQvVIO6Qre
WcittTL6B9w1PplsHNeTYfDO2li6OxNQ6ElObF/4vgbpSX6IPJ35vpA2oYNHsMVGE5ns0Sh48R/2
X2cTOLc72Q8ObuWU5d0bFFwcjXp751jlN3X496H71c89G6+Pu0KmqR/MPQ6MN0A50NxnB+4RtYvy
EGWWBoqXy5lkw1ObZdaBTDPDPmDdzjGuySDQDa/HxCweEWpBsqoB1a2TocGwxnTXYcgdM8DRXjn6
6Oy03FbW2KvFOwghVyf3ok1TJpBr0T/odmlu6h434wgrXl9+Y+gejKL+BV0UOx0mogWdui5jE+NQ
iNcrZUxZwxlQ0EghyLYG/N001gqxBkd3EZ/mQTZ67EFLJX6yBfanYCiyMgpetwclXeUg5LDITm3T
/MX+esYpZbD3rU3y2yqesykb89JQjIA9bh6peuJPk9tY0mszLNHcusGeGTaNE6JvC39DaF7NNcYk
TaNiMt/ubSCskBM7ilooKG3It5sUl0ZDUkGEpclYYP8xzujJDBWgWvQMDznZ1OTzvMhBDhqiMmRW
a8GIu6W/je3hl2IlyaoauPGpupAIRfPvFAgcXit3EUqihttqWnwFQ/4J8Qlck4a6IsH2Xo3SdIVb
CYasafQ3c/CFtsp2FYP/9JMMYbI/JHhKSqRj4nxdRemOSF5Ztwhnm4Zz0mSoYe6RgSo+/lJTsoZ1
Ao8N7oGOq14UscdRhMZNEk/zAvdRwBKr8l5jUHGYM8xeLSpKkXOvAnyjjIkYxeWUL/T2RvwMLMhx
GaFsnzAB19NTg0DAqC9Vh/dyUXr5zvC+276i46BhpZTrm6ZWforRywiBio8e5wyUS2hdO1yoAK5v
cczM1tQJTmX3js+3sXZKciUQCqtprraWhcmpVx0cpdS3Sp5zj4zW3c3M7FgwIh932UPTu3+rpv7r
kwTQsIqvA4K1VZHzwfOjLxIkmsbNsIk7YmtG5CipKk1NDRVrl4MFT3+HipeoO0zG3airr25pUdEN
23cs4xtCtsrD9eoyKSrNZzc+2VF98xleWSdd/6x36k9K9jlNsN+6iA/UuE/liKdqaZncBUwyGmVO
WOMmmO/iMB/Erbbl/cHSpW7e/NJfMVXyiEWZuFpa/UZr3D/T0xCrzxkdB/g//a62S8i3AY7RO0jW
9d5qvWDrD0yaF/3AmMLIO+AAcW25hUJ9sm6OPaZrJp3RMECFZJiHfc+ahrdyMk5p5l28jns+N/AA
yEkKAICWmI+Y1T0bkMwk4KTXgcZEb+1qDzgAHhs3y65B53lbVz+1PUF419wy09xYGm2yMMBAyO/F
3qo5Z315L7XIuzZKAgiem0qPj3EPftkFRqTlJCbBTJaYu/vONtp1+odJauFHBqTXWMH54Ov3sV7c
uow2zZiAqg8C58DzovKuKdeeT2P1Xo9XCJi7VBMSQG9G+9itKbBqBnczfuSb3EuOjF2yzXbRKTac
8lAw9ZWWFFtjioaVptZbYM1mpuunLOSwC6qHbI5+pjDlrG2BLDi42GrcCp+9FxubASeAi113wz40
iI3H0Go2IUCRD2cEZdAq4U+Ck0ubVulb3NQ1Qvd6vGTyYflv47gJQULxK8wsGrtxZpxcLIZinAEo
8kz9XlVKoFuxoe5Nr7IfvdpW8akzkY7hMPe4fE7NzR/QA7Ru7cREUimmN56NsanbzPyzEqNTxgf9
2qYT0kS4WA2ZcwNlH6zB6tos2dLGEBbGYB0fc2UYn0v5UKRYI5OwnKcpuRQMLNFvDv7zATZTcraR
NmuG8pYyfunX+rtmsgisAILi8l/8zqI1awd/q7hoaIh1xgsWoJuunPx3Jg2inYJp8dpX/Go9JAx6
o7Lsz6Oj9+flX9gdueXK74Jy6/XDvJkm3z0mXY6E3huO5Df6RZtaHRUl/0q6Wdm5hG8bDTHFXAQQ
8q2pO1LQPDUwXV+9yQ5hOastPky+8RaMxg7TPG3jotUlwbHGu94Z8a4u552pZv5m5mR+7YQJifvb
+BMhMVOcaTXhxX3za5qORrav4tF+Gr0K5bzWYW/UQ93t3HjLtYrxXrHaa1yayW7ocOAoa+vDq2m2
1/i3HGcoZE1VtTiPztrDbBoAh4cqO1CmWwP6TwjIWGkRtp0XJwbh6rmTxbxupG7D0Snemmx8JCxz
gvrgVl3PcWpxTPc4SbjuCLKuV59HZXwYCtd/rKP8PgBoey5juCmKq/4yu/Krzs36UdXihsm0fHWz
i8bSVlDS/sLoVteQxfwM3HuKz4riToCI425Tpr170ntgZWY9ptepYfc0iycwFOYusWYN30Hfe2nd
6hI4xnBARKnumygzNmaAr6diN8Ubcy/2VKg3nJ1AbY/evfFuaZtaz3Xxx8Xy7Yi/ncqYuD//++DX
5rW2go/IhNmDL87TjFvQNZD/ZVlaHN1wpmeo0dzSdMvackeoVzK9DJPyWnuNXAZFqzm8p0Fav/rd
k5sM01ucfQJwre6xXpUX0wiQXFndlcLEo5oGw7WhVUy+peW/ojnQREzYfuvkWJQTpDWkDLsmbT5s
Aye0kYt9K+JpvLlWelIbrWba3ZpOVl1FjF+02IuHevMYQ7ogtFKjA7N0Pb4czXw1m9ndcnNa5LL6
fK36wcSonbScJ/UURswoAMD/qlxqzk5YGw/IdeODX1fKcapyGs3RYK/MeFYeapbN2ZpwZHEi233D
VfxUuNuisDMsGu1LERvtn163b+jY1N9JkT3XY+gyE+K+4s3F7JLhfDpDUX+x6fxQE54/7cKNVt5s
uB/jAAC9pSRARW1Lkof7sDnq0Fii+MunMobZVPlS1gZtjFL7iImFh3XIKCwGpHH3qM/k96PZGJ+Q
CZN12NbhQ5hYw32sErKa1tc/MWCxVwNsSwJG6AqKOYaXtm+BXGRDu5tGX1zfLSjS6qw+qmXYrmqb
gnzsxUChZuuu5HHyaiIl2KOZ9GklK9Rqj1anhQdslXEmT5vBvZCx7Kd+iu5WfTa0Wj/nyNYGKxmf
Y6LLJzcnmkiH6R1WR7ujRV7v53wCbh65zWE0iS9JB5wHg/rXKXXSZs9YG+5oscE4cdkEz6PpPccx
POIYk4rT5M1Y03mAipOh9w7Lf5sB4yXC0mpvQFPaNroTbGDDCKv2f97Si+m0noQut4W69zJTvdpF
pF3TgMGfmkJyM7f11cKfZVyFfTUc5qn8hTQOvyer/ygoIm5CLLwE/amvaZRTGHA6Y+3qQ3CMvN69
BQ3+NUbyCLfWfvXrMbi7VfxCUeZ1CqPqoXJM/zFJs+2Y++FL4AFZ9IdD1HlX24yj3yK81QBCdlEt
02u1QwWjazYGj7EPSpspmqiwzG0eMn0/Y6CzTzAxwIxlbB77NLSPDuYKvDLHerNmsLuB0aknhxLb
W16T0ie0Ldh+CCqTDePDHykePH9x+iZbwxEToCVVpDZ5ZTpmO0zuZzsihBn85ML1Sh60pk4eqhTv
jKpSIPCp26LNs0uKddfGgox0pjJpMiKjKZiclIwNRsavQlNeYGGT3HnYhOkz+YqqqrjzYGs3dvlw
Tyq3vw8Y6yrNNF/SEsq9E1nlrsWA8zQG2lOBxx9uFrV1oyNt3awkxLwuaK8hfYGiQJBQ58aLMd81
RO9PVjP3xEeOvdXHstsy246H2QxXUfUy7VxlWK3wrrjbUumcJ4u5hMidw8cCFFI06zqsK23e+vjN
/MINgcguKB8C15uvGmcHJtw+rHJ1SJ9wuvqopzA7GwOdN+xbI3yz/I1S4NXmT2hDVRPURjnn5//7
UNZuftbj2t8Ac2BB11Vx9TC1JEQekn1TqAVhVcsNoiEAdsjjcVll0TlzTQpVpC/JqKgbpQpvjcR9
FoOkEDnq7YBj7Zzk+d0Cloj9bFDurMDbOTnBXktO/FAksNPNzL5NQaM+9lN8QtBVnKZ+ti7euO3l
FztRUdK45F9q6hdXHQHRsUn9fSCuZEwiKScNueC/fy2fK4LJ2iQJxh7LF2b5qgrXAFFk+aE7Rr4r
VJyD+i6Pr5GiWt1Jb/AoGAf2uA6Y+XX5yqyYq8H11FPhOI12zOFPIeMC9E9fMr74iq2hZq+pidZz
/OBRWHKjGoxV9eA1Qf2u1nF6SFxL3aoG7FremOng9QYVwAA/Cn0aKEeX0XTzqUvC67fgmZl6e05M
/EPGkQknO233eolmW9EKqhpFe6H83FwSe+RfHZFnH4TqprcdFzcyPjiGiXJRT9K1blXuI0BaQubK
V3Z4uTiPqnyuVftnm0JEyrF6rEzPvdU2hi2Vn/Z4DTvWXVNw4KN0ePNUePH9ePFq72YkkbYbJ8Ky
IFGTxyysoosd5vca95JHHEg3KVn6rY+zfR67J7ue8UOwwmE7htnEImEYksHZcVe1CilA7hEj9z2Z
uxGn21wt6mum+xWHLVsRrVuFfC/Ty3XqVV/pZAQfVU5R3gkC+4zlnvNK23OVkvqyJJlWnQvbOfnQ
dk+62fxkhYJOKfQr2gOG51/HCZNiq3qwFJ18IWpx9GnUkJEw3sNcx5dUTaw/GC1QrPWK9m6CqFI0
qCmNHfbHOMGZUsmZmYduGp0jZ37smCJmqBn6Np3r7mBScj4Hrh5chwgH7pni6rYfau80We68T1XY
WVaDG21n0I+y1MGDYeQaMAI0HzSYtcXxGjGQ1k+HeaTCEBntoaGYvteCvEZfnSYXzbL3mLCFD75R
loekiagha85xriECdOb05Br0DGzsO2a0Z6+K5dwwY0NUbPZwZpPhyVC1S+elNjENZc0eVOnebo2/
nT4eITune437eoXQJMWexXkfWAH5gRnX8eQQ+62MKTQOlU++RhB0xn4XfGt7D/wQ8mnizhiRGtpm
FotsE7BX1EXTe5Zy1GRj7x5ZEytEgNaLrTo4uevTppmtaod1RqeTw0JCD4QYpreZf/aSIL9VdpXf
OManXZqgG4qbJ89tlEuNVJwKR96+eHHSgLUrx/P/fSCKQ9TsKsG2zqnqR7HZXbKi7i/Lv8yBwYrQ
BqPl8QwBGUdz/aAwtzLUNu8K/F2Hyv6tMGw0SlF/CLO6ARBJJ6Q3wPENvlU/DGa4DtBTvhHnPPuh
iRpZ4eQrKl/faf6cssXQFFvbxAMbrQiVh+UDt/zZNU0fWjKf6il4ncZIf+qiMbuz3Vz8JPTOamNk
Gz/S2n30/4g6ryVXkW2LfhERkNh8lZB35d0LsbvOLjwkiefr71D1uXEeWlEudlVLIllmzDm96Y/0
UyIEdKpWFVu6nR/XxTmJ0p1hSL1jcmBiPZ0Hb/iavpPRjT+3KsaNkm725MbsHSTpmczkfHSRHpIQ
InDtl96ccRntE2JV++7sTuqvsEfr5iWhN84kTzGMedB+EYqicM8lWblXg5aBnG3uhIgwm9FKeH+n
5ur3Mu0shxkgtgHbuuywssgyY29M2d/eNBVzkuAhjgMPY4ZvbSh5col2Zh6XnCIGrjezNngrpfNf
HfdvbeL3rxNZcKuY1++tYlu3GryC8ZGVXwtp5NeRHpl6dhgujX8wrfgvjoqYCuOvvnK4YLjtjIG+
0Jcp6LSk31X4ZZy6yLYw4keckXvYC5VUH7TrPLQ1SAK5Wl7XiNWYJ94Hg8YaJbET7VyI7l5VBB34
TFQDOy3WtYDCUCL68QP76NhsASiU3+8fxCYhhQQ8znSWdT6jNsfesST9I7SmlttHSZmZxNd0Ttjh
F6L+9yPrziTUdhWtOAyw085id9i4k7Wsm/sbj5OSmYTU19/Pfh/atPV3UMDEJ1lF/PC/bygqm5U1
EMHXBF26ySOF9MG1xHOiJ3K1bPnw+5ldk89jqi7f/X4qJ1+d1Wz+B//W6NFMyWKuenytsBjMo1R9
FF4suBKmaJveP1UJoiVjbB6s1qsvKCOuY0kgorTGbz32n25vRy8kHE47IyNWg0FK8sxtHRyHFKrd
HDO2YK2gnHmhR8r7h2QZxdfg0994UmwC2xPnQQ31NbFq3mJGXp7lUpFKpWG+fNpE5frXErJ2Hadt
fM3IlTtMOUe3gw1YWBcg5tiVICUtKba0x32FiMmBzg9RjMfKklmouxJ2Mp3iKtn2nWOeDWbuTDpb
7ozuXL/lXgcRlkwx1lHWPtrPhjHvoPP/Fnm9MCBPgvVvf4/bd/4Sgx/Vsj9a6Uy1yr2t3C8jSp9x
iR5IR3EZPmEQOS7WKRkJQMUjLOHYo/SaJoeQ8nv99fvR79eWQR2jGMYus3NvmzQsl7wMe2srrjnT
l1PKEkesIl5yOVADGbOObwn3Bt4ywbRj65YVeh73xWLLa5QTBOhCEy1loh9Yg4nnEX/vcIwrH6t0
Y3qIm1QQ+dvh10ma9HKevQkPXN9PN+Vdm5sMPjXj/RuO7cjtYInPyCSoR6JkOhr3h99Pfz8i8weg
nsZvrRfXvk6cMGde6TUF8sEvF++IBQkw/d0y/vejeGbkpnqHNTBfSmMm3KxTza07V+rM7Ng+lHR5
9Xiygmu+xO0NyKO9/X5EuKa5H3qHjVazjubMO1VOZl1KmYPeuvi/Ms8rchbA0fBUK3xCiclgfg54
8DRl5dWLAu/WuBmONyzQiP87sDbxN0VWL7dGzt1pbExcxKfkwvp0WJryxKte7oYEfYQAHnsNLEap
S589xSmImRFgtGhbKn1ISjtbBUzI8fSZp1DmxFUNehSrjhTOlwH3UO4AlCyOmNZB3w6XLk/FNXAQ
YplIJ0TZPGf3B2pHnMbgGejHcgy3TRlaDQr4yZ7RLvTiluEqdm5A9XBA4GC8x1K7gei/NHkDkH8a
g7KUrCI3G5ILUiZjh7uDCAenCV55bbudVRfFBnfSADpA+8D3BqFf9+/mFgaxFVPd0JubXWwJ/ZEx
yCHVwUivfmfNrxEhi5NR6w+s6Ivj6IPuoTDMccN+8LWlHyX1MaUPQ5+CWpCExK3Tm2inndq/BPVQ
MaV6nc1gCke9qDNsfn7LrfsQudLOZx3XGyZ6DJQK7rZV1zzlmZ2clKN/dJF/M2bUTwzMp3U9Teqm
LAKDarNHmswd/5aVcDZMMTLMgqTcqXGGr+6HFblaCKpmgiJ7tDRv3CCxH4/bDCqr8d8K/RxYxcGe
dfktMpR7qs8ZHs35NyJ1xF+Tdp9laceHfq7qdckruR7sSG8IQjAIhmQSa7KJm8h8Idlsog+IpmOb
x/8tQIp7KdI29YzDEykZxlOMBQgC77m7RuYwfwGQsPGez/ngMCW/ewIXHP+hK3x/je/yfF1Ge74q
4T4UKVtx6LdLSjjyblj4AbPovV2NNGflKTV/WHR5AK+pDj3Hd9eDGM23LLa2uizkkzvh3pfbRCRk
0BkvNq2V6JppV4qBxXVcNgNK3Vgy26i9EP9VJP66ifa+lf0TVw6uxkuQfy4RknKc529qJFbdRaT8
YlTJe+lbM2X/0OzjMZi3NLv29d+PnIHCMBJX/j7e8a1rvOsincKFYNwDuRLGu1QIOrwgeprje5KP
LapjtwBP+g4unV6TPBFb6D0E1kc+iuTp9ytV8AU5a521QrIXleqBSIAafb5fPwyBZJlNQOn29xtJ
5+CRFHXFwVuy+DE6JgMxkRH5nRwSZcPwXpNOZuBB1DnTY7a4ZB6D8R58lpWPaAG4sIYlYlIm+3UH
7vQ9i9OYKgmom6SHzuxp+r2YqAZ/QQcS4NFpaueGn71+HHT6xVCjWvkGY+9moiFp9eQczLhqXkvj
4Kb9fFJeum8rNGgMn6Peu3atbE4aQow8vyV/m8ZXqKvHlOzuvyPbvnypcVRoQW+XpBWXOhfiEjkE
NdW9R5qlh4dHRC6LId3dYCs2fbqWJOlm85uTRi/1aPq3Vojprfawtc2s+gVzB6h4wzk0ffpTu0n+
ZZUkfpoge8ZQsu0WTOII0Cr3pWcmnGmfrLsvXtu4jwBAFE6ECsZF3u37qJi3iYlDmwmFw4KGIgse
0V+1VmOSlMeY3J4/1JtN6jTu4dyqVHAei/xDRm78KMAw295qn7saL/MmMfyD8JcXwq3sK7Yz3crM
kLgTPyBCCH9ipRyPGbjm9uQmNlm6Np/+fu33ocepaGssfovqdlgrsUgZVu7Q7yZfF1s5UdiC7lSn
3xlxYQVwAFnWbO97HJY6yyP7kPzYL/shcz/6mY1dD+IAsSOz/TR5DGFqUrSc6LVJA/sxwwpDK/ES
LWJ8yp34RwcClWRAJEXtbe7/NY7lX3ATSp65SNJt4PRG+PupnkQW9uUYb6mzrFsFlZXVLDD6CBfT
34fgebI1cRZZQjhG7jrP9zThTeOahOwsLgwNaYwIt1j4m8x/FCmBGoNEUlkZXRQOJVHNJH1lp4SA
DajDAs7w7QJCch1jnH/sDDxyQmQ6GhdJaAsmZwsuJEFpn+bMeO7IHXba6iY1BVtOQ7FduBTwNWGr
mmPCJKIp2kD08/z4Rv2ctr2/aSWl5oBp7DM+QwFDa5k/D65TX2XfvbfiH9P0RmIwOnk22Vcd6KHq
lVcWkNEycfcGPrprLizngqnVCQPQllbl/4sFn1rqAtBWVLTeRvF3qNuY6V7SHYbchu+jWfuaZ+fJ
6e77QNsFy9Uk6/ROwDyYgeitzttNDwL24OE9jkmxT0DLzPbdSMyzaXYwAFXzJO4PQYY9EELnYsdN
5q5t7Zxz1WfRHqGqsTYmms8xSXyEV5G9b4N9n00whDIdH6m0AhoQy3+aZ/EgGymPihEOFgN1GTHh
7yesclS3/v3O79fGUa9SAoppEJLo+vuQOizDOTAwYGJW1LvX/z2MWcYhMVGiNjosPKs+uOOMvG8R
YRqV3Ss6Z+vCqU7vfP961rCvKjNl/ftjTd6uPadJ3hxRFxdiB4P//lgXd6HlivRYGO60j82gCeEO
mKDY/njooWme+oGkhr5B0H//bCKj7ynHVy5slCDI/Pcn7g91glNcjBHvghJq05jmdJyDn3/L338f
ywwtHnBuzGTmM1eFw/+z9wkRbV4qt7YubsYc1wRZQIKa7DifgrfSG+jWTf7HioqoT3w1zmAA7s7G
ZWPVObeG5OePqkqjg63aJazvnw4+wW8Dve/VSBrxbCzlySfH/cMy1bALSJS2Sifax3C4O2UE7kPC
67VOFFvYclY3QJf5ZwnS0GyC4pv009fFrW5GN/YnXJbs12mBKWxV1dNNDvZrGTAGMWeXT0uB12Tj
/ve7lmVRrk/138isxDmWdXUmPfD3k6mZxNkYK6dfQfJxKy1EQgq3ed9wOVgApkQIpHV0KJZEbyju
uY+QaHUgz+p/c5uIqWmeSto5oeqN7jnJqr63bssi3xT3pWOsXOvm4zZ5+/1oaY9m1UbX3680EUtC
DLXPAkeqi3LJ15s5KwnvGzxCZP3iQK3/QOpOfuGqzi/N74MTyFNi/fx+WUfYDdVjLy5jtYENJ9fI
U8EGMWxwilrhsuPEsQxBIOrMIV9uhW/1ew/926b1nBMFEpGeQ9PvFKf7s1GkDe8L8aQJrFW+nUMh
kqEaRzc1SA3XUAES+/VVo6zdRDTsK7vokUV1ZmjaOaoz5PiAbBEhJTy8a/cD22qq7dYm93VQzdZE
YXSexbSvTQS/E4mLmmzhDh8GKub5NsXLeBra8uyTyXGqU1oni7aUgOiwiGiwHFL89kW5QKky90is
PH1csqk/atZlKmv720iJNOeCc5f4EsO1jFD2hrspSuarRqHlbvRp4WWQWNu+vTdWnUfNqMR5Hqzy
BmVinc3OxcG5MXD6AMIJnr17EoFLpGTXPvCefXZpLA7slNFjFD8ZPnnGWFwFST2XNNbXuWV5EidY
G8zyH5PEhe09MWQLqZ4+LH2xNmZWzKar333arkOnEYQNwCkDq8Q3GXTFJjH5izJDb0eNVZ9DfMx6
iWoNe9f0x3rwXUKT3UPqgDuMJCs2dfnk+/74KsvnvrLu1WAKY2w9aBUUqJCjhHK4fzIxUsU5y8FN
Kh4/bYvaZtTmzL3FKrZ9iV+8Wcp6iwtyhJOA7z7CttM40/DmRYwocypZ4rip3gSzlYYiuw+4KHYK
MT6wVX8vxfKQL/T8amLoAZ67qua0g3027TUeLtk6dZx0PSpyLaaKInbmp+KMDthxiBLFRLALm6zE
vdDB6Vi9NEuhz+VkhY00xiOpwTgY0btvVSbvkBkefS0whITG8VsHFU5mXJve79bKN2lD4/HFdYyd
LrvHtstPweicMb4YtzPGX2Y3tGCr8Ufl8waZK5rVXMF5LRUlznBvHbJbNT0NDJcAbxR5lou3AIbE
r04xvrKYTw8YJH/RV8VeXWzLlhdYx8ywSa5J0UpV4zpPQQgJCcPEesFh5E/WlOOnA5Iqh9RifcKr
pmeYvsRmBmWSURVqo8TZDNLI6et8rTxn5RMavokc6DrLUE9taXMeeXpTuPkfJj7sOLpnhVvCeqSa
DOckVqEsPYVBm3VBih2sWyyPVn40ItTWz/gxibA2wYyg4TkJJhQPTmHvFhFDoif30V6wpCzrCNJO
8fOuOJnWBdc6EE+wDtKuCnNc4OyqeXel5TLkhNrF7n7LgvzSke1BtQKKRs7EtpllB56evVguVxHi
o4OV20S+NwtTHO2e1PiHeR+/y0mnm0uQWwYcwYlf7gS0xZqUQgF9Jv6MsLgbPw6YNzbO/Ul6Eewo
CAJhLjza08oK2GovEVusrre+iMsZ1yzgDjZk7dpQvr9lObjpqm6fGn+iZDgDLGdH1zn2CeOhZjvx
L618OZI42ycEu9h//SUii90gz30Gfu8p2DvftkMyQ/z1oMsMUI045mGg7IJQug5G9zpPlbdpWTWs
ZtUR8+ykyDEjNNYRVnsswN+UKNqDkO6zX6hXWNFHcoJoApM+7ANMj6TaO/df4dH11jPIcEHQBq93
m4H0fbbCG08Zaxyadn5ID2KXRiu/BFFkWEjnuk59670duWgrpDgzyGDo23SPViReiXVqdwax51Ru
n5Q71k5d/bRxdq1HtZUlWzgJ4BdDdRuyMLuQiLN9VY56bS3cBKsCrp9sP9YmnM1xGpNlW95duCVP
N/bCIwPCkJNiWP3EVi+2stAFqRVq547pP03UHNh6HWdl7Hvdon2MmqtqkTr4JsccskQg5/YMdby1
p1jsprm5ZQgmV6bjJuci6452LYEE046FGgAxtMS9BogfM+E4O5gfy2vVzrFSb9WWXXbwbd72Q+bs
aluzsEKLDVbdqWg+NdBdK8v0YVvNkaDZCTl5Z1/y1AZ3DcxXR390ZYN1We6yBhmaK8AZG8WJRWS2
xKHpxzebjTkJnfaRRF96uWFGJpFzJ/MHn0UYCKtGmlWBmmxJnjbvf25Vk14dzZD1Y5QSxKAusS23
05Ja677JP/KhRXvnwMGlzXCIeRf20MxEWxS4/y/lk56NL+V4FzOfvUvQQv/VLJ9Wozu+oHfodsnw
Dx1Iu29LIquTokofC3adeIIzBOWO0ziYNLZRs5XWcCKP51BRLAJC8IfbwjHhIjhJ6ctYsbDoc4hW
ZnssBzTAM7KRRXg8vSJv9oNSVwNalVj5Kg6Bf/9YzryxlvxJ+PVrTHrisQm8s271hT3fxWGzdbAm
69PTNtEM1NJdxXJgLqtzy2mfRTFuO+xRhw4ct+g8TPviyd0OEMuhzMY4JN+FpL0/Wj7FTRSE9AOE
LJWesZ2l8RK5CuZQ7sn5yrkW4/ZQpPiOlyOerZTSkb8w27D792GE7fRZEiu7qE6OB/NajOm64RZl
LDnb9q7e+bhsFXN7o47ddYKAewC213Zu+BPAsVZjjW2KF2gmCAttDSim2bWIA7r2b+Pczdj1sZLT
CbSKHRa+Doruz1/kSzL7z03utdiX5IcBOZ9RLs9JH7hkn+pDH2eh4uRdvFWqlwd/Qu+0PBnLItAn
ycvieT+ZiGCWBKKYznD1WsMJ+zumEzAY2czyOykcfJjMgTKpifd1LuvQqhiRgdCe3L/zwuRS+Q1j
Mcvd26b3RJ7f39H36yMw1wMCqZJUaxIK+eHUOGVyTJ554fOlxzSl6z8nxwYsw3QlltXKtbNXEuvZ
RnMSAvSrTWSzVMrcl3nC6E/6Q4glD8MArpEs4PY8OUkadqRmBuMZxdIOunqBCaQ2lJ18icvhPyNr
mFXQ/cdo7floEHNCjHm6rz2smrKFYCTc84viM5XtUWTM0ET/JiAxV9OcvbYthHSvnLccX+11/BOI
ZDPjO0NdQ3Y55nDVcMlFt7elDsJeoBspc2YeDZ0Bfpb/GFpvu1Hd+mK5Z3Ltl9YM8yn4ANSeVhPV
NYv0dYtPKgOnyrkUVMR1IgU2I8yTTQQneyU556q86a61u5c6Sm/6GDfG50BHu7Zqv1+lC7kjqv/K
jcRnBaaMq5sU+jCq6L2ZYvLcB11sCqFpGe2YdclkUOboBMar36e2bZ+qf+N+uyXMsk6FTmJUqGKk
vYom47yYNbntS0tUdopKaMqkv+vMqAPZjs9meWeE52mtJvNGtoTTcNt6nXvrx46YOPj5k+vKr9TF
8a0tymtBQCbHFNkFpn9kW14fys7UJ5lhjJAZ3c5JR7mbsf268m4n0s1mUAw7P4yMhUnUYtM6R2SI
LPChdZA4bwM3OpmPj1IWiLjIAKnq41RZJM7W4lHr+GMIJsIPtEpDUGw0vmbmkd+KsWNsjXs16X96
5+5gLGLehkmx8vLpn0XD5QcdScIZ/ZuFtm/O9TPtqL2NU590NWQoRmPNm4StdMdQcqN6+WDeA9SM
nGac1G2Rt+6qnxEq8wxcpMcysBK8o5easXQ+XeB9ia+XsKCTM8otLx1KEWM1CqyVEL+plRNXO22C
apcZapLKwPuBbzkgsmfNvwPgwso2+xg878kn0bCxSd1UESOH1ANa6ZaT4Tf8FWp8AIJ8H5yjGfB2
tpflI7AD8Hg3PVY44OmgfhqD/OhWDo4cNpM71+m37kR+VZSzq4ZZ5f4cOAfeqE8SI3DyGMgfTYod
EUje0SSAb3AWaxvQ+XCiNifDpE3vzGY1uQiEuiMAjheSLJUxzsmvnA89R5ljrIcyBfnGKSAw3b0q
9C5lLcjKbWWWSwmQ4n270KskVlgHsxresNffyin6aCgcK4kfWs05ElivXsRb0Z78NcQxsvfE3Mx1
/TEXwQVOelO6ATYTsUiOsUOzFQfryTf3o5/dSP586dxyQlPovttq2M+NdU3s7j2ldeGeau7nrNsW
xa40ijfLcjq4yMVaiQrcG8h1rOxlbanYoSUM6lUWKDoE6CsGk3pLitPfISiPc8LQ1pjmzYwLZql/
lIwPXjrkG1tnt0l2n2ZpFnDF/7AUR8ZAwbeBl0Fzb6LoxzQiC+4Md1XceoEpdbZSiaH3WWRsEPEx
zorJuCpk9GraiTxgZh6va2va2LNDRqjoqC1buTYDe7zT+vc2KPuUZvSHUJzb1MpgV03JS+yh064R
93VLETriu9ANC8AZVxGejmoDqLfiZjShzy0Kc9iMUTzus2M1zeapsquel3QAGaJYkahx28D4mH3k
auCCuy5y0o01+cN6QgqJG0v1XgnntY0jvM8ZCiUB6h3Hell8XJN9TTSIzvFbKZ+NKKZ8LatDHMVn
y1yYb03sDh215ZqtmFUvOHeR4cvJnGzQYjRd/04D9B6MYgpj5Rw833qcLPuhy93griLaSQNVRl29
AN4EaKjqkznUrDrmXVw0TEhnmj+/Cp7mRe4gbfdpQtKQ5rmLg+4hKIyz4Se3FIddL47e6SZQind3
Th/rRk9xYOUop1PRsAkq1Lm3k3oDZqXXNWrNcb7rDIIWwjG+Wg2Re7bSakMfvJaTBb/gMX7q1LZg
krTvortOyOYcIgp5FYgseUljHESW/uYXqFfbqOsOFoPMTYtfegjpJI/CLHFjqsqbn/y1XMPepJbZ
7oU7TQfyub0QA4xjw2zwOZLBG3z0UczNeMH8yLkDUiOwnHXKBpx5YhUxqrDndTCZh5JDn9kEip//
+KMTrOgovqumO4jaPhNjrZYiWZXa7EBR9oxG4Ztzhq3WiECX6PN12lb5ifc6g+nXjt9ynJb4YlrY
mQRUs+X8YTPiw6mGG4XAV4tfNnxxwd3lafJWGcUzt5cPoeYn+peNjQEZti4PMW+urrIfJUIXSo6S
Bon9mmUJ4A3b/C4i94KP4NV0L0WwT8nMIvelxAY/4VbU/ljtjIFK/s6tl3Ooy88pBEDbG9tkcHB+
x97A6pqQf/FTxX9Q2L+oVL2QEPliCIGXUZCBO/XEDVFcc08XFttQk8Z3kgeZ4j8PsqWiCZFVUHWr
6rVMErkTQcAxYpOSbZirnGYWlsPi2LJeAmmzFukw0EQdRjGoV0gPQB/cbKIT+irSu2ymxozWb0by
LSPK5dlAtmJnJITEYuYX591WtLaiahh3hjm0KJGCFnaXrpY3FwV9ov4GzAPXRh3sBOwU5z3JGIXf
cIy1rFsrBHCW8JyrWb/FRfbZmcG3gi4Evp03YgGxh5V5qPIxQNHQxRyk5kM5b2QTTp3bh1EUZEhi
sD1z5XLABX9hHILYe56/1XBni7rloy9QQqXuMWZpcMInQQ3ZADQixlU/fYkBDk31It00mm0qgeNh
Z2dJKAVWplSsCM5XsxTemf1SuW6Ygq1KL7bDzszXmT1wpnXkpk4mPFipJ/RixZOltb/HG3wFD5ts
Gjt/h9N+4V+uVneJHbTJwoy87LZom5+bXr4nDQo2tzcHegLkhbnpxNt8/Jv6rH2ARuifKEC70dlk
NdK+X24DqXjt5/gOoLgasOMMmULP914jL5J3tWh3nWVOvM7tVyovsZKJ/+gmZbKWLoP+FgCX0KJ5
D2cKtSQwV/KpkMbZ3iKtt8KpiN6CgtYNOVHpx4/AjB+kZzL/85nb+BxTiXC8VR59oUE7z6jjV4Of
zqjhzQuJ36++m23GxN/fE0jhop1jLPUQCjbw2q/SdW6Cei33ydUCQas14xLD9ujVh+cqZb2Js1Kz
2m9HW6FpG5utnaKBTxZSqmaW1IXnHgxEOdusiVDmpJ3eJDoY6KTUlzmKYVOO5ZMT2ZukFtOjXMTV
oQDFNDLOWRki/uJSMj4jv/W3aSveBNO3jQ+yHhlUr3TVxBjbvkYR5YUtt3dnWOawS4yTNCc2rSyY
23TqdnHlUiVCsoKjjeuixulE1enGi8TR6SzMX2DYUT4h37br5Vm0wwvFDmcNqezMdRgBTd7acAr6
ZK1bkoPRaWceUT9d9tMsACZyVnsVqS9LdH5Y5GB7ImjezTo75Twla7OPD6rzT6y2blWPfitgeFXg
X/Z7OvSTx5zVryHD5VPZFm/TZ939+EXhAUdXb7iqaJ5kgr08r1SASfyVEc9LDCjCetKa1h5uFnJk
qinvut52HJBJPGBagCeGbL4KV+2gIM4OuUidlcujkXBvH8uKNorQE25oW4MqcNtWiPfS9L1n8xXe
GwSvRmwDAnOtjXt2SfQe1/YGRyKcfQOFycNiv5tGMa+WBpzBeerRqa96+J01C+9LoBNmS+42KMcR
02xtgny3K/xADtE0M+eybP6qtGR8OV5SOKtL7tDaagvVUnBPtBfuY+PobGPWe0vZ/8QyuymiuK+t
WE7xgsCp0wvEi0RI1HG65MbEMjhJH3mbkT+DWROnxZxjxjEyhXhMypIMPwiyC2djBTuLvdhAt18u
VwdO73kJpu+AaeAfKyJy2UuvOCfiHNMnYjvKmC5slHvAwsuQD1Vozmb52IzormWMnQR39WPU2mOo
27baNnJZDqJP0tM48cYye+elgkgPbd6C5ySlz1vQxCCkX6PLYA1q1C+QXFQQpfGWNKQcGmLuwwTr
hLPtGhtN//OOJc4uN9xo0+UbMQRiGwTud1Y77i35amwElW1KHeQPTmj73JOzKuMCTCCPA+ltlyr6
27vSuNoERVBzW+2TaRAQhCvdWVSp9eog4Q9pEr8sldlb7WYUdDp+04VYV5HXEuc+ltecwU3I8qU4
5wqntAKdUmiY6LNwoF6Z95Z+jIU+L2nwsFTFuLbr0j94Zka5yJQggtUJbcsTb4mejwBI6T+Gspp1
kcPZdL6+ukWzWZDv2yAhq9qq3JUFPF7V40ucqleEGOWBzdqxNpfyYNgljmDzZrKH1yJQFmUzzEBV
f2LTgBu8n9LyjtVPDd9dJM5TNOePE/ZdkR1GBrYKGc9SR59ETYv5F965W9l6P65mRjHl5QaEkurY
eJvQ6l5hP05LLPfdWEx7Xt51nLnPkYjrtWPeTU2cL6EhvLkaMCiphjWQVbw3SCjaub7aRWNzm5vy
a0o7i8glhvJ+2iO+S//4qUr3sY+PxcREdTOlywMS1JIuObuf6y0+IAaveZ9W0doVDIPHDs+hNDlZ
IxYDKYJLr80FaGdgkqPNFcerCixVJURwYlxrRsS/xkWK/D3Go71/HiX/40GnLl0GQzU9pbV3iUdr
y2VPpzT6z1mCZ2B3Z4KKiFgoM4u2ttETBsKccClqSeV0mE2V7foFtyy7qnZmMj0MeR9aVFSjmj02
FojANcJeNb1IrLnuAAfJhpn3Bg7GJclUF8it2vkGItpontPQ9iYuf2WerG+P1cba18SyQS/Ri5Js
szEje2tOaFdih+eaTcYD6oLQHyEBLYufVNGPoRN1ILD1ocUTp5d0yVltAOriEWritCmyKTQW+8sb
5TfIusHezntSUfWTN+5xLNxx7WjFZT6jAXbq+SVw7WFrl2ieKlxpoPtZikRH7afRa9VOu0HOiC46
cimc5eZSg5yykfEZt3M4vEmsiyE9iNlq13h/WSvLb7hjdeOZoOX76kEf4auvVVqJbVv3n6mFl+YQ
OOYGcQt7TkebK3UHEdWENwiK+pBMuT1gtvadm8el/aurvE97CE1/mOFLVl6P+YgiZmKL6dl5tKz5
TEVR4rJ0akZKe6MLM8N7xJj+P20wfHEPTTGmjhPmGZw8tkUVliUMpevaAOimJGr9bjigAb7UuPOh
RGGdzU1zbcYozXDhxirFqBnvVVj6ZJJlDJXVKqh5BuUEQOQxW4MVXicNImWAS4zZTbdkCF70tzx/
LwFQL31kHZeIyEEItnhTZSYMdLMpg9r4Eu58mrxvAqItrJ7RYi9Yxm7KgWW31DR+o1o2cozYMbZ7
eedPvcr4Y0bYn/iWIdaYoct1EtxEMxL2pKZxVRriJxmTb8YX/d41y2/bb8ABCryOYHLvA4+Gt1b3
0LQ4gnSEOa59CaTIOJTbGEJyjfwxrFKb8n1EUj6xuQ19gO2pIq1I1lxn6Iv2dmTne+xmkzD+P+7O
ZLlxLFnTryLLVfcCKsxD2600Cw6iqHmKiIrY0CCJQYDERIwEV/0ave7VXdynqDfpJ+nvkGKmQClD
kQF0pbrKLLNSIYbzwHGOHx9+/700Hii+5GAGrSPdUY4tpyCLo07KI3uId0fzeY2iuUTXA30efpak
VTnQ47g+qsEUwYy0kDBNhun0/TDEIlq00RfGjaJXs2N6o8tRmJzo2ewY2iWoJ6xwRBrxs6MGdHxY
Fl0JEEYFdXJhVgrm0TCODNP7SvEHNjzvHEgXme7P4Pd47ohYa17mn5No9jU2JJe2Fw0qWjBFhgyX
CmxWEIalV9IS3ppcSqshzEMFxFJ+vJyNlmq46Bf5Ajijkg6WlnSNPT6b01UMbuxruJ5Au+8VcLkW
ozwtOBnSJDnRBBvBXLsKw9LpJ5U+v7BGxWp+Y1E34cSr61GFBkwoUDOFpEC+rs4kie0bw8Wq1rJ+
rufzuzAiD75Ypp800qnjZRTcVmY0BuhH8fwzqXflBPAYhAdFqg5WtDJhEHy65/UaNJgKk46i03/f
W63rL/5kPruM6CqdK1pIeORTo6IRPjfzEdNwqHBCgtODVIkkhsiVr5zrCa2j/dnSyPrDXI/lYWIn
8KCW4zCEx8KPF1/rhWCCWttjaeJ4gypgeHVIgkJJopoyXTY0medUZKpM/2ZCfLpinaI/g/ZSGN+N
4xw0SQ4xqaWMJX1Jy5FEU3tapiAFSMjoGb44490jeA3gDArnl6G5WAwl2zYh4L5bZ9KJRidYT4Mp
sE8LQjZkKsxIJ1V3bGF98IScI41yZwpU4SrVAdeVVXBXk5cd2yU4pTRfaL0opeoYJkx6YrDvsqpW
1xXZtixbquPcmxO/+RamJ4fINpROHNm6SxQgP9xF6xNgT5/XUH75oRn0J8BzaMWA6tHMsXk+8Tlx
rYa1ovPSzhyeLZwqSfA5c3BDF6DVBnhQn9e6cTOXYvUoVCIM49zxj5Vldl3OVw4EdHUNHRF+aj6Z
YrK1MTh7HIIU0XNiOobJViABrYE8gQdASXTS4llxhpMSXIKaBUquLgcQFtC2TfK0NtiEqb4cOYpC
j4N/4tRkpBeL6GZWw1cFx95n4KwTTuXkUzFJzzQ2Os4Gs99poON6A+ihK8WAZmm1Ny8NgN7FibbI
JKhiKrUPRGg+Stfx1Cn8W0sj1zsJHJIu5ewsjr3BwpLS84h6iSlFX5Wa5r3lfNKna009g4QD5wE0
WZyUzAOfzwhkYMU6KqFS7CmVcaKtZbNf0r85CMrcgXFifkuS1DjGm1sQhR7pfuAN1is/wQ6W+Faq
0dMwrWScSaWYVX5CIumrk8fLsZ/SqLqobZsA64ROUZj2bTrxDT3om6viykxIE2a2f56UOEqhT04r
XjG0xnau5otKGy+WxDAJbdB6YcFpYgqqC4h51Pnyi6zZF/qqLo5U8ApKUB+XMhNKLO/arz7N18U/
Youm3EnO/k8ygAaZQuuOGGdbnscF8MFYwfVny54a1KBiL7qZrHx5sM6KMTlsZ0K0mefMo1eq4lKF
0YmB9bWmwyJVlyZUNyac89lc66/lGgbklBZenZA2I/AcOIAj8Vt6gYQMGAhp1rIZ7DRTzqxZeTuf
2JMxmXEVrzhLYQerrj2JmVKr0u6D3Ov5yeR6FiSj1KGxcBUzqEdbyXAfYN/TFD5xC/6Fug4WA+iZ
SDt66QWTnYeBpgmSBNzMhf01tAzmaTLdrGZ3+mbKyHPfA8VkUdeMlqdlQEbDA9oaB8Y53IMibQEw
3FueYy7BcUGUvjSPQQBf2/NocrkyGaSbFPldTIgtq6szMH7GcTabMaSa0QdrvxyADsOor0HvZCZe
uEVlQte1b8nMIlMr6Q/LS8eRaIqYHC1lyJRyjbMnUYpjsFExYjgtjFxJSLnBh+LaK0/jLNd6K2V1
T8anYjYORsTKvLPVQl2PFzOMDw0TgSghfiykyVdgXSNPoc/ZNqXJ0Yo+feaBfHRM77Sa658cbWUe
m4l54qlSOsgEY1MUyYTzlMpUZg8cZc4kODJNi64RYKrEcMPlJD9ZF6oJQoD7EoIpqMEcAyq+xeqm
H0SEKgRBlOrXF45tSOe00DAAPKJ8aAsvn75sBg758shfaCceBelxusyuGB12JaHNwdyEbyXV5gPJ
Ea4hj7HKkz6m7S5dVYz49h9kssuE3xktNMXioZQYdu/oS96RnhxH2kzq6U72lcJzBbyX0CVQwWaR
6arsDG482mQki7Tmaq3NL8uKUQt6ZAyzZSkfVfmQKjeAw3Ve4LtbPZh1cciM6G6+4mIvEt8ZmGzo
eUhCP2SYm0O1JsJHHubl/NaMJ0TSId619WkN201BO8h4OVtN11We8/K5Zj8uLLrQLPjkZ7HDiGnC
kt6aBiecOtA6RKDR8ZociHVsGtE3jdFzlB9DOIDMCvBZOJQM5wHH4LpcSlABedg/sChT0l4krGaR
em0s1uTFbFM7i7kDuMAnvUUIFD5k0EbKiBPdBGqt4gj0TCu9SX2GQ1FzW5+ak+CR6XKntCkA94YZ
9TNT5x9oESrHuWpqIy2pe3ZkfArtwOzDeDC2oAu2fOliHiXjWiVduWB6fQ38rgpz855i0zd9pl0x
yyeGjiD8pJhxOJBju7gKkiobKaC2e4bKrQ4PVsixopaTUwJnm15aQHBJ7ZmM/DCr3lwirppB4Daw
WfDaMs8XFQGJJRvg/sFl+amSjOZME68BuENt+tmXlBPTy794NYhXMu3B0I5NCSdrQgITs6nOjuRK
yzjcCxrXQJQK37pUVZCI0VUNVw4IBf9mYTAAkyG4/ayCPoRSaaTMyWZOiAySvLrTaJHK6nGgzb8B
yutblXSqqpxl23uoUwbLYlwVfXXvjSZlQS7MNqcArvxjOZYeDaaXDLWcNlQaeLJZ8dlceF8Z6U6A
Qr9Gj2lHjCwK6YGoTtdRdOOE2SOwZ7Jg9GIAyYxC0p0qZXR5TQu/zlgAin9s6V5kKXARLs2xxEuZ
0+m/ntgAGKOvRiR/lVefyiiZ972IqFotZcEAtj6eLZennklMXIjMGTM5FiCPwmpF8VIuxx5zdErZ
pguHYiuEENhHWBdnc5qrVyUeM2Fub80w8vibpi3OFhD+0Rq7mFOhHpoMpbWcEpYP0hWmmH6syPRk
4OAxwwtIkMbA02UGq/eEgoUPE0boL4lXYb30Qr5sQTv4OoSsNUqWt6Yc4xeuJxApSJMhTeuXOA7l
kTK/gH/nxMmYrbM08SnMsMYZyHhZNEjA0AbyIwsX41lFH6ykycO0Vm4CcJnoqg6O0oyE1JxivB+R
XCcUZYSYN6cjAqIi36CHsoxEvoMROAAuT8OIQolNFwv+r94rIovwebUc+bVvwhsHI6q3mN3BCUcN
NNXzgWMz+bPIJArTC0j8IISqfIOZpEsgHIaCE1BAQ2eYSQBgBJgHaXtwImv9S6JaJ+GkmjN1TeV2
TWiBmpigs+gxER2oN+Bp6XEhwa9H+ifwfDb8Ilfg60EmezEjEBbO2BDm1TRl7kzPgNo0zq9Bbjqg
qkJsv04hD960ygMlpKXgjv05aWdy/BeT9XqEoYInchkYfRkSDSYWr48Y/QfWApw0lLMPeLf6wJbW
KTw2X/1Cnc7h9xhImfpljl9LSziY2PUMoqNJ3EuUujybVUcEb3THrlH0TC3FRBfbHM696qrwnS9+
fLLWghMtqwHSCmJHspNkXEFPRNhrTsOZX4Uw+cTk6X1SF0FZQG27NI2RLg2WbFNbyQgtg/xEAW4M
CD8YWQFGvqDjsufTcdezaUwz8NipC1jgHrziU6iZFMWE6or5jE5qLbqEkm52Ka20xyLITxNwpCNr
rgXHofV1JVM/1StDGxtJfGHBTDnmm8Sc7y91WSS3ALidRe6Nlr4G0x6cqAylzc/hYcUhXCz8YabJ
n+eFbYHCzR68lHoCdgbMnJF9mq8IHsLQcLh2OViT6HItOeSbk/B6xnBDP6j7FQ7nCSPEadfSa4vy
KAjTyqLfQV3eSyBjQDrQdezD/OD792GsQTnrTLJBLdFIyEuO4J6EF4phNIAr82EVMZ1RDq1/LLiq
AVZWIOPqkaxLi5s53UE1yOiRYsL6Uy7ifoaNPiLV/8XPE5uMhnWxgEswNSpuYhhdNEKA3DJW46U8
VyARBiUxKfgvBRjC2vISXjjzhicwuprGzRr2o3HhcazU0DtaqxbJcs+4CLmRRnXGnacTXgSLgG65
4FJL4uXpPJhdZzUEjarHVMMkxPspokerXo4yHCuvUKm+Tlb6KVD0y0mUWP1VSg2YVAFNREbm9CSL
+muSFtWVTyFCxr9UqsS7ZmpsyWxPaEnTTBouaZfgbWJklsWFrPhw8q/oAztdZaF95MgQTUIuA+rF
9OJx5CUnkLRbw1gPkr6eKNJ4pinTlSxVd54KuRpTmzS4IU5I0SRHUoVNq/uKX10F2oqpUdGMWQWg
MCap1JNCSMHSCkSHJBbtVfSZLeRwBOJoPjBtc05rB/xwJgmItQXzPpaypLZKAUrkZSvvpKTCPVxJ
qx4DRsoBBHTOhTeXx4YCbtYzoivSN1MQ+Hq/jrHWVOmLo4UGpE+ZSFeTGU1Yk3p9mkba4kTE32TU
yzsFD+BM1jS4LSSgVYt6kQxNFYdXWtwvmdBRMPFn5tzJFGEGcyab2rYYPWAUj4YPXFlM4VuXrgeT
Qw9f+R9wdSkm4LaVS4kKwv74H9R9GLMTrmtKTjQI2tsBHTq5cwmSCt+yvmhMSRBzCda8PdR+Zcr1
55zJLFjyG8hLemHB5F0xlEUMDZk7TD9cKjybNDBBJIifxZyyzXAy8QHxj2yurpwZuS+xLC2FASzO
L2Yqk0WBnYTZTRCvTmbMVBLU/ktNgPHCeyM5VxeLT5asumJejBh4sS493mdFwUx9TPS+o65cQXIv
fvTi6lKZTDZc+gTh92KwC1CQnjrJLzezNVdMBI2L+aXtQwXJVBirYo7KbPUVcmoxuSlS6m+rQPkM
AkufZechA0eVcvmFfbZZzGp1qwcz+qukUeFAtswWE78SIwkW8vxeDETQdI9AxjgC2DLQHedhbVgo
AjL5MJvaoQyHjmgw3g4UMyEbDhbRuVh5MZPdKtGPs8o/FnNQIibB6En1FZMDE2dlQozFN5H7HS3U
+ljMDoA/7FZa3YoPioUEjBcQH4NUridb+Y2napcB4EmpnHwRihSzQzI/mZbl/EIHy6oyC0HMPyhV
kDlk5SGBg6XapBqgXUuMU9oNSCsn+bniMPGEGTSmj5qRJeYw5LU6ivVsk2icqZs/LhixIH4lXlZV
TgYcGMpE+UOWHYlViuk5JVRV8P3B1FQMxOYSkzXsIL63/WuvomuBsaeb8SgRqLCgnB+LEYhimKWY
o5EqzolVJMO1wgxgMdCRjt5eQCsO3dhiDpIYQzoJKPnNqp6YBiFGOYj9IoZD0REEwEe7FZ9TGW8i
tmOcG7fajMtbjPTIGUrihfFpAsJEfGAC4zBO7mIdfPIZg+ItNajZalcFWENL/E3EGIMC3rZb8R8w
JG0EkgQkm/kP8WPBtCyx/8UsU284yaUjaQ6vCANXMoafi/GlsTmuSE3WzGGZ2Iqr+/ppUCvDOGHk
l5jDgFLwz3uSX91CBTWQoe2fMOiBrtmHZEnaic5SM7MePIkYU7eNLzYTIVIn+Uxpe6nCku15l9Ch
ubTO35ta9ZgyQWTCvlrrzP0jYajw/0tbuVcZbxYsikeInO61BIWuQyqRSnBhRZOHsISJqQZMzxQQ
hjBfm2DE1Vy9L8V4t2AtM81BP1sy51c8mDwBpsBUZ3qONsN96+NJSWe3bdzbjIsg7r0XY2RLUyKj
7YxNIyBkia/EsEzxGTG/ZWPDchgky5VEcZbF/HLwt1//428Pq/8xm8Y0HMF7G2W//gc/P8RJzZxA
L9/78dfRNL5ww2m2+Vu/far5d34d3H64O/gWpwfnt0d3+58UX/fbX0T809cP3Nxt/DCMcj+vr4tp
Wt9MmW+Tf/+324XyHELQVUyt+S5+IeKHPrR5mD8UdDDdrOuuTqZ//+UhLiIakG6mMz+Ofnn61fjx
779ozka1W83+tqLNw3xPQODyzMUjkk310NBMWYfd0bFMMKjWLwcBUPKnX0uOeajZtmYodG7oqoNJ
eP4uf/vGV3Tw/cfbqXpv5Q0533uCrXaEChRNb6kDzTzUDQVSKJOirSI7mt3QgaJah7YJupGCgWPQ
kGW8NxWADGmrAudQd6jb6boBG5DNkzZUIDn2oQNDhE2DBvRm/MM2+f1Iv4dtoCrbJe1tqD9xFHSZ
rW6Zu1f8/BRohwbMkI7sqGjA1jXVfG+Pr23P5c8/vaTIh5ZlUqSybFuVbXl/CxjaoWxChqebmAnV
ggPtvemABsy2x6C57bX3d9JlreUjmsqhZWLIVNsSps7iEZ/tdMc55AjYuqlhVrkPzO3XPbs7/+jK
+5eZewXrjOn5+Z2uc5pVR1YdHlNxFKK8hgoU9VBcAzboIsVwTFP8+n2ZOtbWUgUSOnB4vxTgDdkU
bxqD9mwbKJZ8aMiqTdBsEGBsdsk708GTCf75baAph6puswFsDaIuU3a4Q5+pAKcAQ6jIiuLAW+yg
pfe2Dey2l75uHoqNris6jWimvnnEZxpQhVfk6PS1qxb/e3/mXm7r/OoWR51n5F8yt7spPLtnClBw
ihQVcmNDxf819SeFvyNjaGxfSotDcOjIIO2hmaHrFMMv3PtnGpAsLn3ufIMmItmgUfPp+nlHKuje
91WatvCF72u+uwtB3/opLbaBsAQGhl5TVcvQ8PQb20CRuS5IYlIeYatY2wv4He0BRW3r/WLtTYMO
T9x8ZWftn50DRbOIf0jhO/q7DACV1leBdWjYlgzFgEoMZMninD9/fv1QwRTammNDM0Sq4N0dAUtu
6RIZ9qFpAzuTZV3bvOWmBlTjkCYJS1aEz7DZB+/NHVCUtl6hyo3vaArTh0h3aKotBD7bBJZzaKlC
AziMeAREgu9NBcAEWu4CXCIiX1V2wGrqOH97htA+VFUHTuanC9GQ350KhBfbKjoylEMFp1C24Bkl
89dMB5Ij0PEVHFwhosf3dxGCp2r5+Kq46SyOgOlonHR8v8YZMPRDcUtwAHTZot5svLtEkGJtl/Tz
zoChHvJ8Kk3h3Ii4fE4zHWoQPduKuCh0ETw57zAP1NYbkLD2hoVfbEDeiLV/4Q9pbANS5eIIsBve
oQqstpkwUz8kMOLJbU0xSPzv1QVU85BUqOPgFdomvA3v7SYgc9PSEJAeIDLG4VE1ckQGLbkNQyAJ
BTDyziE4xliairXddO/JK3baRodYAoVMmUZl6Kn809AB8bFGBlFWDAyFruMcvLdtoIq31u46FIky
DcdQ5VaEMHzPMZYonxmyQfKEPJoF5NjehmLvaBuoatttQI3QprxCoznEWaIK0rwQFDJlXIk2FOK6
ZRn6+7sQRJK71S7QcX0xA7KBg0GmcD9rrhh4BYrBhCs8A9mwzHdnC1rvAUM+NMkEEiA+VQCbjqF+
CC6Sbi6F3WE5hI/vLkDU27pFkmYcqpqK+4vnRymUQlnDGkoWCWWF2pkJHdMugnxnSfMu3AISBA5A
ALAqoAKE//ssRFSwlqKgQAC18R2f8hLvyRoqbW8EQkRqAgY2n2B4gwhoqkDfGEtKbFRTIW+V39+F
0NmliGtkCXu4nzXeXoqGLX4jO877i5Ge4vafj5FIlRAHUiUnHcBR2LcFgEUOCY7IR4gI8j1CRhQR
2be6EyXnUCFZyinASyYYIHPcOAiSJYIkgieZ7yKSwF1+b+6horR1jSQZm09KjLQ4nKICP6Pupc6F
SWSKEHYAo2kborjwvi4FTmjbnaA6hzw/mUNLNkWwKBJDz24FomlOCqUFkS95h+gppa17qLDRLYPb
wFCpE9Jpu3crUj6hfsbjb6OoP5M3+4Gr8zewIQQGweMGi+hPs2eAxjc/sENTvBTwDGpIeZDj0vio
ACduhf8OVvy1gVXcoC6f/XKHwtx809Nff3rEl1/e+K7dc+3+8Nifpm76wPy5DU7yaaECM/r3X3qu
l7p+AygpoEG/r+MFovI3S/g9sf2axodsJ0dgD0WWoa3Ukbt2D25zJhTuZG1QjeJObSt6nLpNJYiN
2VpolrrTYCdns9YulMtalw2hImRpu9aTOH3cU4HAjbQVe1pUrp/v5GxBqB2IPZveQ0/RfGMikGq7
3MtwTwcmWfK2Qq+BP6c7MRsViBRhW6m3bvHoH3xI3Xvf3UkTwlXhRrcWDtS8KVXUjdtK/Rj5+fRx
s+aDYeinbj5t2IhNTaLtl3yeZvlBz40Wu/VulGJ0oJQv03Da2HKq2cHBG8WBGx0cTzfQ/udr1nmT
HWzpuyK6P2BYtRs9NpRNRh4vRCQ+22r8w31xcF5kjf3yJL2DTfNH67dILeEk2QxyJ/VOUtF481C9
dn3+1sLw8lJtAu///O+fFLvZfxqwoNYeAUHY7++q6T1suz+e/fZf4z703ch9bLz4LqzwKJ1OI7Fh
d3tTqNChcvL78/2cW3I+hbMh3skRUuGi2P34av/ID3k7t3hQ+cEVblY6PWDZB+f+kmGuzftJlTv4
picLepu/MJ0CYtBWPX0EpG5w8CGcpv5D47WSwLG/d5gxLT+kqr6b+vf3071bVmRBiX6/8wRb+X/h
Ad48/86jfu6Tf+dQ/kUu/RSCo+lOlxvr08XegOjFPbjZ2xZGB5KHwcGtG5TuY9xwkkSVsO2GHhWc
k9ANGltZAFXaCj6Oo8cidfcv1PaCL1Bw6s6KxorBWLSXfIWpDptinTfF/nUHjuIZQLUfOXAEtRHv
88Vhax7M+AGj88ZnGvH4X3SjDsW22vO9ze85rz9qeT9827fpm0J98yQ86fIHjfmHiMDmId+zCUzm
e3HC/qTcfQVQWt8/AH9OIlqNk4ZNFCBtpZ3QixjivFcvy423t2dk/tyCPxSZuIr3NgKXUEtF3MbF
62umi0lUH/54O/x1pmD7qn7EFBS/t/7+f3DUPwQkMZpv+MUbePZEP3wouUjThqEHhNB8rz8hVezH
5lpFxbKt2N6UUWxFuBO0cVZenMo/v9penKHYjSt+PE3X01lc+lFDJSK33sHi3b0s50s79ROLL4IZ
XnJjuaK9su1yB9ModNNGWqSL/MU4ne6HamYHG26Y5fHe4RDA9bZK6K+nD97BzTQp7gP/YSdP7DuB
fGkr/ch/EbYKHEFrsW4aT1/L4Yg6YWvhZL4fGlejaN5qK3Xk33N97eU9nQ5e4Aj2iSib1rslilf3
th+7LV9/r2Ixmqbkfptiu9ADqYymdgUkrK12+2kMLUXDQihyB3KPYYRz04YS6Hxuv97xwwsboSgd
bIZx7gbN1YqW57baPZmmexuMqnUHYknznrt1M4W8ochou+AzNy/3doPegXbP/Nwr9j0Umpvaq+KW
QavuYn/JHej4zMe859Moy6d7RU3RndBaz8VqCq1Ukc52soT1UQS6ra3o8xji07J5oo03w/O3zdp5
HLl7GU+jgyNyLmz77qk3ShDA9rZKuJjm3jR9WakQfRqtZcdp5TZtRRdXMxRNe3lqwEztV3tFaFnM
3GbtuIsM+E3MLdc8eOA02y9YnOjpvmABIGz73m43VhOKt0baHvBIB6KTPeTDhhin9YJLl7gufdyt
T5wO6NV2P7aoMlTTx+blscGrt15v5efr7anbrXG75A4O9MeFAJc0nEu1i/vjqQxy6kN2GDejR4HY
bKuSTzhXD+y7PmxnO2kbnRgd6ASLzAU1naXNDd1FcHM7TffBAIKLoq06tmCeg48XBxfTYlMg+hrv
vdQuTCk16ulB/A0fqVFkVwzaaNs/xNGXm0tEL6aPhJXz5t3lmF24jTfxw8INGiabTggNprT2q4dm
Py4bG8YBQUnx+y3Rf13WDgTjD6Xvi+/k7J6v/v8ZBA7+xJTZWztNioNud+Ai3RTZfhpbdES1PYxi
AGUz+mWq6Vtin+txSCI6B/X4rwE+iBrDv2PmdkaFvLFlOvBHPkQzvMnduxT78M3j/XYA0IvzDNLZ
hlilC7l4ew07rXZwZnpFCsW2/1wFgmGy7Znpe27DHevCBdmlEMWNRdRy0IcJtGGg9Q4O+0bowX8b
3PT/+04LYlt0gvUA/pvGTYiK3sG+6MdhnMbZ8+UaHTi/v0FTNlXM6NUMbhcYv76bTA8+TdPHhtP6
NrTs7YM4mPukDvLG5hbdj20393BWJ/lOjNgdZgfpiOES5ESMiQsOxLTJacN8CFB+61WnTPxtiu3C
VR3mHuOampbZ6uAg3nHCR264513bHXh2I/e+eQhFt1Fb7Y68PYv/tqP49gZ+uRGULjIH4zJOa8yn
mzV2MY2D7fVwOo3qxtZ9BUhQ/O5//mCF9cy/37/9lS7CzrNpFude4xLBx2+vBda7pwW9g0v1HODn
zM2AK+1WKIyP0sUdQpY8zvOGBVY6Cb1BglUNA7zpym172kiG7gnt4Aifc4s+7GduOzgS526B6d3P
AULjunuLP5+gOo/XwkQCfd3J2uyILqrBFz4Od0NqF1Z9I7V5WShdlIG3llLq+VnmFo1Vv4TY/Hnz
c4M738RcQ7y5+5aff3tPyKAXKLFN02PbI3IrMl7NdDbNoB0sWmCu3YOz6X5CShCytV40ufJ9BFYX
yZzbYq/TSu3irruLm/EHBAwdqOCf/zs+uIvDf/7nBkxzlf7zv6IHRqrsJIsDrmod6JouD38/XSKm
FbR9h3dutN43dvTitxf8cfbiFHZRcyUCXgBVOjhys4YjoHZRv6Tl099zYdUuENy3jEzy9+tgUOC0
1/LXFz43lIodiPXDe/e+am7jLlr9tkb05QF/u4L516XoNnjdf8Mc3avgZChX3to+f92bgDjL+XfM
ln6bEY/69I80EoYdnOMPFC7vXco5DcHGW2/47Vj3Q0qrZ9Mz7MCnpyt1FriP08zbrXB7f+5++nnn
7bx2BbhzJ2gjtosFe8X+S+vgTu6R5J02Iiatg7X2uSrix+Y76+JGvk39gzPaiRt5hC7CfZrImmn5
Lq54GpNmB6fiX7cfbp5vB6WLGGEcUT2d7vlpG2qYtn4akpuvbsPR3FbqiZs0TcOG/ryt1NM6ndXr
fXMGw+VO3z9/jrctJafxXmpU0ZT2sre+ySuyOzjSpzBzLLyXKungXJ+5zWqC0kVF6Nx9cOMXR0TM
iGi7OYB3UMXb28tdONlkmR79skmYwDSODlZMVqzeP9NdFBEupkkz5FfEPIS2Cr6iPxI48WtweCgF
u5C/eOGqwNXYgWA4h/wkoZqS7YRt7mlBAtpWKbcgodwEs7ETtZEs2JraSr7z3JehneAvay3Ynfsv
Nc1EvS5E++TIdnK2PlYXKyY2F27hvpmD5nH3XT9v+T+u76evqKMLbPEnf5rT+7tb40YfXZi6cU65
Pnk6iM+lK4Yqd6Dv0yJyM89PX/sGyBQ7iB9uEzhogvo1WwKZuaC8a7vLz/3HR2Btw73q1pYh7I+l
YyF+iE7h1vMXMS76KyqiC5fJEx1kurh43No9OKVuEPyf//m/soX46cZ/nDWMDa2pDLt4M7h+O/S6
8wEQSNTCmgUgQSSrdQGgIhW9cBfFa+8cKhmYuTvYV4N48Rgf/O3gDrwhO7jZdi8owpke235vnbqF
n/qNhj4IFiHXFpMt2m7cK1cKfOnB810py4qdPGE7nr6jg1cNtnv2iuQOTMeZm+TenvOxVc2bpvqv
S/9QTt/SoLRNxj1/BHEjfQ/r1/iu4W/YwLfP6Ye0uHcbb2/3w89fghAK+HBfbGoNPTe9p1CyE7q5
tXY/tPmGWeEHTZRdF26SWC0MJg3PrgtQsQCewNEIc0dDdBdsbBdu6VKgfOXq6CLa7Ls1nSavWdku
XJr+3t4T5NptLd4gDv1oj8uiCydjJ/d10FoXERx8Wfs0XF00IR0h9sGTINF5hMyqaFb9uqhkH0MN
2cgDMj2v/Xs84bDsvUa4l9vLfVLHuZtCOPMC5dAFyFG0hmSioJ3vVru5b7vANV7RNp3Hgr+pWVbs
gjv1Nj849fM825jti2npN01VF6EAX3FWPDSzKkwQ2Knp5++DOzrL/Ef3cbP2u/je3Suid8ETISD7
W+X02Zhx9ppRZFha+4dBS598mvkhoxMsdAKWvDUNL3IOXQDAeuCI/MzjK2mfeNXSq10cio+33/2G
DkAOPXpk/b3USRfsY32onEgz7t7rxoPpIrq4dZuOl2p1YN22HIZDaF5ofiuaJ7gLTNRWPm4SuzKY
hvVzrRidQIFy2rtSWuueS2bqVBeZTA7W1uw3ZAsO990f/JEFeu6K/+5dv/anz1jIX/XJf+j3T07Q
dqsJsqiGKLHIP0lCThzwu1/1LihHX2XGervT+DWV/2taoLbMWv+GLyKdia3RrGF2kTPrUT/Z47Po
ogO0lwqU0u7AiiPSBUKuT1a/kQjrIgfWj4N4v9mgi4zt8AFfvkmz2QX/7dYzFp0ie20Hb8Oe3s4z
HLnBQmDLXvOarA6cplEBdqKRZiDBtdslf2TW3172LelSku6NraF0wdck6l/kSBoXKMPG2q/4apo2
83xddKJ8TIv9xTIXrv1iPwEoXsOx3Hhx6tvNBz95Dbz2155dyE8Jtodg6qa//l8AAAD//w==</cx:binary>
              </cx:geoCache>
            </cx:geography>
          </cx:layoutPr>
        </cx:series>
        <cx:series layoutId="regionMap" hidden="1" uniqueId="{F93C0FCD-BA0E-4098-A9F1-5B190C1E6CE3}" formatIdx="1">
          <cx:dataId val="1"/>
          <cx:layoutPr>
            <cx:geography cultureLanguage="es-ES" cultureRegion="EC" attribution="Con tecnología de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5</xdr:col>
      <xdr:colOff>14007</xdr:colOff>
      <xdr:row>7</xdr:row>
      <xdr:rowOff>72638</xdr:rowOff>
    </xdr:from>
    <xdr:to>
      <xdr:col>20</xdr:col>
      <xdr:colOff>133069</xdr:colOff>
      <xdr:row>61</xdr:row>
      <xdr:rowOff>173490</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C5FDF5C7-5A52-461B-A253-EFFB4947E5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86007" y="1406138"/>
              <a:ext cx="11549062" cy="10387852"/>
            </a:xfrm>
            <a:prstGeom prst="rect">
              <a:avLst/>
            </a:prstGeom>
            <a:solidFill>
              <a:prstClr val="white"/>
            </a:solidFill>
            <a:ln w="1">
              <a:solidFill>
                <a:prstClr val="green"/>
              </a:solidFill>
            </a:ln>
          </xdr:spPr>
          <xdr:txBody>
            <a:bodyPr vertOverflow="clip" horzOverflow="clip"/>
            <a:lstStyle/>
            <a:p>
              <a:r>
                <a:rPr lang="es-EC" sz="1100"/>
                <a:t>Este gráfico no está disponible en su versión de Excel.
Si edita esta forma o guarda el libro en un formato de archivo diferente, el gráfico no se podrá utilizar.</a:t>
              </a:r>
            </a:p>
          </xdr:txBody>
        </xdr:sp>
      </mc:Fallback>
    </mc:AlternateContent>
    <xdr:clientData/>
  </xdr:twoCellAnchor>
  <xdr:twoCellAnchor>
    <xdr:from>
      <xdr:col>5</xdr:col>
      <xdr:colOff>645708</xdr:colOff>
      <xdr:row>36</xdr:row>
      <xdr:rowOff>86473</xdr:rowOff>
    </xdr:from>
    <xdr:to>
      <xdr:col>18</xdr:col>
      <xdr:colOff>336176</xdr:colOff>
      <xdr:row>55</xdr:row>
      <xdr:rowOff>0</xdr:rowOff>
    </xdr:to>
    <xdr:graphicFrame macro="">
      <xdr:nvGraphicFramePr>
        <xdr:cNvPr id="3" name="Gráfico 2">
          <a:extLst>
            <a:ext uri="{FF2B5EF4-FFF2-40B4-BE49-F238E27FC236}">
              <a16:creationId xmlns:a16="http://schemas.microsoft.com/office/drawing/2014/main" id="{7C23A85C-FF4D-4585-A277-E429F2C34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252131</xdr:colOff>
      <xdr:row>64</xdr:row>
      <xdr:rowOff>40340</xdr:rowOff>
    </xdr:from>
    <xdr:to>
      <xdr:col>15</xdr:col>
      <xdr:colOff>627528</xdr:colOff>
      <xdr:row>88</xdr:row>
      <xdr:rowOff>179293</xdr:rowOff>
    </xdr:to>
    <xdr:graphicFrame macro="">
      <xdr:nvGraphicFramePr>
        <xdr:cNvPr id="4" name="Gráfico 3">
          <a:extLst>
            <a:ext uri="{FF2B5EF4-FFF2-40B4-BE49-F238E27FC236}">
              <a16:creationId xmlns:a16="http://schemas.microsoft.com/office/drawing/2014/main" id="{66329F15-BBD3-4C40-9A7F-EBC8FC4B2D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624416</xdr:colOff>
      <xdr:row>10</xdr:row>
      <xdr:rowOff>3174</xdr:rowOff>
    </xdr:from>
    <xdr:to>
      <xdr:col>14</xdr:col>
      <xdr:colOff>521758</xdr:colOff>
      <xdr:row>41</xdr:row>
      <xdr:rowOff>67733</xdr:rowOff>
    </xdr:to>
    <xdr:grpSp>
      <xdr:nvGrpSpPr>
        <xdr:cNvPr id="4" name="Grupo 3">
          <a:extLst>
            <a:ext uri="{FF2B5EF4-FFF2-40B4-BE49-F238E27FC236}">
              <a16:creationId xmlns:a16="http://schemas.microsoft.com/office/drawing/2014/main" id="{67952F5B-8B7B-4080-9833-D8121ABE4E67}"/>
            </a:ext>
          </a:extLst>
        </xdr:cNvPr>
        <xdr:cNvGrpSpPr/>
      </xdr:nvGrpSpPr>
      <xdr:grpSpPr>
        <a:xfrm>
          <a:off x="3598333" y="1908174"/>
          <a:ext cx="8618008" cy="5970059"/>
          <a:chOff x="3598333" y="1908174"/>
          <a:chExt cx="8618008" cy="5970059"/>
        </a:xfrm>
      </xdr:grpSpPr>
      <xdr:graphicFrame macro="">
        <xdr:nvGraphicFramePr>
          <xdr:cNvPr id="3" name="Gráfico 2">
            <a:extLst>
              <a:ext uri="{FF2B5EF4-FFF2-40B4-BE49-F238E27FC236}">
                <a16:creationId xmlns:a16="http://schemas.microsoft.com/office/drawing/2014/main" id="{747ECB32-4336-4F59-84A3-E7FD72E8A31C}"/>
              </a:ext>
            </a:extLst>
          </xdr:cNvPr>
          <xdr:cNvGraphicFramePr/>
        </xdr:nvGraphicFramePr>
        <xdr:xfrm>
          <a:off x="3598333" y="1908174"/>
          <a:ext cx="8618008" cy="597005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 name="CuadroTexto 1">
            <a:extLst>
              <a:ext uri="{FF2B5EF4-FFF2-40B4-BE49-F238E27FC236}">
                <a16:creationId xmlns:a16="http://schemas.microsoft.com/office/drawing/2014/main" id="{DFDC9EAC-944D-4240-8AF5-5FA2315104F0}"/>
              </a:ext>
            </a:extLst>
          </xdr:cNvPr>
          <xdr:cNvSpPr txBox="1"/>
        </xdr:nvSpPr>
        <xdr:spPr>
          <a:xfrm>
            <a:off x="11218332" y="5111750"/>
            <a:ext cx="814917" cy="455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C" sz="1200" b="1">
                <a:latin typeface="Times New Roman" panose="02020603050405020304" pitchFamily="18" charset="0"/>
                <a:cs typeface="Times New Roman" panose="02020603050405020304" pitchFamily="18" charset="0"/>
              </a:rPr>
              <a:t>January to August</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209831</xdr:colOff>
      <xdr:row>3</xdr:row>
      <xdr:rowOff>33617</xdr:rowOff>
    </xdr:from>
    <xdr:to>
      <xdr:col>19</xdr:col>
      <xdr:colOff>228881</xdr:colOff>
      <xdr:row>17</xdr:row>
      <xdr:rowOff>109817</xdr:rowOff>
    </xdr:to>
    <xdr:graphicFrame macro="">
      <xdr:nvGraphicFramePr>
        <xdr:cNvPr id="2" name="Gráfico 1">
          <a:extLst>
            <a:ext uri="{FF2B5EF4-FFF2-40B4-BE49-F238E27FC236}">
              <a16:creationId xmlns:a16="http://schemas.microsoft.com/office/drawing/2014/main" id="{A8C3EB47-37B1-4778-80F1-94EF3AD46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392206</xdr:colOff>
      <xdr:row>21</xdr:row>
      <xdr:rowOff>186858</xdr:rowOff>
    </xdr:from>
    <xdr:to>
      <xdr:col>17</xdr:col>
      <xdr:colOff>22413</xdr:colOff>
      <xdr:row>52</xdr:row>
      <xdr:rowOff>168088</xdr:rowOff>
    </xdr:to>
    <xdr:graphicFrame macro="">
      <xdr:nvGraphicFramePr>
        <xdr:cNvPr id="3" name="Gráfico 2">
          <a:extLst>
            <a:ext uri="{FF2B5EF4-FFF2-40B4-BE49-F238E27FC236}">
              <a16:creationId xmlns:a16="http://schemas.microsoft.com/office/drawing/2014/main" id="{BDA39334-76C5-41A0-94C9-2076398B5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857251</xdr:colOff>
      <xdr:row>19</xdr:row>
      <xdr:rowOff>133350</xdr:rowOff>
    </xdr:from>
    <xdr:to>
      <xdr:col>12</xdr:col>
      <xdr:colOff>389326</xdr:colOff>
      <xdr:row>46</xdr:row>
      <xdr:rowOff>137850</xdr:rowOff>
    </xdr:to>
    <xdr:graphicFrame macro="">
      <xdr:nvGraphicFramePr>
        <xdr:cNvPr id="3" name="Gráfico 2">
          <a:extLst>
            <a:ext uri="{FF2B5EF4-FFF2-40B4-BE49-F238E27FC236}">
              <a16:creationId xmlns:a16="http://schemas.microsoft.com/office/drawing/2014/main" id="{9628D8E9-3EAA-4873-8966-CEFBC1ED4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761999</xdr:colOff>
      <xdr:row>14</xdr:row>
      <xdr:rowOff>0</xdr:rowOff>
    </xdr:from>
    <xdr:to>
      <xdr:col>11</xdr:col>
      <xdr:colOff>303599</xdr:colOff>
      <xdr:row>41</xdr:row>
      <xdr:rowOff>4500</xdr:rowOff>
    </xdr:to>
    <xdr:graphicFrame macro="">
      <xdr:nvGraphicFramePr>
        <xdr:cNvPr id="4" name="Gráfico 3">
          <a:extLst>
            <a:ext uri="{FF2B5EF4-FFF2-40B4-BE49-F238E27FC236}">
              <a16:creationId xmlns:a16="http://schemas.microsoft.com/office/drawing/2014/main" id="{CFFE8F90-FBBF-4C26-A4A2-FB58E24C4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38100</xdr:colOff>
      <xdr:row>6</xdr:row>
      <xdr:rowOff>28575</xdr:rowOff>
    </xdr:from>
    <xdr:to>
      <xdr:col>11</xdr:col>
      <xdr:colOff>236925</xdr:colOff>
      <xdr:row>30</xdr:row>
      <xdr:rowOff>175950</xdr:rowOff>
    </xdr:to>
    <xdr:graphicFrame macro="">
      <xdr:nvGraphicFramePr>
        <xdr:cNvPr id="3" name="Gráfico 2">
          <a:extLst>
            <a:ext uri="{FF2B5EF4-FFF2-40B4-BE49-F238E27FC236}">
              <a16:creationId xmlns:a16="http://schemas.microsoft.com/office/drawing/2014/main" id="{4A49CADE-F46C-46D3-B63D-99D990E46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11206</xdr:colOff>
      <xdr:row>18</xdr:row>
      <xdr:rowOff>145677</xdr:rowOff>
    </xdr:from>
    <xdr:to>
      <xdr:col>11</xdr:col>
      <xdr:colOff>316006</xdr:colOff>
      <xdr:row>45</xdr:row>
      <xdr:rowOff>150927</xdr:rowOff>
    </xdr:to>
    <xdr:graphicFrame macro="">
      <xdr:nvGraphicFramePr>
        <xdr:cNvPr id="5" name="Gráfico 4">
          <a:extLst>
            <a:ext uri="{FF2B5EF4-FFF2-40B4-BE49-F238E27FC236}">
              <a16:creationId xmlns:a16="http://schemas.microsoft.com/office/drawing/2014/main" id="{02F468EF-8316-4ACC-874B-586FF35F1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xdr:row>
      <xdr:rowOff>109536</xdr:rowOff>
    </xdr:from>
    <xdr:to>
      <xdr:col>11</xdr:col>
      <xdr:colOff>76200</xdr:colOff>
      <xdr:row>17</xdr:row>
      <xdr:rowOff>171449</xdr:rowOff>
    </xdr:to>
    <xdr:graphicFrame macro="">
      <xdr:nvGraphicFramePr>
        <xdr:cNvPr id="8" name="Gráfico 7">
          <a:extLst>
            <a:ext uri="{FF2B5EF4-FFF2-40B4-BE49-F238E27FC236}">
              <a16:creationId xmlns:a16="http://schemas.microsoft.com/office/drawing/2014/main" id="{C612BCC3-CEBA-4285-8176-9C2BEF642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585405</xdr:colOff>
      <xdr:row>22</xdr:row>
      <xdr:rowOff>118667</xdr:rowOff>
    </xdr:from>
    <xdr:to>
      <xdr:col>11</xdr:col>
      <xdr:colOff>246393</xdr:colOff>
      <xdr:row>36</xdr:row>
      <xdr:rowOff>51117</xdr:rowOff>
    </xdr:to>
    <xdr:graphicFrame macro="">
      <xdr:nvGraphicFramePr>
        <xdr:cNvPr id="9" name="Gráfico 8">
          <a:extLst>
            <a:ext uri="{FF2B5EF4-FFF2-40B4-BE49-F238E27FC236}">
              <a16:creationId xmlns:a16="http://schemas.microsoft.com/office/drawing/2014/main" id="{D3AE3082-8E29-47A4-BC07-94BADEB2E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609056</xdr:colOff>
      <xdr:row>2</xdr:row>
      <xdr:rowOff>163040</xdr:rowOff>
    </xdr:from>
    <xdr:to>
      <xdr:col>18</xdr:col>
      <xdr:colOff>708539</xdr:colOff>
      <xdr:row>19</xdr:row>
      <xdr:rowOff>19106</xdr:rowOff>
    </xdr:to>
    <xdr:graphicFrame macro="">
      <xdr:nvGraphicFramePr>
        <xdr:cNvPr id="10" name="Gráfico 9">
          <a:extLst>
            <a:ext uri="{FF2B5EF4-FFF2-40B4-BE49-F238E27FC236}">
              <a16:creationId xmlns:a16="http://schemas.microsoft.com/office/drawing/2014/main" id="{75250773-4C60-4717-B89A-C20F87AC7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31749</xdr:colOff>
      <xdr:row>26</xdr:row>
      <xdr:rowOff>84667</xdr:rowOff>
    </xdr:from>
    <xdr:to>
      <xdr:col>22</xdr:col>
      <xdr:colOff>97749</xdr:colOff>
      <xdr:row>42</xdr:row>
      <xdr:rowOff>131233</xdr:rowOff>
    </xdr:to>
    <xdr:graphicFrame macro="">
      <xdr:nvGraphicFramePr>
        <xdr:cNvPr id="5" name="Gráfico 4">
          <a:extLst>
            <a:ext uri="{FF2B5EF4-FFF2-40B4-BE49-F238E27FC236}">
              <a16:creationId xmlns:a16="http://schemas.microsoft.com/office/drawing/2014/main" id="{2E893B4D-9EF3-4288-83DB-B749D8A1C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243414</xdr:colOff>
      <xdr:row>26</xdr:row>
      <xdr:rowOff>137584</xdr:rowOff>
    </xdr:from>
    <xdr:to>
      <xdr:col>30</xdr:col>
      <xdr:colOff>309414</xdr:colOff>
      <xdr:row>43</xdr:row>
      <xdr:rowOff>0</xdr:rowOff>
    </xdr:to>
    <xdr:graphicFrame macro="">
      <xdr:nvGraphicFramePr>
        <xdr:cNvPr id="6" name="Gráfico 5">
          <a:extLst>
            <a:ext uri="{FF2B5EF4-FFF2-40B4-BE49-F238E27FC236}">
              <a16:creationId xmlns:a16="http://schemas.microsoft.com/office/drawing/2014/main" id="{47725C22-2880-4292-8AE0-B27F3F7F3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10583</xdr:colOff>
      <xdr:row>44</xdr:row>
      <xdr:rowOff>95247</xdr:rowOff>
    </xdr:from>
    <xdr:to>
      <xdr:col>25</xdr:col>
      <xdr:colOff>76583</xdr:colOff>
      <xdr:row>60</xdr:row>
      <xdr:rowOff>157160</xdr:rowOff>
    </xdr:to>
    <xdr:graphicFrame macro="">
      <xdr:nvGraphicFramePr>
        <xdr:cNvPr id="7" name="Gráfico 6">
          <a:extLst>
            <a:ext uri="{FF2B5EF4-FFF2-40B4-BE49-F238E27FC236}">
              <a16:creationId xmlns:a16="http://schemas.microsoft.com/office/drawing/2014/main" id="{39C46857-B6F3-4A90-A484-0F003E246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11</xdr:row>
      <xdr:rowOff>128587</xdr:rowOff>
    </xdr:from>
    <xdr:to>
      <xdr:col>2</xdr:col>
      <xdr:colOff>1003575</xdr:colOff>
      <xdr:row>24</xdr:row>
      <xdr:rowOff>172087</xdr:rowOff>
    </xdr:to>
    <xdr:graphicFrame macro="">
      <xdr:nvGraphicFramePr>
        <xdr:cNvPr id="3" name="Gráfico 2">
          <a:extLst>
            <a:ext uri="{FF2B5EF4-FFF2-40B4-BE49-F238E27FC236}">
              <a16:creationId xmlns:a16="http://schemas.microsoft.com/office/drawing/2014/main" id="{803772C7-84CA-4E42-9E6F-E324EAEB0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1033463</xdr:colOff>
      <xdr:row>11</xdr:row>
      <xdr:rowOff>128587</xdr:rowOff>
    </xdr:from>
    <xdr:to>
      <xdr:col>4</xdr:col>
      <xdr:colOff>1132163</xdr:colOff>
      <xdr:row>24</xdr:row>
      <xdr:rowOff>172087</xdr:rowOff>
    </xdr:to>
    <xdr:graphicFrame macro="">
      <xdr:nvGraphicFramePr>
        <xdr:cNvPr id="4" name="Gráfico 3">
          <a:extLst>
            <a:ext uri="{FF2B5EF4-FFF2-40B4-BE49-F238E27FC236}">
              <a16:creationId xmlns:a16="http://schemas.microsoft.com/office/drawing/2014/main" id="{A8DB57AA-ADEC-4AA3-A9EC-A6E124F0A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1162050</xdr:colOff>
      <xdr:row>11</xdr:row>
      <xdr:rowOff>128587</xdr:rowOff>
    </xdr:from>
    <xdr:to>
      <xdr:col>6</xdr:col>
      <xdr:colOff>1260750</xdr:colOff>
      <xdr:row>24</xdr:row>
      <xdr:rowOff>172087</xdr:rowOff>
    </xdr:to>
    <xdr:graphicFrame macro="">
      <xdr:nvGraphicFramePr>
        <xdr:cNvPr id="5" name="Gráfico 4">
          <a:extLst>
            <a:ext uri="{FF2B5EF4-FFF2-40B4-BE49-F238E27FC236}">
              <a16:creationId xmlns:a16="http://schemas.microsoft.com/office/drawing/2014/main" id="{F6AAC0AB-2473-4D3A-B111-749BDCD9B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145677</xdr:colOff>
      <xdr:row>26</xdr:row>
      <xdr:rowOff>125785</xdr:rowOff>
    </xdr:from>
    <xdr:to>
      <xdr:col>2</xdr:col>
      <xdr:colOff>1149252</xdr:colOff>
      <xdr:row>39</xdr:row>
      <xdr:rowOff>169285</xdr:rowOff>
    </xdr:to>
    <xdr:graphicFrame macro="">
      <xdr:nvGraphicFramePr>
        <xdr:cNvPr id="6" name="Gráfico 5">
          <a:extLst>
            <a:ext uri="{FF2B5EF4-FFF2-40B4-BE49-F238E27FC236}">
              <a16:creationId xmlns:a16="http://schemas.microsoft.com/office/drawing/2014/main" id="{0A313864-423D-4706-B0C4-9926385B5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1302404</xdr:colOff>
      <xdr:row>26</xdr:row>
      <xdr:rowOff>58551</xdr:rowOff>
    </xdr:from>
    <xdr:to>
      <xdr:col>5</xdr:col>
      <xdr:colOff>11574</xdr:colOff>
      <xdr:row>39</xdr:row>
      <xdr:rowOff>102051</xdr:rowOff>
    </xdr:to>
    <xdr:graphicFrame macro="">
      <xdr:nvGraphicFramePr>
        <xdr:cNvPr id="7" name="Gráfico 6">
          <a:extLst>
            <a:ext uri="{FF2B5EF4-FFF2-40B4-BE49-F238E27FC236}">
              <a16:creationId xmlns:a16="http://schemas.microsoft.com/office/drawing/2014/main" id="{9E427AA7-8CF4-41A2-A4FA-EA3509C93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86285</xdr:colOff>
      <xdr:row>26</xdr:row>
      <xdr:rowOff>69755</xdr:rowOff>
    </xdr:from>
    <xdr:to>
      <xdr:col>6</xdr:col>
      <xdr:colOff>1574515</xdr:colOff>
      <xdr:row>39</xdr:row>
      <xdr:rowOff>113255</xdr:rowOff>
    </xdr:to>
    <xdr:graphicFrame macro="">
      <xdr:nvGraphicFramePr>
        <xdr:cNvPr id="8" name="Gráfico 7">
          <a:extLst>
            <a:ext uri="{FF2B5EF4-FFF2-40B4-BE49-F238E27FC236}">
              <a16:creationId xmlns:a16="http://schemas.microsoft.com/office/drawing/2014/main" id="{4C753CE8-2AB1-41D9-9A6E-7DAF61A48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56029</xdr:colOff>
      <xdr:row>26</xdr:row>
      <xdr:rowOff>78441</xdr:rowOff>
    </xdr:from>
    <xdr:to>
      <xdr:col>9</xdr:col>
      <xdr:colOff>300406</xdr:colOff>
      <xdr:row>39</xdr:row>
      <xdr:rowOff>121941</xdr:rowOff>
    </xdr:to>
    <xdr:graphicFrame macro="">
      <xdr:nvGraphicFramePr>
        <xdr:cNvPr id="9" name="Gráfico 8">
          <a:extLst>
            <a:ext uri="{FF2B5EF4-FFF2-40B4-BE49-F238E27FC236}">
              <a16:creationId xmlns:a16="http://schemas.microsoft.com/office/drawing/2014/main" id="{C12DBF02-EB3F-44DE-8454-9C8D8D1DE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1095855</xdr:colOff>
      <xdr:row>33</xdr:row>
      <xdr:rowOff>68036</xdr:rowOff>
    </xdr:from>
    <xdr:to>
      <xdr:col>16</xdr:col>
      <xdr:colOff>625929</xdr:colOff>
      <xdr:row>88</xdr:row>
      <xdr:rowOff>81643</xdr:rowOff>
    </xdr:to>
    <xdr:grpSp>
      <xdr:nvGrpSpPr>
        <xdr:cNvPr id="2" name="Grupo 1">
          <a:extLst>
            <a:ext uri="{FF2B5EF4-FFF2-40B4-BE49-F238E27FC236}">
              <a16:creationId xmlns:a16="http://schemas.microsoft.com/office/drawing/2014/main" id="{0F2F3CCF-96FE-404E-9090-E4A1CCF91BA4}"/>
            </a:ext>
          </a:extLst>
        </xdr:cNvPr>
        <xdr:cNvGrpSpPr/>
      </xdr:nvGrpSpPr>
      <xdr:grpSpPr>
        <a:xfrm>
          <a:off x="4299719" y="6228361"/>
          <a:ext cx="11021924" cy="10218964"/>
          <a:chOff x="4279926" y="6395357"/>
          <a:chExt cx="11028110" cy="10491107"/>
        </a:xfrm>
      </xdr:grpSpPr>
      <xdr:graphicFrame macro="">
        <xdr:nvGraphicFramePr>
          <xdr:cNvPr id="4" name="Gráfico 3">
            <a:extLst>
              <a:ext uri="{FF2B5EF4-FFF2-40B4-BE49-F238E27FC236}">
                <a16:creationId xmlns:a16="http://schemas.microsoft.com/office/drawing/2014/main" id="{DAD1A583-1C19-45B5-BCD8-EAC86609310F}"/>
              </a:ext>
            </a:extLst>
          </xdr:cNvPr>
          <xdr:cNvGraphicFramePr/>
        </xdr:nvGraphicFramePr>
        <xdr:xfrm>
          <a:off x="4279926" y="6395357"/>
          <a:ext cx="11028110" cy="1049110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CuadroTexto 1">
            <a:extLst>
              <a:ext uri="{FF2B5EF4-FFF2-40B4-BE49-F238E27FC236}">
                <a16:creationId xmlns:a16="http://schemas.microsoft.com/office/drawing/2014/main" id="{88C0EF93-005B-4FD1-B118-EACCCB39F607}"/>
              </a:ext>
            </a:extLst>
          </xdr:cNvPr>
          <xdr:cNvSpPr txBox="1"/>
        </xdr:nvSpPr>
        <xdr:spPr>
          <a:xfrm>
            <a:off x="8457418" y="7546516"/>
            <a:ext cx="3047999" cy="8199766"/>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s-EC" sz="1100" b="0" i="0" u="none" strike="noStrike">
                <a:effectLst/>
                <a:latin typeface="Times New Roman" panose="02020603050405020304" pitchFamily="18" charset="0"/>
                <a:ea typeface="+mn-ea"/>
                <a:cs typeface="Times New Roman" panose="02020603050405020304" pitchFamily="18" charset="0"/>
              </a:rPr>
              <a:t>Testing-based </a:t>
            </a:r>
          </a:p>
          <a:p>
            <a:pPr algn="ctr"/>
            <a:r>
              <a:rPr lang="es-EC" sz="1100" b="0" i="0" u="none" strike="noStrike">
                <a:effectLst/>
                <a:latin typeface="Times New Roman" panose="02020603050405020304" pitchFamily="18" charset="0"/>
                <a:ea typeface="+mn-ea"/>
                <a:cs typeface="Times New Roman" panose="02020603050405020304" pitchFamily="18" charset="0"/>
              </a:rPr>
              <a:t>techniques</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Reverse Engineering</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Prediction</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Statistical analyses</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Empirical/ </a:t>
            </a:r>
          </a:p>
          <a:p>
            <a:pPr algn="ctr"/>
            <a:r>
              <a:rPr lang="es-EC" sz="1100" b="0" i="0" u="none" strike="noStrike">
                <a:effectLst/>
                <a:latin typeface="Times New Roman" panose="02020603050405020304" pitchFamily="18" charset="0"/>
                <a:ea typeface="+mn-ea"/>
                <a:cs typeface="Times New Roman" panose="02020603050405020304" pitchFamily="18" charset="0"/>
              </a:rPr>
              <a:t>Experimental</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Heuristical </a:t>
            </a:r>
          </a:p>
          <a:p>
            <a:pPr algn="ctr"/>
            <a:r>
              <a:rPr lang="es-EC" sz="1100" b="0" i="0" u="none" strike="noStrike">
                <a:effectLst/>
                <a:latin typeface="Times New Roman" panose="02020603050405020304" pitchFamily="18" charset="0"/>
                <a:ea typeface="+mn-ea"/>
                <a:cs typeface="Times New Roman" panose="02020603050405020304" pitchFamily="18" charset="0"/>
              </a:rPr>
              <a:t>techniques</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Qualitative </a:t>
            </a:r>
          </a:p>
          <a:p>
            <a:pPr algn="ctr"/>
            <a:r>
              <a:rPr lang="es-EC" sz="1100" b="0" i="0" u="none" strike="noStrike">
                <a:effectLst/>
                <a:latin typeface="Times New Roman" panose="02020603050405020304" pitchFamily="18" charset="0"/>
                <a:ea typeface="+mn-ea"/>
                <a:cs typeface="Times New Roman" panose="02020603050405020304" pitchFamily="18" charset="0"/>
              </a:rPr>
              <a:t>analyses</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Artificial </a:t>
            </a:r>
          </a:p>
          <a:p>
            <a:pPr algn="ctr"/>
            <a:r>
              <a:rPr lang="es-EC" sz="1100" b="0" i="0" u="none" strike="noStrike">
                <a:effectLst/>
                <a:latin typeface="Times New Roman" panose="02020603050405020304" pitchFamily="18" charset="0"/>
                <a:ea typeface="+mn-ea"/>
                <a:cs typeface="Times New Roman" panose="02020603050405020304" pitchFamily="18" charset="0"/>
              </a:rPr>
              <a:t>Intelligence / </a:t>
            </a:r>
          </a:p>
          <a:p>
            <a:pPr algn="ctr"/>
            <a:r>
              <a:rPr lang="es-EC" sz="1100" b="0" i="0" u="none" strike="noStrike">
                <a:effectLst/>
                <a:latin typeface="Times New Roman" panose="02020603050405020304" pitchFamily="18" charset="0"/>
                <a:ea typeface="+mn-ea"/>
                <a:cs typeface="Times New Roman" panose="02020603050405020304" pitchFamily="18" charset="0"/>
              </a:rPr>
              <a:t>Machine Learning</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Automatic</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Data mining</a:t>
            </a: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endParaRPr lang="es-EC" sz="1100" b="0" i="0" u="none" strike="noStrike">
              <a:effectLst/>
              <a:latin typeface="Times New Roman" panose="02020603050405020304" pitchFamily="18" charset="0"/>
              <a:ea typeface="+mn-ea"/>
              <a:cs typeface="Times New Roman" panose="02020603050405020304" pitchFamily="18" charset="0"/>
            </a:endParaRPr>
          </a:p>
          <a:p>
            <a:pPr algn="ctr"/>
            <a:r>
              <a:rPr lang="es-EC" sz="1100" b="0" i="0" u="none" strike="noStrike">
                <a:effectLst/>
                <a:latin typeface="Times New Roman" panose="02020603050405020304" pitchFamily="18" charset="0"/>
                <a:ea typeface="+mn-ea"/>
                <a:cs typeface="Times New Roman" panose="02020603050405020304" pitchFamily="18" charset="0"/>
              </a:rPr>
              <a:t>Ad Hoc Algorithms</a:t>
            </a:r>
            <a:endParaRPr lang="en-GB" sz="1000" b="0" i="0">
              <a:latin typeface="Times New Roman" panose="02020603050405020304" pitchFamily="18" charset="0"/>
              <a:cs typeface="Times New Roman" panose="02020603050405020304" pitchFamily="18" charset="0"/>
            </a:endParaRPr>
          </a:p>
        </xdr:txBody>
      </xdr:sp>
    </xdr:grpSp>
    <xdr:clientData/>
  </xdr:twoCellAnchor>
  <xdr:twoCellAnchor>
    <xdr:from>
      <xdr:col>4</xdr:col>
      <xdr:colOff>1226353</xdr:colOff>
      <xdr:row>80</xdr:row>
      <xdr:rowOff>81644</xdr:rowOff>
    </xdr:from>
    <xdr:to>
      <xdr:col>8</xdr:col>
      <xdr:colOff>193612</xdr:colOff>
      <xdr:row>89</xdr:row>
      <xdr:rowOff>68036</xdr:rowOff>
    </xdr:to>
    <xdr:sp macro="" textlink="">
      <xdr:nvSpPr>
        <xdr:cNvPr id="5" name="CuadroTexto 1">
          <a:extLst>
            <a:ext uri="{FF2B5EF4-FFF2-40B4-BE49-F238E27FC236}">
              <a16:creationId xmlns:a16="http://schemas.microsoft.com/office/drawing/2014/main" id="{077A0A8E-3C8B-47FC-81E2-C9F8C882574F}"/>
            </a:ext>
          </a:extLst>
        </xdr:cNvPr>
        <xdr:cNvSpPr txBox="1"/>
      </xdr:nvSpPr>
      <xdr:spPr>
        <a:xfrm>
          <a:off x="4410424" y="15362465"/>
          <a:ext cx="2056081" cy="1700892"/>
        </a:xfrm>
        <a:prstGeom prst="rect">
          <a:avLst/>
        </a:prstGeom>
        <a:noFill/>
      </xdr:spPr>
      <xdr:style>
        <a:lnRef idx="0">
          <a:scrgbClr r="0" g="0" b="0"/>
        </a:lnRef>
        <a:fillRef idx="0">
          <a:scrgbClr r="0" g="0" b="0"/>
        </a:fillRef>
        <a:effectRef idx="0">
          <a:scrgbClr r="0" g="0" b="0"/>
        </a:effectRef>
        <a:fontRef idx="minor">
          <a:schemeClr val="tx1"/>
        </a:fontRef>
      </xdr:style>
      <xdr:txBody>
        <a:bodyPr vert="vert270"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r"/>
          <a:endParaRPr lang="en-GB" sz="1100" b="0">
            <a:latin typeface="Times New Roman" panose="02020603050405020304" pitchFamily="18" charset="0"/>
            <a:cs typeface="Times New Roman" panose="02020603050405020304" pitchFamily="18" charset="0"/>
          </a:endParaRPr>
        </a:p>
        <a:p>
          <a:pPr algn="r"/>
          <a:endParaRPr lang="en-GB" sz="1100" b="0">
            <a:latin typeface="Times New Roman" panose="02020603050405020304" pitchFamily="18" charset="0"/>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Proyect Features Info</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Defects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Comments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Branches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Source Code</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 Informal Information</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Commiters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Commit data</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Logs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Graphs/News Feed</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Issue</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Pulls/ Pulls request</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Level of interest</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Repository info</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Automatic processing</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Branching Analysis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Changes Analysis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Commits/Committers classification</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Cloning Detection</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Code Review</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Commit Analysis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Deffect/Issues Analysis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Developer behavior</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Design Modelling</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Maintenability Information</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Metrics/Quality</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Source Code Improvements</a:t>
          </a:r>
          <a:r>
            <a:rPr lang="es-EC" sz="1100">
              <a:latin typeface="Times New Roman" panose="02020603050405020304" pitchFamily="18" charset="0"/>
              <a:cs typeface="Times New Roman" panose="02020603050405020304" pitchFamily="18" charset="0"/>
            </a:rPr>
            <a:t> </a:t>
          </a:r>
        </a:p>
        <a:p>
          <a:pPr algn="r"/>
          <a:endParaRPr lang="es-EC" sz="1100" b="0" i="0" u="none" strike="noStrike">
            <a:solidFill>
              <a:schemeClr val="tx1"/>
            </a:solidFill>
            <a:effectLst/>
            <a:latin typeface="Times New Roman" panose="02020603050405020304" pitchFamily="18" charset="0"/>
            <a:ea typeface="+mn-ea"/>
            <a:cs typeface="Times New Roman" panose="02020603050405020304" pitchFamily="18" charset="0"/>
          </a:endParaRPr>
        </a:p>
        <a:p>
          <a:pPr algn="r"/>
          <a:r>
            <a:rPr lang="es-EC" sz="1100" b="0" i="0" u="none" strike="noStrike">
              <a:solidFill>
                <a:schemeClr val="tx1"/>
              </a:solidFill>
              <a:effectLst/>
              <a:latin typeface="Times New Roman" panose="02020603050405020304" pitchFamily="18" charset="0"/>
              <a:ea typeface="+mn-ea"/>
              <a:cs typeface="Times New Roman" panose="02020603050405020304" pitchFamily="18" charset="0"/>
            </a:rPr>
            <a:t>Testing Data</a:t>
          </a:r>
          <a:r>
            <a:rPr lang="es-EC" sz="1100">
              <a:latin typeface="Times New Roman" panose="02020603050405020304" pitchFamily="18" charset="0"/>
              <a:cs typeface="Times New Roman" panose="02020603050405020304" pitchFamily="18" charset="0"/>
            </a:rPr>
            <a:t> </a:t>
          </a:r>
          <a:endParaRPr lang="en-GB" sz="1100" b="0">
            <a:latin typeface="Times New Roman" panose="02020603050405020304" pitchFamily="18" charset="0"/>
            <a:cs typeface="Times New Roman" panose="02020603050405020304" pitchFamily="18" charset="0"/>
          </a:endParaRPr>
        </a:p>
      </xdr:txBody>
    </xdr:sp>
    <xdr:clientData/>
  </xdr:twoCellAnchor>
</xdr:wsDr>
</file>

<file path=xl/drawings/drawing11.xml><?xml version="1.0" encoding="utf-8"?>
<c:userShapes xmlns:c="http://schemas.openxmlformats.org/drawingml/2006/chart">
  <cdr:relSizeAnchor xmlns:cdr="http://schemas.openxmlformats.org/drawingml/2006/chartDrawing">
    <cdr:from>
      <cdr:x>0.42191</cdr:x>
      <cdr:y>0.08835</cdr:y>
    </cdr:from>
    <cdr:to>
      <cdr:x>0.60835</cdr:x>
      <cdr:y>0.12356</cdr:y>
    </cdr:to>
    <cdr:sp macro="" textlink="">
      <cdr:nvSpPr>
        <cdr:cNvPr id="5" name="CuadroTexto 4">
          <a:extLst xmlns:a="http://schemas.openxmlformats.org/drawingml/2006/main">
            <a:ext uri="{FF2B5EF4-FFF2-40B4-BE49-F238E27FC236}">
              <a16:creationId xmlns:a16="http://schemas.microsoft.com/office/drawing/2014/main" id="{2391EF14-921C-464E-AFC0-2DA19A1628A7}"/>
            </a:ext>
          </a:extLst>
        </cdr:cNvPr>
        <cdr:cNvSpPr txBox="1"/>
      </cdr:nvSpPr>
      <cdr:spPr>
        <a:xfrm xmlns:a="http://schemas.openxmlformats.org/drawingml/2006/main">
          <a:off x="4650249" y="902829"/>
          <a:ext cx="2054928" cy="35981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200" b="1">
              <a:latin typeface="Times New Roman" panose="02020603050405020304" pitchFamily="18" charset="0"/>
              <a:cs typeface="Times New Roman" panose="02020603050405020304" pitchFamily="18" charset="0"/>
            </a:rPr>
            <a:t>RQ2. Methods / Techniques/ Tools </a:t>
          </a:r>
        </a:p>
      </cdr:txBody>
    </cdr:sp>
  </cdr:relSizeAnchor>
  <cdr:relSizeAnchor xmlns:cdr="http://schemas.openxmlformats.org/drawingml/2006/chartDrawing">
    <cdr:from>
      <cdr:x>0.04762</cdr:x>
      <cdr:y>0.08903</cdr:y>
    </cdr:from>
    <cdr:to>
      <cdr:x>0.23406</cdr:x>
      <cdr:y>0.16249</cdr:y>
    </cdr:to>
    <cdr:sp macro="" textlink="">
      <cdr:nvSpPr>
        <cdr:cNvPr id="6" name="CuadroTexto 1">
          <a:extLst xmlns:a="http://schemas.openxmlformats.org/drawingml/2006/main">
            <a:ext uri="{FF2B5EF4-FFF2-40B4-BE49-F238E27FC236}">
              <a16:creationId xmlns:a16="http://schemas.microsoft.com/office/drawing/2014/main" id="{60285E55-5EC8-45BD-A5A9-515F52E7D44D}"/>
            </a:ext>
          </a:extLst>
        </cdr:cNvPr>
        <cdr:cNvSpPr txBox="1"/>
      </cdr:nvSpPr>
      <cdr:spPr>
        <a:xfrm xmlns:a="http://schemas.openxmlformats.org/drawingml/2006/main">
          <a:off x="524864" y="909759"/>
          <a:ext cx="2054928" cy="75068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200" b="1">
              <a:latin typeface="Times New Roman" panose="02020603050405020304" pitchFamily="18" charset="0"/>
              <a:cs typeface="Times New Roman" panose="02020603050405020304" pitchFamily="18" charset="0"/>
            </a:rPr>
            <a:t>RQ1. Input Information</a:t>
          </a:r>
          <a:r>
            <a:rPr lang="en-GB" sz="1200" b="1" baseline="0">
              <a:latin typeface="Times New Roman" panose="02020603050405020304" pitchFamily="18" charset="0"/>
              <a:cs typeface="Times New Roman" panose="02020603050405020304" pitchFamily="18" charset="0"/>
            </a:rPr>
            <a:t>  for analysis</a:t>
          </a:r>
        </a:p>
      </cdr:txBody>
    </cdr:sp>
  </cdr:relSizeAnchor>
  <cdr:relSizeAnchor xmlns:cdr="http://schemas.openxmlformats.org/drawingml/2006/chartDrawing">
    <cdr:from>
      <cdr:x>0.70332</cdr:x>
      <cdr:y>0.0938</cdr:y>
    </cdr:from>
    <cdr:to>
      <cdr:x>0.94624</cdr:x>
      <cdr:y>0.16726</cdr:y>
    </cdr:to>
    <cdr:sp macro="" textlink="">
      <cdr:nvSpPr>
        <cdr:cNvPr id="7" name="CuadroTexto 1">
          <a:extLst xmlns:a="http://schemas.openxmlformats.org/drawingml/2006/main">
            <a:ext uri="{FF2B5EF4-FFF2-40B4-BE49-F238E27FC236}">
              <a16:creationId xmlns:a16="http://schemas.microsoft.com/office/drawing/2014/main" id="{D262B483-C9ED-4DFB-AB33-E5758866CBDF}"/>
            </a:ext>
          </a:extLst>
        </cdr:cNvPr>
        <cdr:cNvSpPr txBox="1"/>
      </cdr:nvSpPr>
      <cdr:spPr>
        <a:xfrm xmlns:a="http://schemas.openxmlformats.org/drawingml/2006/main">
          <a:off x="7751923" y="958539"/>
          <a:ext cx="2677445" cy="75068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GB" sz="1400" b="1">
              <a:latin typeface="Times New Roman" panose="02020603050405020304" pitchFamily="18" charset="0"/>
              <a:cs typeface="Times New Roman" panose="02020603050405020304" pitchFamily="18" charset="0"/>
            </a:rPr>
            <a:t>RQ3. </a:t>
          </a:r>
          <a:r>
            <a:rPr lang="en-US" sz="1200" b="1">
              <a:effectLst/>
              <a:latin typeface="Times New Roman" panose="02020603050405020304" pitchFamily="18" charset="0"/>
              <a:cs typeface="Times New Roman" panose="02020603050405020304" pitchFamily="18" charset="0"/>
            </a:rPr>
            <a:t>. </a:t>
          </a:r>
          <a:r>
            <a:rPr lang="es-EC" sz="1200" b="1" i="0" baseline="0">
              <a:effectLst/>
              <a:latin typeface="Times New Roman" panose="02020603050405020304" pitchFamily="18" charset="0"/>
              <a:ea typeface="+mn-ea"/>
              <a:cs typeface="Times New Roman" panose="02020603050405020304" pitchFamily="18" charset="0"/>
            </a:rPr>
            <a:t>Information extracted/derived</a:t>
          </a:r>
          <a:endParaRPr lang="en-GB" sz="1400" b="1">
            <a:latin typeface="Times New Roman" panose="02020603050405020304" pitchFamily="18" charset="0"/>
            <a:cs typeface="Times New Roman" panose="02020603050405020304" pitchFamily="18"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D:\OneDrive\OneDrive%20-%20Pontificia%20Universidad%20Cat&#243;lica%20del%20Ecuador%20Sede%20Esmeraldas\Datos\MappingStudy\SMS_CSV_2019v5_gidesoft.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Library" Target="Analysis/FUNCRE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M"/>
      <sheetName val="IEEE"/>
      <sheetName val="ScienceDirect"/>
      <sheetName val="Scopus"/>
      <sheetName val="wos"/>
      <sheetName val="SUM DATABASES"/>
      <sheetName val="DATABASES REFINADA"/>
      <sheetName val="RepoPrimary"/>
      <sheetName val="DataBaseFinal"/>
      <sheetName val="SMS"/>
      <sheetName val="Hoja1"/>
      <sheetName val="PRIMARY"/>
      <sheetName val="EXTRACTION_FORM"/>
      <sheetName val="Year"/>
      <sheetName val="Country"/>
      <sheetName val="Authors"/>
      <sheetName val="Type"/>
      <sheetName val="Source Artifacts"/>
      <sheetName val="Techniques"/>
      <sheetName val="EA Concern"/>
      <sheetName val="EA Framework"/>
      <sheetName val="Modelling Language"/>
      <sheetName val="applicability"/>
      <sheetName val="Quality"/>
      <sheetName val="Bubble"/>
      <sheetName val="Categor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_fr-FR"/>
      <sheetName val="RES_en-US"/>
      <sheetName val="RES_cs-CZ"/>
      <sheetName val="RES_da-DK"/>
      <sheetName val="RES_de-DE"/>
      <sheetName val="RES_el-GR"/>
      <sheetName val="RES_es-ES"/>
      <sheetName val="RES_fi-FI"/>
      <sheetName val="RES_hr-HR"/>
      <sheetName val="RES_hu-HU"/>
      <sheetName val="RES_it-IT"/>
      <sheetName val="RES_ja-JP"/>
      <sheetName val="RES_ko-KR"/>
      <sheetName val="RES_lv-LV"/>
      <sheetName val="RES_nb-NO"/>
      <sheetName val="RES_nl-NL"/>
      <sheetName val="RES_pl-PL"/>
      <sheetName val="RES_pt-BR"/>
      <sheetName val="RES_pt-PT"/>
      <sheetName val="RES_ro-RO"/>
      <sheetName val="RES_ru-RU"/>
      <sheetName val="RES_sl-SI"/>
      <sheetName val="RES_sv-SE"/>
      <sheetName val="RES_tr-TR"/>
      <sheetName val="RES_zh-CN"/>
      <sheetName val="RES_zh-TW"/>
    </sheetNames>
    <definedNames>
      <definedName name="csvRange"/>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persons/person.xml><?xml version="1.0" encoding="utf-8"?>
<personList xmlns="http://schemas.microsoft.com/office/spreadsheetml/2018/threadedcomments" xmlns:x="http://schemas.openxmlformats.org/spreadsheetml/2006/main">
  <person displayName="Jaime Sayago" id="{50EAE7A5-9C13-4B1D-8ABF-EC95069B8115}" userId="S::jaime.sayago@pucese.edu.ec::58ca80b8-cd74-4315-9886-867fbcca5cca" providerId="AD"/>
  <person displayName="Ricardo Pérez del Castillo" id="{186BA36F-DA11-4D13-994A-4011F507133E}" userId="S::Ricardo.PdelCastillo@uclm.es::19870d41-3fe1-4117-9a02-639c4771fd2f"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BB4B5F-06CC-4665-9EB4-23661B865C92}" name="Tabla9" displayName="Tabla9" ref="B1:AB733" totalsRowShown="0" headerRowDxfId="170">
  <autoFilter ref="B1:AB733" xr:uid="{DF811FC6-A6C3-45C6-8D2C-2100E3D160AE}"/>
  <sortState xmlns:xlrd2="http://schemas.microsoft.com/office/spreadsheetml/2017/richdata2" ref="B3:AB732">
    <sortCondition ref="P1:P733"/>
  </sortState>
  <tableColumns count="27">
    <tableColumn id="1" xr3:uid="{A036F67A-62D9-4AFC-951A-851712E1FCAF}" name="number"/>
    <tableColumn id="2" xr3:uid="{42A5B4AF-396A-4CB6-9C92-1E373383F212}" name="AUTOR"/>
    <tableColumn id="3" xr3:uid="{923E190C-63D6-453C-8670-0BD362FCE967}" name="TITLE"/>
    <tableColumn id="4" xr3:uid="{1243033F-EFC7-4DD9-89E6-F79E370A1F32}" name="journal/conference"/>
    <tableColumn id="5" xr3:uid="{C94563F7-6FA2-442A-84FB-1594D17B842B}" name="keywords"/>
    <tableColumn id="6" xr3:uid="{7F87074A-6148-4AAF-B4DB-276CFFF778D2}" name="absctract"/>
    <tableColumn id="7" xr3:uid="{3A44B03E-AD40-4E40-AA16-1CB51EFCD146}" name="year"/>
    <tableColumn id="8" xr3:uid="{1074B0D1-D629-42EF-B7D3-E7AD98CBBAC7}" name="url"/>
    <tableColumn id="9" xr3:uid="{98F5CDA0-22F4-4750-A257-F586A9C9185C}" name="I-A1"/>
    <tableColumn id="10" xr3:uid="{44E4C313-474A-416D-98F2-3BC90280A5BA}" name="E-A1"/>
    <tableColumn id="11" xr3:uid="{41C376F0-812F-4E36-9D43-D993DB44DF61}" name="I-A2"/>
    <tableColumn id="12" xr3:uid="{C579E56C-25CC-4DA2-A83D-E32AE18663FC}" name="E-A2"/>
    <tableColumn id="14" xr3:uid="{853A4B9A-C576-4ADD-97A0-9755F6BFB627}" name="Score"/>
    <tableColumn id="15" xr3:uid="{FCE137EC-0598-46C9-894B-F60F7C03F801}" name="Type information Input" dataDxfId="169"/>
    <tableColumn id="16" xr3:uid="{93FEA9A6-B390-490E-B5A3-17F128D8CBD2}" name="Type information result"/>
    <tableColumn id="17" xr3:uid="{ED77F57F-20C2-49F9-9F65-42D70ED5B021}" name="Methods / techniques"/>
    <tableColumn id="18" xr3:uid="{280E344C-38C5-4915-924D-0445850B1218}" name="Aplication"/>
    <tableColumn id="19" xr3:uid="{5975C4BB-0371-4E66-A69C-97F0B34B1B20}" name="Type of Publication"/>
    <tableColumn id="20" xr3:uid="{065EBD9A-7CFF-4D84-8AA6-6F8721FDC112}" name="Type of research"/>
    <tableColumn id="28" xr3:uid="{D19B0E08-EB35-49F2-A587-93F108B12053}" name="Implication"/>
    <tableColumn id="29" xr3:uid="{3408186A-AF80-4FC7-AFBB-C1EA9891EE5B}" name="Framework"/>
    <tableColumn id="23" xr3:uid="{6260F2B7-5AD3-4BC8-B012-49EEBBEA96A8}" name="AQ1"/>
    <tableColumn id="24" xr3:uid="{5839EB84-0211-48D7-9D6B-A8CA9103A9E3}" name="AQ2"/>
    <tableColumn id="25" xr3:uid="{8EEE6016-1914-4A07-B3D2-226F0232C21E}" name="AQ3"/>
    <tableColumn id="26" xr3:uid="{0B233ADD-8E6C-43DC-B7C4-E87B26F3507B}" name="AQ4"/>
    <tableColumn id="13" xr3:uid="{04F44760-13E6-499A-9600-83539F075BF0}" name="Country"/>
    <tableColumn id="27" xr3:uid="{3965042F-5E73-4021-B586-7ED7C0553354}" name="Acces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87D9E24-F2C1-4C2D-A3C8-884B58C4FE4D}" name="Output" displayName="Output" ref="B1:B127" totalsRowShown="0" headerRowDxfId="168">
  <autoFilter ref="B1:B127" xr:uid="{5D52A751-BFE1-40AE-89AF-11835CE604DB}"/>
  <sortState xmlns:xlrd2="http://schemas.microsoft.com/office/spreadsheetml/2017/richdata2" ref="B18:B127">
    <sortCondition ref="B1:B127"/>
  </sortState>
  <tableColumns count="1">
    <tableColumn id="1" xr3:uid="{289A8ECF-F55B-4C11-9A26-2317317B456C}" name="Type information resul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E85A186-4876-4815-B602-BF8E5483D131}" name="Input" displayName="Input" ref="A1:A69" totalsRowShown="0" headerRowDxfId="167">
  <autoFilter ref="A1:A69" xr:uid="{B0538724-23C3-4B3B-94D0-D7877F14F6E7}"/>
  <sortState xmlns:xlrd2="http://schemas.microsoft.com/office/spreadsheetml/2017/richdata2" ref="A2:A69">
    <sortCondition ref="A1:A69"/>
  </sortState>
  <tableColumns count="1">
    <tableColumn id="1" xr3:uid="{2B9FE8B8-5331-4837-8830-66C5040B5E34}" name="Type information inpu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0444615-9EC0-4BB7-BD76-62AC67DD02BD}" name="Aplication" displayName="Aplication" ref="D1:D62" totalsRowShown="0" headerRowDxfId="166" tableBorderDxfId="165">
  <autoFilter ref="D1:D62" xr:uid="{4FDE1103-1BA5-40D8-ACD4-1874D72A2DD4}"/>
  <sortState xmlns:xlrd2="http://schemas.microsoft.com/office/spreadsheetml/2017/richdata2" ref="D2:D62">
    <sortCondition ref="D1:D62"/>
  </sortState>
  <tableColumns count="1">
    <tableColumn id="1" xr3:uid="{5C984EA8-CE9B-41DA-BD26-DF0227604B19}" name="Aplicatio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5870149-9994-405D-B164-03F2E17EC494}" name="TypeResearch" displayName="TypeResearch" ref="E1:E13" totalsRowShown="0" headerRowDxfId="164">
  <autoFilter ref="E1:E13" xr:uid="{80D3BBF7-BDC1-4CDA-939C-A42CD0AF6E70}"/>
  <sortState xmlns:xlrd2="http://schemas.microsoft.com/office/spreadsheetml/2017/richdata2" ref="E2:E13">
    <sortCondition ref="E1:E13"/>
  </sortState>
  <tableColumns count="1">
    <tableColumn id="1" xr3:uid="{D32EB386-6842-42F3-8D37-0255FF1239AD}" name="Type of researc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03BF4E0-85CD-4AE2-BE40-A9CDC7C3353C}" name="Implication" displayName="Implication" ref="G1:G6" totalsRowShown="0" headerRowDxfId="163">
  <autoFilter ref="G1:G6" xr:uid="{E3EEE9DF-8548-4351-B95A-B4DF8C2EBCDD}"/>
  <tableColumns count="1">
    <tableColumn id="2" xr3:uid="{C9BA0030-0B1E-44B3-BDDA-6CFB9FB0006F}" name="Implicatio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BA7682-D3BC-453F-AAC8-F4A9B4474BE8}" name="Framework" displayName="Framework" ref="H1:H49" totalsRowShown="0" headerRowDxfId="162">
  <autoFilter ref="H1:H49" xr:uid="{ED38D0C3-936C-44CA-AFCA-53C45BCE880B}"/>
  <sortState xmlns:xlrd2="http://schemas.microsoft.com/office/spreadsheetml/2017/richdata2" ref="H2:H49">
    <sortCondition ref="H1:H49"/>
  </sortState>
  <tableColumns count="1">
    <tableColumn id="1" xr3:uid="{84F48CD4-28FC-48C2-8066-A57B70211754}" name="Framework"/>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E61EED-AF29-46CA-B563-D865A0796E47}" name="Methods" displayName="Methods" ref="C1:C96" totalsRowShown="0" headerRowDxfId="161" tableBorderDxfId="160">
  <autoFilter ref="C1:C96" xr:uid="{EBF451D5-F312-4545-A6E6-D24BA47742ED}"/>
  <tableColumns count="1">
    <tableColumn id="1" xr3:uid="{BCA1431D-CD03-444F-9A83-0D66F03D24D8}" name="Methods / techniques"/>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D3D911D-92A4-4141-AC00-B419E75B621E}" name="ScaleFinal" displayName="ScaleFinal" ref="I1:I8" totalsRowShown="0" headerRowDxfId="159" dataDxfId="158" tableBorderDxfId="157">
  <autoFilter ref="I1:I8" xr:uid="{82C10526-0E42-4739-AC3C-2A00CA1296EF}"/>
  <tableColumns count="1">
    <tableColumn id="1" xr3:uid="{167B8CC4-7517-4C3E-9C4E-435B79FDA829}" name="Scale" dataDxfId="15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229A930-E17E-4120-9AEF-FF951AD13320}" name="TypePublication" displayName="TypePublication" ref="F1:F9" totalsRowShown="0" headerRowDxfId="155">
  <autoFilter ref="F1:F9" xr:uid="{EDE710A5-8B41-4B0D-B69E-60477E98427D}"/>
  <tableColumns count="1">
    <tableColumn id="1" xr3:uid="{0C0BDDC1-78E4-40A0-B53A-DBFAE8B45983}" name="Type of publicatio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1E244C1-2DE0-4E95-9B9C-E15838203DF6}" name="Tabla17" displayName="Tabla17" ref="J1:J44" totalsRowShown="0">
  <autoFilter ref="J1:J44" xr:uid="{144D03A7-3061-4305-B5CB-256F946724D4}"/>
  <sortState xmlns:xlrd2="http://schemas.microsoft.com/office/spreadsheetml/2017/richdata2" ref="J2:J44">
    <sortCondition ref="J1:J44"/>
  </sortState>
  <tableColumns count="1">
    <tableColumn id="1" xr3:uid="{7E132B88-A932-493B-9D09-C421B8708B07}" name="Countrys "/>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13C1BF4-7125-4FD2-A0DB-39D8E87FB2EC}" name="Principal" displayName="Principal" ref="A1:BR237" totalsRowShown="0" headerRowDxfId="154" dataDxfId="152" headerRowBorderDxfId="153" tableBorderDxfId="151">
  <autoFilter ref="A1:BR237" xr:uid="{09069713-A647-4F9D-94DE-CE0762B70A33}">
    <filterColumn colId="0">
      <filters>
        <filter val="97"/>
        <filter val="197"/>
      </filters>
    </filterColumn>
  </autoFilter>
  <sortState xmlns:xlrd2="http://schemas.microsoft.com/office/spreadsheetml/2017/richdata2" ref="A8:BR209">
    <sortCondition ref="R1:R237"/>
  </sortState>
  <tableColumns count="70">
    <tableColumn id="1" xr3:uid="{14DD76C7-F8A0-4763-8B1D-73F2DB7DAB4A}" name="Number" dataDxfId="150"/>
    <tableColumn id="2" xr3:uid="{89042A2B-5305-4A29-A433-09A34D86A462}" name="AUTOR" dataDxfId="149"/>
    <tableColumn id="3" xr3:uid="{FC0E5FBD-B729-469F-8D20-268C210AB9A7}" name="TITLE" dataDxfId="148"/>
    <tableColumn id="4" xr3:uid="{9EE23E21-6A65-4718-A0F5-57C99FC3E093}" name="journal/conference" dataDxfId="147"/>
    <tableColumn id="5" xr3:uid="{8F553FED-03E4-4183-BFEE-39BACAFDCB5A}" name="keywords" dataDxfId="146"/>
    <tableColumn id="6" xr3:uid="{4C35574A-4CEA-486B-909E-DD7FAF8A5D22}" name="absctract" dataDxfId="145"/>
    <tableColumn id="7" xr3:uid="{52590807-5BE4-457F-A4E2-0F64312057AF}" name="year" dataDxfId="144"/>
    <tableColumn id="8" xr3:uid="{B8B9963D-B209-4EC5-B29F-1B947941312C}" name="url" dataDxfId="143"/>
    <tableColumn id="9" xr3:uid="{E6D5C56E-E4DF-4A09-8C2D-31BB67AA69E1}" name="ERA" dataDxfId="142"/>
    <tableColumn id="10" xr3:uid="{523D0A51-C82D-4D43-83DC-C5E9D4933B97}" name="QUALIS" dataDxfId="141"/>
    <tableColumn id="11" xr3:uid="{0EA26112-7CE8-4F69-8CEE-C09220C66D74}" name="JCR" dataDxfId="140"/>
    <tableColumn id="12" xr3:uid="{B840B76A-44C2-4513-9BF6-684C04C97B28}" name="Q-JCR" dataDxfId="139"/>
    <tableColumn id="13" xr3:uid="{989BD1D9-CF4B-496B-B901-D8E78497116D}" name="DOI" dataDxfId="138"/>
    <tableColumn id="32" xr3:uid="{E1691DCE-6441-473B-8555-D1F34B121C82}" name="cited by (*Scopus)" dataDxfId="137"/>
    <tableColumn id="15" xr3:uid="{FA8110ED-4F5C-4B80-8460-AE03DBF946C9}" name="Score" dataDxfId="136"/>
    <tableColumn id="16" xr3:uid="{61DB573B-C101-45C6-92F2-F311A8C6D28C}" name="Type information Input" dataDxfId="135"/>
    <tableColumn id="17" xr3:uid="{B14E6283-8580-4760-BC91-FAB39173630F}" name="Type information result" dataDxfId="134"/>
    <tableColumn id="18" xr3:uid="{FA4B3285-70F0-49FD-91CC-0527F6978545}" name="Methods / techniques" dataDxfId="133"/>
    <tableColumn id="19" xr3:uid="{33F260FE-8352-4691-B8BE-22DF913D4EA8}" name="Aplication" dataDxfId="132"/>
    <tableColumn id="20" xr3:uid="{CFAF42AF-1C4C-42DA-9982-BD33298E0FAA}" name="Type of Publication" dataDxfId="131"/>
    <tableColumn id="21" xr3:uid="{17A605AF-E50F-449B-89AB-676A6DCF4D5C}" name="Type of research" dataDxfId="130"/>
    <tableColumn id="22" xr3:uid="{07629E91-3E16-4D32-855F-59C85CD13DF3}" name="Implication" dataDxfId="129"/>
    <tableColumn id="23" xr3:uid="{6BFFACB7-0F88-429C-83EF-970B6A8F8318}" name="Framework" dataDxfId="128"/>
    <tableColumn id="24" xr3:uid="{D19B8AE8-22ED-45AB-8BF8-CDF044A72655}" name="AQ1" dataDxfId="127"/>
    <tableColumn id="25" xr3:uid="{387D93CA-0119-4C2B-8CEA-D5AF0413E68D}" name="AQ2" dataDxfId="126"/>
    <tableColumn id="26" xr3:uid="{6F01DCDA-57FC-4E15-9D68-672844E17572}" name="AQ3" dataDxfId="125"/>
    <tableColumn id="27" xr3:uid="{B6D6B65A-1BFB-441C-9EF0-AF29DC4EE897}" name="AQ4" dataDxfId="124"/>
    <tableColumn id="28" xr3:uid="{6F2F0D5D-DE4F-4A94-AAEE-1DE9EBB58B78}" name="AQ5" dataDxfId="123"/>
    <tableColumn id="29" xr3:uid="{15BF9372-D5DB-4900-9383-17244ED1E66C}" name="AQ6" dataDxfId="122"/>
    <tableColumn id="30" xr3:uid="{5955BDD9-292E-4A87-91C0-EB2011A87E95}" name="AQ7" dataDxfId="121">
      <calculatedColumnFormula>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calculatedColumnFormula>
    </tableColumn>
    <tableColumn id="31" xr3:uid="{4BA4A3BC-0270-416A-871E-F7DC52536BD9}" name="Country" dataDxfId="120"/>
    <tableColumn id="14" xr3:uid="{6BEB8E28-C4C4-40BB-8CF3-703D3560EA3A}" name="Proyect Features Info" dataDxfId="119"/>
    <tableColumn id="33" xr3:uid="{786F88A0-68A0-4E47-B753-88E69B4175EA}" name="Defects" dataDxfId="118"/>
    <tableColumn id="34" xr3:uid="{8897824F-2A82-4D22-8210-66F250E5CE79}" name="Comments" dataDxfId="117"/>
    <tableColumn id="35" xr3:uid="{E5F0A170-988D-4086-9697-8EDCE5E2B629}" name="Branches" dataDxfId="116"/>
    <tableColumn id="36" xr3:uid="{434B23DE-A27C-4C27-A449-B7E83E97FA64}" name="Source Code" dataDxfId="115"/>
    <tableColumn id="37" xr3:uid="{C26A9FA8-5A76-4052-9F0F-ED3C0A39F4D2}" name="Informal Information" dataDxfId="114"/>
    <tableColumn id="38" xr3:uid="{F5860EE0-3BE1-4696-94F7-0F0BEB6D9268}" name="Commiters" dataDxfId="113"/>
    <tableColumn id="39" xr3:uid="{106737CA-C25C-42DA-AE19-E7F7C870354E}" name="Commit data" dataDxfId="112"/>
    <tableColumn id="40" xr3:uid="{A8BF41CF-B076-4F15-916C-7A3568E1D1E2}" name="Logs" dataDxfId="111"/>
    <tableColumn id="41" xr3:uid="{F94DF31F-C3EE-4AAB-866B-57F7371E69FB}" name="Graphs/News Feed" dataDxfId="110"/>
    <tableColumn id="42" xr3:uid="{8FA6358B-8219-4C7A-B7AA-C262C8A6590A}" name="Issue" dataDxfId="109"/>
    <tableColumn id="43" xr3:uid="{15450669-B4F3-4B54-824B-F8E55085610D}" name="Pulls/ Pulls request" dataDxfId="108"/>
    <tableColumn id="44" xr3:uid="{D5960B6C-6F0F-460D-9A9D-4A496F7F15FB}" name="Level of interest" dataDxfId="107"/>
    <tableColumn id="45" xr3:uid="{64F9F0D0-0998-4D67-A72D-08FFAFC4B8E0}" name="Repository info" dataDxfId="106"/>
    <tableColumn id="46" xr3:uid="{6203D5FE-A62E-497D-864D-F2738CC4E40E}" name="Automatic processing" dataDxfId="105"/>
    <tableColumn id="47" xr3:uid="{03C23C25-B254-4F2D-B6F6-9F6CD4F54D67}" name="Branching Analysis" dataDxfId="104"/>
    <tableColumn id="48" xr3:uid="{8FC0FCF8-C0DB-46E3-AC86-F96D40BC8A51}" name="Changes Analysis" dataDxfId="103"/>
    <tableColumn id="49" xr3:uid="{7C0202F1-3C37-4F6D-8E25-A88D7AA6B560}" name="Commits/Committers classification" dataDxfId="102"/>
    <tableColumn id="50" xr3:uid="{744B1546-D0E8-420A-958D-BCEE8C93615B}" name="Cloning Detection" dataDxfId="101"/>
    <tableColumn id="51" xr3:uid="{120610F0-F0BB-4CFD-BBC5-B5DF19FF2ABE}" name="Code Review" dataDxfId="100"/>
    <tableColumn id="52" xr3:uid="{545EB163-771D-4CBF-A2F5-870FB13007D6}" name="Commit Analysis" dataDxfId="99"/>
    <tableColumn id="53" xr3:uid="{7F8D642B-D521-45B3-AE18-990079DBC53C}" name="Deffect/Issues Analysis" dataDxfId="98"/>
    <tableColumn id="54" xr3:uid="{EE3F175B-5F98-44ED-9202-0B496E85C601}" name="Developer behavior" dataDxfId="97"/>
    <tableColumn id="55" xr3:uid="{00DD75E3-2827-407E-BC6C-DEFBF2B009E0}" name="Design Modelling" dataDxfId="96"/>
    <tableColumn id="56" xr3:uid="{725CC443-5F34-4D02-9304-AB1711A47494}" name="Maintenability Information" dataDxfId="95"/>
    <tableColumn id="57" xr3:uid="{FC8EB3B9-7C7D-48AA-881F-4F7674AA84EA}" name="Metrics/Quality" dataDxfId="94"/>
    <tableColumn id="58" xr3:uid="{C19C1E14-8487-4887-84E9-23520A2F886D}" name="Source Code Improvements" dataDxfId="93"/>
    <tableColumn id="59" xr3:uid="{BA2BFC4D-24E2-4367-962B-45FE194A47F4}" name="Testing Data" dataDxfId="92"/>
    <tableColumn id="60" xr3:uid="{9C246CA4-D051-4518-85F2-8B19CECB26BA}" name="Ad Hoc Algorithms" dataDxfId="91"/>
    <tableColumn id="61" xr3:uid="{A4C62CCF-25C2-4356-9A61-9216F9465A62}" name="Data mining" dataDxfId="90"/>
    <tableColumn id="62" xr3:uid="{A51F2B24-349D-46A3-83DF-91883AD9544B}" name="Automatic" dataDxfId="89"/>
    <tableColumn id="63" xr3:uid="{B28C6882-D027-4D3A-AF5E-13CCBFEF6C90}" name="Artificial Intelligence / Machine Learning" dataDxfId="88"/>
    <tableColumn id="64" xr3:uid="{7A9E3157-A8B1-4AF9-8049-202540737E95}" name="Qualitative analyses" dataDxfId="87"/>
    <tableColumn id="65" xr3:uid="{81218FDA-C473-41D3-8831-5EC31DF5BAB7}" name="Heuristical techniques" dataDxfId="86"/>
    <tableColumn id="66" xr3:uid="{29CBE997-3245-4716-A73D-2BCFD317D0B7}" name="Empirical/ Experimental" dataDxfId="85"/>
    <tableColumn id="67" xr3:uid="{1A048F04-6645-4DD6-B87E-67D3CCB7C31C}" name="Statistical analyses" dataDxfId="84"/>
    <tableColumn id="68" xr3:uid="{2D4C651A-CE5D-40DF-80F1-F8A4B5AE1542}" name="Prediction" dataDxfId="83"/>
    <tableColumn id="69" xr3:uid="{97F5B181-2733-4B37-8226-5942E7710ED9}" name="Reverse Engineering" dataDxfId="82"/>
    <tableColumn id="70" xr3:uid="{6EC42D7E-38E3-4223-9B70-7FCCA5D87648}" name="Testing-based techniques" dataDxfId="81"/>
  </tableColumns>
  <tableStyleInfo name="TableStyleLight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Tabla5" displayName="Tabla5" ref="A1:C43" totalsRowCount="1">
  <autoFilter ref="A1:C42" xr:uid="{00000000-0009-0000-0100-000005000000}"/>
  <sortState xmlns:xlrd2="http://schemas.microsoft.com/office/spreadsheetml/2017/richdata2" ref="A2:B42">
    <sortCondition descending="1" ref="B1:B42"/>
  </sortState>
  <tableColumns count="3">
    <tableColumn id="1" xr3:uid="{00000000-0010-0000-0500-000001000000}" name="Country" dataDxfId="80"/>
    <tableColumn id="2" xr3:uid="{00000000-0010-0000-0500-000002000000}" name="Papers" totalsRowFunction="sum" dataDxfId="79" totalsRowDxfId="78">
      <calculatedColumnFormula>COUNTIF(Principal[Country],A2)</calculatedColumnFormula>
    </tableColumn>
    <tableColumn id="3" xr3:uid="{8235663A-8CC0-47F1-85AC-93DFED257D0A}" name="Percentage" dataDxfId="77">
      <calculatedColumnFormula>(Tabla5[[#This Row],[Papers]]*100)/236</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a4" displayName="Tabla4" ref="A1:E237" totalsRowShown="0" headerRowDxfId="76">
  <autoFilter ref="A1:E237" xr:uid="{00000000-0009-0000-0100-000004000000}"/>
  <sortState xmlns:xlrd2="http://schemas.microsoft.com/office/spreadsheetml/2017/richdata2" ref="A2:E237">
    <sortCondition descending="1" ref="E1:E237"/>
  </sortState>
  <tableColumns count="5">
    <tableColumn id="1" xr3:uid="{00000000-0010-0000-0600-000001000000}" name="Author"/>
    <tableColumn id="4" xr3:uid="{00000000-0010-0000-0600-000004000000}" name="Country"/>
    <tableColumn id="5" xr3:uid="{00000000-0010-0000-0600-000005000000}" name="Type"/>
    <tableColumn id="2" xr3:uid="{00000000-0010-0000-0600-000002000000}" name="# papers"/>
    <tableColumn id="6" xr3:uid="{00000000-0010-0000-0600-000006000000}" name="Citations" dataDxfId="75">
      <calculatedColumnFormula>SUMIF(Principal[AUTOR],"*"&amp;Tabla4[[#This Row],[Author]]&amp;"*",Principal[cited by (*Scopus)])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 dT="2020-01-29T09:36:25.99" personId="{186BA36F-DA11-4D13-994A-4011F507133E}" id="{2568CE76-A4A8-444E-BCD9-3E4CB50A9025}">
    <text>he invertido las palabras, el adjetivo siempre primero en inglés</text>
  </threadedComment>
  <threadedComment ref="N3" dT="2020-01-13T15:02:37.29" personId="{186BA36F-DA11-4D13-994A-4011F507133E}" id="{E00DF57A-0219-4A76-9609-6A9FB74AA8BB}">
    <text>Repository info??</text>
  </threadedComment>
  <threadedComment ref="N3" dT="2020-01-13T16:12:17.89" personId="{50EAE7A5-9C13-4B1D-8ABF-EC95069B8115}" id="{7EB64EBF-9459-4748-A7C0-29A459AE9E04}" parentId="{E00DF57A-0219-4A76-9609-6A9FB74AA8BB}">
    <text>Si, asi que cambie el nombre</text>
  </threadedComment>
  <threadedComment ref="A9" dT="2020-01-13T14:59:51.47" personId="{186BA36F-DA11-4D13-994A-4011F507133E}" id="{60B6AF2A-C892-462B-8FF1-081DFD5039F9}">
    <text>Especificar que es esto</text>
  </threadedComment>
  <threadedComment ref="A9" dT="2020-01-13T16:10:34.25" personId="{50EAE7A5-9C13-4B1D-8ABF-EC95069B8115}" id="{7F523BA4-C06A-46B4-8B57-C1A3BD69B458}" parentId="{60B6AF2A-C892-462B-8FF1-081DFD5039F9}">
    <text>es un caracteristica de cantidad de contributions al project por eso le puse ahora en esta categoria</text>
  </threadedComment>
  <threadedComment ref="M11" dT="2020-01-29T09:38:42.69" personId="{186BA36F-DA11-4D13-994A-4011F507133E}" id="{D588BBCA-C7E4-4900-8566-ABA734B1C412}">
    <text>12 y 14 podrían ser un subgrupo dentro de 13, que es más amplio. pero lo dejamos así. En el paper hay que explicar que aunque pueden ser considerados subgrupos, hay bastantes trabajos que abordarn quality metrics relacionadas con maintenability (12) y source code metrics (14)</text>
  </threadedComment>
  <threadedComment ref="H28" dT="2020-01-29T09:37:29.99" personId="{186BA36F-DA11-4D13-994A-4011F507133E}" id="{5615A23A-9ED1-4599-9C10-BB996FC9E5A5}">
    <text>Integrar con 8</text>
  </threadedComment>
</ThreadedComments>
</file>

<file path=xl/threadedComments/threadedComment2.xml><?xml version="1.0" encoding="utf-8"?>
<ThreadedComments xmlns="http://schemas.microsoft.com/office/spreadsheetml/2018/threadedcomments" xmlns:x="http://schemas.openxmlformats.org/spreadsheetml/2006/main">
  <threadedComment ref="H7" dT="2020-01-13T14:59:51.47" personId="{186BA36F-DA11-4D13-994A-4011F507133E}" id="{09DDC983-AF0D-4754-B369-BEB165E58136}">
    <text>Especificar que es esto</text>
  </threadedComment>
  <threadedComment ref="H7" dT="2020-01-13T16:10:34.25" personId="{50EAE7A5-9C13-4B1D-8ABF-EC95069B8115}" id="{A69E78F3-19C9-4884-A6AD-6A53F26ABECB}" parentId="{09DDC983-AF0D-4754-B369-BEB165E58136}">
    <text>es un caracteristica de cantidad de contributions al project por eso le puse ahora en esta categoria</text>
  </threadedComment>
  <threadedComment ref="B9" dT="2020-01-29T09:36:25.99" personId="{186BA36F-DA11-4D13-994A-4011F507133E}" id="{AE436235-87A8-4985-9588-CEDA7C41A663}">
    <text>he invertido las palabras, el adjetivo siempre primero en inglés</text>
  </threadedComment>
  <threadedComment ref="B16" dT="2020-01-13T15:02:37.29" personId="{186BA36F-DA11-4D13-994A-4011F507133E}" id="{96880F10-F106-4371-ABA9-D64A83012CE5}">
    <text>Repository info??</text>
  </threadedComment>
  <threadedComment ref="B16" dT="2020-01-13T16:12:17.89" personId="{50EAE7A5-9C13-4B1D-8ABF-EC95069B8115}" id="{703F5548-C93E-4BB9-9980-A5B58EBC7936}" parentId="{96880F10-F106-4371-ABA9-D64A83012CE5}">
    <text>Si, asi que cambie el nombre</text>
  </threadedComment>
</ThreadedComments>
</file>

<file path=xl/threadedComments/threadedComment3.xml><?xml version="1.0" encoding="utf-8"?>
<ThreadedComments xmlns="http://schemas.microsoft.com/office/spreadsheetml/2018/threadedcomments" xmlns:x="http://schemas.openxmlformats.org/spreadsheetml/2006/main">
  <threadedComment ref="B12" dT="2020-01-29T09:38:42.69" personId="{186BA36F-DA11-4D13-994A-4011F507133E}" id="{318649EC-3E90-4491-8A50-5B72E588E38A}">
    <text>12 y 14 podrían ser un subgrupo dentro de 13, que es más amplio. pero lo dejamos así. En el paper hay que explicar que aunque pueden ser considerados subgrupos, hay bastantes trabajos que abordarn quality metrics relacionadas con maintenability (12) y source code metrics (14)</text>
  </threadedComment>
  <threadedComment ref="S13" dT="2020-01-29T09:37:29.99" personId="{186BA36F-DA11-4D13-994A-4011F507133E}" id="{54E8C434-0220-4465-A330-F6F672A53B39}">
    <text>Integrar con 8</text>
  </threadedComment>
</ThreadedComments>
</file>

<file path=xl/threadedComments/threadedComment4.xml><?xml version="1.0" encoding="utf-8"?>
<ThreadedComments xmlns="http://schemas.microsoft.com/office/spreadsheetml/2018/threadedcomments" xmlns:x="http://schemas.openxmlformats.org/spreadsheetml/2006/main">
  <threadedComment ref="L7" dT="2020-01-29T09:36:25.99" personId="{186BA36F-DA11-4D13-994A-4011F507133E}" id="{59E9D452-9B80-41DB-887C-52FDD2901828}">
    <text>he invertido las palabras, el adjetivo siempre primero en inglés</text>
  </threadedComment>
  <threadedComment ref="L15" dT="2020-01-13T15:02:37.29" personId="{186BA36F-DA11-4D13-994A-4011F507133E}" id="{485C7C9E-BD38-4D5F-86E4-91FE8F3D2CBE}">
    <text>Repository info??</text>
  </threadedComment>
  <threadedComment ref="L15" dT="2020-01-13T16:12:17.89" personId="{50EAE7A5-9C13-4B1D-8ABF-EC95069B8115}" id="{9C3D50E6-231E-4672-B030-289F0C8730F3}" parentId="{485C7C9E-BD38-4D5F-86E4-91FE8F3D2CBE}">
    <text>Si, asi que cambie el nombre</text>
  </threadedComment>
  <threadedComment ref="L29" dT="2020-01-29T09:38:42.69" personId="{186BA36F-DA11-4D13-994A-4011F507133E}" id="{8368FA14-61A8-4129-83A3-7480338AC2AB}">
    <text>12 y 14 podrían ser un subgrupo dentro de 13, que es más amplio. pero lo dejamos así. En el paper hay que explicar que aunque pueden ser considerados subgrupos, hay bastantes trabajos que abordarn quality metrics relacionadas con maintenability (12) y source code metrics (14)</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delivery.acm.org/10.1145/2230000/2222446/a2-abuasad.pdf?ip=181.39.85.168&amp;id=2222446&amp;acc=ACTIVE%20SERVICE&amp;key=D910738817C0A376%2E0FCE28A66847B0AF%2E4D4702B0C3E38B35%2E4D4702B0C3E38B35&amp;__acm__=1562953837_7c27a42e4f598acdce7d37b77a81100a" TargetMode="External"/></Relationships>
</file>

<file path=xl/worksheets/_rels/sheet4.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printerSettings" Target="../printerSettings/printerSettings2.bin"/><Relationship Id="rId6" Type="http://schemas.openxmlformats.org/officeDocument/2006/relationships/table" Target="../tables/table6.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0.xml"/><Relationship Id="rId4" Type="http://schemas.microsoft.com/office/2017/10/relationships/threadedComment" Target="../threadedComments/threadedComment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C573-B34B-4FA1-ABB5-E3F5903A08F2}">
  <sheetPr codeName="Hoja27">
    <tabColor rgb="FFFFFF00"/>
  </sheetPr>
  <dimension ref="A1:AB733"/>
  <sheetViews>
    <sheetView topLeftCell="C177" zoomScaleNormal="100" workbookViewId="0">
      <pane xSplit="15" topLeftCell="R1" activePane="topRight" state="frozen"/>
      <selection activeCell="C1" sqref="C1"/>
      <selection pane="topRight" activeCell="T184" sqref="T184:T187"/>
    </sheetView>
  </sheetViews>
  <sheetFormatPr baseColWidth="10" defaultRowHeight="15" x14ac:dyDescent="0.25"/>
  <cols>
    <col min="1" max="1" width="11.42578125" style="11"/>
    <col min="4" max="4" width="84.140625" customWidth="1"/>
    <col min="5" max="5" width="4.42578125" customWidth="1"/>
    <col min="6" max="6" width="18.28515625" customWidth="1"/>
    <col min="7" max="7" width="7" customWidth="1"/>
    <col min="8" max="8" width="5.42578125" customWidth="1"/>
    <col min="9" max="9" width="5" customWidth="1"/>
    <col min="10" max="10" width="6" customWidth="1"/>
    <col min="11" max="11" width="5.7109375" customWidth="1"/>
    <col min="12" max="12" width="4.28515625" customWidth="1"/>
    <col min="13" max="13" width="4.140625" customWidth="1"/>
    <col min="14" max="14" width="3.5703125" style="11" customWidth="1"/>
    <col min="15" max="15" width="8.5703125" style="18" customWidth="1"/>
    <col min="16" max="16" width="34.7109375" customWidth="1"/>
    <col min="17" max="17" width="17.5703125" customWidth="1"/>
    <col min="18" max="18" width="20.7109375" customWidth="1"/>
    <col min="19" max="19" width="17.140625" customWidth="1"/>
    <col min="20" max="20" width="23" customWidth="1"/>
    <col min="21" max="21" width="10.28515625" style="11" customWidth="1"/>
    <col min="22" max="22" width="14.7109375" bestFit="1" customWidth="1"/>
    <col min="23" max="26" width="6.42578125" bestFit="1" customWidth="1"/>
    <col min="27" max="27" width="68.5703125" bestFit="1" customWidth="1"/>
    <col min="28" max="28" width="17.5703125" bestFit="1" customWidth="1"/>
    <col min="29" max="29" width="13.28515625" bestFit="1" customWidth="1"/>
  </cols>
  <sheetData>
    <row r="1" spans="1:28" x14ac:dyDescent="0.25">
      <c r="A1" s="11" t="s">
        <v>3242</v>
      </c>
      <c r="B1" t="s">
        <v>3148</v>
      </c>
      <c r="C1" t="s">
        <v>251</v>
      </c>
      <c r="D1" t="s">
        <v>252</v>
      </c>
      <c r="E1" t="s">
        <v>920</v>
      </c>
      <c r="F1" t="s">
        <v>12</v>
      </c>
      <c r="G1" t="s">
        <v>917</v>
      </c>
      <c r="H1" t="s">
        <v>918</v>
      </c>
      <c r="I1" t="s">
        <v>919</v>
      </c>
      <c r="J1" t="s">
        <v>14</v>
      </c>
      <c r="K1" t="s">
        <v>15</v>
      </c>
      <c r="L1" t="s">
        <v>16</v>
      </c>
      <c r="M1" t="s">
        <v>17</v>
      </c>
      <c r="N1" s="11" t="s">
        <v>48</v>
      </c>
      <c r="O1" s="18" t="s">
        <v>3261</v>
      </c>
      <c r="P1" s="11" t="s">
        <v>3152</v>
      </c>
      <c r="Q1" s="11" t="s">
        <v>3149</v>
      </c>
      <c r="R1" s="11" t="s">
        <v>47</v>
      </c>
      <c r="S1" s="11" t="s">
        <v>44</v>
      </c>
      <c r="T1" s="11" t="s">
        <v>36</v>
      </c>
      <c r="U1" s="11" t="s">
        <v>3156</v>
      </c>
      <c r="V1" s="11" t="s">
        <v>3245</v>
      </c>
      <c r="W1" s="11" t="s">
        <v>105</v>
      </c>
      <c r="X1" s="11" t="s">
        <v>106</v>
      </c>
      <c r="Y1" s="11" t="s">
        <v>107</v>
      </c>
      <c r="Z1" s="11" t="s">
        <v>108</v>
      </c>
      <c r="AA1" s="28" t="s">
        <v>52</v>
      </c>
      <c r="AB1" s="28" t="s">
        <v>3638</v>
      </c>
    </row>
    <row r="2" spans="1:28" x14ac:dyDescent="0.25">
      <c r="A2" s="11">
        <v>1</v>
      </c>
      <c r="B2">
        <v>6372</v>
      </c>
      <c r="C2" t="s">
        <v>126</v>
      </c>
      <c r="D2" t="s">
        <v>127</v>
      </c>
      <c r="E2" t="s">
        <v>6</v>
      </c>
      <c r="F2" t="s">
        <v>298</v>
      </c>
      <c r="G2" t="s">
        <v>297</v>
      </c>
      <c r="H2">
        <v>2015</v>
      </c>
      <c r="I2" t="s">
        <v>253</v>
      </c>
      <c r="J2">
        <v>1</v>
      </c>
      <c r="K2">
        <v>-1</v>
      </c>
      <c r="N2" s="11">
        <v>0</v>
      </c>
      <c r="V2" s="11"/>
      <c r="W2" s="11"/>
      <c r="X2" s="11"/>
      <c r="Y2" s="11"/>
      <c r="Z2" s="11"/>
      <c r="AA2" s="26"/>
    </row>
    <row r="3" spans="1:28" x14ac:dyDescent="0.25">
      <c r="A3" s="11">
        <v>2</v>
      </c>
      <c r="B3">
        <v>4325</v>
      </c>
      <c r="C3" t="s">
        <v>3097</v>
      </c>
      <c r="D3" s="26" t="s">
        <v>3098</v>
      </c>
      <c r="E3" t="s">
        <v>3</v>
      </c>
      <c r="G3" t="s">
        <v>3099</v>
      </c>
      <c r="H3">
        <v>2015</v>
      </c>
      <c r="I3" t="s">
        <v>3100</v>
      </c>
      <c r="J3">
        <v>1</v>
      </c>
      <c r="N3" s="11">
        <v>3</v>
      </c>
      <c r="O3" s="18" t="s">
        <v>3328</v>
      </c>
      <c r="P3" s="11" t="s">
        <v>3198</v>
      </c>
      <c r="Q3" s="11" t="s">
        <v>3360</v>
      </c>
      <c r="R3" s="11" t="s">
        <v>3214</v>
      </c>
      <c r="S3" s="11" t="s">
        <v>1</v>
      </c>
      <c r="T3" s="11" t="s">
        <v>3622</v>
      </c>
      <c r="U3" s="11" t="s">
        <v>72</v>
      </c>
      <c r="V3" s="11" t="s">
        <v>3512</v>
      </c>
      <c r="W3" s="11">
        <v>3</v>
      </c>
      <c r="X3" s="11">
        <v>3</v>
      </c>
      <c r="Y3" s="11">
        <v>3</v>
      </c>
      <c r="Z3" s="11">
        <v>3</v>
      </c>
      <c r="AA3" s="26" t="s">
        <v>3335</v>
      </c>
    </row>
    <row r="4" spans="1:28" x14ac:dyDescent="0.25">
      <c r="A4" s="11">
        <v>3</v>
      </c>
      <c r="B4">
        <v>2664</v>
      </c>
      <c r="C4" t="s">
        <v>1566</v>
      </c>
      <c r="D4" s="26" t="s">
        <v>1567</v>
      </c>
      <c r="E4" t="s">
        <v>4</v>
      </c>
      <c r="G4" t="s">
        <v>1568</v>
      </c>
      <c r="H4">
        <v>2018</v>
      </c>
      <c r="I4" t="s">
        <v>1569</v>
      </c>
      <c r="J4">
        <v>1</v>
      </c>
      <c r="N4" s="11">
        <v>4</v>
      </c>
      <c r="O4" s="18" t="s">
        <v>3306</v>
      </c>
      <c r="P4" s="11" t="s">
        <v>3198</v>
      </c>
      <c r="Q4" s="11" t="s">
        <v>3308</v>
      </c>
      <c r="R4" s="11" t="s">
        <v>3232</v>
      </c>
      <c r="S4" s="11" t="s">
        <v>1</v>
      </c>
      <c r="T4" s="11" t="s">
        <v>38</v>
      </c>
      <c r="U4" s="11" t="s">
        <v>69</v>
      </c>
      <c r="V4" s="11" t="s">
        <v>3336</v>
      </c>
      <c r="W4" s="11">
        <v>5</v>
      </c>
      <c r="X4" s="11">
        <v>5</v>
      </c>
      <c r="Y4" s="11">
        <v>5</v>
      </c>
      <c r="Z4" s="11">
        <v>5</v>
      </c>
      <c r="AA4" s="26" t="s">
        <v>3309</v>
      </c>
    </row>
    <row r="5" spans="1:28" x14ac:dyDescent="0.25">
      <c r="A5" s="11">
        <v>4</v>
      </c>
      <c r="B5">
        <v>6266</v>
      </c>
      <c r="C5" t="s">
        <v>141</v>
      </c>
      <c r="D5" t="s">
        <v>142</v>
      </c>
      <c r="E5" t="s">
        <v>6</v>
      </c>
      <c r="F5" t="s">
        <v>307</v>
      </c>
      <c r="G5" t="s">
        <v>308</v>
      </c>
      <c r="H5">
        <v>2012</v>
      </c>
      <c r="J5">
        <v>1</v>
      </c>
      <c r="N5" s="11">
        <v>4</v>
      </c>
      <c r="O5" s="18" t="s">
        <v>3244</v>
      </c>
      <c r="P5" s="11" t="s">
        <v>3362</v>
      </c>
      <c r="Q5" s="11" t="s">
        <v>3202</v>
      </c>
      <c r="R5" s="11" t="s">
        <v>3374</v>
      </c>
      <c r="S5" s="11" t="s">
        <v>6</v>
      </c>
      <c r="T5" s="11" t="s">
        <v>38</v>
      </c>
      <c r="U5" s="11" t="s">
        <v>69</v>
      </c>
      <c r="V5" s="11" t="s">
        <v>3336</v>
      </c>
      <c r="W5" s="11">
        <v>5</v>
      </c>
      <c r="X5" s="11">
        <v>5</v>
      </c>
      <c r="Y5" s="11">
        <v>5</v>
      </c>
      <c r="Z5" s="11">
        <v>5</v>
      </c>
      <c r="AA5" s="26" t="s">
        <v>54</v>
      </c>
    </row>
    <row r="6" spans="1:28" x14ac:dyDescent="0.25">
      <c r="A6" s="11">
        <v>5</v>
      </c>
      <c r="B6">
        <v>6347</v>
      </c>
      <c r="C6" t="s">
        <v>128</v>
      </c>
      <c r="D6" t="s">
        <v>129</v>
      </c>
      <c r="E6" t="s">
        <v>6</v>
      </c>
      <c r="F6" t="s">
        <v>300</v>
      </c>
      <c r="G6" t="s">
        <v>299</v>
      </c>
      <c r="H6">
        <v>2016</v>
      </c>
      <c r="I6" t="s">
        <v>254</v>
      </c>
      <c r="J6">
        <v>-1</v>
      </c>
      <c r="N6" s="11">
        <v>0</v>
      </c>
      <c r="P6" s="11"/>
      <c r="Q6" s="11"/>
      <c r="R6" s="11"/>
      <c r="S6" s="11"/>
      <c r="T6" s="11"/>
      <c r="V6" s="11"/>
      <c r="W6" s="11">
        <v>0</v>
      </c>
      <c r="X6" s="11">
        <v>0</v>
      </c>
      <c r="Y6" s="11">
        <v>0</v>
      </c>
      <c r="Z6" s="11">
        <v>0</v>
      </c>
      <c r="AA6" s="26"/>
    </row>
    <row r="7" spans="1:28" x14ac:dyDescent="0.25">
      <c r="A7" s="11">
        <v>6</v>
      </c>
      <c r="B7">
        <v>6296</v>
      </c>
      <c r="C7" t="s">
        <v>130</v>
      </c>
      <c r="D7" t="s">
        <v>131</v>
      </c>
      <c r="E7" t="s">
        <v>6</v>
      </c>
      <c r="F7" t="s">
        <v>295</v>
      </c>
      <c r="G7" t="s">
        <v>296</v>
      </c>
      <c r="H7">
        <v>2012</v>
      </c>
      <c r="I7" s="14" t="s">
        <v>255</v>
      </c>
      <c r="J7">
        <v>1</v>
      </c>
      <c r="L7">
        <v>1</v>
      </c>
      <c r="N7" s="11">
        <v>0</v>
      </c>
      <c r="P7" s="11"/>
      <c r="Q7" s="11"/>
      <c r="R7" s="11"/>
      <c r="S7" s="11"/>
      <c r="T7" s="11"/>
      <c r="V7" s="11"/>
      <c r="W7" s="11"/>
      <c r="X7" s="11"/>
      <c r="Y7" s="11"/>
      <c r="Z7" s="11"/>
      <c r="AA7" s="26"/>
    </row>
    <row r="8" spans="1:28" x14ac:dyDescent="0.25">
      <c r="A8" s="11">
        <v>7</v>
      </c>
      <c r="B8">
        <v>6340</v>
      </c>
      <c r="C8" t="s">
        <v>132</v>
      </c>
      <c r="D8" t="s">
        <v>133</v>
      </c>
      <c r="E8" t="s">
        <v>6</v>
      </c>
      <c r="F8" t="s">
        <v>293</v>
      </c>
      <c r="G8" t="s">
        <v>294</v>
      </c>
      <c r="H8">
        <v>2012</v>
      </c>
      <c r="I8" t="s">
        <v>256</v>
      </c>
      <c r="J8">
        <v>1</v>
      </c>
      <c r="N8" s="11">
        <v>0</v>
      </c>
      <c r="P8" s="11"/>
      <c r="Q8" s="11"/>
      <c r="R8" s="11"/>
      <c r="S8" s="11"/>
      <c r="T8" s="11"/>
      <c r="V8" s="11"/>
      <c r="W8" s="11"/>
      <c r="X8" s="11"/>
      <c r="Y8" s="11"/>
      <c r="Z8" s="11"/>
      <c r="AA8" s="26"/>
    </row>
    <row r="9" spans="1:28" x14ac:dyDescent="0.25">
      <c r="A9" s="11">
        <v>8</v>
      </c>
      <c r="B9">
        <v>5835</v>
      </c>
      <c r="C9" t="s">
        <v>409</v>
      </c>
      <c r="D9" t="s">
        <v>410</v>
      </c>
      <c r="E9" t="s">
        <v>0</v>
      </c>
      <c r="F9" t="s">
        <v>922</v>
      </c>
      <c r="G9" t="s">
        <v>411</v>
      </c>
      <c r="H9">
        <v>2016</v>
      </c>
      <c r="I9" t="s">
        <v>412</v>
      </c>
      <c r="J9">
        <v>-1</v>
      </c>
      <c r="K9">
        <v>1</v>
      </c>
      <c r="L9">
        <v>-1</v>
      </c>
      <c r="M9">
        <v>-1</v>
      </c>
      <c r="N9" s="11">
        <v>0</v>
      </c>
      <c r="P9" s="11"/>
      <c r="Q9" s="11"/>
      <c r="R9" s="11"/>
      <c r="S9" s="11"/>
      <c r="T9" s="11"/>
      <c r="V9" s="11"/>
      <c r="W9" s="11"/>
      <c r="X9" s="11"/>
      <c r="Y9" s="11"/>
      <c r="Z9" s="11"/>
      <c r="AA9" s="26"/>
    </row>
    <row r="10" spans="1:28" x14ac:dyDescent="0.25">
      <c r="A10" s="11">
        <v>9</v>
      </c>
      <c r="B10">
        <v>2803</v>
      </c>
      <c r="C10" t="s">
        <v>1419</v>
      </c>
      <c r="D10" t="s">
        <v>1420</v>
      </c>
      <c r="E10" t="s">
        <v>0</v>
      </c>
      <c r="G10" t="s">
        <v>1421</v>
      </c>
      <c r="H10">
        <v>2017</v>
      </c>
      <c r="I10" t="s">
        <v>1422</v>
      </c>
      <c r="J10">
        <v>1</v>
      </c>
      <c r="N10" s="11">
        <v>5</v>
      </c>
      <c r="O10" s="18" t="s">
        <v>3157</v>
      </c>
      <c r="P10" s="11" t="s">
        <v>3362</v>
      </c>
      <c r="Q10" s="11" t="s">
        <v>3361</v>
      </c>
      <c r="R10" s="11" t="s">
        <v>3231</v>
      </c>
      <c r="S10" s="11" t="s">
        <v>0</v>
      </c>
      <c r="T10" s="11" t="s">
        <v>38</v>
      </c>
      <c r="U10" s="11" t="s">
        <v>69</v>
      </c>
      <c r="V10" s="11" t="s">
        <v>3241</v>
      </c>
      <c r="W10" s="11">
        <v>5</v>
      </c>
      <c r="X10" s="11">
        <v>5</v>
      </c>
      <c r="Y10" s="11">
        <v>5</v>
      </c>
      <c r="Z10" s="11">
        <v>5</v>
      </c>
      <c r="AA10" s="26" t="s">
        <v>61</v>
      </c>
    </row>
    <row r="11" spans="1:28" x14ac:dyDescent="0.25">
      <c r="A11" s="13">
        <v>10</v>
      </c>
      <c r="B11">
        <v>5970</v>
      </c>
      <c r="C11" t="s">
        <v>660</v>
      </c>
      <c r="D11" t="s">
        <v>661</v>
      </c>
      <c r="E11" t="s">
        <v>0</v>
      </c>
      <c r="G11" t="s">
        <v>662</v>
      </c>
      <c r="H11">
        <v>2016</v>
      </c>
      <c r="I11" t="s">
        <v>663</v>
      </c>
      <c r="J11">
        <v>1</v>
      </c>
      <c r="N11" s="11">
        <v>2</v>
      </c>
      <c r="O11" s="18" t="s">
        <v>3161</v>
      </c>
      <c r="P11" s="11" t="s">
        <v>3362</v>
      </c>
      <c r="Q11" s="11" t="s">
        <v>3279</v>
      </c>
      <c r="R11" s="11" t="s">
        <v>3580</v>
      </c>
      <c r="S11" s="11" t="s">
        <v>0</v>
      </c>
      <c r="T11" s="11" t="s">
        <v>38</v>
      </c>
      <c r="U11" s="11" t="s">
        <v>69</v>
      </c>
      <c r="V11" s="11" t="s">
        <v>3336</v>
      </c>
      <c r="W11" s="11">
        <v>4</v>
      </c>
      <c r="X11" s="11">
        <v>4</v>
      </c>
      <c r="Y11" s="11">
        <v>4</v>
      </c>
      <c r="Z11" s="11">
        <v>3</v>
      </c>
      <c r="AA11" t="s">
        <v>59</v>
      </c>
    </row>
    <row r="12" spans="1:28" x14ac:dyDescent="0.25">
      <c r="A12" s="11">
        <v>11</v>
      </c>
      <c r="B12">
        <v>4981</v>
      </c>
      <c r="C12" t="s">
        <v>999</v>
      </c>
      <c r="D12" t="s">
        <v>1000</v>
      </c>
      <c r="E12" t="s">
        <v>22</v>
      </c>
      <c r="G12" t="s">
        <v>1001</v>
      </c>
      <c r="H12">
        <v>2018</v>
      </c>
      <c r="I12" t="s">
        <v>1002</v>
      </c>
      <c r="J12">
        <v>1</v>
      </c>
      <c r="L12">
        <v>1</v>
      </c>
      <c r="N12" s="11">
        <v>5</v>
      </c>
      <c r="O12" s="18" t="s">
        <v>3158</v>
      </c>
      <c r="P12" s="11" t="s">
        <v>3362</v>
      </c>
      <c r="Q12" s="11" t="s">
        <v>3361</v>
      </c>
      <c r="R12" s="11" t="s">
        <v>3239</v>
      </c>
      <c r="S12" s="11" t="s">
        <v>1</v>
      </c>
      <c r="T12" s="11" t="s">
        <v>38</v>
      </c>
      <c r="U12" s="11" t="s">
        <v>69</v>
      </c>
      <c r="V12" s="11" t="s">
        <v>3336</v>
      </c>
      <c r="W12" s="11">
        <v>5</v>
      </c>
      <c r="X12" s="11">
        <v>5</v>
      </c>
      <c r="Y12" s="11">
        <v>5</v>
      </c>
      <c r="Z12" s="11">
        <v>5</v>
      </c>
      <c r="AA12" t="s">
        <v>56</v>
      </c>
    </row>
    <row r="13" spans="1:28" x14ac:dyDescent="0.25">
      <c r="A13" s="11">
        <v>12</v>
      </c>
      <c r="B13">
        <v>4225</v>
      </c>
      <c r="C13" t="s">
        <v>2878</v>
      </c>
      <c r="D13" t="s">
        <v>417</v>
      </c>
      <c r="E13" t="s">
        <v>3</v>
      </c>
      <c r="G13" t="s">
        <v>2879</v>
      </c>
      <c r="H13">
        <v>2016</v>
      </c>
      <c r="I13" t="s">
        <v>2880</v>
      </c>
      <c r="J13">
        <v>1</v>
      </c>
      <c r="N13" s="11">
        <v>0</v>
      </c>
      <c r="P13" s="11"/>
      <c r="Q13" s="11"/>
      <c r="R13" s="11"/>
      <c r="S13" s="11"/>
      <c r="T13" s="11"/>
      <c r="V13" s="11"/>
      <c r="W13" s="11"/>
      <c r="X13" s="11"/>
      <c r="Y13" s="11"/>
      <c r="Z13" s="11"/>
    </row>
    <row r="14" spans="1:28" x14ac:dyDescent="0.25">
      <c r="A14" s="11">
        <v>13</v>
      </c>
      <c r="B14">
        <v>3113</v>
      </c>
      <c r="C14" t="s">
        <v>1758</v>
      </c>
      <c r="D14" t="s">
        <v>1759</v>
      </c>
      <c r="E14" t="s">
        <v>5</v>
      </c>
      <c r="G14" t="s">
        <v>1760</v>
      </c>
      <c r="H14">
        <v>2016</v>
      </c>
      <c r="I14" t="s">
        <v>1761</v>
      </c>
      <c r="J14">
        <v>1</v>
      </c>
      <c r="N14" s="11">
        <v>0</v>
      </c>
      <c r="P14" s="11"/>
      <c r="Q14" s="11"/>
      <c r="R14" s="11"/>
      <c r="S14" s="11"/>
      <c r="T14" s="11"/>
      <c r="V14" s="11"/>
      <c r="W14" s="11">
        <v>0</v>
      </c>
      <c r="X14" s="11">
        <v>0</v>
      </c>
      <c r="Y14" s="11">
        <v>0</v>
      </c>
      <c r="Z14" s="11">
        <v>0</v>
      </c>
    </row>
    <row r="15" spans="1:28" x14ac:dyDescent="0.25">
      <c r="A15" s="11">
        <v>14</v>
      </c>
      <c r="B15">
        <v>3725</v>
      </c>
      <c r="C15" t="s">
        <v>1321</v>
      </c>
      <c r="D15" t="s">
        <v>1322</v>
      </c>
      <c r="E15" t="s">
        <v>5</v>
      </c>
      <c r="G15" t="s">
        <v>1323</v>
      </c>
      <c r="H15">
        <v>2012</v>
      </c>
      <c r="I15" t="s">
        <v>1324</v>
      </c>
      <c r="J15">
        <v>1</v>
      </c>
      <c r="N15" s="11">
        <v>0</v>
      </c>
      <c r="P15" s="11"/>
      <c r="Q15" s="11"/>
      <c r="R15" s="11"/>
      <c r="S15" s="11"/>
      <c r="T15" s="11"/>
      <c r="V15" s="11"/>
      <c r="W15" s="11"/>
      <c r="X15" s="11"/>
      <c r="Y15" s="11"/>
      <c r="Z15" s="11"/>
      <c r="AB15" t="s">
        <v>3281</v>
      </c>
    </row>
    <row r="16" spans="1:28" x14ac:dyDescent="0.25">
      <c r="A16" s="11">
        <v>15</v>
      </c>
      <c r="B16">
        <v>3516</v>
      </c>
      <c r="C16" t="s">
        <v>1279</v>
      </c>
      <c r="D16" t="s">
        <v>1280</v>
      </c>
      <c r="E16" t="s">
        <v>0</v>
      </c>
      <c r="G16" t="s">
        <v>1281</v>
      </c>
      <c r="H16">
        <v>2013</v>
      </c>
      <c r="I16" t="s">
        <v>1282</v>
      </c>
      <c r="J16">
        <v>1</v>
      </c>
      <c r="N16" s="11">
        <v>4</v>
      </c>
      <c r="O16" s="18" t="s">
        <v>3244</v>
      </c>
      <c r="P16" s="11" t="s">
        <v>3487</v>
      </c>
      <c r="Q16" s="11" t="s">
        <v>3361</v>
      </c>
      <c r="R16" s="11" t="s">
        <v>3257</v>
      </c>
      <c r="S16" s="11" t="s">
        <v>0</v>
      </c>
      <c r="T16" s="11" t="s">
        <v>38</v>
      </c>
      <c r="U16" s="11" t="s">
        <v>69</v>
      </c>
      <c r="V16" s="11" t="s">
        <v>3336</v>
      </c>
      <c r="W16" s="11">
        <v>4</v>
      </c>
      <c r="X16" s="11">
        <v>4</v>
      </c>
      <c r="Y16" s="11">
        <v>4</v>
      </c>
      <c r="Z16" s="11">
        <v>4</v>
      </c>
      <c r="AA16" t="s">
        <v>57</v>
      </c>
    </row>
    <row r="17" spans="1:28" x14ac:dyDescent="0.25">
      <c r="A17" s="11">
        <v>16</v>
      </c>
      <c r="B17">
        <v>2956</v>
      </c>
      <c r="C17" t="s">
        <v>694</v>
      </c>
      <c r="D17" t="s">
        <v>1509</v>
      </c>
      <c r="E17" t="s">
        <v>0</v>
      </c>
      <c r="G17" t="s">
        <v>1510</v>
      </c>
      <c r="H17">
        <v>2017</v>
      </c>
      <c r="I17" t="s">
        <v>1511</v>
      </c>
      <c r="J17">
        <v>1</v>
      </c>
      <c r="N17" s="11">
        <v>5</v>
      </c>
      <c r="O17" s="18" t="s">
        <v>3157</v>
      </c>
      <c r="P17" s="11" t="s">
        <v>3603</v>
      </c>
      <c r="Q17" s="11" t="s">
        <v>3202</v>
      </c>
      <c r="R17" s="11" t="s">
        <v>3187</v>
      </c>
      <c r="S17" s="11" t="s">
        <v>0</v>
      </c>
      <c r="T17" s="11" t="s">
        <v>38</v>
      </c>
      <c r="U17" s="11" t="s">
        <v>69</v>
      </c>
      <c r="V17" s="11" t="s">
        <v>3336</v>
      </c>
      <c r="W17" s="11">
        <v>5</v>
      </c>
      <c r="X17" s="11">
        <v>5</v>
      </c>
      <c r="Y17" s="11">
        <v>5</v>
      </c>
      <c r="Z17" s="11">
        <v>5</v>
      </c>
      <c r="AA17" t="s">
        <v>3335</v>
      </c>
    </row>
    <row r="18" spans="1:28" x14ac:dyDescent="0.25">
      <c r="A18" s="11">
        <v>17</v>
      </c>
      <c r="B18">
        <v>2800</v>
      </c>
      <c r="C18" t="s">
        <v>1728</v>
      </c>
      <c r="D18" t="s">
        <v>1729</v>
      </c>
      <c r="E18" t="s">
        <v>0</v>
      </c>
      <c r="G18" t="s">
        <v>1730</v>
      </c>
      <c r="H18">
        <v>2017</v>
      </c>
      <c r="I18" t="s">
        <v>1731</v>
      </c>
      <c r="J18">
        <v>1</v>
      </c>
      <c r="N18" s="11">
        <v>5</v>
      </c>
      <c r="O18" s="18" t="s">
        <v>3352</v>
      </c>
      <c r="P18" s="11" t="s">
        <v>3477</v>
      </c>
      <c r="Q18" s="11" t="s">
        <v>3478</v>
      </c>
      <c r="R18" s="11" t="s">
        <v>3257</v>
      </c>
      <c r="S18" s="11" t="s">
        <v>0</v>
      </c>
      <c r="T18" s="11" t="s">
        <v>38</v>
      </c>
      <c r="U18" s="11" t="s">
        <v>69</v>
      </c>
      <c r="V18" s="11" t="s">
        <v>3336</v>
      </c>
      <c r="W18" s="11">
        <v>5</v>
      </c>
      <c r="X18" s="11">
        <v>5</v>
      </c>
      <c r="Y18" s="11">
        <v>5</v>
      </c>
      <c r="Z18" s="11">
        <v>5</v>
      </c>
      <c r="AA18" t="s">
        <v>59</v>
      </c>
    </row>
    <row r="19" spans="1:28" x14ac:dyDescent="0.25">
      <c r="A19" s="11">
        <v>18</v>
      </c>
      <c r="B19">
        <v>5988</v>
      </c>
      <c r="C19" t="s">
        <v>422</v>
      </c>
      <c r="D19" t="s">
        <v>423</v>
      </c>
      <c r="E19" t="s">
        <v>0</v>
      </c>
      <c r="F19" t="s">
        <v>925</v>
      </c>
      <c r="G19" t="s">
        <v>424</v>
      </c>
      <c r="H19">
        <v>2016</v>
      </c>
      <c r="J19">
        <v>1</v>
      </c>
      <c r="N19" s="11">
        <v>0</v>
      </c>
      <c r="P19" s="11"/>
      <c r="Q19" s="11"/>
      <c r="R19" s="11"/>
      <c r="S19" s="11"/>
      <c r="T19" s="11"/>
      <c r="V19" s="11"/>
      <c r="W19" s="11"/>
      <c r="X19" s="11"/>
      <c r="Y19" s="11"/>
      <c r="Z19" s="11"/>
    </row>
    <row r="20" spans="1:28" s="75" customFormat="1" x14ac:dyDescent="0.25">
      <c r="A20" s="75">
        <v>19</v>
      </c>
      <c r="B20" s="26">
        <v>3548</v>
      </c>
      <c r="C20" s="26" t="s">
        <v>1493</v>
      </c>
      <c r="D20" s="26" t="s">
        <v>1494</v>
      </c>
      <c r="E20" s="26" t="s">
        <v>0</v>
      </c>
      <c r="F20" s="26"/>
      <c r="G20" s="26" t="s">
        <v>1495</v>
      </c>
      <c r="H20" s="26">
        <v>2013</v>
      </c>
      <c r="I20" s="26" t="s">
        <v>1496</v>
      </c>
      <c r="J20" s="26">
        <v>1</v>
      </c>
      <c r="K20" s="26"/>
      <c r="L20" s="26"/>
      <c r="M20" s="26"/>
      <c r="N20" s="26">
        <v>5</v>
      </c>
      <c r="O20" s="18" t="s">
        <v>3328</v>
      </c>
      <c r="P20" s="26" t="s">
        <v>3553</v>
      </c>
      <c r="Q20" s="26" t="s">
        <v>3258</v>
      </c>
      <c r="R20" s="26" t="s">
        <v>3187</v>
      </c>
      <c r="S20" s="26" t="s">
        <v>0</v>
      </c>
      <c r="T20" s="26" t="s">
        <v>38</v>
      </c>
      <c r="U20" s="26" t="s">
        <v>69</v>
      </c>
      <c r="V20" s="26" t="s">
        <v>3336</v>
      </c>
      <c r="W20" s="26">
        <v>5</v>
      </c>
      <c r="X20" s="26">
        <v>5</v>
      </c>
      <c r="Y20" s="26">
        <v>5</v>
      </c>
      <c r="Z20" s="26">
        <v>5</v>
      </c>
      <c r="AA20" s="26" t="s">
        <v>3464</v>
      </c>
      <c r="AB20" s="26"/>
    </row>
    <row r="21" spans="1:28" ht="15.75" customHeight="1" x14ac:dyDescent="0.25">
      <c r="A21" s="11">
        <v>20</v>
      </c>
      <c r="B21">
        <v>3717</v>
      </c>
      <c r="C21" t="s">
        <v>1632</v>
      </c>
      <c r="D21" t="s">
        <v>1633</v>
      </c>
      <c r="E21" t="s">
        <v>5</v>
      </c>
      <c r="F21" s="26"/>
      <c r="G21" t="s">
        <v>1634</v>
      </c>
      <c r="H21">
        <v>2012</v>
      </c>
      <c r="I21" t="s">
        <v>1635</v>
      </c>
      <c r="J21">
        <v>1</v>
      </c>
      <c r="N21" s="11">
        <v>4</v>
      </c>
      <c r="O21" s="18" t="s">
        <v>3168</v>
      </c>
      <c r="P21" s="26" t="s">
        <v>3342</v>
      </c>
      <c r="Q21" s="26" t="s">
        <v>3343</v>
      </c>
      <c r="R21" s="26" t="s">
        <v>3312</v>
      </c>
      <c r="S21" s="26" t="s">
        <v>0</v>
      </c>
      <c r="T21" s="26" t="s">
        <v>38</v>
      </c>
      <c r="U21" s="26" t="s">
        <v>69</v>
      </c>
      <c r="V21" s="26" t="s">
        <v>3336</v>
      </c>
      <c r="W21" s="26">
        <v>5</v>
      </c>
      <c r="X21" s="26">
        <v>5</v>
      </c>
      <c r="Y21" s="26">
        <v>5</v>
      </c>
      <c r="Z21" s="26">
        <v>5</v>
      </c>
      <c r="AA21" s="26" t="s">
        <v>3344</v>
      </c>
    </row>
    <row r="22" spans="1:28" x14ac:dyDescent="0.25">
      <c r="A22" s="11">
        <v>21</v>
      </c>
      <c r="B22">
        <v>4891</v>
      </c>
      <c r="C22" t="s">
        <v>963</v>
      </c>
      <c r="D22" t="s">
        <v>964</v>
      </c>
      <c r="E22" t="s">
        <v>953</v>
      </c>
      <c r="G22" t="s">
        <v>965</v>
      </c>
      <c r="H22">
        <v>2016</v>
      </c>
      <c r="I22" t="s">
        <v>966</v>
      </c>
      <c r="J22">
        <v>1</v>
      </c>
      <c r="N22" s="11">
        <v>0</v>
      </c>
      <c r="P22" s="26"/>
      <c r="Q22" s="26"/>
      <c r="R22" s="26"/>
      <c r="S22" s="26"/>
      <c r="T22" s="26"/>
      <c r="U22" s="26"/>
      <c r="V22" s="26"/>
      <c r="W22" s="26">
        <v>0</v>
      </c>
      <c r="X22" s="26">
        <v>0</v>
      </c>
      <c r="Y22" s="26">
        <v>0</v>
      </c>
      <c r="Z22" s="26">
        <v>0</v>
      </c>
      <c r="AA22" s="26"/>
    </row>
    <row r="23" spans="1:28" x14ac:dyDescent="0.25">
      <c r="A23" s="11">
        <v>22</v>
      </c>
      <c r="B23">
        <v>2636</v>
      </c>
      <c r="C23" t="s">
        <v>1505</v>
      </c>
      <c r="D23" t="s">
        <v>1506</v>
      </c>
      <c r="E23" t="s">
        <v>0</v>
      </c>
      <c r="G23" t="s">
        <v>1507</v>
      </c>
      <c r="H23">
        <v>2018</v>
      </c>
      <c r="I23" t="s">
        <v>1508</v>
      </c>
      <c r="J23">
        <v>1</v>
      </c>
      <c r="N23" s="11">
        <v>5</v>
      </c>
      <c r="O23" s="18" t="s">
        <v>3157</v>
      </c>
      <c r="P23" s="26" t="s">
        <v>3530</v>
      </c>
      <c r="Q23" s="26" t="s">
        <v>3202</v>
      </c>
      <c r="R23" s="26" t="s">
        <v>3256</v>
      </c>
      <c r="S23" s="26" t="s">
        <v>0</v>
      </c>
      <c r="T23" s="26" t="s">
        <v>38</v>
      </c>
      <c r="U23" s="26" t="s">
        <v>69</v>
      </c>
      <c r="V23" s="26" t="s">
        <v>3529</v>
      </c>
      <c r="W23" s="26">
        <v>5</v>
      </c>
      <c r="X23" s="26">
        <v>5</v>
      </c>
      <c r="Y23" s="26">
        <v>3</v>
      </c>
      <c r="Z23" s="26">
        <v>5</v>
      </c>
      <c r="AA23" s="26" t="s">
        <v>3532</v>
      </c>
    </row>
    <row r="24" spans="1:28" x14ac:dyDescent="0.25">
      <c r="A24" s="11">
        <v>23</v>
      </c>
      <c r="B24">
        <v>5980</v>
      </c>
      <c r="C24" t="s">
        <v>572</v>
      </c>
      <c r="D24" s="26" t="s">
        <v>573</v>
      </c>
      <c r="E24" t="s">
        <v>0</v>
      </c>
      <c r="G24" t="s">
        <v>574</v>
      </c>
      <c r="H24">
        <v>2018</v>
      </c>
      <c r="I24" t="s">
        <v>575</v>
      </c>
      <c r="J24">
        <v>1</v>
      </c>
      <c r="N24" s="11">
        <v>5</v>
      </c>
      <c r="O24" s="18" t="s">
        <v>3157</v>
      </c>
      <c r="P24" s="26" t="s">
        <v>3494</v>
      </c>
      <c r="Q24" s="26" t="s">
        <v>3454</v>
      </c>
      <c r="R24" s="26" t="s">
        <v>3221</v>
      </c>
      <c r="S24" s="26" t="s">
        <v>0</v>
      </c>
      <c r="T24" s="26" t="s">
        <v>38</v>
      </c>
      <c r="U24" s="26" t="s">
        <v>69</v>
      </c>
      <c r="V24" s="26" t="s">
        <v>3495</v>
      </c>
      <c r="W24" s="26">
        <v>5</v>
      </c>
      <c r="X24" s="26">
        <v>5</v>
      </c>
      <c r="Y24" s="26">
        <v>5</v>
      </c>
      <c r="Z24" s="26">
        <v>5</v>
      </c>
      <c r="AA24" s="26" t="s">
        <v>59</v>
      </c>
    </row>
    <row r="25" spans="1:28" x14ac:dyDescent="0.25">
      <c r="A25" s="11">
        <v>24</v>
      </c>
      <c r="B25">
        <v>2512</v>
      </c>
      <c r="C25" t="s">
        <v>1431</v>
      </c>
      <c r="D25" t="s">
        <v>1432</v>
      </c>
      <c r="E25" t="s">
        <v>0</v>
      </c>
      <c r="G25" t="s">
        <v>1433</v>
      </c>
      <c r="H25">
        <v>2019</v>
      </c>
      <c r="I25" t="s">
        <v>1434</v>
      </c>
      <c r="J25">
        <v>1</v>
      </c>
      <c r="N25" s="11">
        <v>5</v>
      </c>
      <c r="O25" s="18" t="s">
        <v>3167</v>
      </c>
      <c r="P25" s="26" t="s">
        <v>3619</v>
      </c>
      <c r="Q25" s="26" t="s">
        <v>3266</v>
      </c>
      <c r="R25" s="26" t="s">
        <v>3239</v>
      </c>
      <c r="S25" s="26" t="s">
        <v>0</v>
      </c>
      <c r="T25" s="26" t="s">
        <v>38</v>
      </c>
      <c r="U25" s="26" t="s">
        <v>69</v>
      </c>
      <c r="V25" s="26" t="s">
        <v>3336</v>
      </c>
      <c r="W25" s="26">
        <v>5</v>
      </c>
      <c r="X25" s="26">
        <v>5</v>
      </c>
      <c r="Y25" s="26">
        <v>5</v>
      </c>
      <c r="Z25" s="26">
        <v>5</v>
      </c>
      <c r="AA25" s="26" t="s">
        <v>3620</v>
      </c>
    </row>
    <row r="26" spans="1:28" x14ac:dyDescent="0.25">
      <c r="A26" s="11">
        <v>25</v>
      </c>
      <c r="B26">
        <v>5692</v>
      </c>
      <c r="C26" t="s">
        <v>685</v>
      </c>
      <c r="D26" s="8" t="s">
        <v>686</v>
      </c>
      <c r="E26" t="s">
        <v>0</v>
      </c>
      <c r="G26" t="s">
        <v>687</v>
      </c>
      <c r="H26">
        <v>2017</v>
      </c>
      <c r="I26" t="s">
        <v>688</v>
      </c>
      <c r="J26">
        <v>1</v>
      </c>
      <c r="N26" s="11">
        <v>5</v>
      </c>
      <c r="O26" s="18" t="s">
        <v>3244</v>
      </c>
      <c r="P26" s="26" t="s">
        <v>3591</v>
      </c>
      <c r="Q26" s="26" t="s">
        <v>3258</v>
      </c>
      <c r="R26" s="26" t="s">
        <v>3237</v>
      </c>
      <c r="S26" s="26" t="s">
        <v>0</v>
      </c>
      <c r="T26" s="26" t="s">
        <v>38</v>
      </c>
      <c r="U26" s="26" t="s">
        <v>69</v>
      </c>
      <c r="V26" s="26" t="s">
        <v>3336</v>
      </c>
      <c r="W26" s="26">
        <v>5</v>
      </c>
      <c r="X26" s="26">
        <v>5</v>
      </c>
      <c r="Y26" s="26">
        <v>5</v>
      </c>
      <c r="Z26" s="26">
        <v>5</v>
      </c>
      <c r="AA26" s="26" t="s">
        <v>3317</v>
      </c>
    </row>
    <row r="27" spans="1:28" x14ac:dyDescent="0.25">
      <c r="A27" s="11">
        <v>26</v>
      </c>
      <c r="B27">
        <v>5969</v>
      </c>
      <c r="C27" t="s">
        <v>632</v>
      </c>
      <c r="D27" t="s">
        <v>633</v>
      </c>
      <c r="E27" t="s">
        <v>0</v>
      </c>
      <c r="G27" t="s">
        <v>634</v>
      </c>
      <c r="H27">
        <v>2014</v>
      </c>
      <c r="I27" t="s">
        <v>635</v>
      </c>
      <c r="J27">
        <v>0</v>
      </c>
      <c r="N27" s="11">
        <v>3</v>
      </c>
      <c r="O27" s="18" t="s">
        <v>3244</v>
      </c>
      <c r="P27" s="26" t="s">
        <v>3548</v>
      </c>
      <c r="Q27" s="26" t="s">
        <v>3549</v>
      </c>
      <c r="R27" s="26" t="s">
        <v>3257</v>
      </c>
      <c r="S27" s="26" t="s">
        <v>0</v>
      </c>
      <c r="T27" s="26" t="s">
        <v>38</v>
      </c>
      <c r="U27" s="26" t="s">
        <v>69</v>
      </c>
      <c r="V27" s="26" t="s">
        <v>3336</v>
      </c>
      <c r="W27" s="26">
        <v>5</v>
      </c>
      <c r="X27" s="26">
        <v>5</v>
      </c>
      <c r="Y27" s="26">
        <v>3</v>
      </c>
      <c r="Z27" s="26">
        <v>5</v>
      </c>
      <c r="AA27" s="26" t="s">
        <v>3550</v>
      </c>
    </row>
    <row r="28" spans="1:28" x14ac:dyDescent="0.25">
      <c r="A28" s="11">
        <v>27</v>
      </c>
      <c r="B28">
        <v>2745</v>
      </c>
      <c r="C28" t="s">
        <v>2210</v>
      </c>
      <c r="D28" t="s">
        <v>2211</v>
      </c>
      <c r="E28" t="s">
        <v>121</v>
      </c>
      <c r="G28" t="s">
        <v>2212</v>
      </c>
      <c r="H28">
        <v>2018</v>
      </c>
      <c r="I28" t="s">
        <v>2213</v>
      </c>
      <c r="J28">
        <v>1</v>
      </c>
      <c r="N28" s="11">
        <v>5</v>
      </c>
      <c r="O28" s="18" t="s">
        <v>3157</v>
      </c>
      <c r="P28" s="26" t="s">
        <v>3572</v>
      </c>
      <c r="Q28" s="26" t="s">
        <v>3570</v>
      </c>
      <c r="R28" s="26" t="s">
        <v>3257</v>
      </c>
      <c r="S28" s="26" t="s">
        <v>1</v>
      </c>
      <c r="T28" s="26" t="s">
        <v>38</v>
      </c>
      <c r="U28" s="26" t="s">
        <v>69</v>
      </c>
      <c r="V28" s="26" t="s">
        <v>3571</v>
      </c>
      <c r="W28" s="26">
        <v>5</v>
      </c>
      <c r="X28" s="26">
        <v>5</v>
      </c>
      <c r="Y28" s="26">
        <v>5</v>
      </c>
      <c r="Z28" s="26">
        <v>5</v>
      </c>
      <c r="AA28" s="26" t="s">
        <v>57</v>
      </c>
    </row>
    <row r="29" spans="1:28" x14ac:dyDescent="0.25">
      <c r="A29" s="11">
        <v>28</v>
      </c>
      <c r="B29">
        <v>3120</v>
      </c>
      <c r="C29" t="s">
        <v>2090</v>
      </c>
      <c r="D29" t="s">
        <v>2091</v>
      </c>
      <c r="E29" t="s">
        <v>2092</v>
      </c>
      <c r="G29" t="s">
        <v>2093</v>
      </c>
      <c r="H29">
        <v>2016</v>
      </c>
      <c r="I29" t="s">
        <v>2094</v>
      </c>
      <c r="J29">
        <v>1</v>
      </c>
      <c r="N29" s="11">
        <v>0</v>
      </c>
      <c r="P29" s="26"/>
      <c r="Q29" s="26"/>
      <c r="R29" s="26"/>
      <c r="S29" s="26"/>
      <c r="T29" s="26"/>
      <c r="U29" s="26"/>
      <c r="V29" s="26"/>
      <c r="W29" s="26">
        <v>0</v>
      </c>
      <c r="X29" s="26">
        <v>0</v>
      </c>
      <c r="Y29" s="26">
        <v>0</v>
      </c>
      <c r="Z29" s="26">
        <v>0</v>
      </c>
      <c r="AB29" s="26" t="s">
        <v>3281</v>
      </c>
    </row>
    <row r="30" spans="1:28" x14ac:dyDescent="0.25">
      <c r="A30" s="11">
        <v>29</v>
      </c>
      <c r="B30">
        <v>3201</v>
      </c>
      <c r="C30" t="s">
        <v>2054</v>
      </c>
      <c r="D30" t="s">
        <v>2055</v>
      </c>
      <c r="E30" t="s">
        <v>0</v>
      </c>
      <c r="G30" t="s">
        <v>2056</v>
      </c>
      <c r="H30">
        <v>2015</v>
      </c>
      <c r="I30" t="s">
        <v>2057</v>
      </c>
      <c r="J30">
        <v>1</v>
      </c>
      <c r="L30">
        <v>1</v>
      </c>
      <c r="N30" s="11">
        <v>5</v>
      </c>
      <c r="O30" s="18" t="s">
        <v>3157</v>
      </c>
      <c r="P30" s="26" t="s">
        <v>3267</v>
      </c>
      <c r="Q30" s="26" t="s">
        <v>3360</v>
      </c>
      <c r="R30" s="26" t="s">
        <v>3243</v>
      </c>
      <c r="S30" s="26" t="s">
        <v>0</v>
      </c>
      <c r="T30" s="26" t="s">
        <v>38</v>
      </c>
      <c r="U30" s="26" t="s">
        <v>69</v>
      </c>
      <c r="V30" s="26" t="s">
        <v>3336</v>
      </c>
      <c r="W30" s="26">
        <v>5</v>
      </c>
      <c r="X30" s="26">
        <v>5</v>
      </c>
      <c r="Y30" s="26">
        <v>5</v>
      </c>
      <c r="Z30" s="26">
        <v>5</v>
      </c>
      <c r="AA30" t="s">
        <v>57</v>
      </c>
    </row>
    <row r="31" spans="1:28" x14ac:dyDescent="0.25">
      <c r="A31" s="11">
        <v>30</v>
      </c>
      <c r="B31">
        <v>2860</v>
      </c>
      <c r="C31" t="s">
        <v>1893</v>
      </c>
      <c r="D31" t="s">
        <v>1894</v>
      </c>
      <c r="E31" t="s">
        <v>0</v>
      </c>
      <c r="G31" t="s">
        <v>1895</v>
      </c>
      <c r="H31">
        <v>2017</v>
      </c>
      <c r="I31" t="s">
        <v>1896</v>
      </c>
      <c r="J31">
        <v>1</v>
      </c>
      <c r="N31" s="11">
        <v>5</v>
      </c>
      <c r="O31" s="18" t="s">
        <v>3157</v>
      </c>
      <c r="P31" s="26" t="s">
        <v>3267</v>
      </c>
      <c r="Q31" s="26" t="s">
        <v>3209</v>
      </c>
      <c r="R31" s="26" t="s">
        <v>3356</v>
      </c>
      <c r="S31" s="26" t="s">
        <v>0</v>
      </c>
      <c r="T31" s="26" t="s">
        <v>38</v>
      </c>
      <c r="U31" s="26" t="s">
        <v>69</v>
      </c>
      <c r="V31" s="26" t="s">
        <v>3336</v>
      </c>
      <c r="W31" s="26">
        <v>5</v>
      </c>
      <c r="X31" s="26">
        <v>5</v>
      </c>
      <c r="Y31" s="26">
        <v>5</v>
      </c>
      <c r="Z31" s="26">
        <v>5</v>
      </c>
      <c r="AA31" t="s">
        <v>55</v>
      </c>
    </row>
    <row r="32" spans="1:28" x14ac:dyDescent="0.25">
      <c r="A32" s="11">
        <v>31</v>
      </c>
      <c r="B32">
        <v>2619</v>
      </c>
      <c r="C32" t="s">
        <v>2703</v>
      </c>
      <c r="D32" t="s">
        <v>2704</v>
      </c>
      <c r="E32" t="s">
        <v>0</v>
      </c>
      <c r="G32" t="s">
        <v>2705</v>
      </c>
      <c r="H32">
        <v>2018</v>
      </c>
      <c r="I32" t="s">
        <v>2706</v>
      </c>
      <c r="J32">
        <v>1</v>
      </c>
      <c r="L32">
        <v>1</v>
      </c>
      <c r="N32" s="11">
        <v>5</v>
      </c>
      <c r="O32" s="18" t="s">
        <v>3328</v>
      </c>
      <c r="P32" s="26" t="s">
        <v>3256</v>
      </c>
      <c r="Q32" s="26" t="s">
        <v>3357</v>
      </c>
      <c r="R32" s="26" t="s">
        <v>3243</v>
      </c>
      <c r="S32" s="26" t="s">
        <v>0</v>
      </c>
      <c r="T32" s="26" t="s">
        <v>38</v>
      </c>
      <c r="U32" s="26" t="s">
        <v>69</v>
      </c>
      <c r="V32" s="26" t="s">
        <v>3359</v>
      </c>
      <c r="W32" s="26">
        <v>5</v>
      </c>
      <c r="X32" s="26">
        <v>5</v>
      </c>
      <c r="Y32" s="26">
        <v>5</v>
      </c>
      <c r="Z32" s="26">
        <v>5</v>
      </c>
      <c r="AA32" t="s">
        <v>55</v>
      </c>
    </row>
    <row r="33" spans="1:28" x14ac:dyDescent="0.25">
      <c r="A33" s="11">
        <v>32</v>
      </c>
      <c r="B33">
        <v>5634</v>
      </c>
      <c r="C33" t="s">
        <v>975</v>
      </c>
      <c r="D33" t="s">
        <v>976</v>
      </c>
      <c r="E33" t="s">
        <v>24</v>
      </c>
      <c r="G33" t="s">
        <v>977</v>
      </c>
      <c r="H33">
        <v>2013</v>
      </c>
      <c r="I33" t="s">
        <v>978</v>
      </c>
      <c r="J33">
        <v>1</v>
      </c>
      <c r="N33" s="11">
        <v>0</v>
      </c>
      <c r="P33" s="26"/>
      <c r="Q33" s="26"/>
      <c r="R33" s="26"/>
      <c r="S33" s="26"/>
      <c r="T33" s="26"/>
      <c r="U33" s="26"/>
      <c r="V33" s="26"/>
      <c r="W33" s="26"/>
      <c r="X33" s="26"/>
      <c r="Y33" s="26"/>
      <c r="Z33" s="26"/>
    </row>
    <row r="34" spans="1:28" x14ac:dyDescent="0.25">
      <c r="A34" s="11">
        <v>33</v>
      </c>
      <c r="B34">
        <v>3339</v>
      </c>
      <c r="C34" t="s">
        <v>2095</v>
      </c>
      <c r="D34" t="s">
        <v>2096</v>
      </c>
      <c r="E34" t="s">
        <v>0</v>
      </c>
      <c r="G34" t="s">
        <v>2097</v>
      </c>
      <c r="H34">
        <v>2014</v>
      </c>
      <c r="I34" t="s">
        <v>2098</v>
      </c>
      <c r="J34">
        <v>1</v>
      </c>
      <c r="N34" s="11">
        <v>0</v>
      </c>
      <c r="P34" s="26"/>
      <c r="Q34" s="26"/>
      <c r="R34" s="26"/>
      <c r="S34" s="26"/>
      <c r="T34" s="26"/>
      <c r="U34" s="26"/>
      <c r="V34" s="26"/>
      <c r="W34" s="26">
        <v>0</v>
      </c>
      <c r="X34" s="26">
        <v>0</v>
      </c>
      <c r="Y34" s="26">
        <v>0</v>
      </c>
      <c r="Z34" s="26">
        <v>0</v>
      </c>
    </row>
    <row r="35" spans="1:28" x14ac:dyDescent="0.25">
      <c r="A35" s="11">
        <v>34</v>
      </c>
      <c r="B35">
        <v>3646</v>
      </c>
      <c r="C35" t="s">
        <v>2763</v>
      </c>
      <c r="D35" t="s">
        <v>2764</v>
      </c>
      <c r="E35" t="s">
        <v>0</v>
      </c>
      <c r="G35" t="s">
        <v>2765</v>
      </c>
      <c r="H35">
        <v>2012</v>
      </c>
      <c r="I35" t="s">
        <v>2766</v>
      </c>
      <c r="J35">
        <v>1</v>
      </c>
      <c r="K35">
        <v>-1</v>
      </c>
      <c r="N35" s="11">
        <v>0</v>
      </c>
      <c r="P35" s="26"/>
      <c r="Q35" s="26"/>
      <c r="R35" s="26"/>
      <c r="S35" s="26"/>
      <c r="T35" s="26"/>
      <c r="U35" s="26"/>
      <c r="V35" s="26"/>
      <c r="W35" s="26">
        <v>0</v>
      </c>
      <c r="X35" s="26">
        <v>0</v>
      </c>
      <c r="Y35" s="26">
        <v>0</v>
      </c>
      <c r="Z35" s="26">
        <v>0</v>
      </c>
    </row>
    <row r="36" spans="1:28" x14ac:dyDescent="0.25">
      <c r="A36" s="11">
        <v>35</v>
      </c>
      <c r="B36" s="75">
        <v>3219</v>
      </c>
      <c r="C36" s="75" t="s">
        <v>2820</v>
      </c>
      <c r="D36" s="75" t="s">
        <v>2821</v>
      </c>
      <c r="E36" s="75" t="s">
        <v>0</v>
      </c>
      <c r="F36" s="75"/>
      <c r="G36" s="75" t="s">
        <v>2822</v>
      </c>
      <c r="H36" s="75">
        <v>2015</v>
      </c>
      <c r="I36" s="75" t="s">
        <v>2823</v>
      </c>
      <c r="J36" s="75">
        <v>0</v>
      </c>
      <c r="K36" s="75"/>
      <c r="L36" s="75"/>
      <c r="M36" s="75"/>
      <c r="N36" s="75">
        <v>5</v>
      </c>
      <c r="O36" s="76" t="s">
        <v>3417</v>
      </c>
      <c r="P36" s="75" t="s">
        <v>3256</v>
      </c>
      <c r="Q36" s="75" t="s">
        <v>3258</v>
      </c>
      <c r="R36" s="75" t="s">
        <v>3243</v>
      </c>
      <c r="S36" s="75" t="s">
        <v>0</v>
      </c>
      <c r="T36" s="75" t="s">
        <v>38</v>
      </c>
      <c r="U36" s="75" t="s">
        <v>69</v>
      </c>
      <c r="V36" s="75" t="s">
        <v>3336</v>
      </c>
      <c r="W36" s="75">
        <v>5</v>
      </c>
      <c r="X36" s="75">
        <v>5</v>
      </c>
      <c r="Y36" s="75">
        <v>5</v>
      </c>
      <c r="Z36" s="75">
        <v>5</v>
      </c>
      <c r="AA36" s="75" t="s">
        <v>3365</v>
      </c>
      <c r="AB36" s="75"/>
    </row>
    <row r="37" spans="1:28" x14ac:dyDescent="0.25">
      <c r="A37" s="11">
        <v>36</v>
      </c>
      <c r="B37">
        <v>5475</v>
      </c>
      <c r="C37" t="s">
        <v>979</v>
      </c>
      <c r="D37" t="s">
        <v>980</v>
      </c>
      <c r="E37" t="s">
        <v>7</v>
      </c>
      <c r="G37" t="s">
        <v>981</v>
      </c>
      <c r="H37">
        <v>2015</v>
      </c>
      <c r="I37" t="s">
        <v>982</v>
      </c>
      <c r="J37">
        <v>1</v>
      </c>
      <c r="N37" s="11">
        <v>0</v>
      </c>
      <c r="P37" s="26"/>
      <c r="Q37" s="26"/>
      <c r="R37" s="26"/>
      <c r="S37" s="26"/>
      <c r="T37" s="26"/>
      <c r="U37" s="26"/>
      <c r="V37" s="26"/>
      <c r="W37" s="26">
        <v>0</v>
      </c>
      <c r="X37" s="26">
        <v>0</v>
      </c>
      <c r="Y37" s="26">
        <v>0</v>
      </c>
      <c r="Z37" s="26">
        <v>0</v>
      </c>
    </row>
    <row r="38" spans="1:28" x14ac:dyDescent="0.25">
      <c r="A38" s="11">
        <v>37</v>
      </c>
      <c r="B38">
        <v>3287</v>
      </c>
      <c r="C38" t="s">
        <v>1960</v>
      </c>
      <c r="D38" s="26" t="s">
        <v>1961</v>
      </c>
      <c r="E38" t="s">
        <v>0</v>
      </c>
      <c r="G38" t="s">
        <v>1962</v>
      </c>
      <c r="H38">
        <v>2015</v>
      </c>
      <c r="I38" t="s">
        <v>1963</v>
      </c>
      <c r="J38">
        <v>1</v>
      </c>
      <c r="N38" s="11">
        <v>4</v>
      </c>
      <c r="O38" s="18" t="s">
        <v>3162</v>
      </c>
      <c r="P38" s="26" t="s">
        <v>3256</v>
      </c>
      <c r="Q38" s="26" t="s">
        <v>3476</v>
      </c>
      <c r="R38" s="26" t="s">
        <v>3243</v>
      </c>
      <c r="S38" s="26" t="s">
        <v>0</v>
      </c>
      <c r="T38" s="26" t="s">
        <v>38</v>
      </c>
      <c r="U38" s="26" t="s">
        <v>69</v>
      </c>
      <c r="V38" s="26" t="s">
        <v>3336</v>
      </c>
      <c r="W38" s="26">
        <v>5</v>
      </c>
      <c r="X38" s="26">
        <v>3</v>
      </c>
      <c r="Y38" s="26">
        <v>5</v>
      </c>
      <c r="Z38" s="26">
        <v>5</v>
      </c>
      <c r="AA38" t="s">
        <v>59</v>
      </c>
    </row>
    <row r="39" spans="1:28" x14ac:dyDescent="0.25">
      <c r="A39" s="11">
        <v>38</v>
      </c>
      <c r="B39">
        <v>4913</v>
      </c>
      <c r="C39" t="s">
        <v>983</v>
      </c>
      <c r="D39" t="s">
        <v>984</v>
      </c>
      <c r="E39" t="s">
        <v>953</v>
      </c>
      <c r="G39" t="s">
        <v>985</v>
      </c>
      <c r="H39">
        <v>2014</v>
      </c>
      <c r="I39" t="s">
        <v>986</v>
      </c>
      <c r="J39">
        <v>1</v>
      </c>
      <c r="N39" s="11">
        <v>0</v>
      </c>
      <c r="P39" s="26"/>
      <c r="Q39" s="26"/>
      <c r="R39" s="26"/>
      <c r="S39" s="26"/>
      <c r="T39" s="26"/>
      <c r="U39" s="26"/>
      <c r="V39" s="26"/>
      <c r="W39" s="26">
        <v>0</v>
      </c>
      <c r="X39" s="26">
        <v>0</v>
      </c>
      <c r="Y39" s="26">
        <v>0</v>
      </c>
      <c r="Z39" s="26">
        <v>0</v>
      </c>
    </row>
    <row r="40" spans="1:28" x14ac:dyDescent="0.25">
      <c r="A40" s="11">
        <v>39</v>
      </c>
      <c r="B40">
        <v>5579</v>
      </c>
      <c r="C40" t="s">
        <v>1048</v>
      </c>
      <c r="D40" s="26" t="s">
        <v>1049</v>
      </c>
      <c r="E40" t="s">
        <v>24</v>
      </c>
      <c r="G40" t="s">
        <v>1050</v>
      </c>
      <c r="H40">
        <v>2016</v>
      </c>
      <c r="I40" t="s">
        <v>1051</v>
      </c>
      <c r="J40">
        <v>1</v>
      </c>
      <c r="N40" s="11">
        <v>4</v>
      </c>
      <c r="O40" s="18" t="s">
        <v>3157</v>
      </c>
      <c r="P40" s="26" t="s">
        <v>3256</v>
      </c>
      <c r="Q40" s="26" t="s">
        <v>3204</v>
      </c>
      <c r="R40" s="26" t="s">
        <v>3243</v>
      </c>
      <c r="S40" s="26" t="s">
        <v>0</v>
      </c>
      <c r="T40" s="26" t="s">
        <v>38</v>
      </c>
      <c r="U40" s="26" t="s">
        <v>69</v>
      </c>
      <c r="V40" s="26" t="s">
        <v>3336</v>
      </c>
      <c r="W40" s="26">
        <v>4</v>
      </c>
      <c r="X40" s="26">
        <v>4</v>
      </c>
      <c r="Y40" s="26">
        <v>4</v>
      </c>
      <c r="Z40" s="26">
        <v>4</v>
      </c>
      <c r="AA40" t="s">
        <v>65</v>
      </c>
    </row>
    <row r="41" spans="1:28" x14ac:dyDescent="0.25">
      <c r="A41" s="11">
        <v>40</v>
      </c>
      <c r="B41">
        <v>2935</v>
      </c>
      <c r="C41" t="s">
        <v>2377</v>
      </c>
      <c r="D41" t="s">
        <v>2378</v>
      </c>
      <c r="E41" t="s">
        <v>1300</v>
      </c>
      <c r="G41" t="s">
        <v>2379</v>
      </c>
      <c r="H41">
        <v>2017</v>
      </c>
      <c r="I41" t="s">
        <v>2380</v>
      </c>
      <c r="J41">
        <v>1</v>
      </c>
      <c r="N41" s="11">
        <v>5</v>
      </c>
      <c r="O41" s="18" t="s">
        <v>3370</v>
      </c>
      <c r="P41" s="26" t="s">
        <v>3256</v>
      </c>
      <c r="Q41" s="26" t="s">
        <v>3279</v>
      </c>
      <c r="R41" s="26" t="s">
        <v>3524</v>
      </c>
      <c r="S41" s="26" t="s">
        <v>1</v>
      </c>
      <c r="T41" s="26" t="s">
        <v>38</v>
      </c>
      <c r="U41" s="26" t="s">
        <v>69</v>
      </c>
      <c r="V41" s="26" t="s">
        <v>3336</v>
      </c>
      <c r="W41" s="26">
        <v>5</v>
      </c>
      <c r="X41" s="26">
        <v>5</v>
      </c>
      <c r="Y41" s="26">
        <v>5</v>
      </c>
      <c r="Z41" s="26">
        <v>5</v>
      </c>
      <c r="AA41" t="s">
        <v>3525</v>
      </c>
    </row>
    <row r="42" spans="1:28" x14ac:dyDescent="0.25">
      <c r="A42" s="11">
        <v>41</v>
      </c>
      <c r="B42">
        <v>6413</v>
      </c>
      <c r="C42" t="s">
        <v>234</v>
      </c>
      <c r="D42" s="8" t="s">
        <v>235</v>
      </c>
      <c r="E42" t="s">
        <v>6</v>
      </c>
      <c r="F42" t="s">
        <v>391</v>
      </c>
      <c r="G42" t="s">
        <v>392</v>
      </c>
      <c r="H42">
        <v>2016</v>
      </c>
      <c r="J42">
        <v>1</v>
      </c>
      <c r="N42" s="11">
        <v>4</v>
      </c>
      <c r="O42" s="18" t="s">
        <v>3418</v>
      </c>
      <c r="P42" s="26" t="s">
        <v>3256</v>
      </c>
      <c r="Q42" s="26" t="s">
        <v>3316</v>
      </c>
      <c r="R42" s="26" t="s">
        <v>3577</v>
      </c>
      <c r="S42" s="26" t="s">
        <v>6</v>
      </c>
      <c r="T42" s="26" t="s">
        <v>38</v>
      </c>
      <c r="U42" s="26" t="s">
        <v>69</v>
      </c>
      <c r="V42" s="26" t="s">
        <v>3336</v>
      </c>
      <c r="W42" s="26">
        <v>4</v>
      </c>
      <c r="X42" s="26">
        <v>4</v>
      </c>
      <c r="Y42" s="26">
        <v>4</v>
      </c>
      <c r="Z42" s="26">
        <v>4</v>
      </c>
      <c r="AA42" t="s">
        <v>59</v>
      </c>
    </row>
    <row r="43" spans="1:28" x14ac:dyDescent="0.25">
      <c r="A43" s="11">
        <v>42</v>
      </c>
      <c r="B43">
        <v>5327</v>
      </c>
      <c r="C43" t="s">
        <v>987</v>
      </c>
      <c r="D43" t="s">
        <v>988</v>
      </c>
      <c r="E43" t="s">
        <v>24</v>
      </c>
      <c r="G43" t="s">
        <v>989</v>
      </c>
      <c r="H43">
        <v>2017</v>
      </c>
      <c r="I43" t="s">
        <v>990</v>
      </c>
      <c r="J43">
        <v>1</v>
      </c>
      <c r="N43" s="11">
        <v>0</v>
      </c>
      <c r="P43" s="26"/>
      <c r="Q43" s="26"/>
      <c r="R43" s="26"/>
      <c r="S43" s="26"/>
      <c r="T43" s="26"/>
      <c r="U43" s="26"/>
      <c r="V43" s="26"/>
      <c r="W43" s="26">
        <v>0</v>
      </c>
      <c r="X43" s="26">
        <v>0</v>
      </c>
      <c r="Y43" s="26">
        <v>0</v>
      </c>
      <c r="Z43" s="26">
        <v>0</v>
      </c>
    </row>
    <row r="44" spans="1:28" x14ac:dyDescent="0.25">
      <c r="A44" s="11">
        <v>43</v>
      </c>
      <c r="B44" s="26">
        <v>3281</v>
      </c>
      <c r="C44" s="26" t="s">
        <v>1222</v>
      </c>
      <c r="D44" s="26" t="s">
        <v>1223</v>
      </c>
      <c r="E44" s="26" t="s">
        <v>22</v>
      </c>
      <c r="F44" s="26"/>
      <c r="G44" s="26" t="s">
        <v>1224</v>
      </c>
      <c r="H44" s="26">
        <v>2015</v>
      </c>
      <c r="I44" s="26" t="s">
        <v>1225</v>
      </c>
      <c r="J44" s="26">
        <v>1</v>
      </c>
      <c r="K44" s="26"/>
      <c r="L44" s="26"/>
      <c r="M44" s="26"/>
      <c r="N44" s="26">
        <v>4</v>
      </c>
      <c r="O44" s="18" t="s">
        <v>3244</v>
      </c>
      <c r="P44" s="26" t="s">
        <v>3256</v>
      </c>
      <c r="Q44" s="26" t="s">
        <v>3316</v>
      </c>
      <c r="R44" s="26" t="s">
        <v>3257</v>
      </c>
      <c r="S44" s="26" t="s">
        <v>0</v>
      </c>
      <c r="T44" s="26" t="s">
        <v>38</v>
      </c>
      <c r="U44" s="26" t="s">
        <v>69</v>
      </c>
      <c r="V44" s="26" t="s">
        <v>3375</v>
      </c>
      <c r="W44" s="26">
        <v>5</v>
      </c>
      <c r="X44" s="26">
        <v>5</v>
      </c>
      <c r="Y44" s="26">
        <v>5</v>
      </c>
      <c r="Z44" s="26">
        <v>5</v>
      </c>
      <c r="AA44" s="26" t="s">
        <v>3335</v>
      </c>
    </row>
    <row r="45" spans="1:28" x14ac:dyDescent="0.25">
      <c r="A45" s="11">
        <v>44</v>
      </c>
      <c r="B45">
        <v>3338</v>
      </c>
      <c r="C45" t="s">
        <v>2707</v>
      </c>
      <c r="D45" s="26" t="s">
        <v>2708</v>
      </c>
      <c r="E45" t="s">
        <v>1193</v>
      </c>
      <c r="G45" t="s">
        <v>2709</v>
      </c>
      <c r="H45">
        <v>2014</v>
      </c>
      <c r="I45" t="s">
        <v>2710</v>
      </c>
      <c r="J45">
        <v>1</v>
      </c>
      <c r="N45" s="11">
        <v>1</v>
      </c>
      <c r="O45" s="18" t="s">
        <v>3157</v>
      </c>
      <c r="P45" s="26" t="s">
        <v>3256</v>
      </c>
      <c r="Q45" s="26" t="s">
        <v>3361</v>
      </c>
      <c r="R45" s="26" t="s">
        <v>3257</v>
      </c>
      <c r="S45" s="26" t="s">
        <v>1</v>
      </c>
      <c r="T45" s="26" t="s">
        <v>38</v>
      </c>
      <c r="U45" s="26" t="s">
        <v>69</v>
      </c>
      <c r="V45" s="26" t="s">
        <v>3336</v>
      </c>
      <c r="W45" s="26">
        <v>5</v>
      </c>
      <c r="X45" s="26">
        <v>5</v>
      </c>
      <c r="Y45" s="26">
        <v>5</v>
      </c>
      <c r="Z45" s="26">
        <v>5</v>
      </c>
      <c r="AA45" t="s">
        <v>56</v>
      </c>
    </row>
    <row r="46" spans="1:28" x14ac:dyDescent="0.25">
      <c r="A46" s="11">
        <v>45</v>
      </c>
      <c r="B46">
        <v>2900</v>
      </c>
      <c r="C46" t="s">
        <v>2240</v>
      </c>
      <c r="D46" s="26" t="s">
        <v>2241</v>
      </c>
      <c r="E46" t="s">
        <v>0</v>
      </c>
      <c r="G46" t="s">
        <v>2242</v>
      </c>
      <c r="H46">
        <v>2017</v>
      </c>
      <c r="I46" t="s">
        <v>2243</v>
      </c>
      <c r="J46">
        <v>1</v>
      </c>
      <c r="N46" s="11">
        <v>0</v>
      </c>
      <c r="P46" s="26"/>
      <c r="Q46" s="26"/>
      <c r="R46" s="26"/>
      <c r="S46" s="26"/>
      <c r="T46" s="26"/>
      <c r="U46" s="26"/>
      <c r="V46" s="26"/>
      <c r="W46" s="26">
        <v>0</v>
      </c>
      <c r="X46" s="26">
        <v>0</v>
      </c>
      <c r="Y46" s="26">
        <v>0</v>
      </c>
      <c r="Z46" s="26">
        <v>0</v>
      </c>
    </row>
    <row r="47" spans="1:28" x14ac:dyDescent="0.25">
      <c r="A47" s="11">
        <v>46</v>
      </c>
      <c r="B47">
        <v>5256</v>
      </c>
      <c r="C47" t="s">
        <v>1056</v>
      </c>
      <c r="D47" s="26" t="s">
        <v>1057</v>
      </c>
      <c r="E47" t="s">
        <v>22</v>
      </c>
      <c r="G47" t="s">
        <v>1058</v>
      </c>
      <c r="H47">
        <v>2019</v>
      </c>
      <c r="I47" t="s">
        <v>1059</v>
      </c>
      <c r="J47">
        <v>1</v>
      </c>
      <c r="N47" s="11">
        <v>5</v>
      </c>
      <c r="O47" s="18" t="s">
        <v>3328</v>
      </c>
      <c r="P47" s="26" t="s">
        <v>3256</v>
      </c>
      <c r="Q47" s="26" t="s">
        <v>3361</v>
      </c>
      <c r="R47" s="26" t="s">
        <v>3257</v>
      </c>
      <c r="S47" s="26" t="s">
        <v>1</v>
      </c>
      <c r="T47" s="26" t="s">
        <v>38</v>
      </c>
      <c r="U47" s="26" t="s">
        <v>69</v>
      </c>
      <c r="V47" s="26" t="s">
        <v>3336</v>
      </c>
      <c r="W47" s="26">
        <v>5</v>
      </c>
      <c r="X47" s="26">
        <v>5</v>
      </c>
      <c r="Y47" s="26">
        <v>5</v>
      </c>
      <c r="Z47" s="26">
        <v>5</v>
      </c>
      <c r="AA47" t="s">
        <v>3463</v>
      </c>
    </row>
    <row r="48" spans="1:28" x14ac:dyDescent="0.25">
      <c r="A48" s="11">
        <v>47</v>
      </c>
      <c r="B48">
        <v>2704</v>
      </c>
      <c r="C48" t="s">
        <v>2181</v>
      </c>
      <c r="D48" t="s">
        <v>2182</v>
      </c>
      <c r="E48" t="s">
        <v>121</v>
      </c>
      <c r="G48" t="s">
        <v>2183</v>
      </c>
      <c r="H48">
        <v>2018</v>
      </c>
      <c r="I48" t="s">
        <v>2184</v>
      </c>
      <c r="J48">
        <v>1</v>
      </c>
      <c r="N48" s="11">
        <v>5</v>
      </c>
      <c r="O48" s="18" t="s">
        <v>3244</v>
      </c>
      <c r="P48" s="26" t="s">
        <v>3256</v>
      </c>
      <c r="Q48" s="26" t="s">
        <v>3204</v>
      </c>
      <c r="R48" s="26" t="s">
        <v>3257</v>
      </c>
      <c r="S48" s="26" t="s">
        <v>0</v>
      </c>
      <c r="T48" s="26" t="s">
        <v>38</v>
      </c>
      <c r="U48" s="26" t="s">
        <v>69</v>
      </c>
      <c r="V48" s="26" t="s">
        <v>3336</v>
      </c>
      <c r="W48" s="26">
        <v>5</v>
      </c>
      <c r="X48" s="26">
        <v>5</v>
      </c>
      <c r="Y48" s="26">
        <v>5</v>
      </c>
      <c r="Z48" s="26">
        <v>5</v>
      </c>
      <c r="AA48" t="s">
        <v>3315</v>
      </c>
      <c r="AB48" t="s">
        <v>57</v>
      </c>
    </row>
    <row r="49" spans="1:27" x14ac:dyDescent="0.25">
      <c r="A49" s="11">
        <v>48</v>
      </c>
      <c r="B49">
        <v>5431</v>
      </c>
      <c r="C49" t="s">
        <v>1109</v>
      </c>
      <c r="D49" t="s">
        <v>1110</v>
      </c>
      <c r="E49" t="s">
        <v>22</v>
      </c>
      <c r="G49" t="s">
        <v>1111</v>
      </c>
      <c r="H49">
        <v>2018</v>
      </c>
      <c r="I49" t="s">
        <v>1112</v>
      </c>
      <c r="J49">
        <v>1</v>
      </c>
      <c r="N49" s="11">
        <v>3</v>
      </c>
      <c r="O49" s="18" t="s">
        <v>3244</v>
      </c>
      <c r="P49" s="26" t="s">
        <v>3256</v>
      </c>
      <c r="Q49" s="26" t="s">
        <v>3361</v>
      </c>
      <c r="R49" s="26" t="s">
        <v>3257</v>
      </c>
      <c r="S49" s="26" t="s">
        <v>1</v>
      </c>
      <c r="T49" s="26" t="s">
        <v>38</v>
      </c>
      <c r="U49" s="26" t="s">
        <v>69</v>
      </c>
      <c r="V49" s="26" t="s">
        <v>3336</v>
      </c>
      <c r="W49" s="26">
        <v>4</v>
      </c>
      <c r="X49" s="26">
        <v>5</v>
      </c>
      <c r="Y49" s="26">
        <v>3</v>
      </c>
      <c r="Z49" s="26">
        <v>3</v>
      </c>
      <c r="AA49" t="s">
        <v>61</v>
      </c>
    </row>
    <row r="50" spans="1:27" x14ac:dyDescent="0.25">
      <c r="A50" s="11">
        <v>49</v>
      </c>
      <c r="B50">
        <v>5626</v>
      </c>
      <c r="C50" t="s">
        <v>991</v>
      </c>
      <c r="D50" s="9" t="s">
        <v>992</v>
      </c>
      <c r="E50" t="s">
        <v>22</v>
      </c>
      <c r="G50" t="s">
        <v>993</v>
      </c>
      <c r="H50">
        <v>2016</v>
      </c>
      <c r="I50" t="s">
        <v>994</v>
      </c>
      <c r="J50">
        <v>1</v>
      </c>
      <c r="N50" s="11">
        <v>0</v>
      </c>
      <c r="P50" s="26"/>
      <c r="Q50" s="26"/>
      <c r="R50" s="26"/>
      <c r="S50" s="26"/>
      <c r="T50" s="26"/>
      <c r="U50" s="26"/>
      <c r="V50" s="26"/>
      <c r="W50" s="26">
        <v>0</v>
      </c>
      <c r="X50" s="26">
        <v>0</v>
      </c>
      <c r="Y50" s="26">
        <v>0</v>
      </c>
      <c r="Z50" s="26">
        <v>0</v>
      </c>
    </row>
    <row r="51" spans="1:27" x14ac:dyDescent="0.25">
      <c r="A51" s="11">
        <v>50</v>
      </c>
      <c r="B51">
        <v>2848</v>
      </c>
      <c r="C51" t="s">
        <v>1644</v>
      </c>
      <c r="D51" s="8" t="s">
        <v>1645</v>
      </c>
      <c r="E51" t="s">
        <v>0</v>
      </c>
      <c r="G51" t="s">
        <v>1646</v>
      </c>
      <c r="H51">
        <v>2017</v>
      </c>
      <c r="I51" t="s">
        <v>1647</v>
      </c>
      <c r="J51">
        <v>1</v>
      </c>
      <c r="N51" s="11">
        <v>5</v>
      </c>
      <c r="O51" s="18" t="s">
        <v>3385</v>
      </c>
      <c r="P51" s="26" t="s">
        <v>3256</v>
      </c>
      <c r="Q51" s="26" t="s">
        <v>3615</v>
      </c>
      <c r="R51" s="26" t="s">
        <v>3257</v>
      </c>
      <c r="S51" s="26" t="s">
        <v>0</v>
      </c>
      <c r="T51" s="26" t="s">
        <v>37</v>
      </c>
      <c r="U51" s="26" t="s">
        <v>69</v>
      </c>
      <c r="V51" s="26" t="s">
        <v>3631</v>
      </c>
      <c r="W51" s="26">
        <v>3</v>
      </c>
      <c r="X51" s="26">
        <v>3</v>
      </c>
      <c r="Y51" s="26">
        <v>3</v>
      </c>
      <c r="Z51" s="26">
        <v>3</v>
      </c>
      <c r="AA51" t="s">
        <v>56</v>
      </c>
    </row>
    <row r="52" spans="1:27" x14ac:dyDescent="0.25">
      <c r="A52" s="11">
        <v>51</v>
      </c>
      <c r="B52">
        <v>3409</v>
      </c>
      <c r="C52" t="s">
        <v>2009</v>
      </c>
      <c r="D52" t="s">
        <v>2010</v>
      </c>
      <c r="E52" t="s">
        <v>0</v>
      </c>
      <c r="G52" t="s">
        <v>2011</v>
      </c>
      <c r="H52">
        <v>2014</v>
      </c>
      <c r="I52" t="s">
        <v>2012</v>
      </c>
      <c r="J52">
        <v>1</v>
      </c>
      <c r="N52" s="11">
        <v>5</v>
      </c>
      <c r="O52" s="18" t="s">
        <v>3406</v>
      </c>
      <c r="P52" s="26" t="s">
        <v>3256</v>
      </c>
      <c r="Q52" s="26" t="s">
        <v>3316</v>
      </c>
      <c r="R52" s="26" t="s">
        <v>3239</v>
      </c>
      <c r="S52" s="26" t="s">
        <v>0</v>
      </c>
      <c r="T52" s="26" t="s">
        <v>38</v>
      </c>
      <c r="U52" s="26" t="s">
        <v>69</v>
      </c>
      <c r="V52" s="26" t="s">
        <v>3336</v>
      </c>
      <c r="W52" s="26">
        <v>5</v>
      </c>
      <c r="X52" s="26">
        <v>5</v>
      </c>
      <c r="Y52" s="26">
        <v>5</v>
      </c>
      <c r="Z52" s="26">
        <v>5</v>
      </c>
      <c r="AA52" t="s">
        <v>59</v>
      </c>
    </row>
    <row r="53" spans="1:27" x14ac:dyDescent="0.25">
      <c r="A53" s="11">
        <v>52</v>
      </c>
      <c r="B53">
        <v>4105</v>
      </c>
      <c r="C53" t="s">
        <v>1786</v>
      </c>
      <c r="D53" t="s">
        <v>3101</v>
      </c>
      <c r="E53" t="s">
        <v>2</v>
      </c>
      <c r="G53" t="s">
        <v>3102</v>
      </c>
      <c r="H53">
        <v>2017</v>
      </c>
      <c r="I53" t="s">
        <v>3103</v>
      </c>
      <c r="J53">
        <v>1</v>
      </c>
      <c r="N53" s="11">
        <v>5</v>
      </c>
      <c r="O53" s="18" t="s">
        <v>3157</v>
      </c>
      <c r="P53" s="26" t="s">
        <v>3256</v>
      </c>
      <c r="Q53" s="26" t="s">
        <v>3258</v>
      </c>
      <c r="R53" s="26" t="s">
        <v>3239</v>
      </c>
      <c r="S53" s="26" t="s">
        <v>2</v>
      </c>
      <c r="T53" s="26" t="s">
        <v>38</v>
      </c>
      <c r="U53" s="26" t="s">
        <v>69</v>
      </c>
      <c r="V53" s="26" t="s">
        <v>3599</v>
      </c>
      <c r="W53" s="26">
        <v>5</v>
      </c>
      <c r="X53" s="26">
        <v>5</v>
      </c>
      <c r="Y53" s="26">
        <v>5</v>
      </c>
      <c r="Z53" s="26">
        <v>5</v>
      </c>
      <c r="AA53" t="s">
        <v>3335</v>
      </c>
    </row>
    <row r="54" spans="1:27" x14ac:dyDescent="0.25">
      <c r="A54" s="11">
        <v>53</v>
      </c>
      <c r="B54">
        <v>5963</v>
      </c>
      <c r="C54" t="s">
        <v>437</v>
      </c>
      <c r="D54" t="s">
        <v>438</v>
      </c>
      <c r="E54" t="s">
        <v>121</v>
      </c>
      <c r="F54" t="s">
        <v>929</v>
      </c>
      <c r="G54" t="s">
        <v>439</v>
      </c>
      <c r="H54">
        <v>2015</v>
      </c>
      <c r="I54" t="s">
        <v>440</v>
      </c>
      <c r="J54">
        <v>1</v>
      </c>
      <c r="N54" s="11">
        <v>0</v>
      </c>
      <c r="P54" s="26"/>
      <c r="Q54" s="26"/>
      <c r="R54" s="26"/>
      <c r="S54" s="26"/>
      <c r="T54" s="26"/>
      <c r="U54" s="26"/>
      <c r="V54" s="26"/>
      <c r="W54" s="26">
        <v>0</v>
      </c>
      <c r="X54" s="26">
        <v>0</v>
      </c>
      <c r="Y54" s="26">
        <v>0</v>
      </c>
      <c r="Z54" s="26">
        <v>0</v>
      </c>
    </row>
    <row r="55" spans="1:27" x14ac:dyDescent="0.25">
      <c r="A55" s="11">
        <v>54</v>
      </c>
      <c r="B55">
        <v>2688</v>
      </c>
      <c r="C55" t="s">
        <v>2779</v>
      </c>
      <c r="D55" t="s">
        <v>2780</v>
      </c>
      <c r="E55" t="s">
        <v>0</v>
      </c>
      <c r="G55" t="s">
        <v>2781</v>
      </c>
      <c r="H55">
        <v>2018</v>
      </c>
      <c r="I55" t="s">
        <v>2782</v>
      </c>
      <c r="J55">
        <v>1</v>
      </c>
      <c r="N55" s="11">
        <v>0</v>
      </c>
      <c r="P55" s="26"/>
      <c r="Q55" s="26"/>
      <c r="R55" s="26"/>
      <c r="S55" s="26"/>
      <c r="T55" s="26"/>
      <c r="U55" s="26"/>
      <c r="V55" s="26"/>
      <c r="W55" s="26">
        <v>0</v>
      </c>
      <c r="X55" s="26">
        <v>0</v>
      </c>
      <c r="Y55" s="26">
        <v>0</v>
      </c>
      <c r="Z55" s="26">
        <v>0</v>
      </c>
    </row>
    <row r="56" spans="1:27" x14ac:dyDescent="0.25">
      <c r="A56" s="11">
        <v>55</v>
      </c>
      <c r="B56">
        <v>3089</v>
      </c>
      <c r="C56" t="s">
        <v>2043</v>
      </c>
      <c r="D56" t="s">
        <v>2044</v>
      </c>
      <c r="E56" t="s">
        <v>0</v>
      </c>
      <c r="G56" t="s">
        <v>2045</v>
      </c>
      <c r="H56">
        <v>2016</v>
      </c>
      <c r="I56" t="s">
        <v>2046</v>
      </c>
      <c r="J56">
        <v>1</v>
      </c>
      <c r="N56" s="11">
        <v>4</v>
      </c>
      <c r="O56" s="18" t="s">
        <v>3406</v>
      </c>
      <c r="P56" s="26" t="s">
        <v>3256</v>
      </c>
      <c r="Q56" s="26" t="s">
        <v>3202</v>
      </c>
      <c r="R56" s="26" t="s">
        <v>3239</v>
      </c>
      <c r="S56" s="26" t="s">
        <v>0</v>
      </c>
      <c r="T56" s="26" t="s">
        <v>38</v>
      </c>
      <c r="U56" s="26" t="s">
        <v>69</v>
      </c>
      <c r="V56" s="26" t="s">
        <v>3336</v>
      </c>
      <c r="W56" s="26">
        <v>4</v>
      </c>
      <c r="X56" s="26">
        <v>4</v>
      </c>
      <c r="Y56" s="26">
        <v>3</v>
      </c>
      <c r="Z56" s="26">
        <v>4</v>
      </c>
      <c r="AA56" t="s">
        <v>3365</v>
      </c>
    </row>
    <row r="57" spans="1:27" x14ac:dyDescent="0.25">
      <c r="A57" s="11">
        <v>56</v>
      </c>
      <c r="B57">
        <v>2991</v>
      </c>
      <c r="C57" t="s">
        <v>1546</v>
      </c>
      <c r="D57" s="8" t="s">
        <v>1547</v>
      </c>
      <c r="E57" t="s">
        <v>5</v>
      </c>
      <c r="G57" t="s">
        <v>1548</v>
      </c>
      <c r="H57">
        <v>2017</v>
      </c>
      <c r="I57" t="s">
        <v>1549</v>
      </c>
      <c r="J57">
        <v>1</v>
      </c>
      <c r="N57" s="11">
        <v>4</v>
      </c>
      <c r="O57" s="18" t="s">
        <v>3244</v>
      </c>
      <c r="P57" s="26" t="s">
        <v>3270</v>
      </c>
      <c r="Q57" s="26" t="s">
        <v>3627</v>
      </c>
      <c r="R57" s="26" t="s">
        <v>3223</v>
      </c>
      <c r="S57" s="26" t="s">
        <v>20</v>
      </c>
      <c r="T57" s="26" t="s">
        <v>38</v>
      </c>
      <c r="U57" s="26" t="s">
        <v>69</v>
      </c>
      <c r="V57" s="26" t="s">
        <v>3336</v>
      </c>
      <c r="W57" s="26">
        <v>4</v>
      </c>
      <c r="X57" s="26">
        <v>4</v>
      </c>
      <c r="Y57" s="26">
        <v>4</v>
      </c>
      <c r="Z57" s="26">
        <v>4</v>
      </c>
      <c r="AA57" t="s">
        <v>3317</v>
      </c>
    </row>
    <row r="58" spans="1:27" x14ac:dyDescent="0.25">
      <c r="A58" s="11">
        <v>57</v>
      </c>
      <c r="B58">
        <v>3400</v>
      </c>
      <c r="C58" t="s">
        <v>2185</v>
      </c>
      <c r="D58" t="s">
        <v>2186</v>
      </c>
      <c r="E58" t="s">
        <v>2187</v>
      </c>
      <c r="G58" t="s">
        <v>2188</v>
      </c>
      <c r="H58">
        <v>2014</v>
      </c>
      <c r="I58" t="s">
        <v>2189</v>
      </c>
      <c r="J58">
        <v>1</v>
      </c>
      <c r="N58" s="11">
        <v>3</v>
      </c>
      <c r="O58" s="18" t="s">
        <v>3244</v>
      </c>
      <c r="P58" s="26" t="s">
        <v>3270</v>
      </c>
      <c r="Q58" s="26" t="s">
        <v>3258</v>
      </c>
      <c r="R58" s="26" t="s">
        <v>3232</v>
      </c>
      <c r="S58" s="26" t="s">
        <v>0</v>
      </c>
      <c r="T58" s="26" t="s">
        <v>38</v>
      </c>
      <c r="U58" s="26" t="s">
        <v>69</v>
      </c>
      <c r="V58" s="26" t="s">
        <v>3336</v>
      </c>
      <c r="W58" s="26">
        <v>5</v>
      </c>
      <c r="X58" s="26">
        <v>5</v>
      </c>
      <c r="Y58" s="26">
        <v>5</v>
      </c>
      <c r="Z58" s="26">
        <v>5</v>
      </c>
      <c r="AA58" t="s">
        <v>3489</v>
      </c>
    </row>
    <row r="59" spans="1:27" x14ac:dyDescent="0.25">
      <c r="A59" s="11">
        <v>58</v>
      </c>
      <c r="B59">
        <v>3196</v>
      </c>
      <c r="C59" t="s">
        <v>2406</v>
      </c>
      <c r="D59" t="s">
        <v>2787</v>
      </c>
      <c r="E59" t="s">
        <v>0</v>
      </c>
      <c r="G59" t="s">
        <v>2788</v>
      </c>
      <c r="H59">
        <v>2015</v>
      </c>
      <c r="I59" t="s">
        <v>2789</v>
      </c>
      <c r="J59">
        <v>0</v>
      </c>
      <c r="N59" s="11">
        <v>5</v>
      </c>
      <c r="O59" s="18" t="s">
        <v>3244</v>
      </c>
      <c r="P59" s="26" t="s">
        <v>3439</v>
      </c>
      <c r="Q59" s="26" t="s">
        <v>3452</v>
      </c>
      <c r="R59" s="26" t="s">
        <v>3187</v>
      </c>
      <c r="S59" s="26" t="s">
        <v>0</v>
      </c>
      <c r="T59" s="26" t="s">
        <v>38</v>
      </c>
      <c r="U59" s="26" t="s">
        <v>69</v>
      </c>
      <c r="V59" s="26" t="s">
        <v>3336</v>
      </c>
      <c r="W59" s="26">
        <v>5</v>
      </c>
      <c r="X59" s="26">
        <v>5</v>
      </c>
      <c r="Y59" s="26">
        <v>5</v>
      </c>
      <c r="Z59" s="26">
        <v>5</v>
      </c>
      <c r="AA59" t="s">
        <v>3335</v>
      </c>
    </row>
    <row r="60" spans="1:27" x14ac:dyDescent="0.25">
      <c r="A60" s="11">
        <v>59</v>
      </c>
      <c r="B60">
        <v>5136</v>
      </c>
      <c r="C60" t="s">
        <v>958</v>
      </c>
      <c r="D60" t="s">
        <v>959</v>
      </c>
      <c r="E60" t="s">
        <v>24</v>
      </c>
      <c r="G60" t="s">
        <v>960</v>
      </c>
      <c r="H60">
        <v>2015</v>
      </c>
      <c r="I60" t="s">
        <v>961</v>
      </c>
      <c r="J60">
        <v>-1</v>
      </c>
      <c r="L60">
        <v>1</v>
      </c>
      <c r="N60" s="11">
        <v>5</v>
      </c>
      <c r="O60" s="18" t="s">
        <v>3268</v>
      </c>
      <c r="P60" s="26" t="s">
        <v>3269</v>
      </c>
      <c r="Q60" s="26" t="s">
        <v>3266</v>
      </c>
      <c r="R60" s="26" t="s">
        <v>3256</v>
      </c>
      <c r="S60" s="26" t="s">
        <v>1</v>
      </c>
      <c r="T60" s="26" t="s">
        <v>38</v>
      </c>
      <c r="U60" s="26" t="s">
        <v>69</v>
      </c>
      <c r="V60" s="26" t="s">
        <v>3336</v>
      </c>
      <c r="W60" s="26">
        <v>5</v>
      </c>
      <c r="X60" s="26">
        <v>4</v>
      </c>
      <c r="Y60" s="26">
        <v>5</v>
      </c>
      <c r="Z60" s="26">
        <v>5</v>
      </c>
      <c r="AA60" t="s">
        <v>3250</v>
      </c>
    </row>
    <row r="61" spans="1:27" x14ac:dyDescent="0.25">
      <c r="A61" s="11">
        <v>60</v>
      </c>
      <c r="B61">
        <v>4964</v>
      </c>
      <c r="C61" t="s">
        <v>995</v>
      </c>
      <c r="D61" t="s">
        <v>996</v>
      </c>
      <c r="E61" t="s">
        <v>24</v>
      </c>
      <c r="G61" t="s">
        <v>997</v>
      </c>
      <c r="H61">
        <v>2014</v>
      </c>
      <c r="I61" t="s">
        <v>998</v>
      </c>
      <c r="J61">
        <v>1</v>
      </c>
      <c r="N61" s="11">
        <v>0</v>
      </c>
    </row>
    <row r="62" spans="1:27" x14ac:dyDescent="0.25">
      <c r="A62" s="11">
        <v>61</v>
      </c>
      <c r="B62">
        <v>3582</v>
      </c>
      <c r="C62" t="s">
        <v>2036</v>
      </c>
      <c r="D62" t="s">
        <v>1047</v>
      </c>
      <c r="E62" t="s">
        <v>24</v>
      </c>
      <c r="G62" t="s">
        <v>2037</v>
      </c>
      <c r="H62">
        <v>2013</v>
      </c>
      <c r="I62" t="s">
        <v>2038</v>
      </c>
      <c r="J62">
        <v>1</v>
      </c>
      <c r="N62" s="11">
        <v>3</v>
      </c>
      <c r="O62" s="18" t="s">
        <v>3385</v>
      </c>
      <c r="P62" s="26" t="s">
        <v>3171</v>
      </c>
      <c r="Q62" s="26" t="s">
        <v>3316</v>
      </c>
      <c r="R62" s="26" t="s">
        <v>3243</v>
      </c>
      <c r="S62" s="26" t="s">
        <v>0</v>
      </c>
      <c r="T62" s="26" t="s">
        <v>38</v>
      </c>
      <c r="U62" s="26" t="s">
        <v>69</v>
      </c>
      <c r="V62" s="26" t="s">
        <v>3336</v>
      </c>
      <c r="W62" s="26">
        <v>3</v>
      </c>
      <c r="X62" s="26">
        <v>3</v>
      </c>
      <c r="Y62" s="26">
        <v>3</v>
      </c>
      <c r="Z62" s="26">
        <v>3</v>
      </c>
      <c r="AA62" t="s">
        <v>62</v>
      </c>
    </row>
    <row r="63" spans="1:27" x14ac:dyDescent="0.25">
      <c r="A63" s="11">
        <v>62</v>
      </c>
      <c r="B63">
        <v>3527</v>
      </c>
      <c r="C63" t="s">
        <v>2645</v>
      </c>
      <c r="D63" t="s">
        <v>2646</v>
      </c>
      <c r="E63" t="s">
        <v>0</v>
      </c>
      <c r="G63" t="s">
        <v>2647</v>
      </c>
      <c r="H63">
        <v>2013</v>
      </c>
      <c r="I63" t="s">
        <v>2648</v>
      </c>
      <c r="J63">
        <v>1</v>
      </c>
      <c r="L63">
        <v>1</v>
      </c>
      <c r="N63" s="11">
        <v>0</v>
      </c>
    </row>
    <row r="64" spans="1:27" x14ac:dyDescent="0.25">
      <c r="A64" s="11">
        <v>63</v>
      </c>
      <c r="B64">
        <v>2963</v>
      </c>
      <c r="C64" t="s">
        <v>1381</v>
      </c>
      <c r="D64" t="s">
        <v>1382</v>
      </c>
      <c r="E64" t="s">
        <v>5</v>
      </c>
      <c r="G64" t="s">
        <v>1383</v>
      </c>
      <c r="H64">
        <v>2017</v>
      </c>
      <c r="I64" t="s">
        <v>1384</v>
      </c>
      <c r="J64">
        <v>0</v>
      </c>
      <c r="N64" s="11">
        <v>3</v>
      </c>
      <c r="O64" s="18" t="s">
        <v>3244</v>
      </c>
      <c r="P64" s="26" t="s">
        <v>3171</v>
      </c>
      <c r="Q64" s="26" t="s">
        <v>3258</v>
      </c>
      <c r="R64" s="26" t="s">
        <v>3231</v>
      </c>
      <c r="S64" s="26" t="s">
        <v>1</v>
      </c>
      <c r="T64" s="26" t="s">
        <v>38</v>
      </c>
      <c r="U64" s="26" t="s">
        <v>69</v>
      </c>
      <c r="V64" s="26" t="s">
        <v>3400</v>
      </c>
      <c r="W64" s="26">
        <v>4</v>
      </c>
      <c r="X64" s="26">
        <v>4</v>
      </c>
      <c r="Y64" s="26">
        <v>4</v>
      </c>
      <c r="Z64" s="26">
        <v>4</v>
      </c>
      <c r="AA64" t="s">
        <v>3401</v>
      </c>
    </row>
    <row r="65" spans="1:27" x14ac:dyDescent="0.25">
      <c r="A65" s="11">
        <v>64</v>
      </c>
      <c r="B65">
        <v>5561</v>
      </c>
      <c r="C65" t="s">
        <v>1007</v>
      </c>
      <c r="D65" t="s">
        <v>1008</v>
      </c>
      <c r="E65" t="s">
        <v>22</v>
      </c>
      <c r="G65" t="s">
        <v>1009</v>
      </c>
      <c r="H65">
        <v>2012</v>
      </c>
      <c r="I65" t="s">
        <v>1010</v>
      </c>
      <c r="J65">
        <v>1</v>
      </c>
      <c r="N65" s="11">
        <v>0</v>
      </c>
      <c r="P65" s="26"/>
      <c r="Q65" s="26"/>
      <c r="R65" s="26"/>
      <c r="S65" s="26"/>
      <c r="T65" s="26"/>
      <c r="U65" s="26"/>
      <c r="V65" s="26"/>
      <c r="W65" s="26">
        <v>0</v>
      </c>
      <c r="X65" s="26">
        <v>0</v>
      </c>
      <c r="Y65" s="26">
        <v>0</v>
      </c>
      <c r="Z65" s="26">
        <v>0</v>
      </c>
    </row>
    <row r="66" spans="1:27" x14ac:dyDescent="0.25">
      <c r="A66" s="11">
        <v>65</v>
      </c>
      <c r="B66">
        <v>2671</v>
      </c>
      <c r="C66" t="s">
        <v>2252</v>
      </c>
      <c r="D66" t="s">
        <v>2253</v>
      </c>
      <c r="E66" t="s">
        <v>0</v>
      </c>
      <c r="G66" t="s">
        <v>2254</v>
      </c>
      <c r="H66">
        <v>2018</v>
      </c>
      <c r="I66" t="s">
        <v>2255</v>
      </c>
      <c r="J66">
        <v>1</v>
      </c>
      <c r="N66" s="11">
        <v>5</v>
      </c>
      <c r="O66" s="18" t="s">
        <v>3244</v>
      </c>
      <c r="P66" s="26" t="s">
        <v>3171</v>
      </c>
      <c r="Q66" s="26" t="s">
        <v>3411</v>
      </c>
      <c r="R66" s="26" t="s">
        <v>3239</v>
      </c>
      <c r="S66" s="26" t="s">
        <v>0</v>
      </c>
      <c r="T66" s="26" t="s">
        <v>38</v>
      </c>
      <c r="U66" s="26" t="s">
        <v>69</v>
      </c>
      <c r="V66" s="26" t="s">
        <v>3336</v>
      </c>
      <c r="W66" s="26">
        <v>5</v>
      </c>
      <c r="X66" s="26">
        <v>5</v>
      </c>
      <c r="Y66" s="26">
        <v>5</v>
      </c>
      <c r="Z66" s="26">
        <v>5</v>
      </c>
      <c r="AA66" t="s">
        <v>3412</v>
      </c>
    </row>
    <row r="67" spans="1:27" x14ac:dyDescent="0.25">
      <c r="A67" s="11">
        <v>66</v>
      </c>
      <c r="B67">
        <v>3292</v>
      </c>
      <c r="C67" t="s">
        <v>1534</v>
      </c>
      <c r="D67" t="s">
        <v>1535</v>
      </c>
      <c r="E67" t="s">
        <v>0</v>
      </c>
      <c r="G67" t="s">
        <v>1536</v>
      </c>
      <c r="H67">
        <v>2015</v>
      </c>
      <c r="I67" t="s">
        <v>1537</v>
      </c>
      <c r="J67">
        <v>1</v>
      </c>
      <c r="N67" s="11">
        <v>5</v>
      </c>
      <c r="O67" s="18" t="s">
        <v>3157</v>
      </c>
      <c r="P67" s="26" t="s">
        <v>3171</v>
      </c>
      <c r="Q67" s="26" t="s">
        <v>3258</v>
      </c>
      <c r="R67" s="26" t="s">
        <v>3239</v>
      </c>
      <c r="S67" s="26" t="s">
        <v>0</v>
      </c>
      <c r="T67" s="26" t="s">
        <v>38</v>
      </c>
      <c r="U67" s="26" t="s">
        <v>69</v>
      </c>
      <c r="V67" s="26" t="s">
        <v>3336</v>
      </c>
      <c r="W67" s="26">
        <v>5</v>
      </c>
      <c r="X67" s="26">
        <v>5</v>
      </c>
      <c r="Y67" s="26">
        <v>5</v>
      </c>
      <c r="Z67" s="26">
        <v>5</v>
      </c>
      <c r="AA67" t="s">
        <v>3416</v>
      </c>
    </row>
    <row r="68" spans="1:27" x14ac:dyDescent="0.25">
      <c r="A68" s="11">
        <v>67</v>
      </c>
      <c r="B68">
        <v>5916</v>
      </c>
      <c r="C68" t="s">
        <v>445</v>
      </c>
      <c r="D68" t="s">
        <v>446</v>
      </c>
      <c r="E68" t="s">
        <v>0</v>
      </c>
      <c r="F68" t="s">
        <v>931</v>
      </c>
      <c r="G68" t="s">
        <v>447</v>
      </c>
      <c r="H68">
        <v>2016</v>
      </c>
      <c r="I68" t="s">
        <v>448</v>
      </c>
      <c r="J68">
        <v>1</v>
      </c>
      <c r="K68">
        <v>-1</v>
      </c>
      <c r="N68" s="11">
        <v>0</v>
      </c>
    </row>
    <row r="69" spans="1:27" x14ac:dyDescent="0.25">
      <c r="A69" s="11">
        <v>68</v>
      </c>
      <c r="B69">
        <v>5693</v>
      </c>
      <c r="C69" t="s">
        <v>449</v>
      </c>
      <c r="D69" t="s">
        <v>450</v>
      </c>
      <c r="E69" t="s">
        <v>0</v>
      </c>
      <c r="F69" t="s">
        <v>932</v>
      </c>
      <c r="G69" t="s">
        <v>451</v>
      </c>
      <c r="H69">
        <v>2013</v>
      </c>
      <c r="I69" t="s">
        <v>452</v>
      </c>
      <c r="J69">
        <v>1</v>
      </c>
      <c r="K69">
        <v>-1</v>
      </c>
      <c r="N69" s="11">
        <v>0</v>
      </c>
      <c r="P69" s="26"/>
      <c r="Q69" s="26"/>
      <c r="R69" s="26"/>
      <c r="S69" s="26"/>
      <c r="T69" s="26"/>
      <c r="U69" s="26"/>
      <c r="V69" s="26"/>
      <c r="W69" s="26">
        <v>0</v>
      </c>
      <c r="X69" s="26">
        <v>0</v>
      </c>
      <c r="Y69" s="26">
        <v>0</v>
      </c>
      <c r="Z69" s="26">
        <v>0</v>
      </c>
    </row>
    <row r="70" spans="1:27" x14ac:dyDescent="0.25">
      <c r="A70" s="11">
        <v>69</v>
      </c>
      <c r="B70">
        <v>5943</v>
      </c>
      <c r="C70" t="s">
        <v>453</v>
      </c>
      <c r="D70" t="s">
        <v>454</v>
      </c>
      <c r="E70" t="s">
        <v>0</v>
      </c>
      <c r="G70" t="s">
        <v>455</v>
      </c>
      <c r="H70">
        <v>2013</v>
      </c>
      <c r="I70" t="s">
        <v>456</v>
      </c>
      <c r="J70">
        <v>1</v>
      </c>
      <c r="K70">
        <v>-1</v>
      </c>
      <c r="N70" s="11">
        <v>0</v>
      </c>
      <c r="P70" s="26"/>
      <c r="Q70" s="26"/>
      <c r="R70" s="26"/>
      <c r="S70" s="26"/>
      <c r="T70" s="26"/>
      <c r="U70" s="26"/>
      <c r="V70" s="26"/>
      <c r="W70" s="26">
        <v>0</v>
      </c>
      <c r="X70" s="26">
        <v>0</v>
      </c>
      <c r="Y70" s="26">
        <v>0</v>
      </c>
      <c r="Z70" s="26">
        <v>0</v>
      </c>
    </row>
    <row r="71" spans="1:27" x14ac:dyDescent="0.25">
      <c r="A71" s="11">
        <v>70</v>
      </c>
      <c r="B71">
        <v>5670</v>
      </c>
      <c r="C71" t="s">
        <v>576</v>
      </c>
      <c r="D71" t="s">
        <v>577</v>
      </c>
      <c r="E71" t="s">
        <v>0</v>
      </c>
      <c r="G71" t="s">
        <v>578</v>
      </c>
      <c r="H71">
        <v>2017</v>
      </c>
      <c r="I71" t="s">
        <v>579</v>
      </c>
      <c r="J71">
        <v>1</v>
      </c>
      <c r="L71">
        <v>1</v>
      </c>
      <c r="N71" s="11">
        <v>5</v>
      </c>
      <c r="O71" s="18" t="s">
        <v>3162</v>
      </c>
      <c r="P71" s="26" t="s">
        <v>3506</v>
      </c>
      <c r="Q71" s="26" t="s">
        <v>3507</v>
      </c>
      <c r="R71" s="26" t="s">
        <v>3239</v>
      </c>
      <c r="S71" s="26" t="s">
        <v>0</v>
      </c>
      <c r="T71" s="26" t="s">
        <v>38</v>
      </c>
      <c r="U71" s="26" t="s">
        <v>69</v>
      </c>
      <c r="V71" s="26" t="s">
        <v>3336</v>
      </c>
      <c r="W71" s="26">
        <v>5</v>
      </c>
      <c r="X71" s="26">
        <v>5</v>
      </c>
      <c r="Y71" s="26">
        <v>5</v>
      </c>
      <c r="Z71" s="26">
        <v>5</v>
      </c>
      <c r="AA71" t="s">
        <v>3335</v>
      </c>
    </row>
    <row r="72" spans="1:27" x14ac:dyDescent="0.25">
      <c r="A72" s="11">
        <v>71</v>
      </c>
      <c r="B72">
        <v>3271</v>
      </c>
      <c r="C72" t="s">
        <v>1525</v>
      </c>
      <c r="D72" t="s">
        <v>1526</v>
      </c>
      <c r="E72" t="s">
        <v>5</v>
      </c>
      <c r="G72" t="s">
        <v>1527</v>
      </c>
      <c r="H72">
        <v>2015</v>
      </c>
      <c r="I72" t="s">
        <v>1528</v>
      </c>
      <c r="J72">
        <v>1</v>
      </c>
      <c r="N72" s="11">
        <v>5</v>
      </c>
      <c r="O72" s="18" t="s">
        <v>3157</v>
      </c>
      <c r="P72" s="26" t="s">
        <v>3461</v>
      </c>
      <c r="Q72" s="26" t="s">
        <v>3437</v>
      </c>
      <c r="R72" s="26" t="s">
        <v>3374</v>
      </c>
      <c r="S72" s="26" t="s">
        <v>0</v>
      </c>
      <c r="T72" s="26" t="s">
        <v>38</v>
      </c>
      <c r="U72" s="26" t="s">
        <v>69</v>
      </c>
      <c r="V72" s="26" t="s">
        <v>3336</v>
      </c>
      <c r="W72" s="26">
        <v>5</v>
      </c>
      <c r="X72" s="26">
        <v>5</v>
      </c>
      <c r="Y72" s="26">
        <v>5</v>
      </c>
      <c r="Z72" s="26">
        <v>5</v>
      </c>
      <c r="AA72" t="s">
        <v>3338</v>
      </c>
    </row>
    <row r="73" spans="1:27" x14ac:dyDescent="0.25">
      <c r="A73" s="11">
        <v>72</v>
      </c>
      <c r="B73">
        <v>6228</v>
      </c>
      <c r="C73" t="s">
        <v>139</v>
      </c>
      <c r="D73" t="s">
        <v>140</v>
      </c>
      <c r="E73" t="s">
        <v>6</v>
      </c>
      <c r="F73" t="s">
        <v>305</v>
      </c>
      <c r="G73" t="s">
        <v>306</v>
      </c>
      <c r="H73">
        <v>2012</v>
      </c>
      <c r="I73" t="s">
        <v>259</v>
      </c>
      <c r="J73">
        <v>1</v>
      </c>
      <c r="N73" s="11">
        <v>0</v>
      </c>
      <c r="P73" s="26"/>
      <c r="Q73" s="26"/>
      <c r="R73" s="26"/>
      <c r="S73" s="26"/>
      <c r="T73" s="26"/>
      <c r="U73" s="26"/>
      <c r="V73" s="26"/>
      <c r="W73" s="26">
        <v>0</v>
      </c>
      <c r="X73" s="26">
        <v>0</v>
      </c>
      <c r="Y73" s="26">
        <v>0</v>
      </c>
      <c r="Z73" s="26">
        <v>0</v>
      </c>
    </row>
    <row r="74" spans="1:27" x14ac:dyDescent="0.25">
      <c r="A74" s="11">
        <v>73</v>
      </c>
      <c r="B74">
        <v>4366</v>
      </c>
      <c r="C74" t="s">
        <v>3117</v>
      </c>
      <c r="D74" t="s">
        <v>1657</v>
      </c>
      <c r="E74" t="s">
        <v>24</v>
      </c>
      <c r="G74" t="s">
        <v>3118</v>
      </c>
      <c r="H74">
        <v>2015</v>
      </c>
      <c r="I74" t="s">
        <v>3119</v>
      </c>
      <c r="J74">
        <v>1</v>
      </c>
      <c r="N74" s="11">
        <v>5</v>
      </c>
      <c r="O74" s="18" t="s">
        <v>3157</v>
      </c>
      <c r="P74" s="26" t="s">
        <v>3441</v>
      </c>
      <c r="Q74" s="26" t="s">
        <v>3440</v>
      </c>
      <c r="R74" s="26" t="s">
        <v>3239</v>
      </c>
      <c r="S74" s="26" t="s">
        <v>1</v>
      </c>
      <c r="T74" s="26" t="s">
        <v>38</v>
      </c>
      <c r="U74" s="26" t="s">
        <v>69</v>
      </c>
      <c r="V74" s="26" t="s">
        <v>3336</v>
      </c>
      <c r="W74" s="26">
        <v>5</v>
      </c>
      <c r="X74" s="26">
        <v>5</v>
      </c>
      <c r="Y74" s="26">
        <v>5</v>
      </c>
      <c r="Z74" s="26">
        <v>5</v>
      </c>
      <c r="AA74" t="s">
        <v>59</v>
      </c>
    </row>
    <row r="75" spans="1:27" x14ac:dyDescent="0.25">
      <c r="A75" s="11">
        <v>74</v>
      </c>
      <c r="B75">
        <v>2583</v>
      </c>
      <c r="C75" t="s">
        <v>775</v>
      </c>
      <c r="D75" s="26" t="s">
        <v>1636</v>
      </c>
      <c r="E75" t="s">
        <v>1637</v>
      </c>
      <c r="G75" t="s">
        <v>1638</v>
      </c>
      <c r="H75">
        <v>2018</v>
      </c>
      <c r="I75" t="s">
        <v>1639</v>
      </c>
      <c r="J75">
        <v>1</v>
      </c>
      <c r="N75" s="11">
        <v>4</v>
      </c>
      <c r="O75" s="18" t="s">
        <v>3555</v>
      </c>
      <c r="P75" s="26" t="s">
        <v>3174</v>
      </c>
      <c r="Q75" s="26" t="s">
        <v>3361</v>
      </c>
      <c r="R75" s="26" t="s">
        <v>3623</v>
      </c>
      <c r="S75" s="26" t="s">
        <v>1</v>
      </c>
      <c r="T75" s="26" t="s">
        <v>38</v>
      </c>
      <c r="U75" s="26" t="s">
        <v>69</v>
      </c>
      <c r="V75" s="26" t="s">
        <v>3296</v>
      </c>
      <c r="W75" s="26">
        <v>4</v>
      </c>
      <c r="X75" s="26">
        <v>4</v>
      </c>
      <c r="Y75" s="26">
        <v>4</v>
      </c>
      <c r="Z75" s="26">
        <v>4</v>
      </c>
      <c r="AA75" t="s">
        <v>3317</v>
      </c>
    </row>
    <row r="76" spans="1:27" x14ac:dyDescent="0.25">
      <c r="A76" s="11">
        <v>75</v>
      </c>
      <c r="B76">
        <v>4871</v>
      </c>
      <c r="C76" t="s">
        <v>1011</v>
      </c>
      <c r="D76" t="s">
        <v>1012</v>
      </c>
      <c r="E76" t="s">
        <v>953</v>
      </c>
      <c r="G76" t="s">
        <v>1013</v>
      </c>
      <c r="H76">
        <v>2015</v>
      </c>
      <c r="I76" t="s">
        <v>1014</v>
      </c>
      <c r="J76">
        <v>1</v>
      </c>
      <c r="N76" s="11">
        <v>0</v>
      </c>
      <c r="Q76" s="26"/>
      <c r="R76" s="26"/>
      <c r="S76" s="26"/>
      <c r="T76" s="26"/>
      <c r="U76" s="26"/>
      <c r="V76" s="26"/>
      <c r="W76" s="26">
        <v>0</v>
      </c>
      <c r="X76" s="26">
        <v>0</v>
      </c>
      <c r="Y76" s="26">
        <v>0</v>
      </c>
      <c r="Z76" s="26">
        <v>0</v>
      </c>
    </row>
    <row r="77" spans="1:27" x14ac:dyDescent="0.25">
      <c r="A77" s="11">
        <v>76</v>
      </c>
      <c r="B77">
        <v>2805</v>
      </c>
      <c r="C77" t="s">
        <v>2767</v>
      </c>
      <c r="D77" t="s">
        <v>2768</v>
      </c>
      <c r="E77" t="s">
        <v>0</v>
      </c>
      <c r="G77" t="s">
        <v>2769</v>
      </c>
      <c r="H77">
        <v>2017</v>
      </c>
      <c r="I77" t="s">
        <v>2770</v>
      </c>
      <c r="J77">
        <v>1</v>
      </c>
      <c r="N77" s="11">
        <v>0</v>
      </c>
      <c r="P77" s="26"/>
      <c r="Q77" s="26"/>
      <c r="R77" s="26"/>
      <c r="S77" s="26"/>
      <c r="T77" s="26"/>
      <c r="U77" s="26"/>
      <c r="V77" s="26"/>
      <c r="W77" s="26">
        <v>0</v>
      </c>
      <c r="X77" s="26">
        <v>0</v>
      </c>
      <c r="Y77" s="26">
        <v>0</v>
      </c>
      <c r="Z77" s="26">
        <v>0</v>
      </c>
    </row>
    <row r="78" spans="1:27" x14ac:dyDescent="0.25">
      <c r="A78" s="11">
        <v>77</v>
      </c>
      <c r="B78">
        <v>3245</v>
      </c>
      <c r="C78" t="s">
        <v>2806</v>
      </c>
      <c r="D78" t="s">
        <v>2807</v>
      </c>
      <c r="E78" t="s">
        <v>5</v>
      </c>
      <c r="G78" t="s">
        <v>2808</v>
      </c>
      <c r="H78">
        <v>2015</v>
      </c>
      <c r="I78" t="s">
        <v>2809</v>
      </c>
      <c r="J78">
        <v>1</v>
      </c>
      <c r="N78" s="11">
        <v>1</v>
      </c>
      <c r="O78" s="18" t="s">
        <v>3264</v>
      </c>
      <c r="P78" s="26" t="s">
        <v>3174</v>
      </c>
      <c r="Q78" s="26" t="s">
        <v>3202</v>
      </c>
      <c r="R78" s="26" t="s">
        <v>3229</v>
      </c>
      <c r="S78" s="26" t="s">
        <v>20</v>
      </c>
      <c r="T78" s="26" t="s">
        <v>38</v>
      </c>
      <c r="U78" s="26" t="s">
        <v>69</v>
      </c>
      <c r="V78" s="26" t="s">
        <v>3336</v>
      </c>
      <c r="W78" s="26">
        <v>5</v>
      </c>
      <c r="X78" s="26">
        <v>5</v>
      </c>
      <c r="Y78" s="26">
        <v>5</v>
      </c>
      <c r="Z78" s="26">
        <v>5</v>
      </c>
      <c r="AA78" t="s">
        <v>53</v>
      </c>
    </row>
    <row r="79" spans="1:27" x14ac:dyDescent="0.25">
      <c r="A79" s="11">
        <v>78</v>
      </c>
      <c r="B79">
        <v>5767</v>
      </c>
      <c r="C79" t="s">
        <v>461</v>
      </c>
      <c r="D79" t="s">
        <v>462</v>
      </c>
      <c r="E79" t="s">
        <v>0</v>
      </c>
      <c r="F79" t="s">
        <v>934</v>
      </c>
      <c r="G79" t="s">
        <v>463</v>
      </c>
      <c r="H79">
        <v>2015</v>
      </c>
      <c r="I79" t="s">
        <v>464</v>
      </c>
      <c r="J79">
        <v>1</v>
      </c>
      <c r="N79" s="11">
        <v>0</v>
      </c>
      <c r="P79" s="26"/>
      <c r="Q79" s="26"/>
      <c r="R79" s="26"/>
      <c r="S79" s="26"/>
      <c r="T79" s="26"/>
      <c r="U79" s="26"/>
      <c r="V79" s="26"/>
      <c r="W79" s="26">
        <v>0</v>
      </c>
      <c r="X79" s="26">
        <v>0</v>
      </c>
      <c r="Y79" s="26">
        <v>0</v>
      </c>
      <c r="Z79" s="26">
        <v>0</v>
      </c>
    </row>
    <row r="80" spans="1:27" x14ac:dyDescent="0.25">
      <c r="A80" s="11">
        <v>79</v>
      </c>
      <c r="B80">
        <v>2725</v>
      </c>
      <c r="C80" t="s">
        <v>1652</v>
      </c>
      <c r="D80" t="s">
        <v>1653</v>
      </c>
      <c r="E80" t="s">
        <v>1654</v>
      </c>
      <c r="G80" t="s">
        <v>1655</v>
      </c>
      <c r="H80">
        <v>2018</v>
      </c>
      <c r="I80" t="s">
        <v>1656</v>
      </c>
      <c r="J80">
        <v>1</v>
      </c>
      <c r="N80" s="11">
        <v>5</v>
      </c>
      <c r="O80" s="18" t="s">
        <v>3264</v>
      </c>
      <c r="P80" s="26" t="s">
        <v>3174</v>
      </c>
      <c r="Q80" s="26" t="s">
        <v>3389</v>
      </c>
      <c r="R80" s="26" t="s">
        <v>3232</v>
      </c>
      <c r="S80" s="26" t="s">
        <v>1</v>
      </c>
      <c r="T80" s="26" t="s">
        <v>38</v>
      </c>
      <c r="U80" s="26" t="s">
        <v>69</v>
      </c>
      <c r="V80" s="26" t="s">
        <v>3336</v>
      </c>
      <c r="W80" s="26">
        <v>5</v>
      </c>
      <c r="X80" s="26">
        <v>5</v>
      </c>
      <c r="Y80" s="26">
        <v>5</v>
      </c>
      <c r="Z80" s="26">
        <v>5</v>
      </c>
      <c r="AA80" t="s">
        <v>3390</v>
      </c>
    </row>
    <row r="81" spans="1:28" x14ac:dyDescent="0.25">
      <c r="A81" s="11">
        <v>80</v>
      </c>
      <c r="B81">
        <v>2511</v>
      </c>
      <c r="C81" t="s">
        <v>1230</v>
      </c>
      <c r="D81" t="s">
        <v>1231</v>
      </c>
      <c r="E81" t="s">
        <v>24</v>
      </c>
      <c r="G81" t="s">
        <v>1232</v>
      </c>
      <c r="H81">
        <v>2019</v>
      </c>
      <c r="I81" t="s">
        <v>1233</v>
      </c>
      <c r="J81">
        <v>1</v>
      </c>
      <c r="N81" s="11">
        <v>5</v>
      </c>
      <c r="O81" s="18" t="s">
        <v>3328</v>
      </c>
      <c r="P81" s="26" t="s">
        <v>3174</v>
      </c>
      <c r="Q81" s="26" t="s">
        <v>3601</v>
      </c>
      <c r="R81" s="26" t="s">
        <v>3586</v>
      </c>
      <c r="S81" s="26" t="s">
        <v>1</v>
      </c>
      <c r="T81" s="26" t="s">
        <v>38</v>
      </c>
      <c r="U81" s="26" t="s">
        <v>69</v>
      </c>
      <c r="V81" s="26" t="s">
        <v>3336</v>
      </c>
      <c r="W81" s="26">
        <v>5</v>
      </c>
      <c r="X81" s="26">
        <v>5</v>
      </c>
      <c r="Y81" s="26">
        <v>5</v>
      </c>
      <c r="Z81" s="26">
        <v>5</v>
      </c>
      <c r="AA81" t="s">
        <v>3602</v>
      </c>
    </row>
    <row r="82" spans="1:28" x14ac:dyDescent="0.25">
      <c r="A82" s="11">
        <v>81</v>
      </c>
      <c r="B82">
        <v>3180</v>
      </c>
      <c r="C82" t="s">
        <v>2558</v>
      </c>
      <c r="D82" t="s">
        <v>2559</v>
      </c>
      <c r="E82" t="s">
        <v>2</v>
      </c>
      <c r="G82" t="s">
        <v>2560</v>
      </c>
      <c r="H82">
        <v>2015</v>
      </c>
      <c r="I82" t="s">
        <v>2561</v>
      </c>
      <c r="J82">
        <v>1</v>
      </c>
      <c r="N82" s="11">
        <v>0</v>
      </c>
    </row>
    <row r="83" spans="1:28" x14ac:dyDescent="0.25">
      <c r="A83" s="11">
        <v>82</v>
      </c>
      <c r="B83" s="26">
        <v>5934</v>
      </c>
      <c r="C83" s="26" t="s">
        <v>551</v>
      </c>
      <c r="D83" s="26" t="s">
        <v>552</v>
      </c>
      <c r="E83" s="26" t="s">
        <v>0</v>
      </c>
      <c r="F83" s="26"/>
      <c r="G83" s="26" t="s">
        <v>553</v>
      </c>
      <c r="H83" s="26">
        <v>2014</v>
      </c>
      <c r="I83" s="26" t="s">
        <v>554</v>
      </c>
      <c r="J83" s="26">
        <v>1</v>
      </c>
      <c r="K83" s="26">
        <v>1</v>
      </c>
      <c r="L83" s="26"/>
      <c r="M83" s="26"/>
      <c r="N83" s="26">
        <v>5</v>
      </c>
      <c r="O83" s="18" t="s">
        <v>3409</v>
      </c>
      <c r="P83" s="26" t="s">
        <v>3275</v>
      </c>
      <c r="Q83" s="26" t="s">
        <v>3316</v>
      </c>
      <c r="R83" s="26" t="s">
        <v>3243</v>
      </c>
      <c r="S83" s="26" t="s">
        <v>0</v>
      </c>
      <c r="T83" s="26" t="s">
        <v>38</v>
      </c>
      <c r="U83" s="26" t="s">
        <v>69</v>
      </c>
      <c r="V83" s="26" t="s">
        <v>3336</v>
      </c>
      <c r="W83" s="26">
        <v>5</v>
      </c>
      <c r="X83" s="26">
        <v>5</v>
      </c>
      <c r="Y83" s="26">
        <v>3</v>
      </c>
      <c r="Z83" s="26">
        <v>5</v>
      </c>
      <c r="AA83" s="26" t="s">
        <v>3483</v>
      </c>
      <c r="AB83" s="26"/>
    </row>
    <row r="84" spans="1:28" x14ac:dyDescent="0.25">
      <c r="A84" s="11">
        <v>83</v>
      </c>
      <c r="B84">
        <v>5680</v>
      </c>
      <c r="C84" t="s">
        <v>413</v>
      </c>
      <c r="D84" s="26" t="s">
        <v>414</v>
      </c>
      <c r="E84" t="s">
        <v>0</v>
      </c>
      <c r="F84" t="s">
        <v>923</v>
      </c>
      <c r="G84" t="s">
        <v>415</v>
      </c>
      <c r="H84">
        <v>2016</v>
      </c>
      <c r="I84" t="s">
        <v>416</v>
      </c>
      <c r="J84">
        <v>1</v>
      </c>
      <c r="N84" s="11">
        <v>5</v>
      </c>
      <c r="O84" s="18" t="s">
        <v>3273</v>
      </c>
      <c r="P84" s="26" t="s">
        <v>3275</v>
      </c>
      <c r="Q84" s="26" t="s">
        <v>3404</v>
      </c>
      <c r="R84" s="26" t="s">
        <v>3274</v>
      </c>
      <c r="S84" s="26" t="s">
        <v>6</v>
      </c>
      <c r="T84" s="26" t="s">
        <v>38</v>
      </c>
      <c r="U84" s="26" t="s">
        <v>69</v>
      </c>
      <c r="V84" s="26" t="s">
        <v>3336</v>
      </c>
      <c r="W84" s="26">
        <v>5</v>
      </c>
      <c r="X84" s="26">
        <v>5</v>
      </c>
      <c r="Y84" s="26">
        <v>5</v>
      </c>
      <c r="Z84" s="26">
        <v>5</v>
      </c>
      <c r="AA84" t="s">
        <v>53</v>
      </c>
    </row>
    <row r="85" spans="1:28" x14ac:dyDescent="0.25">
      <c r="A85" s="11">
        <v>84</v>
      </c>
      <c r="B85">
        <v>3110</v>
      </c>
      <c r="C85" t="s">
        <v>1207</v>
      </c>
      <c r="D85" t="s">
        <v>1208</v>
      </c>
      <c r="E85" t="s">
        <v>1209</v>
      </c>
      <c r="G85" t="s">
        <v>1210</v>
      </c>
      <c r="H85">
        <v>2016</v>
      </c>
      <c r="I85" t="s">
        <v>1211</v>
      </c>
      <c r="J85">
        <v>1</v>
      </c>
      <c r="N85" s="11">
        <v>3</v>
      </c>
      <c r="O85" s="18" t="s">
        <v>3157</v>
      </c>
      <c r="P85" s="26" t="s">
        <v>3380</v>
      </c>
      <c r="Q85" s="26" t="s">
        <v>3437</v>
      </c>
      <c r="R85" s="26" t="s">
        <v>3577</v>
      </c>
      <c r="S85" s="26" t="s">
        <v>1</v>
      </c>
      <c r="T85" s="26" t="s">
        <v>38</v>
      </c>
      <c r="U85" s="26" t="s">
        <v>69</v>
      </c>
      <c r="V85" s="26" t="s">
        <v>3296</v>
      </c>
      <c r="W85" s="26">
        <v>3</v>
      </c>
      <c r="X85" s="26">
        <v>3</v>
      </c>
      <c r="Y85" s="26">
        <v>3</v>
      </c>
      <c r="Z85" s="26">
        <v>3</v>
      </c>
      <c r="AA85" t="s">
        <v>3317</v>
      </c>
    </row>
    <row r="86" spans="1:28" x14ac:dyDescent="0.25">
      <c r="A86" s="11">
        <v>85</v>
      </c>
      <c r="B86">
        <v>2868</v>
      </c>
      <c r="C86" t="s">
        <v>2438</v>
      </c>
      <c r="D86" s="26" t="s">
        <v>2439</v>
      </c>
      <c r="E86" t="s">
        <v>0</v>
      </c>
      <c r="G86" t="s">
        <v>2440</v>
      </c>
      <c r="H86">
        <v>2017</v>
      </c>
      <c r="I86" t="s">
        <v>2441</v>
      </c>
      <c r="J86">
        <v>0</v>
      </c>
      <c r="N86" s="11">
        <v>5</v>
      </c>
      <c r="O86" s="18" t="s">
        <v>3157</v>
      </c>
      <c r="P86" s="26" t="s">
        <v>3380</v>
      </c>
      <c r="Q86" s="26" t="s">
        <v>3258</v>
      </c>
      <c r="R86" s="26" t="s">
        <v>3257</v>
      </c>
      <c r="S86" s="26" t="s">
        <v>0</v>
      </c>
      <c r="T86" s="26" t="s">
        <v>38</v>
      </c>
      <c r="U86" s="26" t="s">
        <v>69</v>
      </c>
      <c r="V86" s="26" t="s">
        <v>3381</v>
      </c>
      <c r="W86" s="26">
        <v>5</v>
      </c>
      <c r="X86" s="26">
        <v>5</v>
      </c>
      <c r="Y86" s="26">
        <v>5</v>
      </c>
      <c r="Z86" s="26">
        <v>5</v>
      </c>
      <c r="AA86" t="s">
        <v>3335</v>
      </c>
    </row>
    <row r="87" spans="1:28" x14ac:dyDescent="0.25">
      <c r="A87" s="11">
        <v>86</v>
      </c>
      <c r="B87">
        <v>2852</v>
      </c>
      <c r="C87" t="s">
        <v>1602</v>
      </c>
      <c r="D87" t="s">
        <v>1603</v>
      </c>
      <c r="E87" t="s">
        <v>1531</v>
      </c>
      <c r="G87" t="s">
        <v>1604</v>
      </c>
      <c r="H87">
        <v>2017</v>
      </c>
      <c r="I87" t="s">
        <v>1605</v>
      </c>
      <c r="J87">
        <v>1</v>
      </c>
      <c r="N87" s="11">
        <v>0</v>
      </c>
      <c r="P87" s="26"/>
      <c r="Q87" s="26"/>
      <c r="R87" s="26"/>
      <c r="S87" s="26"/>
      <c r="T87" s="26"/>
      <c r="U87" s="26"/>
      <c r="V87" s="26"/>
      <c r="W87" s="26">
        <v>0</v>
      </c>
      <c r="X87" s="26">
        <v>0</v>
      </c>
      <c r="Y87" s="26">
        <v>0</v>
      </c>
      <c r="Z87" s="26">
        <v>0</v>
      </c>
    </row>
    <row r="88" spans="1:28" x14ac:dyDescent="0.25">
      <c r="A88" s="11">
        <v>87</v>
      </c>
      <c r="B88">
        <v>5108</v>
      </c>
      <c r="C88" t="s">
        <v>1019</v>
      </c>
      <c r="D88" s="26" t="s">
        <v>1020</v>
      </c>
      <c r="E88" t="s">
        <v>22</v>
      </c>
      <c r="G88" t="s">
        <v>1021</v>
      </c>
      <c r="H88">
        <v>2019</v>
      </c>
      <c r="I88" t="s">
        <v>1022</v>
      </c>
      <c r="J88">
        <v>1</v>
      </c>
      <c r="N88" s="11">
        <v>0</v>
      </c>
      <c r="P88" s="26"/>
      <c r="Q88" s="26"/>
      <c r="R88" s="26"/>
      <c r="S88" s="26"/>
      <c r="T88" s="26"/>
      <c r="U88" s="26"/>
      <c r="V88" s="26"/>
      <c r="W88" s="26">
        <v>0</v>
      </c>
      <c r="X88" s="26">
        <v>0</v>
      </c>
      <c r="Y88" s="26">
        <v>0</v>
      </c>
      <c r="Z88" s="26">
        <v>0</v>
      </c>
    </row>
    <row r="89" spans="1:28" x14ac:dyDescent="0.25">
      <c r="A89" s="11">
        <v>88</v>
      </c>
      <c r="B89">
        <v>5697</v>
      </c>
      <c r="C89" t="s">
        <v>469</v>
      </c>
      <c r="D89" t="s">
        <v>470</v>
      </c>
      <c r="E89" t="s">
        <v>0</v>
      </c>
      <c r="F89" t="s">
        <v>936</v>
      </c>
      <c r="G89" t="s">
        <v>471</v>
      </c>
      <c r="H89">
        <v>2016</v>
      </c>
      <c r="I89" t="s">
        <v>472</v>
      </c>
      <c r="J89">
        <v>1</v>
      </c>
      <c r="N89" s="11">
        <v>0</v>
      </c>
      <c r="P89" s="26"/>
      <c r="Q89" s="26"/>
      <c r="R89" s="26"/>
      <c r="S89" s="26"/>
      <c r="T89" s="26"/>
      <c r="U89" s="26"/>
      <c r="V89" s="26"/>
      <c r="W89" s="26">
        <v>0</v>
      </c>
      <c r="X89" s="26">
        <v>0</v>
      </c>
      <c r="Y89" s="26">
        <v>0</v>
      </c>
      <c r="Z89" s="26">
        <v>0</v>
      </c>
    </row>
    <row r="90" spans="1:28" x14ac:dyDescent="0.25">
      <c r="A90" s="11">
        <v>89</v>
      </c>
      <c r="B90">
        <v>3591</v>
      </c>
      <c r="C90" t="s">
        <v>2549</v>
      </c>
      <c r="D90" s="26" t="s">
        <v>2550</v>
      </c>
      <c r="E90" t="s">
        <v>0</v>
      </c>
      <c r="G90" t="s">
        <v>2551</v>
      </c>
      <c r="H90">
        <v>2013</v>
      </c>
      <c r="I90" t="s">
        <v>2552</v>
      </c>
      <c r="J90">
        <v>1</v>
      </c>
      <c r="N90" s="11">
        <v>2</v>
      </c>
      <c r="O90" s="18" t="s">
        <v>3541</v>
      </c>
      <c r="P90" s="26" t="s">
        <v>3380</v>
      </c>
      <c r="Q90" s="26" t="s">
        <v>3253</v>
      </c>
      <c r="R90" s="26" t="s">
        <v>3257</v>
      </c>
      <c r="S90" s="26" t="s">
        <v>0</v>
      </c>
      <c r="T90" s="26" t="s">
        <v>38</v>
      </c>
      <c r="U90" s="26" t="s">
        <v>69</v>
      </c>
      <c r="V90" s="26" t="s">
        <v>3336</v>
      </c>
      <c r="W90" s="26">
        <v>5</v>
      </c>
      <c r="X90" s="26">
        <v>5</v>
      </c>
      <c r="Y90" s="26">
        <v>1</v>
      </c>
      <c r="Z90" s="26">
        <v>4</v>
      </c>
      <c r="AA90" t="s">
        <v>3315</v>
      </c>
    </row>
    <row r="91" spans="1:28" x14ac:dyDescent="0.25">
      <c r="A91" s="11">
        <v>90</v>
      </c>
      <c r="B91">
        <v>2813</v>
      </c>
      <c r="C91" t="s">
        <v>2498</v>
      </c>
      <c r="D91" s="26" t="s">
        <v>2499</v>
      </c>
      <c r="E91" t="s">
        <v>0</v>
      </c>
      <c r="G91" t="s">
        <v>2500</v>
      </c>
      <c r="H91">
        <v>2017</v>
      </c>
      <c r="I91" t="s">
        <v>2501</v>
      </c>
      <c r="J91">
        <v>1</v>
      </c>
      <c r="K91">
        <v>1</v>
      </c>
      <c r="L91">
        <v>1</v>
      </c>
      <c r="N91" s="11">
        <v>5</v>
      </c>
      <c r="O91" s="18" t="s">
        <v>3562</v>
      </c>
      <c r="P91" s="26" t="s">
        <v>3380</v>
      </c>
      <c r="Q91" s="26" t="s">
        <v>3563</v>
      </c>
      <c r="R91" s="26" t="s">
        <v>3257</v>
      </c>
      <c r="S91" s="26" t="s">
        <v>0</v>
      </c>
      <c r="T91" s="26" t="s">
        <v>38</v>
      </c>
      <c r="U91" s="26" t="s">
        <v>69</v>
      </c>
      <c r="V91" s="26" t="s">
        <v>3336</v>
      </c>
      <c r="W91" s="26">
        <v>5</v>
      </c>
      <c r="X91" s="26">
        <v>5</v>
      </c>
      <c r="Y91" s="26">
        <v>5</v>
      </c>
      <c r="Z91" s="26">
        <v>5</v>
      </c>
      <c r="AA91" t="s">
        <v>3564</v>
      </c>
    </row>
    <row r="92" spans="1:28" x14ac:dyDescent="0.25">
      <c r="A92" s="11">
        <v>91</v>
      </c>
      <c r="B92">
        <v>3716</v>
      </c>
      <c r="C92" t="s">
        <v>1403</v>
      </c>
      <c r="D92" t="s">
        <v>1404</v>
      </c>
      <c r="E92" t="s">
        <v>5</v>
      </c>
      <c r="G92" t="s">
        <v>1405</v>
      </c>
      <c r="H92">
        <v>2012</v>
      </c>
      <c r="I92" t="s">
        <v>1406</v>
      </c>
      <c r="J92">
        <v>1</v>
      </c>
      <c r="N92" s="11">
        <v>4</v>
      </c>
      <c r="O92" s="18" t="s">
        <v>3244</v>
      </c>
      <c r="P92" s="26" t="s">
        <v>3380</v>
      </c>
      <c r="Q92" s="26" t="s">
        <v>3507</v>
      </c>
      <c r="R92" s="26" t="s">
        <v>3257</v>
      </c>
      <c r="S92" s="26" t="s">
        <v>6</v>
      </c>
      <c r="T92" s="26" t="s">
        <v>38</v>
      </c>
      <c r="U92" s="26" t="s">
        <v>69</v>
      </c>
      <c r="V92" s="26" t="s">
        <v>3336</v>
      </c>
      <c r="W92" s="26">
        <v>4</v>
      </c>
      <c r="X92" s="26">
        <v>4</v>
      </c>
      <c r="Y92" s="26">
        <v>4</v>
      </c>
      <c r="Z92" s="26">
        <v>4</v>
      </c>
      <c r="AA92" t="s">
        <v>53</v>
      </c>
      <c r="AB92" t="s">
        <v>3281</v>
      </c>
    </row>
    <row r="93" spans="1:28" x14ac:dyDescent="0.25">
      <c r="A93" s="11">
        <v>92</v>
      </c>
      <c r="B93">
        <v>6088</v>
      </c>
      <c r="C93" t="s">
        <v>473</v>
      </c>
      <c r="D93" t="s">
        <v>474</v>
      </c>
      <c r="E93" t="s">
        <v>0</v>
      </c>
      <c r="F93" t="s">
        <v>937</v>
      </c>
      <c r="G93" t="s">
        <v>475</v>
      </c>
      <c r="H93">
        <v>2013</v>
      </c>
      <c r="I93" t="s">
        <v>476</v>
      </c>
      <c r="J93">
        <v>1</v>
      </c>
      <c r="N93" s="11">
        <v>0</v>
      </c>
      <c r="P93" s="26"/>
      <c r="Q93" s="26"/>
      <c r="R93" s="26"/>
      <c r="S93" s="26"/>
      <c r="T93" s="26"/>
      <c r="U93" s="26"/>
      <c r="V93" s="26"/>
      <c r="W93" s="26">
        <v>0</v>
      </c>
      <c r="X93" s="26">
        <v>0</v>
      </c>
      <c r="Y93" s="26">
        <v>0</v>
      </c>
      <c r="Z93" s="26">
        <v>0</v>
      </c>
    </row>
    <row r="94" spans="1:28" x14ac:dyDescent="0.25">
      <c r="A94" s="11">
        <v>93</v>
      </c>
      <c r="B94">
        <v>6275</v>
      </c>
      <c r="C94" t="s">
        <v>143</v>
      </c>
      <c r="D94" t="s">
        <v>144</v>
      </c>
      <c r="E94" t="s">
        <v>6</v>
      </c>
      <c r="F94" t="s">
        <v>309</v>
      </c>
      <c r="G94" t="s">
        <v>310</v>
      </c>
      <c r="H94">
        <v>2016</v>
      </c>
      <c r="I94" t="s">
        <v>260</v>
      </c>
      <c r="J94">
        <v>1</v>
      </c>
      <c r="N94" s="11">
        <v>0</v>
      </c>
      <c r="P94" s="26"/>
      <c r="Q94" s="26"/>
      <c r="R94" s="26"/>
      <c r="S94" s="26"/>
      <c r="T94" s="26"/>
      <c r="U94" s="26"/>
      <c r="V94" s="26"/>
      <c r="W94" s="26">
        <v>0</v>
      </c>
      <c r="X94" s="26">
        <v>0</v>
      </c>
      <c r="Y94" s="26">
        <v>0</v>
      </c>
      <c r="Z94" s="26">
        <v>0</v>
      </c>
    </row>
    <row r="95" spans="1:28" x14ac:dyDescent="0.25">
      <c r="A95" s="11">
        <v>94</v>
      </c>
      <c r="B95">
        <v>3597</v>
      </c>
      <c r="C95" t="s">
        <v>2086</v>
      </c>
      <c r="D95" s="13" t="s">
        <v>2087</v>
      </c>
      <c r="E95" t="s">
        <v>0</v>
      </c>
      <c r="G95" t="s">
        <v>2088</v>
      </c>
      <c r="H95">
        <v>2013</v>
      </c>
      <c r="I95" t="s">
        <v>2089</v>
      </c>
      <c r="J95">
        <v>1</v>
      </c>
      <c r="N95" s="11">
        <v>0</v>
      </c>
      <c r="P95" s="26"/>
      <c r="Q95" s="26"/>
      <c r="R95" s="26"/>
      <c r="S95" s="26"/>
      <c r="T95" s="26"/>
      <c r="U95" s="26"/>
      <c r="V95" s="26"/>
      <c r="W95" s="26">
        <v>0</v>
      </c>
      <c r="X95" s="26">
        <v>0</v>
      </c>
      <c r="Y95" s="26">
        <v>0</v>
      </c>
      <c r="Z95" s="26">
        <v>0</v>
      </c>
    </row>
    <row r="96" spans="1:28" x14ac:dyDescent="0.25">
      <c r="A96" s="11">
        <v>95</v>
      </c>
      <c r="B96">
        <v>4344</v>
      </c>
      <c r="C96" t="s">
        <v>1297</v>
      </c>
      <c r="D96" s="26" t="s">
        <v>2940</v>
      </c>
      <c r="E96" t="s">
        <v>3</v>
      </c>
      <c r="G96" t="s">
        <v>2941</v>
      </c>
      <c r="H96">
        <v>2015</v>
      </c>
      <c r="I96" t="s">
        <v>2942</v>
      </c>
      <c r="J96">
        <v>1</v>
      </c>
      <c r="N96" s="11">
        <v>0</v>
      </c>
      <c r="P96" s="26"/>
      <c r="Q96" s="26"/>
      <c r="R96" s="26"/>
      <c r="S96" s="26"/>
      <c r="T96" s="26"/>
      <c r="U96" s="26"/>
      <c r="V96" s="26"/>
      <c r="W96" s="26">
        <v>0</v>
      </c>
      <c r="X96" s="26">
        <v>0</v>
      </c>
      <c r="Y96" s="26">
        <v>0</v>
      </c>
      <c r="Z96" s="26">
        <v>0</v>
      </c>
    </row>
    <row r="97" spans="1:28" x14ac:dyDescent="0.25">
      <c r="A97" s="11">
        <v>96</v>
      </c>
      <c r="B97">
        <v>3660</v>
      </c>
      <c r="C97" t="s">
        <v>2079</v>
      </c>
      <c r="D97" t="s">
        <v>477</v>
      </c>
      <c r="E97" t="s">
        <v>0</v>
      </c>
      <c r="G97" t="s">
        <v>2080</v>
      </c>
      <c r="H97">
        <v>2012</v>
      </c>
      <c r="I97" t="s">
        <v>2081</v>
      </c>
      <c r="J97">
        <v>1</v>
      </c>
      <c r="K97">
        <v>1</v>
      </c>
      <c r="N97" s="11">
        <v>0</v>
      </c>
      <c r="P97" s="26"/>
      <c r="Q97" s="26"/>
      <c r="R97" s="26"/>
      <c r="S97" s="26"/>
      <c r="T97" s="26"/>
      <c r="U97" s="26"/>
      <c r="V97" s="26"/>
      <c r="W97" s="26">
        <v>0</v>
      </c>
      <c r="X97" s="26">
        <v>0</v>
      </c>
      <c r="Y97" s="26">
        <v>0</v>
      </c>
      <c r="Z97" s="26">
        <v>0</v>
      </c>
    </row>
    <row r="98" spans="1:28" x14ac:dyDescent="0.25">
      <c r="A98" s="11">
        <v>97</v>
      </c>
      <c r="B98">
        <v>3569</v>
      </c>
      <c r="C98" t="s">
        <v>2790</v>
      </c>
      <c r="D98" s="26" t="s">
        <v>2791</v>
      </c>
      <c r="E98" t="s">
        <v>2792</v>
      </c>
      <c r="G98" t="s">
        <v>2793</v>
      </c>
      <c r="H98">
        <v>2013</v>
      </c>
      <c r="I98" t="s">
        <v>2794</v>
      </c>
      <c r="J98">
        <v>1</v>
      </c>
      <c r="N98" s="11">
        <v>3</v>
      </c>
      <c r="O98" s="18" t="s">
        <v>3595</v>
      </c>
      <c r="P98" s="26" t="s">
        <v>3596</v>
      </c>
      <c r="Q98" s="26" t="s">
        <v>3258</v>
      </c>
      <c r="R98" s="26" t="s">
        <v>3257</v>
      </c>
      <c r="S98" s="26" t="s">
        <v>1</v>
      </c>
      <c r="T98" s="26" t="s">
        <v>38</v>
      </c>
      <c r="U98" s="26" t="s">
        <v>69</v>
      </c>
      <c r="V98" s="26" t="s">
        <v>3336</v>
      </c>
      <c r="W98" s="26">
        <v>4</v>
      </c>
      <c r="X98" s="26">
        <v>4</v>
      </c>
      <c r="Y98" s="26">
        <v>3</v>
      </c>
      <c r="Z98" s="26">
        <v>4</v>
      </c>
      <c r="AA98" t="s">
        <v>3349</v>
      </c>
    </row>
    <row r="99" spans="1:28" x14ac:dyDescent="0.25">
      <c r="A99" s="11">
        <v>98</v>
      </c>
      <c r="B99">
        <v>2491</v>
      </c>
      <c r="C99" t="s">
        <v>1686</v>
      </c>
      <c r="D99" t="s">
        <v>1687</v>
      </c>
      <c r="E99" t="s">
        <v>1688</v>
      </c>
      <c r="G99" t="s">
        <v>1689</v>
      </c>
      <c r="H99">
        <v>2019</v>
      </c>
      <c r="I99" t="s">
        <v>1690</v>
      </c>
      <c r="J99">
        <v>1</v>
      </c>
      <c r="K99">
        <v>1</v>
      </c>
      <c r="N99" s="11">
        <v>5</v>
      </c>
      <c r="O99" s="18" t="s">
        <v>3157</v>
      </c>
      <c r="P99" s="26" t="s">
        <v>3533</v>
      </c>
      <c r="Q99" s="26" t="s">
        <v>3534</v>
      </c>
      <c r="R99" s="26" t="s">
        <v>3232</v>
      </c>
      <c r="S99" s="26" t="s">
        <v>0</v>
      </c>
      <c r="T99" s="26" t="s">
        <v>38</v>
      </c>
      <c r="U99" s="26" t="s">
        <v>69</v>
      </c>
      <c r="V99" s="26" t="s">
        <v>3336</v>
      </c>
      <c r="W99" s="26">
        <v>5</v>
      </c>
      <c r="X99" s="26">
        <v>5</v>
      </c>
      <c r="Y99" s="26">
        <v>5</v>
      </c>
      <c r="Z99" s="26">
        <v>5</v>
      </c>
      <c r="AA99" t="s">
        <v>3335</v>
      </c>
    </row>
    <row r="100" spans="1:28" x14ac:dyDescent="0.25">
      <c r="A100" s="11">
        <v>99</v>
      </c>
      <c r="B100">
        <v>6264</v>
      </c>
      <c r="C100" t="s">
        <v>154</v>
      </c>
      <c r="D100" s="26" t="s">
        <v>155</v>
      </c>
      <c r="E100" t="s">
        <v>6</v>
      </c>
      <c r="F100" t="s">
        <v>319</v>
      </c>
      <c r="G100" t="s">
        <v>320</v>
      </c>
      <c r="H100">
        <v>2014</v>
      </c>
      <c r="I100" t="s">
        <v>265</v>
      </c>
      <c r="J100">
        <v>1</v>
      </c>
      <c r="N100" s="11">
        <v>5</v>
      </c>
      <c r="O100" s="18" t="s">
        <v>3157</v>
      </c>
      <c r="P100" s="26" t="s">
        <v>3176</v>
      </c>
      <c r="Q100" s="26" t="s">
        <v>3421</v>
      </c>
      <c r="R100" s="26" t="s">
        <v>3243</v>
      </c>
      <c r="S100" s="26" t="s">
        <v>0</v>
      </c>
      <c r="T100" s="26" t="s">
        <v>38</v>
      </c>
      <c r="U100" s="26" t="s">
        <v>69</v>
      </c>
      <c r="V100" s="26" t="s">
        <v>3336</v>
      </c>
      <c r="W100" s="26">
        <v>5</v>
      </c>
      <c r="X100" s="26">
        <v>5</v>
      </c>
      <c r="Y100" s="26">
        <v>3</v>
      </c>
      <c r="Z100" s="26">
        <v>5</v>
      </c>
      <c r="AA100" t="s">
        <v>3335</v>
      </c>
    </row>
    <row r="101" spans="1:28" x14ac:dyDescent="0.25">
      <c r="A101" s="11">
        <v>100</v>
      </c>
      <c r="B101">
        <v>4565</v>
      </c>
      <c r="C101" t="s">
        <v>2881</v>
      </c>
      <c r="D101" t="s">
        <v>478</v>
      </c>
      <c r="E101" t="s">
        <v>3</v>
      </c>
      <c r="G101" t="s">
        <v>479</v>
      </c>
      <c r="H101">
        <v>2013</v>
      </c>
      <c r="I101" t="s">
        <v>2882</v>
      </c>
      <c r="J101">
        <v>1</v>
      </c>
      <c r="N101" s="11">
        <v>0</v>
      </c>
      <c r="P101" s="26"/>
      <c r="Q101" s="26"/>
      <c r="R101" s="26"/>
      <c r="S101" s="26"/>
      <c r="T101" s="26"/>
      <c r="U101" s="26"/>
      <c r="V101" s="26"/>
      <c r="W101" s="26">
        <v>0</v>
      </c>
      <c r="X101" s="26">
        <v>0</v>
      </c>
      <c r="Y101" s="26">
        <v>0</v>
      </c>
      <c r="Z101" s="26">
        <v>0</v>
      </c>
    </row>
    <row r="102" spans="1:28" s="13" customFormat="1" x14ac:dyDescent="0.25">
      <c r="A102" s="13">
        <v>101</v>
      </c>
      <c r="B102" s="13">
        <v>6080</v>
      </c>
      <c r="C102" s="13" t="s">
        <v>480</v>
      </c>
      <c r="D102" s="13" t="s">
        <v>481</v>
      </c>
      <c r="E102" s="13" t="s">
        <v>0</v>
      </c>
      <c r="F102" s="13" t="s">
        <v>938</v>
      </c>
      <c r="G102" s="13" t="s">
        <v>482</v>
      </c>
      <c r="H102" s="13">
        <v>2015</v>
      </c>
      <c r="I102" s="13" t="s">
        <v>483</v>
      </c>
      <c r="J102" s="13">
        <v>1</v>
      </c>
      <c r="N102" s="13">
        <v>0</v>
      </c>
      <c r="O102" s="37"/>
      <c r="W102" s="13">
        <v>0</v>
      </c>
      <c r="X102" s="13">
        <v>0</v>
      </c>
      <c r="Y102" s="13">
        <v>0</v>
      </c>
      <c r="Z102" s="13">
        <v>0</v>
      </c>
    </row>
    <row r="103" spans="1:28" x14ac:dyDescent="0.25">
      <c r="A103" s="11">
        <v>102</v>
      </c>
      <c r="B103" s="26">
        <v>3035</v>
      </c>
      <c r="C103" s="26" t="s">
        <v>1724</v>
      </c>
      <c r="D103" s="47" t="s">
        <v>1725</v>
      </c>
      <c r="E103" s="26" t="s">
        <v>0</v>
      </c>
      <c r="F103" s="26"/>
      <c r="G103" s="26" t="s">
        <v>1726</v>
      </c>
      <c r="H103" s="26">
        <v>2016</v>
      </c>
      <c r="I103" s="26" t="s">
        <v>1727</v>
      </c>
      <c r="J103" s="26">
        <v>1</v>
      </c>
      <c r="K103" s="26"/>
      <c r="L103" s="26"/>
      <c r="M103" s="26"/>
      <c r="N103" s="26">
        <v>5</v>
      </c>
      <c r="O103" s="18" t="s">
        <v>3157</v>
      </c>
      <c r="P103" s="26" t="s">
        <v>3176</v>
      </c>
      <c r="Q103" s="26" t="s">
        <v>3361</v>
      </c>
      <c r="R103" s="26" t="s">
        <v>3577</v>
      </c>
      <c r="S103" s="26" t="s">
        <v>0</v>
      </c>
      <c r="T103" s="26" t="s">
        <v>38</v>
      </c>
      <c r="U103" s="26" t="s">
        <v>69</v>
      </c>
      <c r="V103" s="26" t="s">
        <v>3336</v>
      </c>
      <c r="W103" s="26">
        <v>5</v>
      </c>
      <c r="X103" s="26">
        <v>5</v>
      </c>
      <c r="Y103" s="26">
        <v>5</v>
      </c>
      <c r="Z103" s="26">
        <v>5</v>
      </c>
      <c r="AA103" s="26" t="s">
        <v>3483</v>
      </c>
      <c r="AB103" s="26"/>
    </row>
    <row r="104" spans="1:28" x14ac:dyDescent="0.25">
      <c r="A104" s="11">
        <v>103</v>
      </c>
      <c r="B104">
        <v>6339</v>
      </c>
      <c r="C104" t="s">
        <v>145</v>
      </c>
      <c r="D104" t="s">
        <v>146</v>
      </c>
      <c r="E104" t="s">
        <v>6</v>
      </c>
      <c r="F104" t="s">
        <v>311</v>
      </c>
      <c r="G104" t="s">
        <v>312</v>
      </c>
      <c r="H104">
        <v>2016</v>
      </c>
      <c r="I104" t="s">
        <v>261</v>
      </c>
      <c r="J104">
        <v>1</v>
      </c>
      <c r="N104" s="11">
        <v>0</v>
      </c>
      <c r="P104" s="26"/>
      <c r="Q104" s="26"/>
      <c r="R104" s="26"/>
      <c r="S104" s="26"/>
      <c r="T104" s="26"/>
      <c r="U104" s="26"/>
      <c r="V104" s="26"/>
      <c r="W104" s="26">
        <v>0</v>
      </c>
      <c r="X104" s="26">
        <v>0</v>
      </c>
      <c r="Y104" s="26">
        <v>0</v>
      </c>
      <c r="Z104" s="26">
        <v>0</v>
      </c>
    </row>
    <row r="105" spans="1:28" x14ac:dyDescent="0.25">
      <c r="A105" s="11">
        <v>104</v>
      </c>
      <c r="B105">
        <v>4866</v>
      </c>
      <c r="C105" t="s">
        <v>971</v>
      </c>
      <c r="D105" t="s">
        <v>972</v>
      </c>
      <c r="E105" t="s">
        <v>953</v>
      </c>
      <c r="G105" t="s">
        <v>973</v>
      </c>
      <c r="H105">
        <v>2019</v>
      </c>
      <c r="I105" t="s">
        <v>974</v>
      </c>
      <c r="J105">
        <v>1</v>
      </c>
      <c r="N105" s="11">
        <v>4</v>
      </c>
      <c r="O105" s="18" t="s">
        <v>3328</v>
      </c>
      <c r="P105" s="26" t="s">
        <v>3329</v>
      </c>
      <c r="Q105" s="26" t="s">
        <v>3204</v>
      </c>
      <c r="R105" s="26" t="s">
        <v>3327</v>
      </c>
      <c r="S105" s="26" t="s">
        <v>1</v>
      </c>
      <c r="T105" s="26" t="s">
        <v>38</v>
      </c>
      <c r="U105" s="26" t="s">
        <v>69</v>
      </c>
      <c r="V105" s="26" t="s">
        <v>3326</v>
      </c>
      <c r="W105" s="26">
        <v>5</v>
      </c>
      <c r="X105" s="26">
        <v>5</v>
      </c>
      <c r="Y105" s="26">
        <v>5</v>
      </c>
      <c r="Z105" s="26">
        <v>5</v>
      </c>
      <c r="AA105" t="s">
        <v>3330</v>
      </c>
    </row>
    <row r="106" spans="1:28" x14ac:dyDescent="0.25">
      <c r="A106" s="11">
        <v>105</v>
      </c>
      <c r="B106">
        <v>2901</v>
      </c>
      <c r="C106" t="s">
        <v>1585</v>
      </c>
      <c r="D106" t="s">
        <v>1586</v>
      </c>
      <c r="E106" t="s">
        <v>0</v>
      </c>
      <c r="G106" t="s">
        <v>1587</v>
      </c>
      <c r="H106">
        <v>2017</v>
      </c>
      <c r="I106" t="s">
        <v>1588</v>
      </c>
      <c r="J106">
        <v>1</v>
      </c>
      <c r="N106" s="11">
        <v>0</v>
      </c>
      <c r="P106" s="26"/>
      <c r="Q106" s="26"/>
      <c r="R106" s="26"/>
      <c r="S106" s="26"/>
      <c r="T106" s="26"/>
      <c r="U106" s="26"/>
      <c r="V106" s="26"/>
      <c r="W106" s="26">
        <v>0</v>
      </c>
      <c r="X106" s="26">
        <v>0</v>
      </c>
      <c r="Y106" s="26">
        <v>0</v>
      </c>
      <c r="Z106" s="26">
        <v>0</v>
      </c>
    </row>
    <row r="107" spans="1:28" x14ac:dyDescent="0.25">
      <c r="A107" s="11">
        <v>106</v>
      </c>
      <c r="B107">
        <v>5737</v>
      </c>
      <c r="C107" t="s">
        <v>499</v>
      </c>
      <c r="D107" t="s">
        <v>500</v>
      </c>
      <c r="E107" t="s">
        <v>0</v>
      </c>
      <c r="F107" t="s">
        <v>943</v>
      </c>
      <c r="G107" t="s">
        <v>501</v>
      </c>
      <c r="H107">
        <v>2018</v>
      </c>
      <c r="J107">
        <v>0</v>
      </c>
      <c r="N107" s="11">
        <v>5</v>
      </c>
      <c r="O107" s="18" t="s">
        <v>3244</v>
      </c>
      <c r="P107" s="26" t="s">
        <v>3329</v>
      </c>
      <c r="Q107" s="26" t="s">
        <v>3389</v>
      </c>
      <c r="R107" s="26" t="s">
        <v>3265</v>
      </c>
      <c r="S107" s="26" t="s">
        <v>0</v>
      </c>
      <c r="T107" s="26" t="s">
        <v>38</v>
      </c>
      <c r="U107" s="26" t="s">
        <v>3263</v>
      </c>
      <c r="V107" s="26" t="s">
        <v>3336</v>
      </c>
      <c r="W107" s="26">
        <v>5</v>
      </c>
      <c r="X107" s="26">
        <v>5</v>
      </c>
      <c r="Y107" s="26">
        <v>5</v>
      </c>
      <c r="Z107" s="26">
        <v>5</v>
      </c>
      <c r="AA107" t="s">
        <v>55</v>
      </c>
    </row>
    <row r="108" spans="1:28" x14ac:dyDescent="0.25">
      <c r="A108" s="11">
        <v>107</v>
      </c>
      <c r="B108">
        <v>3644</v>
      </c>
      <c r="C108" t="s">
        <v>1665</v>
      </c>
      <c r="D108" t="s">
        <v>659</v>
      </c>
      <c r="E108" t="s">
        <v>0</v>
      </c>
      <c r="G108" t="s">
        <v>1666</v>
      </c>
      <c r="H108">
        <v>2012</v>
      </c>
      <c r="I108" t="s">
        <v>1667</v>
      </c>
      <c r="J108">
        <v>1</v>
      </c>
      <c r="K108">
        <v>1</v>
      </c>
      <c r="N108" s="11">
        <v>4</v>
      </c>
      <c r="O108" s="18" t="s">
        <v>3576</v>
      </c>
      <c r="P108" s="26" t="s">
        <v>3329</v>
      </c>
      <c r="Q108" s="26" t="s">
        <v>3361</v>
      </c>
      <c r="R108" s="26" t="s">
        <v>3577</v>
      </c>
      <c r="S108" s="26" t="s">
        <v>0</v>
      </c>
      <c r="T108" s="26" t="s">
        <v>38</v>
      </c>
      <c r="U108" s="26" t="s">
        <v>69</v>
      </c>
      <c r="V108" s="26" t="s">
        <v>3336</v>
      </c>
      <c r="W108" s="26">
        <v>5</v>
      </c>
      <c r="X108" s="26">
        <v>5</v>
      </c>
      <c r="Y108" s="26">
        <v>5</v>
      </c>
      <c r="Z108" s="26">
        <v>5</v>
      </c>
      <c r="AA108" t="s">
        <v>3335</v>
      </c>
    </row>
    <row r="109" spans="1:28" x14ac:dyDescent="0.25">
      <c r="A109" s="11">
        <v>108</v>
      </c>
      <c r="B109">
        <v>5125</v>
      </c>
      <c r="C109" t="s">
        <v>1023</v>
      </c>
      <c r="D109" t="s">
        <v>1024</v>
      </c>
      <c r="E109" t="s">
        <v>953</v>
      </c>
      <c r="G109" t="s">
        <v>1025</v>
      </c>
      <c r="H109">
        <v>2014</v>
      </c>
      <c r="I109" t="s">
        <v>1026</v>
      </c>
      <c r="J109">
        <v>1</v>
      </c>
      <c r="N109" s="11">
        <v>0</v>
      </c>
      <c r="P109" s="26"/>
      <c r="Q109" s="26"/>
      <c r="R109" s="26"/>
      <c r="S109" s="26"/>
      <c r="T109" s="26"/>
      <c r="U109" s="26"/>
      <c r="V109" s="26"/>
      <c r="W109" s="26">
        <v>0</v>
      </c>
      <c r="X109" s="26">
        <v>0</v>
      </c>
      <c r="Y109" s="26">
        <v>0</v>
      </c>
      <c r="Z109" s="26">
        <v>0</v>
      </c>
    </row>
    <row r="110" spans="1:28" x14ac:dyDescent="0.25">
      <c r="A110" s="11">
        <v>109</v>
      </c>
      <c r="B110">
        <v>3581</v>
      </c>
      <c r="C110" t="s">
        <v>2633</v>
      </c>
      <c r="D110" t="s">
        <v>2634</v>
      </c>
      <c r="E110" t="s">
        <v>0</v>
      </c>
      <c r="G110" t="s">
        <v>2635</v>
      </c>
      <c r="H110">
        <v>2013</v>
      </c>
      <c r="I110" t="s">
        <v>2636</v>
      </c>
      <c r="J110">
        <v>1</v>
      </c>
      <c r="N110" s="11">
        <v>0</v>
      </c>
      <c r="P110" s="26"/>
      <c r="Q110" s="26"/>
      <c r="R110" s="26"/>
      <c r="S110" s="26"/>
      <c r="T110" s="26"/>
      <c r="U110" s="26"/>
      <c r="V110" s="26"/>
      <c r="W110" s="26">
        <v>0</v>
      </c>
      <c r="X110" s="26">
        <v>0</v>
      </c>
      <c r="Y110" s="26">
        <v>0</v>
      </c>
      <c r="Z110" s="26">
        <v>0</v>
      </c>
    </row>
    <row r="111" spans="1:28" x14ac:dyDescent="0.25">
      <c r="A111" s="11">
        <v>110</v>
      </c>
      <c r="B111">
        <v>2743</v>
      </c>
      <c r="C111" t="s">
        <v>1411</v>
      </c>
      <c r="D111" t="s">
        <v>1412</v>
      </c>
      <c r="E111" t="s">
        <v>0</v>
      </c>
      <c r="G111" t="s">
        <v>1413</v>
      </c>
      <c r="H111">
        <v>2018</v>
      </c>
      <c r="I111" t="s">
        <v>1414</v>
      </c>
      <c r="J111">
        <v>1</v>
      </c>
      <c r="N111" s="11">
        <v>0</v>
      </c>
      <c r="P111" s="26"/>
      <c r="Q111" s="26"/>
      <c r="R111" s="26"/>
      <c r="S111" s="26"/>
      <c r="T111" s="26"/>
      <c r="U111" s="26"/>
      <c r="V111" s="26"/>
      <c r="W111" s="26">
        <v>0</v>
      </c>
      <c r="X111" s="26">
        <v>0</v>
      </c>
      <c r="Y111" s="26">
        <v>0</v>
      </c>
      <c r="Z111" s="26">
        <v>0</v>
      </c>
    </row>
    <row r="112" spans="1:28" ht="90" x14ac:dyDescent="0.25">
      <c r="A112" s="11">
        <v>111</v>
      </c>
      <c r="B112">
        <v>2947</v>
      </c>
      <c r="C112" t="s">
        <v>1737</v>
      </c>
      <c r="D112" t="s">
        <v>1738</v>
      </c>
      <c r="E112" t="s">
        <v>1300</v>
      </c>
      <c r="G112" t="s">
        <v>1739</v>
      </c>
      <c r="H112">
        <v>2017</v>
      </c>
      <c r="I112" t="s">
        <v>1740</v>
      </c>
      <c r="J112">
        <v>1</v>
      </c>
      <c r="N112" s="11">
        <v>5</v>
      </c>
      <c r="O112" s="18" t="s">
        <v>3157</v>
      </c>
      <c r="P112" s="26" t="s">
        <v>3502</v>
      </c>
      <c r="Q112" s="5" t="s">
        <v>3500</v>
      </c>
      <c r="R112" s="26" t="s">
        <v>3243</v>
      </c>
      <c r="S112" s="26" t="s">
        <v>1</v>
      </c>
      <c r="T112" s="26" t="s">
        <v>38</v>
      </c>
      <c r="U112" s="26" t="s">
        <v>69</v>
      </c>
      <c r="V112" s="26" t="s">
        <v>3336</v>
      </c>
      <c r="W112" s="26">
        <v>5</v>
      </c>
      <c r="X112" s="26">
        <v>5</v>
      </c>
      <c r="Y112" s="26">
        <v>5</v>
      </c>
      <c r="Z112" s="26">
        <v>5</v>
      </c>
      <c r="AA112" t="s">
        <v>3501</v>
      </c>
    </row>
    <row r="113" spans="1:28" x14ac:dyDescent="0.25">
      <c r="A113" s="11">
        <v>112</v>
      </c>
      <c r="B113">
        <v>4172</v>
      </c>
      <c r="C113" t="s">
        <v>3131</v>
      </c>
      <c r="D113" t="s">
        <v>3132</v>
      </c>
      <c r="E113" t="s">
        <v>3037</v>
      </c>
      <c r="G113" t="s">
        <v>3133</v>
      </c>
      <c r="H113">
        <v>2016</v>
      </c>
      <c r="I113" t="s">
        <v>3134</v>
      </c>
      <c r="J113">
        <v>1</v>
      </c>
      <c r="N113" s="11">
        <v>5</v>
      </c>
      <c r="O113" s="18" t="s">
        <v>3157</v>
      </c>
      <c r="P113" s="26" t="s">
        <v>3502</v>
      </c>
      <c r="Q113" s="26" t="s">
        <v>3559</v>
      </c>
      <c r="R113" s="26" t="s">
        <v>3284</v>
      </c>
      <c r="S113" s="26" t="s">
        <v>0</v>
      </c>
      <c r="T113" s="26" t="s">
        <v>38</v>
      </c>
      <c r="U113" s="26" t="s">
        <v>69</v>
      </c>
      <c r="V113" s="26" t="s">
        <v>3336</v>
      </c>
      <c r="W113" s="26">
        <v>5</v>
      </c>
      <c r="X113" s="26">
        <v>5</v>
      </c>
      <c r="Y113" s="26">
        <v>5</v>
      </c>
      <c r="Z113" s="26">
        <v>5</v>
      </c>
      <c r="AA113" t="s">
        <v>61</v>
      </c>
    </row>
    <row r="114" spans="1:28" x14ac:dyDescent="0.25">
      <c r="A114" s="11">
        <v>113</v>
      </c>
      <c r="B114">
        <v>3256</v>
      </c>
      <c r="C114" t="s">
        <v>491</v>
      </c>
      <c r="D114" t="s">
        <v>1981</v>
      </c>
      <c r="E114" t="s">
        <v>5</v>
      </c>
      <c r="G114" t="s">
        <v>1982</v>
      </c>
      <c r="H114">
        <v>2015</v>
      </c>
      <c r="I114" t="s">
        <v>1983</v>
      </c>
      <c r="J114">
        <v>1</v>
      </c>
      <c r="N114" s="11">
        <v>0</v>
      </c>
      <c r="P114" s="26"/>
      <c r="Q114" s="26"/>
      <c r="R114" s="26"/>
      <c r="S114" s="26"/>
      <c r="T114" s="26"/>
      <c r="U114" s="26"/>
      <c r="V114" s="26"/>
      <c r="W114" s="26">
        <v>0</v>
      </c>
      <c r="X114" s="26">
        <v>0</v>
      </c>
      <c r="Y114" s="26">
        <v>0</v>
      </c>
      <c r="Z114" s="26">
        <v>0</v>
      </c>
    </row>
    <row r="115" spans="1:28" x14ac:dyDescent="0.25">
      <c r="A115" s="11">
        <v>114</v>
      </c>
      <c r="B115">
        <v>3326</v>
      </c>
      <c r="C115" t="s">
        <v>1744</v>
      </c>
      <c r="D115" s="26" t="s">
        <v>185</v>
      </c>
      <c r="E115" t="s">
        <v>0</v>
      </c>
      <c r="G115" t="s">
        <v>1745</v>
      </c>
      <c r="H115">
        <v>2014</v>
      </c>
      <c r="I115" t="s">
        <v>1746</v>
      </c>
      <c r="J115">
        <v>1</v>
      </c>
      <c r="N115" s="11">
        <v>5</v>
      </c>
      <c r="O115" s="18" t="s">
        <v>3244</v>
      </c>
      <c r="P115" s="26" t="s">
        <v>3605</v>
      </c>
      <c r="Q115" s="26" t="s">
        <v>3202</v>
      </c>
      <c r="R115" s="26" t="s">
        <v>3223</v>
      </c>
      <c r="S115" s="26" t="s">
        <v>0</v>
      </c>
      <c r="T115" s="26" t="s">
        <v>38</v>
      </c>
      <c r="U115" s="26" t="s">
        <v>69</v>
      </c>
      <c r="V115" s="26" t="s">
        <v>3336</v>
      </c>
      <c r="W115" s="26">
        <v>5</v>
      </c>
      <c r="X115" s="26">
        <v>5</v>
      </c>
      <c r="Y115" s="26">
        <v>5</v>
      </c>
      <c r="Z115" s="26">
        <v>5</v>
      </c>
      <c r="AA115" t="s">
        <v>3335</v>
      </c>
    </row>
    <row r="116" spans="1:28" x14ac:dyDescent="0.25">
      <c r="A116" s="11">
        <v>115</v>
      </c>
      <c r="B116">
        <v>3130</v>
      </c>
      <c r="C116" t="s">
        <v>2075</v>
      </c>
      <c r="D116" s="8" t="s">
        <v>2076</v>
      </c>
      <c r="E116" t="s">
        <v>5</v>
      </c>
      <c r="G116" t="s">
        <v>2077</v>
      </c>
      <c r="H116">
        <v>2016</v>
      </c>
      <c r="I116" t="s">
        <v>2078</v>
      </c>
      <c r="J116">
        <v>1</v>
      </c>
      <c r="N116" s="11">
        <v>4</v>
      </c>
      <c r="O116" s="18" t="s">
        <v>3633</v>
      </c>
      <c r="P116" s="26" t="s">
        <v>3605</v>
      </c>
      <c r="Q116" s="26" t="s">
        <v>3364</v>
      </c>
      <c r="R116" s="26" t="s">
        <v>3577</v>
      </c>
      <c r="S116" s="26" t="s">
        <v>20</v>
      </c>
      <c r="T116" s="26" t="s">
        <v>3622</v>
      </c>
      <c r="U116" s="26" t="s">
        <v>69</v>
      </c>
      <c r="V116" s="26" t="s">
        <v>3336</v>
      </c>
      <c r="W116" s="26">
        <v>4</v>
      </c>
      <c r="X116" s="26">
        <v>4</v>
      </c>
      <c r="Y116" s="26">
        <v>4</v>
      </c>
      <c r="Z116" s="26">
        <v>4</v>
      </c>
      <c r="AA116" t="s">
        <v>3625</v>
      </c>
    </row>
    <row r="117" spans="1:28" x14ac:dyDescent="0.25">
      <c r="A117" s="11">
        <v>116</v>
      </c>
      <c r="B117" s="26">
        <v>2524</v>
      </c>
      <c r="C117" s="26" t="s">
        <v>1750</v>
      </c>
      <c r="D117" s="8" t="s">
        <v>1751</v>
      </c>
      <c r="E117" s="26" t="s">
        <v>0</v>
      </c>
      <c r="F117" s="26"/>
      <c r="G117" s="26" t="s">
        <v>1752</v>
      </c>
      <c r="H117" s="26">
        <v>2019</v>
      </c>
      <c r="I117" s="26" t="s">
        <v>1753</v>
      </c>
      <c r="J117" s="26">
        <v>1</v>
      </c>
      <c r="K117" s="26"/>
      <c r="L117" s="26"/>
      <c r="M117" s="26"/>
      <c r="N117" s="26">
        <v>3</v>
      </c>
      <c r="O117" s="18" t="s">
        <v>3157</v>
      </c>
      <c r="P117" s="26" t="s">
        <v>3190</v>
      </c>
      <c r="Q117" s="26" t="s">
        <v>3364</v>
      </c>
      <c r="R117" s="26" t="s">
        <v>3265</v>
      </c>
      <c r="S117" s="26" t="s">
        <v>0</v>
      </c>
      <c r="T117" s="26" t="s">
        <v>38</v>
      </c>
      <c r="U117" s="26" t="s">
        <v>69</v>
      </c>
      <c r="V117" s="26" t="s">
        <v>3631</v>
      </c>
      <c r="W117" s="26">
        <v>4</v>
      </c>
      <c r="X117" s="26">
        <v>4</v>
      </c>
      <c r="Y117" s="26">
        <v>4</v>
      </c>
      <c r="Z117" s="26">
        <v>4</v>
      </c>
      <c r="AA117" s="26" t="s">
        <v>3315</v>
      </c>
      <c r="AB117" s="26"/>
    </row>
    <row r="118" spans="1:28" x14ac:dyDescent="0.25">
      <c r="A118" s="11">
        <v>117</v>
      </c>
      <c r="B118">
        <v>5992</v>
      </c>
      <c r="C118" t="s">
        <v>628</v>
      </c>
      <c r="D118" t="s">
        <v>629</v>
      </c>
      <c r="E118" t="s">
        <v>0</v>
      </c>
      <c r="G118" t="s">
        <v>630</v>
      </c>
      <c r="H118">
        <v>2012</v>
      </c>
      <c r="I118" t="s">
        <v>631</v>
      </c>
      <c r="J118">
        <v>1</v>
      </c>
      <c r="N118" s="11">
        <v>4</v>
      </c>
      <c r="O118" s="18" t="s">
        <v>3386</v>
      </c>
      <c r="P118" s="26" t="s">
        <v>3190</v>
      </c>
      <c r="Q118" s="26" t="s">
        <v>3546</v>
      </c>
      <c r="R118" s="26" t="s">
        <v>3243</v>
      </c>
      <c r="S118" s="26" t="s">
        <v>0</v>
      </c>
      <c r="T118" s="26" t="s">
        <v>38</v>
      </c>
      <c r="U118" s="26" t="s">
        <v>69</v>
      </c>
      <c r="V118" s="26" t="s">
        <v>3547</v>
      </c>
      <c r="W118" s="26">
        <v>5</v>
      </c>
      <c r="X118" s="26">
        <v>5</v>
      </c>
      <c r="Y118" s="26">
        <v>5</v>
      </c>
      <c r="Z118" s="26">
        <v>5</v>
      </c>
      <c r="AA118" t="s">
        <v>57</v>
      </c>
    </row>
    <row r="119" spans="1:28" x14ac:dyDescent="0.25">
      <c r="A119" s="11">
        <v>118</v>
      </c>
      <c r="B119">
        <v>3405</v>
      </c>
      <c r="C119" t="s">
        <v>2393</v>
      </c>
      <c r="D119" s="26" t="s">
        <v>2394</v>
      </c>
      <c r="E119" t="s">
        <v>0</v>
      </c>
      <c r="G119" t="s">
        <v>2395</v>
      </c>
      <c r="H119">
        <v>2014</v>
      </c>
      <c r="I119" t="s">
        <v>2396</v>
      </c>
      <c r="J119">
        <v>1</v>
      </c>
      <c r="N119" s="11">
        <v>0</v>
      </c>
      <c r="P119" s="26"/>
      <c r="Q119" s="26"/>
      <c r="R119" s="26"/>
      <c r="S119" s="26"/>
      <c r="T119" s="26"/>
      <c r="U119" s="26"/>
      <c r="V119" s="26"/>
      <c r="W119" s="26">
        <v>0</v>
      </c>
      <c r="X119" s="26">
        <v>0</v>
      </c>
      <c r="Y119" s="26">
        <v>0</v>
      </c>
      <c r="Z119" s="26">
        <v>0</v>
      </c>
    </row>
    <row r="120" spans="1:28" x14ac:dyDescent="0.25">
      <c r="A120" s="11">
        <v>119</v>
      </c>
      <c r="B120">
        <v>6313</v>
      </c>
      <c r="C120" t="s">
        <v>168</v>
      </c>
      <c r="D120" t="s">
        <v>169</v>
      </c>
      <c r="E120" t="s">
        <v>6</v>
      </c>
      <c r="F120" t="s">
        <v>331</v>
      </c>
      <c r="G120" t="s">
        <v>332</v>
      </c>
      <c r="H120">
        <v>2015</v>
      </c>
      <c r="I120" t="s">
        <v>271</v>
      </c>
      <c r="J120">
        <v>1</v>
      </c>
      <c r="N120" s="11">
        <v>5</v>
      </c>
      <c r="O120" s="18" t="s">
        <v>3244</v>
      </c>
      <c r="P120" s="26" t="s">
        <v>3190</v>
      </c>
      <c r="Q120" s="26" t="s">
        <v>3537</v>
      </c>
      <c r="R120" s="26" t="s">
        <v>3238</v>
      </c>
      <c r="S120" s="26" t="s">
        <v>6</v>
      </c>
      <c r="T120" s="26" t="s">
        <v>38</v>
      </c>
      <c r="U120" s="26" t="s">
        <v>69</v>
      </c>
      <c r="V120" s="26" t="s">
        <v>3336</v>
      </c>
      <c r="W120" s="26">
        <v>5</v>
      </c>
      <c r="X120" s="26">
        <v>5</v>
      </c>
      <c r="Y120" s="26">
        <v>5</v>
      </c>
      <c r="Z120" s="26">
        <v>5</v>
      </c>
      <c r="AA120" t="s">
        <v>3538</v>
      </c>
    </row>
    <row r="121" spans="1:28" x14ac:dyDescent="0.25">
      <c r="A121" s="11">
        <v>120</v>
      </c>
      <c r="B121">
        <v>2498</v>
      </c>
      <c r="C121" t="s">
        <v>1813</v>
      </c>
      <c r="D121" t="s">
        <v>1814</v>
      </c>
      <c r="E121" t="s">
        <v>1193</v>
      </c>
      <c r="G121" t="s">
        <v>1815</v>
      </c>
      <c r="H121">
        <v>2019</v>
      </c>
      <c r="I121" t="s">
        <v>1816</v>
      </c>
      <c r="J121">
        <v>1</v>
      </c>
      <c r="N121" s="11">
        <v>1</v>
      </c>
      <c r="O121" s="18" t="s">
        <v>3157</v>
      </c>
      <c r="P121" s="26" t="s">
        <v>3190</v>
      </c>
      <c r="Q121" s="26" t="s">
        <v>3209</v>
      </c>
      <c r="R121" s="26" t="s">
        <v>3257</v>
      </c>
      <c r="S121" s="26" t="s">
        <v>1</v>
      </c>
      <c r="T121" s="26" t="s">
        <v>38</v>
      </c>
      <c r="U121" s="26" t="s">
        <v>3263</v>
      </c>
      <c r="V121" s="26" t="s">
        <v>3280</v>
      </c>
      <c r="W121" s="26">
        <v>5</v>
      </c>
      <c r="X121" s="26">
        <v>5</v>
      </c>
      <c r="Y121" s="26">
        <v>5</v>
      </c>
      <c r="Z121" s="26">
        <v>5</v>
      </c>
      <c r="AA121" t="s">
        <v>3339</v>
      </c>
    </row>
    <row r="122" spans="1:28" x14ac:dyDescent="0.25">
      <c r="A122" s="11">
        <v>121</v>
      </c>
      <c r="B122">
        <v>2816</v>
      </c>
      <c r="C122" t="s">
        <v>1829</v>
      </c>
      <c r="D122" t="s">
        <v>2515</v>
      </c>
      <c r="E122" t="s">
        <v>0</v>
      </c>
      <c r="G122" t="s">
        <v>2516</v>
      </c>
      <c r="H122">
        <v>2017</v>
      </c>
      <c r="I122" t="s">
        <v>2517</v>
      </c>
      <c r="J122">
        <v>1</v>
      </c>
      <c r="N122" s="11">
        <v>5</v>
      </c>
      <c r="O122" s="18" t="s">
        <v>3244</v>
      </c>
      <c r="P122" s="26" t="s">
        <v>3190</v>
      </c>
      <c r="Q122" s="26" t="s">
        <v>3258</v>
      </c>
      <c r="R122" s="26" t="s">
        <v>3257</v>
      </c>
      <c r="S122" s="26" t="s">
        <v>0</v>
      </c>
      <c r="T122" s="26" t="s">
        <v>38</v>
      </c>
      <c r="U122" s="26" t="s">
        <v>69</v>
      </c>
      <c r="V122" s="26" t="s">
        <v>3336</v>
      </c>
      <c r="W122" s="26">
        <v>5</v>
      </c>
      <c r="X122" s="26">
        <v>5</v>
      </c>
      <c r="Y122" s="26">
        <v>5</v>
      </c>
      <c r="Z122" s="26">
        <v>5</v>
      </c>
      <c r="AA122" t="s">
        <v>3335</v>
      </c>
    </row>
    <row r="123" spans="1:28" x14ac:dyDescent="0.25">
      <c r="A123" s="11">
        <v>122</v>
      </c>
      <c r="B123" s="26">
        <v>2613</v>
      </c>
      <c r="C123" s="26" t="s">
        <v>1829</v>
      </c>
      <c r="D123" s="26" t="s">
        <v>1830</v>
      </c>
      <c r="E123" s="26" t="s">
        <v>0</v>
      </c>
      <c r="F123" s="26"/>
      <c r="G123" s="26" t="s">
        <v>1831</v>
      </c>
      <c r="H123" s="26">
        <v>2018</v>
      </c>
      <c r="I123" s="26" t="s">
        <v>1832</v>
      </c>
      <c r="J123" s="26">
        <v>1</v>
      </c>
      <c r="K123" s="26"/>
      <c r="L123" s="26"/>
      <c r="M123" s="26"/>
      <c r="N123" s="26">
        <v>5</v>
      </c>
      <c r="O123" s="18" t="s">
        <v>3244</v>
      </c>
      <c r="P123" s="26" t="s">
        <v>3190</v>
      </c>
      <c r="Q123" s="26" t="s">
        <v>3258</v>
      </c>
      <c r="R123" s="26" t="s">
        <v>3257</v>
      </c>
      <c r="S123" s="26" t="s">
        <v>0</v>
      </c>
      <c r="T123" s="26" t="s">
        <v>38</v>
      </c>
      <c r="U123" s="26" t="s">
        <v>69</v>
      </c>
      <c r="V123" s="26" t="s">
        <v>3336</v>
      </c>
      <c r="W123" s="26">
        <v>5</v>
      </c>
      <c r="X123" s="26">
        <v>5</v>
      </c>
      <c r="Y123" s="26">
        <v>5</v>
      </c>
      <c r="Z123" s="26">
        <v>5</v>
      </c>
      <c r="AA123" s="26" t="s">
        <v>3335</v>
      </c>
      <c r="AB123" s="26"/>
    </row>
    <row r="124" spans="1:28" x14ac:dyDescent="0.25">
      <c r="A124" s="11">
        <v>123</v>
      </c>
      <c r="B124">
        <v>3637</v>
      </c>
      <c r="C124" t="s">
        <v>2835</v>
      </c>
      <c r="D124" t="s">
        <v>2836</v>
      </c>
      <c r="E124" t="s">
        <v>0</v>
      </c>
      <c r="G124" t="s">
        <v>2837</v>
      </c>
      <c r="H124">
        <v>2012</v>
      </c>
      <c r="I124" t="s">
        <v>2838</v>
      </c>
      <c r="J124">
        <v>1</v>
      </c>
      <c r="N124" s="11">
        <v>4</v>
      </c>
      <c r="O124" s="18" t="s">
        <v>3244</v>
      </c>
      <c r="P124" s="26" t="s">
        <v>3190</v>
      </c>
      <c r="Q124" s="26" t="s">
        <v>3258</v>
      </c>
      <c r="R124" s="26" t="s">
        <v>3257</v>
      </c>
      <c r="S124" s="26" t="s">
        <v>0</v>
      </c>
      <c r="T124" s="26" t="s">
        <v>38</v>
      </c>
      <c r="U124" s="26" t="s">
        <v>69</v>
      </c>
      <c r="V124" s="26" t="s">
        <v>3434</v>
      </c>
      <c r="W124" s="26">
        <v>5</v>
      </c>
      <c r="X124" s="26">
        <v>5</v>
      </c>
      <c r="Y124" s="26">
        <v>5</v>
      </c>
      <c r="Z124" s="26">
        <v>5</v>
      </c>
    </row>
    <row r="125" spans="1:28" x14ac:dyDescent="0.25">
      <c r="A125" s="11">
        <v>124</v>
      </c>
      <c r="B125">
        <v>4348</v>
      </c>
      <c r="C125" t="s">
        <v>2883</v>
      </c>
      <c r="D125" t="s">
        <v>2884</v>
      </c>
      <c r="E125" t="s">
        <v>2</v>
      </c>
      <c r="G125" t="s">
        <v>2885</v>
      </c>
      <c r="H125">
        <v>2015</v>
      </c>
      <c r="I125" t="s">
        <v>2886</v>
      </c>
      <c r="J125">
        <v>1</v>
      </c>
      <c r="N125" s="11">
        <v>0</v>
      </c>
      <c r="P125" s="26"/>
      <c r="Q125" s="26"/>
      <c r="R125" s="26"/>
      <c r="S125" s="26"/>
      <c r="T125" s="26"/>
      <c r="U125" s="26"/>
      <c r="V125" s="26"/>
      <c r="W125" s="26">
        <v>0</v>
      </c>
      <c r="X125" s="26">
        <v>0</v>
      </c>
      <c r="Y125" s="26">
        <v>0</v>
      </c>
      <c r="Z125" s="26">
        <v>0</v>
      </c>
    </row>
    <row r="126" spans="1:28" x14ac:dyDescent="0.25">
      <c r="A126" s="11">
        <v>125</v>
      </c>
      <c r="B126">
        <v>4246</v>
      </c>
      <c r="C126" t="s">
        <v>3124</v>
      </c>
      <c r="D126" s="26" t="s">
        <v>3125</v>
      </c>
      <c r="E126" t="s">
        <v>2</v>
      </c>
      <c r="G126" t="s">
        <v>3126</v>
      </c>
      <c r="H126">
        <v>2016</v>
      </c>
      <c r="I126" t="s">
        <v>3127</v>
      </c>
      <c r="J126">
        <v>1</v>
      </c>
      <c r="N126" s="11">
        <v>0</v>
      </c>
      <c r="P126" s="26"/>
      <c r="Q126" s="26"/>
      <c r="R126" s="26"/>
      <c r="S126" s="26"/>
      <c r="T126" s="26"/>
      <c r="U126" s="26"/>
      <c r="V126" s="26"/>
      <c r="W126" s="26">
        <v>0</v>
      </c>
      <c r="X126" s="26">
        <v>0</v>
      </c>
      <c r="Y126" s="26">
        <v>0</v>
      </c>
      <c r="Z126" s="26">
        <v>0</v>
      </c>
    </row>
    <row r="127" spans="1:28" x14ac:dyDescent="0.25">
      <c r="A127" s="11">
        <v>126</v>
      </c>
      <c r="B127">
        <v>6047</v>
      </c>
      <c r="C127" t="s">
        <v>534</v>
      </c>
      <c r="D127" s="26" t="s">
        <v>535</v>
      </c>
      <c r="E127" t="s">
        <v>0</v>
      </c>
      <c r="F127" t="s">
        <v>952</v>
      </c>
      <c r="G127" t="s">
        <v>536</v>
      </c>
      <c r="H127">
        <v>2017</v>
      </c>
      <c r="I127" t="s">
        <v>537</v>
      </c>
      <c r="J127">
        <v>1</v>
      </c>
      <c r="N127" s="11">
        <v>5</v>
      </c>
      <c r="O127" s="18" t="s">
        <v>3244</v>
      </c>
      <c r="P127" s="26" t="s">
        <v>3190</v>
      </c>
      <c r="Q127" s="26" t="s">
        <v>3437</v>
      </c>
      <c r="R127" s="26" t="s">
        <v>3257</v>
      </c>
      <c r="S127" s="26" t="s">
        <v>0</v>
      </c>
      <c r="T127" s="26" t="s">
        <v>38</v>
      </c>
      <c r="U127" s="26" t="s">
        <v>69</v>
      </c>
      <c r="V127" s="26" t="s">
        <v>3255</v>
      </c>
      <c r="W127" s="26">
        <v>5</v>
      </c>
      <c r="X127" s="26">
        <v>5</v>
      </c>
      <c r="Y127" s="26">
        <v>5</v>
      </c>
      <c r="Z127" s="26">
        <v>5</v>
      </c>
      <c r="AA127" t="s">
        <v>3456</v>
      </c>
    </row>
    <row r="128" spans="1:28" x14ac:dyDescent="0.25">
      <c r="A128" s="11">
        <v>127</v>
      </c>
      <c r="B128">
        <v>2887</v>
      </c>
      <c r="C128" t="s">
        <v>2402</v>
      </c>
      <c r="D128" t="s">
        <v>2403</v>
      </c>
      <c r="E128" t="s">
        <v>0</v>
      </c>
      <c r="G128" t="s">
        <v>2404</v>
      </c>
      <c r="H128">
        <v>2017</v>
      </c>
      <c r="I128" t="s">
        <v>2405</v>
      </c>
      <c r="J128">
        <v>1</v>
      </c>
      <c r="N128" s="11">
        <v>4</v>
      </c>
      <c r="O128" s="18" t="s">
        <v>3244</v>
      </c>
      <c r="P128" s="26" t="s">
        <v>3190</v>
      </c>
      <c r="Q128" s="26" t="s">
        <v>3485</v>
      </c>
      <c r="R128" s="26" t="s">
        <v>3257</v>
      </c>
      <c r="S128" s="26" t="s">
        <v>0</v>
      </c>
      <c r="T128" s="26" t="s">
        <v>38</v>
      </c>
      <c r="U128" s="26" t="s">
        <v>69</v>
      </c>
      <c r="V128" s="26" t="s">
        <v>3336</v>
      </c>
      <c r="W128" s="26">
        <v>5</v>
      </c>
      <c r="X128" s="26">
        <v>4</v>
      </c>
      <c r="Y128" s="26">
        <v>4</v>
      </c>
      <c r="Z128" s="26">
        <v>4</v>
      </c>
      <c r="AA128" t="s">
        <v>3315</v>
      </c>
    </row>
    <row r="129" spans="1:28" x14ac:dyDescent="0.25">
      <c r="A129" s="11">
        <v>128</v>
      </c>
      <c r="B129">
        <v>5755</v>
      </c>
      <c r="C129" t="s">
        <v>647</v>
      </c>
      <c r="D129" t="s">
        <v>648</v>
      </c>
      <c r="E129" t="s">
        <v>0</v>
      </c>
      <c r="G129" t="s">
        <v>649</v>
      </c>
      <c r="H129">
        <v>2012</v>
      </c>
      <c r="I129" t="s">
        <v>650</v>
      </c>
      <c r="J129">
        <v>1</v>
      </c>
      <c r="N129" s="11">
        <v>5</v>
      </c>
      <c r="O129" s="18" t="s">
        <v>3244</v>
      </c>
      <c r="P129" s="26" t="s">
        <v>3190</v>
      </c>
      <c r="Q129" s="26" t="s">
        <v>3258</v>
      </c>
      <c r="R129" s="26" t="s">
        <v>3257</v>
      </c>
      <c r="S129" s="26" t="s">
        <v>0</v>
      </c>
      <c r="T129" s="26" t="s">
        <v>38</v>
      </c>
      <c r="U129" s="26" t="s">
        <v>69</v>
      </c>
      <c r="V129" s="26" t="s">
        <v>3336</v>
      </c>
      <c r="W129" s="26">
        <v>5</v>
      </c>
      <c r="X129" s="26">
        <v>5</v>
      </c>
      <c r="Y129" s="26">
        <v>5</v>
      </c>
      <c r="Z129" s="26">
        <v>5</v>
      </c>
      <c r="AA129" t="s">
        <v>3566</v>
      </c>
    </row>
    <row r="130" spans="1:28" x14ac:dyDescent="0.25">
      <c r="A130" s="11">
        <v>129</v>
      </c>
      <c r="B130">
        <v>5990</v>
      </c>
      <c r="C130" t="s">
        <v>502</v>
      </c>
      <c r="D130" t="s">
        <v>503</v>
      </c>
      <c r="E130" t="s">
        <v>0</v>
      </c>
      <c r="F130" t="s">
        <v>944</v>
      </c>
      <c r="G130" t="s">
        <v>504</v>
      </c>
      <c r="H130">
        <v>2016</v>
      </c>
      <c r="I130" t="s">
        <v>505</v>
      </c>
      <c r="J130">
        <v>1</v>
      </c>
      <c r="N130" s="11">
        <v>0</v>
      </c>
      <c r="P130" s="26"/>
      <c r="Q130" s="26"/>
      <c r="R130" s="26"/>
      <c r="S130" s="26"/>
      <c r="T130" s="26"/>
      <c r="U130" s="26"/>
      <c r="V130" s="26"/>
      <c r="W130" s="26">
        <v>0</v>
      </c>
      <c r="X130" s="26">
        <v>0</v>
      </c>
      <c r="Y130" s="26">
        <v>0</v>
      </c>
      <c r="Z130" s="26">
        <v>0</v>
      </c>
    </row>
    <row r="131" spans="1:28" x14ac:dyDescent="0.25">
      <c r="A131" s="11">
        <v>130</v>
      </c>
      <c r="B131">
        <v>6258</v>
      </c>
      <c r="C131" t="s">
        <v>148</v>
      </c>
      <c r="D131" t="s">
        <v>149</v>
      </c>
      <c r="E131" t="s">
        <v>6</v>
      </c>
      <c r="F131" t="s">
        <v>313</v>
      </c>
      <c r="G131" t="s">
        <v>314</v>
      </c>
      <c r="H131">
        <v>2015</v>
      </c>
      <c r="I131" t="s">
        <v>262</v>
      </c>
      <c r="J131">
        <v>1</v>
      </c>
      <c r="N131" s="11">
        <v>0</v>
      </c>
      <c r="P131" s="26"/>
      <c r="Q131" s="26"/>
      <c r="R131" s="26"/>
      <c r="S131" s="26"/>
      <c r="T131" s="26"/>
      <c r="U131" s="26"/>
      <c r="V131" s="26"/>
      <c r="W131" s="26">
        <v>0</v>
      </c>
      <c r="X131" s="26">
        <v>0</v>
      </c>
      <c r="Y131" s="26">
        <v>0</v>
      </c>
      <c r="Z131" s="26">
        <v>0</v>
      </c>
    </row>
    <row r="132" spans="1:28" x14ac:dyDescent="0.25">
      <c r="A132" s="11">
        <v>131</v>
      </c>
      <c r="B132">
        <v>4860</v>
      </c>
      <c r="C132" t="s">
        <v>1027</v>
      </c>
      <c r="D132" t="s">
        <v>1028</v>
      </c>
      <c r="E132" t="s">
        <v>24</v>
      </c>
      <c r="G132" t="s">
        <v>1029</v>
      </c>
      <c r="H132">
        <v>2017</v>
      </c>
      <c r="I132" t="s">
        <v>1030</v>
      </c>
      <c r="J132">
        <v>1</v>
      </c>
      <c r="N132" s="11">
        <v>0</v>
      </c>
      <c r="P132" s="26"/>
      <c r="Q132" s="26"/>
      <c r="R132" s="26"/>
      <c r="S132" s="26"/>
      <c r="T132" s="26"/>
      <c r="U132" s="26"/>
      <c r="V132" s="26"/>
      <c r="W132" s="26">
        <v>0</v>
      </c>
      <c r="X132" s="26">
        <v>0</v>
      </c>
      <c r="Y132" s="26">
        <v>0</v>
      </c>
      <c r="Z132" s="26">
        <v>0</v>
      </c>
    </row>
    <row r="133" spans="1:28" x14ac:dyDescent="0.25">
      <c r="A133" s="11">
        <v>132</v>
      </c>
      <c r="B133">
        <v>6289</v>
      </c>
      <c r="C133" t="s">
        <v>150</v>
      </c>
      <c r="D133" t="s">
        <v>151</v>
      </c>
      <c r="E133" t="s">
        <v>6</v>
      </c>
      <c r="F133" t="s">
        <v>315</v>
      </c>
      <c r="G133" t="s">
        <v>316</v>
      </c>
      <c r="H133">
        <v>2016</v>
      </c>
      <c r="I133" t="s">
        <v>263</v>
      </c>
      <c r="J133">
        <v>1</v>
      </c>
      <c r="N133" s="11">
        <v>0</v>
      </c>
      <c r="P133" s="26"/>
      <c r="Q133" s="26"/>
      <c r="R133" s="26"/>
      <c r="S133" s="26"/>
      <c r="T133" s="26"/>
      <c r="U133" s="26"/>
      <c r="V133" s="26"/>
      <c r="W133" s="26">
        <v>0</v>
      </c>
      <c r="X133" s="26">
        <v>0</v>
      </c>
      <c r="Y133" s="26">
        <v>0</v>
      </c>
      <c r="Z133" s="26">
        <v>0</v>
      </c>
    </row>
    <row r="134" spans="1:28" x14ac:dyDescent="0.25">
      <c r="A134" s="11">
        <v>133</v>
      </c>
      <c r="B134">
        <v>2734</v>
      </c>
      <c r="C134" t="s">
        <v>1747</v>
      </c>
      <c r="D134" t="s">
        <v>1748</v>
      </c>
      <c r="E134" t="s">
        <v>22</v>
      </c>
      <c r="G134" t="s">
        <v>1749</v>
      </c>
      <c r="H134">
        <v>2018</v>
      </c>
      <c r="J134">
        <v>1</v>
      </c>
      <c r="N134" s="11">
        <v>5</v>
      </c>
      <c r="O134" s="18" t="s">
        <v>3244</v>
      </c>
      <c r="P134" s="26" t="s">
        <v>3190</v>
      </c>
      <c r="Q134" s="26" t="s">
        <v>3606</v>
      </c>
      <c r="R134" s="26" t="s">
        <v>3257</v>
      </c>
      <c r="S134" s="26" t="s">
        <v>1</v>
      </c>
      <c r="T134" s="26" t="s">
        <v>38</v>
      </c>
      <c r="U134" s="26" t="s">
        <v>69</v>
      </c>
      <c r="V134" s="26" t="s">
        <v>3336</v>
      </c>
      <c r="W134" s="26">
        <v>5</v>
      </c>
      <c r="X134" s="26">
        <v>5</v>
      </c>
      <c r="Y134" s="26">
        <v>5</v>
      </c>
      <c r="Z134" s="26">
        <v>5</v>
      </c>
      <c r="AA134" t="s">
        <v>3335</v>
      </c>
    </row>
    <row r="135" spans="1:28" x14ac:dyDescent="0.25">
      <c r="A135" s="11">
        <v>134</v>
      </c>
      <c r="B135">
        <v>6268</v>
      </c>
      <c r="C135" t="s">
        <v>245</v>
      </c>
      <c r="D135" s="8" t="s">
        <v>246</v>
      </c>
      <c r="E135" t="s">
        <v>6</v>
      </c>
      <c r="F135" s="26" t="s">
        <v>401</v>
      </c>
      <c r="G135" t="s">
        <v>402</v>
      </c>
      <c r="H135">
        <v>2017</v>
      </c>
      <c r="J135">
        <v>1</v>
      </c>
      <c r="N135" s="11">
        <v>3</v>
      </c>
      <c r="O135" s="18" t="s">
        <v>3244</v>
      </c>
      <c r="P135" s="26" t="s">
        <v>3190</v>
      </c>
      <c r="Q135" s="26" t="s">
        <v>3437</v>
      </c>
      <c r="R135" s="26" t="s">
        <v>3257</v>
      </c>
      <c r="S135" s="26" t="s">
        <v>6</v>
      </c>
      <c r="T135" s="26" t="s">
        <v>38</v>
      </c>
      <c r="U135" s="26" t="s">
        <v>69</v>
      </c>
      <c r="V135" s="26" t="s">
        <v>3631</v>
      </c>
      <c r="W135" s="26">
        <v>3</v>
      </c>
      <c r="X135" s="26">
        <v>3</v>
      </c>
      <c r="Y135" s="26">
        <v>3</v>
      </c>
      <c r="Z135" s="26">
        <v>3</v>
      </c>
      <c r="AA135" t="s">
        <v>3335</v>
      </c>
    </row>
    <row r="136" spans="1:28" x14ac:dyDescent="0.25">
      <c r="A136" s="11">
        <v>135</v>
      </c>
      <c r="B136">
        <v>3374</v>
      </c>
      <c r="C136" t="s">
        <v>1338</v>
      </c>
      <c r="D136" t="s">
        <v>1339</v>
      </c>
      <c r="E136" t="s">
        <v>0</v>
      </c>
      <c r="G136" t="s">
        <v>1340</v>
      </c>
      <c r="H136">
        <v>2014</v>
      </c>
      <c r="I136" t="s">
        <v>1341</v>
      </c>
      <c r="J136">
        <v>1</v>
      </c>
      <c r="N136" s="11">
        <v>0</v>
      </c>
      <c r="P136" s="26"/>
      <c r="Q136" s="26"/>
      <c r="R136" s="26"/>
      <c r="S136" s="26"/>
      <c r="T136" s="26"/>
      <c r="U136" s="26"/>
      <c r="V136" s="26"/>
      <c r="W136" s="26">
        <v>0</v>
      </c>
      <c r="X136" s="26">
        <v>0</v>
      </c>
      <c r="Y136" s="26">
        <v>0</v>
      </c>
      <c r="Z136" s="26">
        <v>0</v>
      </c>
    </row>
    <row r="137" spans="1:28" x14ac:dyDescent="0.25">
      <c r="A137" s="11">
        <v>136</v>
      </c>
      <c r="B137">
        <v>3703</v>
      </c>
      <c r="C137" t="s">
        <v>2771</v>
      </c>
      <c r="D137" t="s">
        <v>2772</v>
      </c>
      <c r="E137" t="s">
        <v>0</v>
      </c>
      <c r="G137" t="s">
        <v>2773</v>
      </c>
      <c r="H137">
        <v>2012</v>
      </c>
      <c r="I137" t="s">
        <v>2774</v>
      </c>
      <c r="J137">
        <v>1</v>
      </c>
      <c r="K137">
        <v>1</v>
      </c>
      <c r="L137">
        <v>1</v>
      </c>
      <c r="N137" s="11">
        <v>0</v>
      </c>
      <c r="P137" s="26"/>
      <c r="Q137" s="26"/>
      <c r="R137" s="26"/>
      <c r="S137" s="26"/>
      <c r="T137" s="26"/>
      <c r="U137" s="26"/>
      <c r="V137" s="26"/>
      <c r="W137" s="26">
        <v>0</v>
      </c>
      <c r="X137" s="26">
        <v>0</v>
      </c>
      <c r="Y137" s="26">
        <v>0</v>
      </c>
      <c r="Z137" s="26">
        <v>0</v>
      </c>
    </row>
    <row r="138" spans="1:28" x14ac:dyDescent="0.25">
      <c r="A138" s="11">
        <v>137</v>
      </c>
      <c r="B138">
        <v>5065</v>
      </c>
      <c r="C138" t="s">
        <v>1003</v>
      </c>
      <c r="D138" t="s">
        <v>1004</v>
      </c>
      <c r="E138" t="s">
        <v>953</v>
      </c>
      <c r="G138" t="s">
        <v>1005</v>
      </c>
      <c r="H138">
        <v>2012</v>
      </c>
      <c r="I138" t="s">
        <v>1006</v>
      </c>
      <c r="J138">
        <v>1</v>
      </c>
      <c r="N138" s="11">
        <v>5</v>
      </c>
      <c r="O138" s="18" t="s">
        <v>3244</v>
      </c>
      <c r="P138" s="26" t="s">
        <v>3190</v>
      </c>
      <c r="Q138" s="26" t="s">
        <v>3204</v>
      </c>
      <c r="R138" s="26" t="s">
        <v>3239</v>
      </c>
      <c r="S138" s="26" t="s">
        <v>0</v>
      </c>
      <c r="T138" s="26" t="s">
        <v>38</v>
      </c>
      <c r="U138" s="26" t="s">
        <v>69</v>
      </c>
      <c r="V138" s="26" t="s">
        <v>3363</v>
      </c>
      <c r="W138" s="26">
        <v>5</v>
      </c>
      <c r="X138" s="26">
        <v>5</v>
      </c>
      <c r="Y138" s="26">
        <v>5</v>
      </c>
      <c r="Z138" s="26">
        <v>5</v>
      </c>
      <c r="AA138" t="s">
        <v>57</v>
      </c>
    </row>
    <row r="139" spans="1:28" x14ac:dyDescent="0.25">
      <c r="A139" s="11">
        <v>138</v>
      </c>
      <c r="B139">
        <v>3103</v>
      </c>
      <c r="C139" t="s">
        <v>2148</v>
      </c>
      <c r="D139" t="s">
        <v>2260</v>
      </c>
      <c r="E139" t="s">
        <v>1193</v>
      </c>
      <c r="G139" t="s">
        <v>2261</v>
      </c>
      <c r="H139">
        <v>2016</v>
      </c>
      <c r="I139" t="s">
        <v>2262</v>
      </c>
      <c r="J139">
        <v>1</v>
      </c>
      <c r="N139" s="11">
        <v>4</v>
      </c>
      <c r="O139" s="18" t="s">
        <v>3273</v>
      </c>
      <c r="P139" s="26" t="s">
        <v>3265</v>
      </c>
      <c r="Q139" s="26" t="s">
        <v>3361</v>
      </c>
      <c r="R139" s="26" t="s">
        <v>3187</v>
      </c>
      <c r="S139" s="26" t="s">
        <v>1</v>
      </c>
      <c r="T139" s="26" t="s">
        <v>38</v>
      </c>
      <c r="U139" s="26" t="s">
        <v>69</v>
      </c>
      <c r="V139" s="26" t="s">
        <v>3336</v>
      </c>
      <c r="W139" s="26">
        <v>4</v>
      </c>
      <c r="X139" s="26">
        <v>4</v>
      </c>
      <c r="Y139" s="26">
        <v>4</v>
      </c>
      <c r="Z139" s="26">
        <v>4</v>
      </c>
      <c r="AA139" t="s">
        <v>57</v>
      </c>
    </row>
    <row r="140" spans="1:28" s="75" customFormat="1" x14ac:dyDescent="0.25">
      <c r="A140" s="75">
        <v>139</v>
      </c>
      <c r="B140" s="26">
        <v>5831</v>
      </c>
      <c r="C140" s="26" t="s">
        <v>596</v>
      </c>
      <c r="D140" s="26" t="s">
        <v>597</v>
      </c>
      <c r="E140" s="26" t="s">
        <v>0</v>
      </c>
      <c r="F140" s="26"/>
      <c r="G140" s="26" t="s">
        <v>598</v>
      </c>
      <c r="H140" s="26">
        <v>2014</v>
      </c>
      <c r="I140" s="26" t="s">
        <v>599</v>
      </c>
      <c r="J140" s="26">
        <v>0</v>
      </c>
      <c r="K140" s="26"/>
      <c r="L140" s="26"/>
      <c r="M140" s="26"/>
      <c r="N140" s="26">
        <v>4</v>
      </c>
      <c r="O140" s="18" t="s">
        <v>3244</v>
      </c>
      <c r="P140" s="26" t="s">
        <v>3265</v>
      </c>
      <c r="Q140" s="26" t="s">
        <v>3518</v>
      </c>
      <c r="R140" s="26" t="s">
        <v>3187</v>
      </c>
      <c r="S140" s="26" t="s">
        <v>0</v>
      </c>
      <c r="T140" s="26" t="s">
        <v>38</v>
      </c>
      <c r="U140" s="26" t="s">
        <v>69</v>
      </c>
      <c r="V140" s="26" t="s">
        <v>3336</v>
      </c>
      <c r="W140" s="26">
        <v>5</v>
      </c>
      <c r="X140" s="26">
        <v>5</v>
      </c>
      <c r="Y140" s="26">
        <v>4</v>
      </c>
      <c r="Z140" s="26">
        <v>5</v>
      </c>
      <c r="AA140" s="26" t="s">
        <v>3519</v>
      </c>
      <c r="AB140" s="26"/>
    </row>
    <row r="141" spans="1:28" x14ac:dyDescent="0.25">
      <c r="A141" s="11">
        <v>140</v>
      </c>
      <c r="B141">
        <v>5292</v>
      </c>
      <c r="C141" t="s">
        <v>954</v>
      </c>
      <c r="D141" t="s">
        <v>955</v>
      </c>
      <c r="E141" t="s">
        <v>24</v>
      </c>
      <c r="G141" t="s">
        <v>956</v>
      </c>
      <c r="H141">
        <v>2017</v>
      </c>
      <c r="I141" t="s">
        <v>957</v>
      </c>
      <c r="J141">
        <v>1</v>
      </c>
      <c r="L141">
        <v>1</v>
      </c>
      <c r="M141">
        <v>-1</v>
      </c>
      <c r="N141" s="11">
        <v>4</v>
      </c>
      <c r="O141" s="18" t="s">
        <v>3244</v>
      </c>
      <c r="P141" s="26" t="s">
        <v>3265</v>
      </c>
      <c r="Q141" s="26" t="s">
        <v>3210</v>
      </c>
      <c r="R141" s="26" t="s">
        <v>3243</v>
      </c>
      <c r="S141" s="26" t="s">
        <v>1</v>
      </c>
      <c r="T141" s="26" t="s">
        <v>37</v>
      </c>
      <c r="U141" s="26" t="s">
        <v>69</v>
      </c>
      <c r="V141" s="26" t="s">
        <v>3255</v>
      </c>
      <c r="W141" s="26">
        <v>3</v>
      </c>
      <c r="X141" s="26">
        <v>3</v>
      </c>
      <c r="Y141" s="26">
        <v>5</v>
      </c>
      <c r="Z141" s="26">
        <v>5</v>
      </c>
      <c r="AA141" t="s">
        <v>3249</v>
      </c>
    </row>
    <row r="142" spans="1:28" x14ac:dyDescent="0.25">
      <c r="A142" s="11">
        <v>141</v>
      </c>
      <c r="B142">
        <v>2978</v>
      </c>
      <c r="C142" t="s">
        <v>2365</v>
      </c>
      <c r="D142" t="s">
        <v>2366</v>
      </c>
      <c r="E142" t="s">
        <v>5</v>
      </c>
      <c r="G142" t="s">
        <v>2367</v>
      </c>
      <c r="H142">
        <v>2017</v>
      </c>
      <c r="I142" t="s">
        <v>2368</v>
      </c>
      <c r="J142">
        <v>1</v>
      </c>
      <c r="N142" s="11">
        <v>0</v>
      </c>
      <c r="P142" s="26"/>
      <c r="Q142" s="26"/>
      <c r="R142" s="26"/>
      <c r="S142" s="26"/>
      <c r="T142" s="26"/>
      <c r="U142" s="26"/>
      <c r="V142" s="26"/>
      <c r="W142" s="26">
        <v>0</v>
      </c>
      <c r="X142" s="26">
        <v>0</v>
      </c>
      <c r="Y142" s="26">
        <v>0</v>
      </c>
      <c r="Z142" s="26">
        <v>0</v>
      </c>
    </row>
    <row r="143" spans="1:28" x14ac:dyDescent="0.25">
      <c r="A143" s="11">
        <v>142</v>
      </c>
      <c r="B143">
        <v>3321</v>
      </c>
      <c r="C143" t="s">
        <v>1407</v>
      </c>
      <c r="D143" t="s">
        <v>1408</v>
      </c>
      <c r="E143" t="s">
        <v>0</v>
      </c>
      <c r="G143" t="s">
        <v>1409</v>
      </c>
      <c r="H143">
        <v>2014</v>
      </c>
      <c r="I143" t="s">
        <v>1410</v>
      </c>
      <c r="J143">
        <v>1</v>
      </c>
      <c r="N143" s="11">
        <v>5</v>
      </c>
      <c r="O143" s="18" t="s">
        <v>3157</v>
      </c>
      <c r="P143" s="26" t="s">
        <v>3265</v>
      </c>
      <c r="Q143" s="26" t="s">
        <v>3209</v>
      </c>
      <c r="R143" s="26" t="s">
        <v>3227</v>
      </c>
      <c r="S143" s="26" t="s">
        <v>0</v>
      </c>
      <c r="T143" s="26" t="s">
        <v>39</v>
      </c>
      <c r="U143" s="26" t="s">
        <v>69</v>
      </c>
      <c r="V143" s="26" t="s">
        <v>3336</v>
      </c>
      <c r="W143" s="26">
        <v>5</v>
      </c>
      <c r="X143" s="26">
        <v>5</v>
      </c>
      <c r="Y143" s="26">
        <v>5</v>
      </c>
      <c r="Z143" s="26">
        <v>5</v>
      </c>
      <c r="AA143" t="s">
        <v>3347</v>
      </c>
    </row>
    <row r="144" spans="1:28" x14ac:dyDescent="0.25">
      <c r="A144" s="11">
        <v>143</v>
      </c>
      <c r="B144">
        <v>3493</v>
      </c>
      <c r="C144" t="s">
        <v>1923</v>
      </c>
      <c r="D144" t="s">
        <v>1924</v>
      </c>
      <c r="E144" t="s">
        <v>0</v>
      </c>
      <c r="G144" t="s">
        <v>1925</v>
      </c>
      <c r="H144">
        <v>2013</v>
      </c>
      <c r="I144" t="s">
        <v>1926</v>
      </c>
      <c r="J144">
        <v>1</v>
      </c>
      <c r="N144" s="11">
        <v>4</v>
      </c>
      <c r="O144" s="18" t="s">
        <v>3244</v>
      </c>
      <c r="P144" s="26" t="s">
        <v>3265</v>
      </c>
      <c r="Q144" s="26" t="s">
        <v>3291</v>
      </c>
      <c r="R144" s="26" t="s">
        <v>3228</v>
      </c>
      <c r="S144" s="26" t="s">
        <v>6</v>
      </c>
      <c r="T144" s="26" t="s">
        <v>38</v>
      </c>
      <c r="U144" s="26" t="s">
        <v>69</v>
      </c>
      <c r="V144" s="26" t="s">
        <v>3292</v>
      </c>
      <c r="W144" s="26">
        <v>5</v>
      </c>
      <c r="X144" s="26">
        <v>4</v>
      </c>
      <c r="Y144" s="26">
        <v>5</v>
      </c>
      <c r="Z144" s="26">
        <v>5</v>
      </c>
      <c r="AA144" t="s">
        <v>3293</v>
      </c>
    </row>
    <row r="145" spans="1:28" x14ac:dyDescent="0.25">
      <c r="A145" s="11">
        <v>144</v>
      </c>
      <c r="B145">
        <v>3078</v>
      </c>
      <c r="C145" t="s">
        <v>2465</v>
      </c>
      <c r="D145" s="26" t="s">
        <v>2466</v>
      </c>
      <c r="E145" t="s">
        <v>0</v>
      </c>
      <c r="G145" t="s">
        <v>2467</v>
      </c>
      <c r="H145">
        <v>2016</v>
      </c>
      <c r="I145" t="s">
        <v>2468</v>
      </c>
      <c r="J145">
        <v>1</v>
      </c>
      <c r="N145" s="11">
        <v>5</v>
      </c>
      <c r="O145" s="18" t="s">
        <v>3331</v>
      </c>
      <c r="P145" s="26" t="s">
        <v>3265</v>
      </c>
      <c r="Q145" s="26" t="s">
        <v>3204</v>
      </c>
      <c r="R145" s="26" t="s">
        <v>3332</v>
      </c>
      <c r="S145" s="26" t="s">
        <v>1</v>
      </c>
      <c r="T145" s="26" t="s">
        <v>38</v>
      </c>
      <c r="U145" s="26" t="s">
        <v>69</v>
      </c>
      <c r="V145" s="26" t="s">
        <v>3336</v>
      </c>
      <c r="W145" s="26">
        <v>5</v>
      </c>
      <c r="X145" s="26">
        <v>5</v>
      </c>
      <c r="Y145" s="26">
        <v>5</v>
      </c>
      <c r="Z145" s="26">
        <v>5</v>
      </c>
      <c r="AA145" t="s">
        <v>57</v>
      </c>
    </row>
    <row r="146" spans="1:28" x14ac:dyDescent="0.25">
      <c r="A146" s="11">
        <v>145</v>
      </c>
      <c r="B146">
        <v>2815</v>
      </c>
      <c r="C146" t="s">
        <v>1792</v>
      </c>
      <c r="D146" s="8" t="s">
        <v>1793</v>
      </c>
      <c r="E146" t="s">
        <v>0</v>
      </c>
      <c r="G146" t="s">
        <v>1794</v>
      </c>
      <c r="H146">
        <v>2017</v>
      </c>
      <c r="I146" t="s">
        <v>1795</v>
      </c>
      <c r="J146">
        <v>1</v>
      </c>
      <c r="N146" s="11">
        <v>5</v>
      </c>
      <c r="O146" s="18" t="s">
        <v>3496</v>
      </c>
      <c r="P146" s="26" t="s">
        <v>3323</v>
      </c>
      <c r="Q146" s="26" t="s">
        <v>3364</v>
      </c>
      <c r="R146" s="26" t="s">
        <v>3239</v>
      </c>
      <c r="S146" s="26" t="s">
        <v>0</v>
      </c>
      <c r="T146" s="26" t="s">
        <v>38</v>
      </c>
      <c r="U146" s="26" t="s">
        <v>69</v>
      </c>
      <c r="V146" s="26" t="s">
        <v>3512</v>
      </c>
      <c r="W146" s="26">
        <v>5</v>
      </c>
      <c r="X146" s="26">
        <v>5</v>
      </c>
      <c r="Y146" s="26">
        <v>5</v>
      </c>
      <c r="Z146" s="26">
        <v>5</v>
      </c>
      <c r="AA146" t="s">
        <v>3335</v>
      </c>
    </row>
    <row r="147" spans="1:28" x14ac:dyDescent="0.25">
      <c r="A147" s="11">
        <v>146</v>
      </c>
      <c r="B147">
        <v>6367</v>
      </c>
      <c r="C147" t="s">
        <v>156</v>
      </c>
      <c r="D147" t="s">
        <v>157</v>
      </c>
      <c r="E147" t="s">
        <v>6</v>
      </c>
      <c r="F147" t="s">
        <v>321</v>
      </c>
      <c r="G147" t="s">
        <v>322</v>
      </c>
      <c r="H147">
        <v>2016</v>
      </c>
      <c r="I147" t="s">
        <v>266</v>
      </c>
      <c r="J147">
        <v>1</v>
      </c>
      <c r="N147" s="11">
        <v>0</v>
      </c>
      <c r="P147" s="26"/>
      <c r="Q147" s="26"/>
      <c r="R147" s="26"/>
      <c r="S147" s="26"/>
      <c r="T147" s="26"/>
      <c r="U147" s="26"/>
      <c r="V147" s="26"/>
      <c r="W147" s="26">
        <v>0</v>
      </c>
      <c r="X147" s="26">
        <v>0</v>
      </c>
      <c r="Y147" s="26">
        <v>0</v>
      </c>
      <c r="Z147" s="26">
        <v>0</v>
      </c>
    </row>
    <row r="148" spans="1:28" x14ac:dyDescent="0.25">
      <c r="A148" s="11">
        <v>147</v>
      </c>
      <c r="B148">
        <v>3959</v>
      </c>
      <c r="C148" t="s">
        <v>3057</v>
      </c>
      <c r="D148" s="26" t="s">
        <v>3058</v>
      </c>
      <c r="E148" t="s">
        <v>2</v>
      </c>
      <c r="G148" t="s">
        <v>3059</v>
      </c>
      <c r="H148">
        <v>2018</v>
      </c>
      <c r="I148" t="s">
        <v>3060</v>
      </c>
      <c r="J148">
        <v>1</v>
      </c>
      <c r="N148" s="11">
        <v>0</v>
      </c>
      <c r="P148" s="26"/>
      <c r="Q148" s="26"/>
      <c r="R148" s="26"/>
      <c r="S148" s="26"/>
      <c r="T148" s="26"/>
      <c r="U148" s="26"/>
      <c r="V148" s="26"/>
      <c r="W148" s="26">
        <v>0</v>
      </c>
      <c r="X148" s="26">
        <v>0</v>
      </c>
      <c r="Y148" s="26">
        <v>0</v>
      </c>
      <c r="Z148" s="26">
        <v>0</v>
      </c>
    </row>
    <row r="149" spans="1:28" x14ac:dyDescent="0.25">
      <c r="A149" s="11">
        <v>148</v>
      </c>
      <c r="B149">
        <v>2608</v>
      </c>
      <c r="C149" t="s">
        <v>1788</v>
      </c>
      <c r="D149" t="s">
        <v>1789</v>
      </c>
      <c r="E149" t="s">
        <v>1259</v>
      </c>
      <c r="G149" t="s">
        <v>1790</v>
      </c>
      <c r="H149">
        <v>2018</v>
      </c>
      <c r="I149" t="s">
        <v>1791</v>
      </c>
      <c r="J149">
        <v>1</v>
      </c>
      <c r="N149" s="11">
        <v>4</v>
      </c>
      <c r="O149" s="18" t="s">
        <v>3387</v>
      </c>
      <c r="P149" s="26" t="s">
        <v>3613</v>
      </c>
      <c r="Q149" s="26" t="s">
        <v>3279</v>
      </c>
      <c r="R149" s="26" t="s">
        <v>3239</v>
      </c>
      <c r="S149" s="26" t="s">
        <v>0</v>
      </c>
      <c r="T149" s="26" t="s">
        <v>38</v>
      </c>
      <c r="U149" s="26" t="s">
        <v>69</v>
      </c>
      <c r="V149" s="26" t="s">
        <v>3336</v>
      </c>
      <c r="W149" s="26">
        <v>5</v>
      </c>
      <c r="X149" s="26">
        <v>5</v>
      </c>
      <c r="Y149" s="26">
        <v>4</v>
      </c>
      <c r="Z149" s="26">
        <v>4</v>
      </c>
      <c r="AA149" t="s">
        <v>3532</v>
      </c>
    </row>
    <row r="150" spans="1:28" x14ac:dyDescent="0.25">
      <c r="A150" s="11">
        <v>149</v>
      </c>
      <c r="B150">
        <v>2616</v>
      </c>
      <c r="C150" t="s">
        <v>2256</v>
      </c>
      <c r="D150" s="26" t="s">
        <v>2257</v>
      </c>
      <c r="E150" t="s">
        <v>0</v>
      </c>
      <c r="G150" t="s">
        <v>2258</v>
      </c>
      <c r="H150">
        <v>2018</v>
      </c>
      <c r="I150" t="s">
        <v>2259</v>
      </c>
      <c r="J150">
        <v>1</v>
      </c>
      <c r="N150" s="11">
        <v>5</v>
      </c>
      <c r="O150" s="18" t="s">
        <v>3244</v>
      </c>
      <c r="P150" s="26" t="s">
        <v>3527</v>
      </c>
      <c r="Q150" s="26" t="s">
        <v>3578</v>
      </c>
      <c r="R150" s="26" t="s">
        <v>3187</v>
      </c>
      <c r="S150" s="26" t="s">
        <v>0</v>
      </c>
      <c r="T150" s="26" t="s">
        <v>38</v>
      </c>
      <c r="U150" s="26" t="s">
        <v>69</v>
      </c>
      <c r="V150" s="26" t="s">
        <v>3336</v>
      </c>
      <c r="W150" s="26">
        <v>5</v>
      </c>
      <c r="X150" s="26">
        <v>5</v>
      </c>
      <c r="Y150" s="26">
        <v>5</v>
      </c>
      <c r="Z150" s="26">
        <v>5</v>
      </c>
      <c r="AA150" t="s">
        <v>3579</v>
      </c>
    </row>
    <row r="151" spans="1:28" x14ac:dyDescent="0.25">
      <c r="A151" s="11">
        <v>150</v>
      </c>
      <c r="B151">
        <v>3151</v>
      </c>
      <c r="C151" t="s">
        <v>1573</v>
      </c>
      <c r="D151" t="s">
        <v>1574</v>
      </c>
      <c r="E151" t="s">
        <v>0</v>
      </c>
      <c r="G151" t="s">
        <v>1575</v>
      </c>
      <c r="H151">
        <v>2015</v>
      </c>
      <c r="I151" t="s">
        <v>1576</v>
      </c>
      <c r="J151">
        <v>1</v>
      </c>
      <c r="N151" s="11">
        <v>5</v>
      </c>
      <c r="O151" s="18" t="s">
        <v>3157</v>
      </c>
      <c r="P151" s="26" t="s">
        <v>3527</v>
      </c>
      <c r="Q151" s="26" t="s">
        <v>3361</v>
      </c>
      <c r="R151" s="26" t="s">
        <v>3528</v>
      </c>
      <c r="S151" s="26" t="s">
        <v>0</v>
      </c>
      <c r="T151" s="26" t="s">
        <v>38</v>
      </c>
      <c r="U151" s="26" t="s">
        <v>69</v>
      </c>
      <c r="V151" s="26" t="s">
        <v>3336</v>
      </c>
      <c r="W151" s="26">
        <v>5</v>
      </c>
      <c r="X151" s="26">
        <v>5</v>
      </c>
      <c r="Y151" s="26">
        <v>5</v>
      </c>
      <c r="Z151" s="26">
        <v>5</v>
      </c>
      <c r="AA151" t="s">
        <v>57</v>
      </c>
    </row>
    <row r="152" spans="1:28" x14ac:dyDescent="0.25">
      <c r="A152" s="11">
        <v>151</v>
      </c>
      <c r="B152">
        <v>2602</v>
      </c>
      <c r="C152" t="s">
        <v>1766</v>
      </c>
      <c r="D152" t="s">
        <v>1767</v>
      </c>
      <c r="E152" t="s">
        <v>0</v>
      </c>
      <c r="G152" t="s">
        <v>1768</v>
      </c>
      <c r="H152">
        <v>2018</v>
      </c>
      <c r="I152" t="s">
        <v>1769</v>
      </c>
      <c r="J152">
        <v>1</v>
      </c>
      <c r="N152" s="11">
        <v>4</v>
      </c>
      <c r="O152" s="18" t="s">
        <v>3244</v>
      </c>
      <c r="P152" s="26" t="s">
        <v>3503</v>
      </c>
      <c r="Q152" s="26" t="s">
        <v>3505</v>
      </c>
      <c r="R152" s="26" t="s">
        <v>3504</v>
      </c>
      <c r="S152" s="26" t="s">
        <v>0</v>
      </c>
      <c r="T152" s="26" t="s">
        <v>38</v>
      </c>
      <c r="U152" s="26" t="s">
        <v>69</v>
      </c>
      <c r="V152" s="26" t="s">
        <v>3336</v>
      </c>
      <c r="W152" s="26">
        <v>5</v>
      </c>
      <c r="X152" s="26">
        <v>5</v>
      </c>
      <c r="Y152" s="26">
        <v>3</v>
      </c>
      <c r="Z152" s="26">
        <v>5</v>
      </c>
      <c r="AA152" t="s">
        <v>59</v>
      </c>
    </row>
    <row r="153" spans="1:28" x14ac:dyDescent="0.25">
      <c r="A153" s="11">
        <v>152</v>
      </c>
      <c r="B153">
        <v>4431</v>
      </c>
      <c r="C153" t="s">
        <v>1492</v>
      </c>
      <c r="D153" t="s">
        <v>3145</v>
      </c>
      <c r="E153" t="s">
        <v>2947</v>
      </c>
      <c r="G153" t="s">
        <v>3146</v>
      </c>
      <c r="H153">
        <v>2014</v>
      </c>
      <c r="I153" t="s">
        <v>3147</v>
      </c>
      <c r="J153">
        <v>1</v>
      </c>
      <c r="N153" s="11">
        <v>0</v>
      </c>
      <c r="P153" s="26"/>
      <c r="Q153" s="26"/>
      <c r="R153" s="26"/>
      <c r="S153" s="26"/>
      <c r="T153" s="26"/>
      <c r="U153" s="26"/>
      <c r="V153" s="26"/>
      <c r="W153" s="26">
        <v>0</v>
      </c>
      <c r="X153" s="26">
        <v>0</v>
      </c>
      <c r="Y153" s="26">
        <v>0</v>
      </c>
      <c r="Z153" s="26">
        <v>0</v>
      </c>
    </row>
    <row r="154" spans="1:28" x14ac:dyDescent="0.25">
      <c r="A154" s="11">
        <v>153</v>
      </c>
      <c r="B154">
        <v>3168</v>
      </c>
      <c r="C154" t="s">
        <v>2545</v>
      </c>
      <c r="D154" t="s">
        <v>2546</v>
      </c>
      <c r="E154" t="s">
        <v>0</v>
      </c>
      <c r="G154" t="s">
        <v>2547</v>
      </c>
      <c r="H154">
        <v>2015</v>
      </c>
      <c r="I154" t="s">
        <v>2548</v>
      </c>
      <c r="J154">
        <v>1</v>
      </c>
      <c r="N154" s="11">
        <v>0</v>
      </c>
      <c r="P154" s="26"/>
      <c r="Q154" s="26"/>
      <c r="R154" s="26"/>
      <c r="S154" s="26"/>
      <c r="T154" s="26"/>
      <c r="U154" s="26"/>
      <c r="V154" s="26"/>
      <c r="W154" s="26">
        <v>0</v>
      </c>
      <c r="X154" s="26">
        <v>0</v>
      </c>
      <c r="Y154" s="26">
        <v>0</v>
      </c>
      <c r="Z154" s="26">
        <v>0</v>
      </c>
    </row>
    <row r="155" spans="1:28" x14ac:dyDescent="0.25">
      <c r="A155" s="11">
        <v>154</v>
      </c>
      <c r="B155">
        <v>3559</v>
      </c>
      <c r="C155" t="s">
        <v>1712</v>
      </c>
      <c r="D155" t="s">
        <v>1713</v>
      </c>
      <c r="E155" t="s">
        <v>0</v>
      </c>
      <c r="G155" t="s">
        <v>1714</v>
      </c>
      <c r="H155">
        <v>2013</v>
      </c>
      <c r="I155" t="s">
        <v>1715</v>
      </c>
      <c r="J155">
        <v>1</v>
      </c>
      <c r="N155" s="11">
        <v>0</v>
      </c>
      <c r="P155" s="26"/>
      <c r="Q155" s="26"/>
      <c r="R155" s="26"/>
      <c r="S155" s="26"/>
      <c r="T155" s="26"/>
      <c r="U155" s="26"/>
      <c r="V155" s="26"/>
      <c r="W155" s="26">
        <v>0</v>
      </c>
      <c r="X155" s="26">
        <v>0</v>
      </c>
      <c r="Y155" s="26">
        <v>0</v>
      </c>
      <c r="Z155" s="26">
        <v>0</v>
      </c>
    </row>
    <row r="156" spans="1:28" x14ac:dyDescent="0.25">
      <c r="A156" s="11">
        <v>155</v>
      </c>
      <c r="B156">
        <v>3566</v>
      </c>
      <c r="C156" t="s">
        <v>1330</v>
      </c>
      <c r="D156" s="26" t="s">
        <v>1331</v>
      </c>
      <c r="E156" t="s">
        <v>2</v>
      </c>
      <c r="G156" t="s">
        <v>1332</v>
      </c>
      <c r="H156">
        <v>2013</v>
      </c>
      <c r="I156" t="s">
        <v>1333</v>
      </c>
      <c r="J156">
        <v>1</v>
      </c>
      <c r="N156" s="11">
        <v>0</v>
      </c>
      <c r="O156" s="18" t="s">
        <v>3244</v>
      </c>
      <c r="P156" s="26" t="s">
        <v>3334</v>
      </c>
      <c r="Q156" s="26" t="s">
        <v>3258</v>
      </c>
      <c r="R156" s="26" t="s">
        <v>3265</v>
      </c>
      <c r="S156" s="26" t="s">
        <v>3</v>
      </c>
      <c r="T156" s="26" t="s">
        <v>38</v>
      </c>
      <c r="U156" s="26" t="s">
        <v>69</v>
      </c>
      <c r="V156" s="26" t="s">
        <v>3333</v>
      </c>
      <c r="W156" s="26">
        <v>2</v>
      </c>
      <c r="X156" s="26">
        <v>5</v>
      </c>
      <c r="Y156" s="26">
        <v>5</v>
      </c>
      <c r="Z156" s="26">
        <v>5</v>
      </c>
      <c r="AA156" t="s">
        <v>3335</v>
      </c>
    </row>
    <row r="157" spans="1:28" x14ac:dyDescent="0.25">
      <c r="A157" s="11">
        <v>156</v>
      </c>
      <c r="B157">
        <v>2651</v>
      </c>
      <c r="C157" t="s">
        <v>1284</v>
      </c>
      <c r="D157" s="13" t="s">
        <v>1285</v>
      </c>
      <c r="E157" t="s">
        <v>0</v>
      </c>
      <c r="G157" t="s">
        <v>1286</v>
      </c>
      <c r="H157">
        <v>2018</v>
      </c>
      <c r="I157" t="s">
        <v>1287</v>
      </c>
      <c r="J157">
        <v>1</v>
      </c>
      <c r="N157" s="11">
        <v>5</v>
      </c>
      <c r="O157" s="18" t="s">
        <v>3244</v>
      </c>
      <c r="P157" s="26" t="s">
        <v>3634</v>
      </c>
      <c r="Q157" s="26" t="s">
        <v>3436</v>
      </c>
      <c r="R157" s="26" t="s">
        <v>3239</v>
      </c>
      <c r="S157" s="26" t="s">
        <v>0</v>
      </c>
      <c r="T157" s="26" t="s">
        <v>3622</v>
      </c>
      <c r="U157" s="26" t="s">
        <v>69</v>
      </c>
      <c r="V157" s="26" t="s">
        <v>3336</v>
      </c>
      <c r="W157" s="26">
        <v>5</v>
      </c>
      <c r="X157" s="26">
        <v>5</v>
      </c>
      <c r="Y157" s="26">
        <v>5</v>
      </c>
      <c r="Z157" s="26">
        <v>5</v>
      </c>
      <c r="AA157" t="s">
        <v>3635</v>
      </c>
    </row>
    <row r="158" spans="1:28" x14ac:dyDescent="0.25">
      <c r="A158" s="11">
        <v>157</v>
      </c>
      <c r="B158">
        <v>2758</v>
      </c>
      <c r="C158" t="s">
        <v>2122</v>
      </c>
      <c r="D158" t="s">
        <v>2123</v>
      </c>
      <c r="E158" t="s">
        <v>5</v>
      </c>
      <c r="G158" t="s">
        <v>2124</v>
      </c>
      <c r="H158">
        <v>2018</v>
      </c>
      <c r="I158" t="s">
        <v>2125</v>
      </c>
      <c r="J158">
        <v>1</v>
      </c>
      <c r="N158" s="11">
        <v>0</v>
      </c>
      <c r="P158" s="26"/>
      <c r="Q158" s="26"/>
      <c r="R158" s="26"/>
      <c r="S158" s="26"/>
      <c r="T158" s="26"/>
      <c r="U158" s="26"/>
      <c r="V158" s="26"/>
      <c r="W158" s="26">
        <v>0</v>
      </c>
      <c r="X158" s="26">
        <v>0</v>
      </c>
      <c r="Y158" s="26">
        <v>0</v>
      </c>
      <c r="Z158" s="26">
        <v>0</v>
      </c>
      <c r="AB158" t="s">
        <v>3281</v>
      </c>
    </row>
    <row r="159" spans="1:28" x14ac:dyDescent="0.25">
      <c r="A159" s="11">
        <v>158</v>
      </c>
      <c r="B159">
        <v>5892</v>
      </c>
      <c r="C159" t="s">
        <v>734</v>
      </c>
      <c r="D159" s="26" t="s">
        <v>735</v>
      </c>
      <c r="E159" t="s">
        <v>0</v>
      </c>
      <c r="G159" t="s">
        <v>736</v>
      </c>
      <c r="H159">
        <v>2018</v>
      </c>
      <c r="I159" t="s">
        <v>737</v>
      </c>
      <c r="J159">
        <v>1</v>
      </c>
      <c r="N159" s="11">
        <v>5</v>
      </c>
      <c r="O159" s="18" t="s">
        <v>3385</v>
      </c>
      <c r="P159" s="26" t="s">
        <v>3185</v>
      </c>
      <c r="Q159" s="26" t="s">
        <v>3361</v>
      </c>
      <c r="R159" s="26" t="s">
        <v>3577</v>
      </c>
      <c r="S159" s="26" t="s">
        <v>0</v>
      </c>
      <c r="T159" s="26" t="s">
        <v>38</v>
      </c>
      <c r="U159" s="26" t="s">
        <v>69</v>
      </c>
      <c r="V159" s="26" t="s">
        <v>3336</v>
      </c>
      <c r="W159" s="26">
        <v>5</v>
      </c>
      <c r="X159" s="26">
        <v>5</v>
      </c>
      <c r="Y159" s="26">
        <v>5</v>
      </c>
      <c r="Z159" s="26">
        <v>5</v>
      </c>
      <c r="AA159" t="s">
        <v>3611</v>
      </c>
    </row>
    <row r="160" spans="1:28" x14ac:dyDescent="0.25">
      <c r="A160" s="11">
        <v>159</v>
      </c>
      <c r="B160">
        <v>4088</v>
      </c>
      <c r="C160" t="s">
        <v>3003</v>
      </c>
      <c r="D160" s="13" t="s">
        <v>3004</v>
      </c>
      <c r="E160" t="s">
        <v>2</v>
      </c>
      <c r="G160" t="s">
        <v>3005</v>
      </c>
      <c r="H160">
        <v>2017</v>
      </c>
      <c r="I160" t="s">
        <v>3006</v>
      </c>
      <c r="J160">
        <v>1</v>
      </c>
      <c r="N160" s="11">
        <v>0</v>
      </c>
      <c r="P160" s="26"/>
      <c r="Q160" s="26"/>
      <c r="R160" s="26"/>
      <c r="S160" s="26"/>
      <c r="T160" s="26"/>
      <c r="U160" s="26"/>
      <c r="V160" s="26"/>
      <c r="W160" s="26">
        <v>0</v>
      </c>
      <c r="X160" s="26">
        <v>0</v>
      </c>
      <c r="Y160" s="26">
        <v>0</v>
      </c>
      <c r="Z160" s="26">
        <v>0</v>
      </c>
    </row>
    <row r="161" spans="1:28" x14ac:dyDescent="0.25">
      <c r="A161" s="11">
        <v>160</v>
      </c>
      <c r="B161">
        <v>2801</v>
      </c>
      <c r="C161" t="s">
        <v>2530</v>
      </c>
      <c r="D161" t="s">
        <v>2531</v>
      </c>
      <c r="E161" t="s">
        <v>0</v>
      </c>
      <c r="G161" t="s">
        <v>2532</v>
      </c>
      <c r="H161">
        <v>2017</v>
      </c>
      <c r="I161" t="s">
        <v>2533</v>
      </c>
      <c r="J161">
        <v>1</v>
      </c>
      <c r="N161" s="11">
        <v>0</v>
      </c>
      <c r="P161" s="26"/>
      <c r="Q161" s="26"/>
      <c r="R161" s="26"/>
      <c r="S161" s="26"/>
      <c r="T161" s="26"/>
      <c r="U161" s="26"/>
      <c r="V161" s="26"/>
      <c r="W161" s="26">
        <v>0</v>
      </c>
      <c r="X161" s="26">
        <v>0</v>
      </c>
      <c r="Y161" s="26">
        <v>0</v>
      </c>
      <c r="Z161" s="26">
        <v>0</v>
      </c>
    </row>
    <row r="162" spans="1:28" x14ac:dyDescent="0.25">
      <c r="A162" s="11">
        <v>161</v>
      </c>
      <c r="B162">
        <v>3608</v>
      </c>
      <c r="C162" t="s">
        <v>2126</v>
      </c>
      <c r="D162" t="s">
        <v>2127</v>
      </c>
      <c r="E162" t="s">
        <v>0</v>
      </c>
      <c r="G162" t="s">
        <v>2128</v>
      </c>
      <c r="H162">
        <v>2013</v>
      </c>
      <c r="I162" t="s">
        <v>2129</v>
      </c>
      <c r="J162">
        <v>1</v>
      </c>
      <c r="N162" s="11">
        <v>0</v>
      </c>
      <c r="P162" s="26"/>
      <c r="Q162" s="26"/>
      <c r="R162" s="26"/>
      <c r="S162" s="26"/>
      <c r="T162" s="26"/>
      <c r="U162" s="26"/>
      <c r="V162" s="26"/>
      <c r="W162" s="26">
        <v>0</v>
      </c>
      <c r="X162" s="26">
        <v>0</v>
      </c>
      <c r="Y162" s="26">
        <v>0</v>
      </c>
      <c r="Z162" s="26">
        <v>0</v>
      </c>
    </row>
    <row r="163" spans="1:28" x14ac:dyDescent="0.25">
      <c r="A163" s="11">
        <v>162</v>
      </c>
      <c r="B163">
        <v>6036</v>
      </c>
      <c r="C163" t="s">
        <v>592</v>
      </c>
      <c r="D163" t="s">
        <v>593</v>
      </c>
      <c r="E163" t="s">
        <v>0</v>
      </c>
      <c r="G163" t="s">
        <v>594</v>
      </c>
      <c r="H163">
        <v>2016</v>
      </c>
      <c r="I163" t="s">
        <v>595</v>
      </c>
      <c r="J163">
        <v>1</v>
      </c>
      <c r="N163" s="11">
        <v>4</v>
      </c>
      <c r="O163" s="18" t="s">
        <v>3244</v>
      </c>
      <c r="P163" s="26" t="s">
        <v>3517</v>
      </c>
      <c r="Q163" s="26" t="s">
        <v>3258</v>
      </c>
      <c r="R163" s="26" t="s">
        <v>3221</v>
      </c>
      <c r="S163" s="26" t="s">
        <v>0</v>
      </c>
      <c r="T163" s="26" t="s">
        <v>38</v>
      </c>
      <c r="U163" s="26" t="s">
        <v>69</v>
      </c>
      <c r="V163" s="26" t="s">
        <v>3516</v>
      </c>
      <c r="W163" s="26">
        <v>5</v>
      </c>
      <c r="X163" s="26">
        <v>5</v>
      </c>
      <c r="Y163" s="26">
        <v>5</v>
      </c>
      <c r="Z163" s="26">
        <v>5</v>
      </c>
      <c r="AA163" t="s">
        <v>3355</v>
      </c>
    </row>
    <row r="164" spans="1:28" x14ac:dyDescent="0.25">
      <c r="A164" s="11">
        <v>163</v>
      </c>
      <c r="B164">
        <v>3220</v>
      </c>
      <c r="C164" t="s">
        <v>2206</v>
      </c>
      <c r="D164" t="s">
        <v>2207</v>
      </c>
      <c r="E164" t="s">
        <v>0</v>
      </c>
      <c r="G164" t="s">
        <v>2208</v>
      </c>
      <c r="H164">
        <v>2015</v>
      </c>
      <c r="I164" t="s">
        <v>2209</v>
      </c>
      <c r="J164">
        <v>0</v>
      </c>
      <c r="K164">
        <v>1</v>
      </c>
      <c r="N164" s="11">
        <v>4</v>
      </c>
      <c r="O164" s="18" t="s">
        <v>3371</v>
      </c>
      <c r="P164" s="26" t="s">
        <v>3517</v>
      </c>
      <c r="Q164" s="26" t="s">
        <v>3364</v>
      </c>
      <c r="R164" s="26" t="s">
        <v>3187</v>
      </c>
      <c r="S164" s="26" t="s">
        <v>0</v>
      </c>
      <c r="T164" s="26" t="s">
        <v>41</v>
      </c>
      <c r="U164" s="26" t="s">
        <v>69</v>
      </c>
      <c r="V164" s="26" t="s">
        <v>3336</v>
      </c>
      <c r="W164" s="26">
        <v>4</v>
      </c>
      <c r="X164" s="26">
        <v>4</v>
      </c>
      <c r="Y164" s="26">
        <v>4</v>
      </c>
      <c r="Z164" s="26">
        <v>4</v>
      </c>
      <c r="AA164" t="s">
        <v>3335</v>
      </c>
    </row>
    <row r="165" spans="1:28" x14ac:dyDescent="0.25">
      <c r="A165" s="11">
        <v>164</v>
      </c>
      <c r="B165">
        <v>3013</v>
      </c>
      <c r="C165" t="s">
        <v>1484</v>
      </c>
      <c r="D165" t="s">
        <v>1485</v>
      </c>
      <c r="E165" t="s">
        <v>0</v>
      </c>
      <c r="G165" t="s">
        <v>1486</v>
      </c>
      <c r="H165">
        <v>2016</v>
      </c>
      <c r="I165" t="s">
        <v>1487</v>
      </c>
      <c r="J165">
        <v>1</v>
      </c>
      <c r="N165" s="11">
        <v>4</v>
      </c>
      <c r="O165" s="18" t="s">
        <v>3352</v>
      </c>
      <c r="P165" s="26" t="s">
        <v>3624</v>
      </c>
      <c r="Q165" s="26" t="s">
        <v>3617</v>
      </c>
      <c r="R165" s="26" t="s">
        <v>3586</v>
      </c>
      <c r="S165" s="26" t="s">
        <v>6</v>
      </c>
      <c r="T165" s="26" t="s">
        <v>3622</v>
      </c>
      <c r="U165" s="26" t="s">
        <v>69</v>
      </c>
      <c r="V165" s="26" t="s">
        <v>3336</v>
      </c>
      <c r="W165" s="26">
        <v>4</v>
      </c>
      <c r="X165" s="26">
        <v>4</v>
      </c>
      <c r="Y165" s="26">
        <v>4</v>
      </c>
      <c r="Z165" s="26">
        <v>4</v>
      </c>
      <c r="AA165" t="s">
        <v>3335</v>
      </c>
    </row>
    <row r="166" spans="1:28" s="75" customFormat="1" x14ac:dyDescent="0.25">
      <c r="A166" s="75">
        <v>165</v>
      </c>
      <c r="B166" s="26">
        <v>2784</v>
      </c>
      <c r="C166" s="26" t="s">
        <v>1661</v>
      </c>
      <c r="D166" s="26" t="s">
        <v>1869</v>
      </c>
      <c r="E166" s="26" t="s">
        <v>5</v>
      </c>
      <c r="F166" s="26"/>
      <c r="G166" s="26" t="s">
        <v>1870</v>
      </c>
      <c r="H166" s="26">
        <v>2018</v>
      </c>
      <c r="I166" s="26" t="s">
        <v>1871</v>
      </c>
      <c r="J166" s="26">
        <v>1</v>
      </c>
      <c r="K166" s="26"/>
      <c r="L166" s="26"/>
      <c r="M166" s="26"/>
      <c r="N166" s="26">
        <v>5</v>
      </c>
      <c r="O166" s="18" t="s">
        <v>3383</v>
      </c>
      <c r="P166" s="26" t="s">
        <v>3384</v>
      </c>
      <c r="Q166" s="26" t="s">
        <v>3253</v>
      </c>
      <c r="R166" s="26" t="s">
        <v>3356</v>
      </c>
      <c r="S166" s="26" t="s">
        <v>20</v>
      </c>
      <c r="T166" s="26" t="s">
        <v>38</v>
      </c>
      <c r="U166" s="26" t="s">
        <v>69</v>
      </c>
      <c r="V166" s="26" t="s">
        <v>3336</v>
      </c>
      <c r="W166" s="26">
        <v>5</v>
      </c>
      <c r="X166" s="26">
        <v>5</v>
      </c>
      <c r="Y166" s="26">
        <v>5</v>
      </c>
      <c r="Z166" s="26">
        <v>5</v>
      </c>
      <c r="AA166" s="26" t="s">
        <v>3317</v>
      </c>
      <c r="AB166" s="26"/>
    </row>
    <row r="167" spans="1:28" x14ac:dyDescent="0.25">
      <c r="A167" s="11">
        <v>166</v>
      </c>
      <c r="B167">
        <v>2939</v>
      </c>
      <c r="C167" t="s">
        <v>604</v>
      </c>
      <c r="D167" t="s">
        <v>1658</v>
      </c>
      <c r="E167" t="s">
        <v>0</v>
      </c>
      <c r="G167" t="s">
        <v>1659</v>
      </c>
      <c r="H167">
        <v>2017</v>
      </c>
      <c r="I167" t="s">
        <v>1660</v>
      </c>
      <c r="J167">
        <v>1</v>
      </c>
      <c r="N167" s="11">
        <v>5</v>
      </c>
      <c r="O167" s="18" t="s">
        <v>3385</v>
      </c>
      <c r="P167" s="26" t="s">
        <v>3526</v>
      </c>
      <c r="Q167" s="26" t="s">
        <v>3253</v>
      </c>
      <c r="R167" s="26" t="s">
        <v>3237</v>
      </c>
      <c r="S167" s="26" t="s">
        <v>0</v>
      </c>
      <c r="T167" s="26" t="s">
        <v>38</v>
      </c>
      <c r="U167" s="26" t="s">
        <v>69</v>
      </c>
      <c r="V167" s="26" t="s">
        <v>3336</v>
      </c>
      <c r="W167" s="26">
        <v>5</v>
      </c>
      <c r="X167" s="26">
        <v>5</v>
      </c>
      <c r="Y167" s="26">
        <v>2</v>
      </c>
      <c r="Z167" s="26">
        <v>5</v>
      </c>
      <c r="AA167" t="s">
        <v>3315</v>
      </c>
    </row>
    <row r="168" spans="1:28" x14ac:dyDescent="0.25">
      <c r="A168" s="11">
        <v>167</v>
      </c>
      <c r="B168">
        <v>4232</v>
      </c>
      <c r="C168" t="s">
        <v>1315</v>
      </c>
      <c r="D168" t="s">
        <v>2957</v>
      </c>
      <c r="E168" t="s">
        <v>2</v>
      </c>
      <c r="G168" t="s">
        <v>2958</v>
      </c>
      <c r="H168">
        <v>2016</v>
      </c>
      <c r="I168" t="s">
        <v>2959</v>
      </c>
      <c r="J168">
        <v>1</v>
      </c>
      <c r="N168" s="11">
        <v>5</v>
      </c>
      <c r="O168" s="18" t="s">
        <v>3283</v>
      </c>
      <c r="P168" s="26" t="s">
        <v>3278</v>
      </c>
      <c r="Q168" s="26" t="s">
        <v>3258</v>
      </c>
      <c r="R168" s="26" t="s">
        <v>3243</v>
      </c>
      <c r="S168" s="26" t="s">
        <v>0</v>
      </c>
      <c r="T168" s="26" t="s">
        <v>38</v>
      </c>
      <c r="U168" s="26" t="s">
        <v>69</v>
      </c>
      <c r="V168" s="26" t="s">
        <v>3336</v>
      </c>
      <c r="W168" s="26">
        <v>5</v>
      </c>
      <c r="X168" s="26">
        <v>5</v>
      </c>
      <c r="Y168" s="26">
        <v>5</v>
      </c>
      <c r="Z168" s="26">
        <v>5</v>
      </c>
      <c r="AA168" t="s">
        <v>54</v>
      </c>
    </row>
    <row r="169" spans="1:28" x14ac:dyDescent="0.25">
      <c r="A169" s="11">
        <v>168</v>
      </c>
      <c r="B169">
        <v>5763</v>
      </c>
      <c r="C169" t="s">
        <v>518</v>
      </c>
      <c r="D169" t="s">
        <v>519</v>
      </c>
      <c r="E169" t="s">
        <v>0</v>
      </c>
      <c r="F169" t="s">
        <v>948</v>
      </c>
      <c r="G169" t="s">
        <v>520</v>
      </c>
      <c r="H169">
        <v>2019</v>
      </c>
      <c r="I169" t="s">
        <v>521</v>
      </c>
      <c r="J169">
        <v>1</v>
      </c>
      <c r="N169" s="11">
        <v>0</v>
      </c>
      <c r="P169" s="26"/>
      <c r="Q169" s="26"/>
      <c r="R169" s="26"/>
      <c r="S169" s="26"/>
      <c r="T169" s="26"/>
      <c r="U169" s="26"/>
      <c r="V169" s="26"/>
      <c r="W169" s="26">
        <v>0</v>
      </c>
      <c r="X169" s="26">
        <v>0</v>
      </c>
      <c r="Y169" s="26">
        <v>0</v>
      </c>
      <c r="Z169" s="26">
        <v>0</v>
      </c>
    </row>
    <row r="170" spans="1:28" x14ac:dyDescent="0.25">
      <c r="A170" s="11">
        <v>169</v>
      </c>
      <c r="B170">
        <v>4934</v>
      </c>
      <c r="C170" t="s">
        <v>1072</v>
      </c>
      <c r="D170" t="s">
        <v>1073</v>
      </c>
      <c r="E170" t="s">
        <v>22</v>
      </c>
      <c r="G170" t="s">
        <v>1074</v>
      </c>
      <c r="H170">
        <v>2014</v>
      </c>
      <c r="I170" t="s">
        <v>1075</v>
      </c>
      <c r="J170">
        <v>1</v>
      </c>
      <c r="N170" s="11">
        <v>4</v>
      </c>
      <c r="O170" s="18" t="s">
        <v>3244</v>
      </c>
      <c r="P170" s="26" t="s">
        <v>3278</v>
      </c>
      <c r="Q170" s="26" t="s">
        <v>3258</v>
      </c>
      <c r="R170" s="26" t="s">
        <v>3312</v>
      </c>
      <c r="S170" s="26" t="s">
        <v>0</v>
      </c>
      <c r="T170" s="26" t="s">
        <v>38</v>
      </c>
      <c r="U170" s="26" t="s">
        <v>69</v>
      </c>
      <c r="V170" s="26" t="s">
        <v>3520</v>
      </c>
      <c r="W170" s="26">
        <v>4</v>
      </c>
      <c r="X170" s="26">
        <v>4</v>
      </c>
      <c r="Y170" s="26">
        <v>4</v>
      </c>
      <c r="Z170" s="26">
        <v>4</v>
      </c>
      <c r="AA170" t="s">
        <v>57</v>
      </c>
    </row>
    <row r="171" spans="1:28" x14ac:dyDescent="0.25">
      <c r="A171" s="11">
        <v>170</v>
      </c>
      <c r="B171">
        <v>2740</v>
      </c>
      <c r="C171" t="s">
        <v>2748</v>
      </c>
      <c r="D171" t="s">
        <v>2749</v>
      </c>
      <c r="E171" t="s">
        <v>953</v>
      </c>
      <c r="G171" t="s">
        <v>2750</v>
      </c>
      <c r="H171">
        <v>2018</v>
      </c>
      <c r="I171" t="s">
        <v>2751</v>
      </c>
      <c r="J171">
        <v>1</v>
      </c>
      <c r="N171" s="11">
        <v>5</v>
      </c>
      <c r="O171" s="18" t="s">
        <v>3386</v>
      </c>
      <c r="P171" s="26" t="s">
        <v>3278</v>
      </c>
      <c r="Q171" s="26" t="s">
        <v>3258</v>
      </c>
      <c r="R171" s="26" t="s">
        <v>3395</v>
      </c>
      <c r="S171" s="26" t="s">
        <v>1</v>
      </c>
      <c r="T171" s="26" t="s">
        <v>38</v>
      </c>
      <c r="U171" s="26" t="s">
        <v>69</v>
      </c>
      <c r="V171" s="26" t="s">
        <v>3396</v>
      </c>
      <c r="W171" s="26">
        <v>5</v>
      </c>
      <c r="X171" s="26">
        <v>5</v>
      </c>
      <c r="Y171" s="26">
        <v>5</v>
      </c>
      <c r="Z171" s="26">
        <v>5</v>
      </c>
      <c r="AA171" t="s">
        <v>3349</v>
      </c>
    </row>
    <row r="172" spans="1:28" x14ac:dyDescent="0.25">
      <c r="A172" s="11">
        <v>171</v>
      </c>
      <c r="B172">
        <v>3061</v>
      </c>
      <c r="C172" t="s">
        <v>1214</v>
      </c>
      <c r="D172" t="s">
        <v>1215</v>
      </c>
      <c r="E172" t="s">
        <v>0</v>
      </c>
      <c r="G172" t="s">
        <v>1216</v>
      </c>
      <c r="H172">
        <v>2016</v>
      </c>
      <c r="I172" t="s">
        <v>1217</v>
      </c>
      <c r="J172">
        <v>1</v>
      </c>
      <c r="N172" s="11">
        <v>3</v>
      </c>
      <c r="O172" s="18" t="s">
        <v>3244</v>
      </c>
      <c r="P172" s="26" t="s">
        <v>3278</v>
      </c>
      <c r="Q172" s="26" t="s">
        <v>3253</v>
      </c>
      <c r="R172" s="26" t="s">
        <v>3395</v>
      </c>
      <c r="S172" s="26" t="s">
        <v>0</v>
      </c>
      <c r="T172" s="26" t="s">
        <v>38</v>
      </c>
      <c r="U172" s="26" t="s">
        <v>3263</v>
      </c>
      <c r="V172" s="26" t="s">
        <v>3336</v>
      </c>
      <c r="W172" s="26">
        <v>4</v>
      </c>
      <c r="X172" s="26">
        <v>4</v>
      </c>
      <c r="Y172" s="26">
        <v>4</v>
      </c>
      <c r="Z172" s="26">
        <v>4</v>
      </c>
      <c r="AA172" t="s">
        <v>54</v>
      </c>
    </row>
    <row r="173" spans="1:28" x14ac:dyDescent="0.25">
      <c r="A173" s="11">
        <v>172</v>
      </c>
      <c r="B173">
        <v>3345</v>
      </c>
      <c r="C173" t="s">
        <v>2039</v>
      </c>
      <c r="D173" t="s">
        <v>2040</v>
      </c>
      <c r="E173" t="s">
        <v>0</v>
      </c>
      <c r="G173" t="s">
        <v>2041</v>
      </c>
      <c r="H173">
        <v>2014</v>
      </c>
      <c r="I173" t="s">
        <v>2042</v>
      </c>
      <c r="J173">
        <v>1</v>
      </c>
      <c r="N173" s="11">
        <v>0</v>
      </c>
      <c r="P173" s="26"/>
      <c r="Q173" s="26"/>
      <c r="R173" s="26"/>
      <c r="S173" s="26"/>
      <c r="T173" s="26"/>
      <c r="U173" s="26"/>
      <c r="V173" s="26"/>
      <c r="W173" s="26">
        <v>0</v>
      </c>
      <c r="X173" s="26">
        <v>0</v>
      </c>
      <c r="Y173" s="26">
        <v>0</v>
      </c>
      <c r="Z173" s="26">
        <v>0</v>
      </c>
    </row>
    <row r="174" spans="1:28" x14ac:dyDescent="0.25">
      <c r="A174" s="11">
        <v>173</v>
      </c>
      <c r="B174">
        <v>3166</v>
      </c>
      <c r="C174" t="s">
        <v>1479</v>
      </c>
      <c r="D174" t="s">
        <v>1480</v>
      </c>
      <c r="E174" t="s">
        <v>1481</v>
      </c>
      <c r="G174" t="s">
        <v>1482</v>
      </c>
      <c r="H174">
        <v>2015</v>
      </c>
      <c r="I174" t="s">
        <v>1483</v>
      </c>
      <c r="J174">
        <v>1</v>
      </c>
      <c r="N174" s="11">
        <v>5</v>
      </c>
      <c r="O174" s="18" t="s">
        <v>3244</v>
      </c>
      <c r="P174" s="26" t="s">
        <v>3278</v>
      </c>
      <c r="Q174" s="26" t="s">
        <v>3258</v>
      </c>
      <c r="R174" s="26" t="s">
        <v>3395</v>
      </c>
      <c r="S174" s="26" t="s">
        <v>1</v>
      </c>
      <c r="T174" s="26" t="s">
        <v>38</v>
      </c>
      <c r="U174" s="26" t="s">
        <v>69</v>
      </c>
      <c r="V174" s="26" t="s">
        <v>3241</v>
      </c>
      <c r="W174" s="26">
        <v>5</v>
      </c>
      <c r="X174" s="26">
        <v>5</v>
      </c>
      <c r="Y174" s="26">
        <v>5</v>
      </c>
      <c r="Z174" s="26">
        <v>5</v>
      </c>
      <c r="AA174" t="s">
        <v>3335</v>
      </c>
    </row>
    <row r="175" spans="1:28" x14ac:dyDescent="0.25">
      <c r="A175" s="11">
        <v>174</v>
      </c>
      <c r="B175">
        <v>3383</v>
      </c>
      <c r="C175" t="s">
        <v>1254</v>
      </c>
      <c r="D175" t="s">
        <v>1255</v>
      </c>
      <c r="E175" t="s">
        <v>0</v>
      </c>
      <c r="G175" t="s">
        <v>1256</v>
      </c>
      <c r="H175">
        <v>2014</v>
      </c>
      <c r="I175" t="s">
        <v>1257</v>
      </c>
      <c r="J175">
        <v>1</v>
      </c>
      <c r="N175" s="11">
        <v>0</v>
      </c>
      <c r="P175" s="26"/>
      <c r="Q175" s="26"/>
      <c r="R175" s="26"/>
      <c r="S175" s="26"/>
      <c r="T175" s="26"/>
      <c r="U175" s="26"/>
      <c r="V175" s="26"/>
      <c r="W175" s="26">
        <v>0</v>
      </c>
      <c r="X175" s="26">
        <v>0</v>
      </c>
      <c r="Y175" s="26">
        <v>0</v>
      </c>
      <c r="Z175" s="26">
        <v>0</v>
      </c>
    </row>
    <row r="176" spans="1:28" x14ac:dyDescent="0.25">
      <c r="A176" s="11">
        <v>175</v>
      </c>
      <c r="B176">
        <v>3371</v>
      </c>
      <c r="C176" t="s">
        <v>2318</v>
      </c>
      <c r="D176" s="26" t="s">
        <v>2828</v>
      </c>
      <c r="E176" t="s">
        <v>1193</v>
      </c>
      <c r="G176" t="s">
        <v>2829</v>
      </c>
      <c r="H176">
        <v>2014</v>
      </c>
      <c r="I176" t="s">
        <v>2830</v>
      </c>
      <c r="J176">
        <v>1</v>
      </c>
      <c r="N176" s="11">
        <v>3</v>
      </c>
      <c r="O176" s="18" t="s">
        <v>3244</v>
      </c>
      <c r="P176" s="26" t="s">
        <v>3278</v>
      </c>
      <c r="Q176" s="26" t="s">
        <v>3258</v>
      </c>
      <c r="R176" s="26" t="s">
        <v>3395</v>
      </c>
      <c r="S176" s="26" t="s">
        <v>0</v>
      </c>
      <c r="T176" s="26" t="s">
        <v>38</v>
      </c>
      <c r="U176" s="26" t="s">
        <v>69</v>
      </c>
      <c r="V176" s="26" t="s">
        <v>3457</v>
      </c>
      <c r="W176" s="26">
        <v>4</v>
      </c>
      <c r="X176" s="26">
        <v>4</v>
      </c>
      <c r="Y176" s="26">
        <v>4</v>
      </c>
      <c r="Z176" s="26">
        <v>4</v>
      </c>
      <c r="AA176" t="s">
        <v>58</v>
      </c>
    </row>
    <row r="177" spans="1:28" x14ac:dyDescent="0.25">
      <c r="A177" s="11">
        <v>176</v>
      </c>
      <c r="B177">
        <v>3091</v>
      </c>
      <c r="C177" t="s">
        <v>2223</v>
      </c>
      <c r="D177" t="s">
        <v>2224</v>
      </c>
      <c r="E177" t="s">
        <v>0</v>
      </c>
      <c r="G177" t="s">
        <v>2225</v>
      </c>
      <c r="H177">
        <v>2016</v>
      </c>
      <c r="I177" t="s">
        <v>2226</v>
      </c>
      <c r="J177">
        <v>1</v>
      </c>
      <c r="N177" s="11">
        <v>5</v>
      </c>
      <c r="O177" s="18" t="s">
        <v>3273</v>
      </c>
      <c r="P177" s="26" t="s">
        <v>3490</v>
      </c>
      <c r="Q177" s="26" t="s">
        <v>3258</v>
      </c>
      <c r="R177" s="26" t="s">
        <v>3187</v>
      </c>
      <c r="S177" s="26" t="s">
        <v>0</v>
      </c>
      <c r="T177" s="26" t="s">
        <v>38</v>
      </c>
      <c r="U177" s="26" t="s">
        <v>69</v>
      </c>
      <c r="V177" s="26" t="s">
        <v>3336</v>
      </c>
      <c r="W177" s="26">
        <v>5</v>
      </c>
      <c r="X177" s="26">
        <v>5</v>
      </c>
      <c r="Y177" s="26">
        <v>5</v>
      </c>
      <c r="Z177" s="26">
        <v>5</v>
      </c>
      <c r="AA177" t="s">
        <v>3315</v>
      </c>
    </row>
    <row r="178" spans="1:28" x14ac:dyDescent="0.25">
      <c r="A178" s="11">
        <v>177</v>
      </c>
      <c r="B178">
        <v>5128</v>
      </c>
      <c r="C178" t="s">
        <v>1035</v>
      </c>
      <c r="D178" t="s">
        <v>1036</v>
      </c>
      <c r="E178" t="s">
        <v>24</v>
      </c>
      <c r="G178" t="s">
        <v>1037</v>
      </c>
      <c r="H178">
        <v>2015</v>
      </c>
      <c r="I178" t="s">
        <v>1038</v>
      </c>
      <c r="J178">
        <v>1</v>
      </c>
      <c r="N178" s="11">
        <v>0</v>
      </c>
      <c r="P178" s="26"/>
      <c r="Q178" s="26"/>
      <c r="R178" s="26"/>
      <c r="S178" s="26"/>
      <c r="T178" s="26"/>
      <c r="U178" s="26"/>
      <c r="V178" s="26"/>
      <c r="W178" s="26">
        <v>0</v>
      </c>
      <c r="X178" s="26">
        <v>0</v>
      </c>
      <c r="Y178" s="26">
        <v>0</v>
      </c>
      <c r="Z178" s="26">
        <v>0</v>
      </c>
    </row>
    <row r="179" spans="1:28" x14ac:dyDescent="0.25">
      <c r="A179" s="11">
        <v>178</v>
      </c>
      <c r="B179">
        <v>2838</v>
      </c>
      <c r="C179" t="s">
        <v>1246</v>
      </c>
      <c r="D179" t="s">
        <v>1247</v>
      </c>
      <c r="E179" t="s">
        <v>0</v>
      </c>
      <c r="G179" t="s">
        <v>1248</v>
      </c>
      <c r="H179">
        <v>2017</v>
      </c>
      <c r="I179" t="s">
        <v>1249</v>
      </c>
      <c r="J179">
        <v>1</v>
      </c>
      <c r="N179" s="11">
        <v>0</v>
      </c>
      <c r="P179" s="26"/>
      <c r="Q179" s="26"/>
      <c r="R179" s="26"/>
      <c r="S179" s="26"/>
      <c r="T179" s="26"/>
      <c r="U179" s="26"/>
      <c r="V179" s="26"/>
      <c r="W179" s="26">
        <v>0</v>
      </c>
      <c r="X179" s="26">
        <v>0</v>
      </c>
      <c r="Y179" s="26">
        <v>0</v>
      </c>
      <c r="Z179" s="26">
        <v>0</v>
      </c>
    </row>
    <row r="180" spans="1:28" x14ac:dyDescent="0.25">
      <c r="A180" s="11">
        <v>179</v>
      </c>
      <c r="B180">
        <v>3588</v>
      </c>
      <c r="C180" t="s">
        <v>2248</v>
      </c>
      <c r="D180" s="26" t="s">
        <v>2249</v>
      </c>
      <c r="E180" t="s">
        <v>1388</v>
      </c>
      <c r="G180" t="s">
        <v>2250</v>
      </c>
      <c r="H180">
        <v>2013</v>
      </c>
      <c r="I180" t="s">
        <v>2251</v>
      </c>
      <c r="J180">
        <v>1</v>
      </c>
      <c r="N180" s="11">
        <v>5</v>
      </c>
      <c r="O180" s="18" t="s">
        <v>3385</v>
      </c>
      <c r="P180" s="26" t="s">
        <v>3372</v>
      </c>
      <c r="Q180" s="26" t="s">
        <v>3361</v>
      </c>
      <c r="R180" s="26" t="s">
        <v>3187</v>
      </c>
      <c r="S180" s="26" t="s">
        <v>1</v>
      </c>
      <c r="T180" s="26" t="s">
        <v>38</v>
      </c>
      <c r="U180" s="26" t="s">
        <v>69</v>
      </c>
      <c r="V180" s="26" t="s">
        <v>3336</v>
      </c>
      <c r="W180" s="26">
        <v>5</v>
      </c>
      <c r="X180" s="26">
        <v>5</v>
      </c>
      <c r="Y180" s="26">
        <v>4</v>
      </c>
      <c r="Z180" s="26">
        <v>5</v>
      </c>
      <c r="AA180" t="s">
        <v>56</v>
      </c>
    </row>
    <row r="181" spans="1:28" x14ac:dyDescent="0.25">
      <c r="A181" s="11">
        <v>180</v>
      </c>
      <c r="B181">
        <v>3031</v>
      </c>
      <c r="C181" t="s">
        <v>1475</v>
      </c>
      <c r="D181" t="s">
        <v>1476</v>
      </c>
      <c r="E181" t="s">
        <v>0</v>
      </c>
      <c r="G181" t="s">
        <v>1477</v>
      </c>
      <c r="H181">
        <v>2016</v>
      </c>
      <c r="I181" t="s">
        <v>1478</v>
      </c>
      <c r="J181">
        <v>1</v>
      </c>
      <c r="N181" s="11">
        <v>0</v>
      </c>
      <c r="P181" s="26"/>
      <c r="Q181" s="26"/>
      <c r="R181" s="26"/>
      <c r="S181" s="26"/>
      <c r="T181" s="26"/>
      <c r="U181" s="26"/>
      <c r="V181" s="26"/>
      <c r="W181" s="26">
        <v>0</v>
      </c>
      <c r="X181" s="26">
        <v>0</v>
      </c>
      <c r="Y181" s="26">
        <v>0</v>
      </c>
      <c r="Z181" s="26">
        <v>0</v>
      </c>
    </row>
    <row r="182" spans="1:28" x14ac:dyDescent="0.25">
      <c r="A182" s="11">
        <v>181</v>
      </c>
      <c r="B182">
        <v>3018</v>
      </c>
      <c r="C182" t="s">
        <v>2457</v>
      </c>
      <c r="D182" s="26" t="s">
        <v>2458</v>
      </c>
      <c r="E182" t="s">
        <v>0</v>
      </c>
      <c r="G182" t="s">
        <v>2459</v>
      </c>
      <c r="H182">
        <v>2016</v>
      </c>
      <c r="I182" t="s">
        <v>2460</v>
      </c>
      <c r="J182">
        <v>1</v>
      </c>
      <c r="N182" s="11">
        <v>4</v>
      </c>
      <c r="O182" s="18" t="s">
        <v>3451</v>
      </c>
      <c r="P182" s="26" t="s">
        <v>3372</v>
      </c>
      <c r="Q182" s="26" t="s">
        <v>3253</v>
      </c>
      <c r="R182" s="26" t="s">
        <v>3187</v>
      </c>
      <c r="S182" s="26" t="s">
        <v>0</v>
      </c>
      <c r="T182" s="26" t="s">
        <v>38</v>
      </c>
      <c r="U182" s="26" t="s">
        <v>69</v>
      </c>
      <c r="V182" s="26" t="s">
        <v>3336</v>
      </c>
      <c r="W182" s="26">
        <v>4</v>
      </c>
      <c r="X182" s="26">
        <v>4</v>
      </c>
      <c r="Y182" s="26">
        <v>4</v>
      </c>
      <c r="Z182" s="26">
        <v>4</v>
      </c>
      <c r="AA182" t="s">
        <v>3317</v>
      </c>
    </row>
    <row r="183" spans="1:28" x14ac:dyDescent="0.25">
      <c r="A183" s="11">
        <v>182</v>
      </c>
      <c r="B183">
        <v>4650</v>
      </c>
      <c r="C183" t="s">
        <v>2066</v>
      </c>
      <c r="D183" t="s">
        <v>2951</v>
      </c>
      <c r="E183" t="s">
        <v>2</v>
      </c>
      <c r="G183" t="s">
        <v>2952</v>
      </c>
      <c r="H183">
        <v>2012</v>
      </c>
      <c r="I183" t="s">
        <v>2953</v>
      </c>
      <c r="J183">
        <v>1</v>
      </c>
      <c r="N183" s="11">
        <v>0</v>
      </c>
      <c r="P183" s="26"/>
      <c r="Q183" s="26"/>
      <c r="R183" s="26"/>
      <c r="S183" s="26"/>
      <c r="T183" s="26"/>
      <c r="U183" s="26"/>
      <c r="V183" s="26"/>
      <c r="W183" s="26">
        <v>0</v>
      </c>
      <c r="X183" s="26">
        <v>0</v>
      </c>
      <c r="Y183" s="26">
        <v>0</v>
      </c>
      <c r="Z183" s="26">
        <v>0</v>
      </c>
      <c r="AB183" t="s">
        <v>3281</v>
      </c>
    </row>
    <row r="184" spans="1:28" x14ac:dyDescent="0.25">
      <c r="A184" s="11">
        <v>183</v>
      </c>
      <c r="B184" s="44">
        <v>3421</v>
      </c>
      <c r="C184" s="44" t="s">
        <v>1849</v>
      </c>
      <c r="D184" s="44" t="s">
        <v>1907</v>
      </c>
      <c r="E184" s="44" t="s">
        <v>0</v>
      </c>
      <c r="F184" s="44"/>
      <c r="G184" s="44" t="s">
        <v>1908</v>
      </c>
      <c r="H184" s="44">
        <v>2014</v>
      </c>
      <c r="I184" s="44" t="s">
        <v>1909</v>
      </c>
      <c r="J184" s="44">
        <v>1</v>
      </c>
      <c r="K184" s="44"/>
      <c r="L184" s="44"/>
      <c r="M184" s="44"/>
      <c r="N184" s="44">
        <v>4</v>
      </c>
      <c r="O184" s="45" t="s">
        <v>3610</v>
      </c>
      <c r="P184" s="26" t="s">
        <v>3372</v>
      </c>
      <c r="Q184" s="44" t="s">
        <v>3209</v>
      </c>
      <c r="R184" s="44" t="s">
        <v>3187</v>
      </c>
      <c r="S184" s="44" t="s">
        <v>0</v>
      </c>
      <c r="T184" s="44" t="s">
        <v>38</v>
      </c>
      <c r="U184" s="44" t="s">
        <v>70</v>
      </c>
      <c r="V184" s="44" t="s">
        <v>3512</v>
      </c>
      <c r="W184" s="44">
        <v>4</v>
      </c>
      <c r="X184" s="44">
        <v>4</v>
      </c>
      <c r="Y184" s="44">
        <v>3</v>
      </c>
      <c r="Z184" s="44">
        <v>2</v>
      </c>
      <c r="AA184" s="44" t="s">
        <v>3317</v>
      </c>
      <c r="AB184" s="44"/>
    </row>
    <row r="185" spans="1:28" x14ac:dyDescent="0.25">
      <c r="A185" s="11">
        <v>184</v>
      </c>
      <c r="B185">
        <v>6127</v>
      </c>
      <c r="C185" t="s">
        <v>457</v>
      </c>
      <c r="D185" s="26" t="s">
        <v>458</v>
      </c>
      <c r="E185" t="s">
        <v>0</v>
      </c>
      <c r="F185" t="s">
        <v>933</v>
      </c>
      <c r="G185" t="s">
        <v>459</v>
      </c>
      <c r="H185">
        <v>2015</v>
      </c>
      <c r="I185" t="s">
        <v>460</v>
      </c>
      <c r="J185">
        <v>1</v>
      </c>
      <c r="N185" s="11">
        <v>4</v>
      </c>
      <c r="O185" s="18" t="s">
        <v>3371</v>
      </c>
      <c r="P185" s="26" t="s">
        <v>3372</v>
      </c>
      <c r="Q185" s="26" t="s">
        <v>3373</v>
      </c>
      <c r="R185" s="26" t="s">
        <v>3229</v>
      </c>
      <c r="S185" s="26" t="s">
        <v>0</v>
      </c>
      <c r="T185" s="26" t="s">
        <v>38</v>
      </c>
      <c r="U185" s="26" t="s">
        <v>69</v>
      </c>
      <c r="V185" s="26" t="s">
        <v>3336</v>
      </c>
      <c r="W185" s="26">
        <v>5</v>
      </c>
      <c r="X185" s="26">
        <v>5</v>
      </c>
      <c r="Y185" s="26">
        <v>5</v>
      </c>
      <c r="Z185" s="26">
        <v>5</v>
      </c>
      <c r="AA185" t="s">
        <v>62</v>
      </c>
    </row>
    <row r="186" spans="1:28" x14ac:dyDescent="0.25">
      <c r="A186" s="11">
        <v>185</v>
      </c>
      <c r="B186">
        <v>6142</v>
      </c>
      <c r="C186" t="s">
        <v>526</v>
      </c>
      <c r="D186" t="s">
        <v>527</v>
      </c>
      <c r="E186" t="s">
        <v>121</v>
      </c>
      <c r="F186" t="s">
        <v>950</v>
      </c>
      <c r="G186" t="s">
        <v>528</v>
      </c>
      <c r="H186">
        <v>2018</v>
      </c>
      <c r="I186" t="s">
        <v>529</v>
      </c>
      <c r="J186">
        <v>1</v>
      </c>
      <c r="N186" s="11">
        <v>0</v>
      </c>
      <c r="P186" s="26"/>
      <c r="Q186" s="26"/>
      <c r="R186" s="26"/>
      <c r="S186" s="26"/>
      <c r="T186" s="26"/>
      <c r="U186" s="26"/>
      <c r="V186" s="26"/>
      <c r="W186" s="26">
        <v>0</v>
      </c>
      <c r="X186" s="26">
        <v>0</v>
      </c>
      <c r="Y186" s="26">
        <v>0</v>
      </c>
      <c r="Z186" s="26">
        <v>0</v>
      </c>
    </row>
    <row r="187" spans="1:28" x14ac:dyDescent="0.25">
      <c r="A187" s="11">
        <v>186</v>
      </c>
      <c r="B187">
        <v>5232</v>
      </c>
      <c r="C187" t="s">
        <v>1060</v>
      </c>
      <c r="D187" t="s">
        <v>1061</v>
      </c>
      <c r="E187" t="s">
        <v>24</v>
      </c>
      <c r="G187" t="s">
        <v>1062</v>
      </c>
      <c r="H187">
        <v>2017</v>
      </c>
      <c r="I187" t="s">
        <v>1063</v>
      </c>
      <c r="J187">
        <v>1</v>
      </c>
      <c r="N187" s="11">
        <v>5</v>
      </c>
      <c r="O187" s="18" t="s">
        <v>3496</v>
      </c>
      <c r="P187" s="26" t="s">
        <v>3372</v>
      </c>
      <c r="Q187" s="26" t="s">
        <v>3361</v>
      </c>
      <c r="R187" s="26" t="s">
        <v>3312</v>
      </c>
      <c r="S187" s="26" t="s">
        <v>1</v>
      </c>
      <c r="T187" s="26" t="s">
        <v>38</v>
      </c>
      <c r="U187" s="26" t="s">
        <v>69</v>
      </c>
      <c r="V187" s="26" t="s">
        <v>3336</v>
      </c>
      <c r="W187" s="26">
        <v>4</v>
      </c>
      <c r="X187" s="26">
        <v>4</v>
      </c>
      <c r="Y187" s="26">
        <v>4</v>
      </c>
      <c r="Z187" s="26">
        <v>4</v>
      </c>
      <c r="AA187" t="s">
        <v>59</v>
      </c>
    </row>
    <row r="188" spans="1:28" x14ac:dyDescent="0.25">
      <c r="A188" s="11">
        <v>187</v>
      </c>
      <c r="B188">
        <v>3070</v>
      </c>
      <c r="C188" t="s">
        <v>1845</v>
      </c>
      <c r="D188" t="s">
        <v>1846</v>
      </c>
      <c r="E188" t="s">
        <v>0</v>
      </c>
      <c r="G188" t="s">
        <v>1847</v>
      </c>
      <c r="H188">
        <v>2016</v>
      </c>
      <c r="I188" t="s">
        <v>1848</v>
      </c>
      <c r="J188">
        <v>1</v>
      </c>
      <c r="N188" s="11">
        <v>5</v>
      </c>
      <c r="O188" s="18" t="s">
        <v>3385</v>
      </c>
      <c r="P188" s="26" t="s">
        <v>3372</v>
      </c>
      <c r="Q188" s="26" t="s">
        <v>3316</v>
      </c>
      <c r="R188" s="26" t="s">
        <v>3312</v>
      </c>
      <c r="S188" s="26" t="s">
        <v>0</v>
      </c>
      <c r="T188" s="26" t="s">
        <v>38</v>
      </c>
      <c r="U188" s="26" t="s">
        <v>69</v>
      </c>
      <c r="V188" s="26" t="s">
        <v>3336</v>
      </c>
      <c r="W188" s="26">
        <v>5</v>
      </c>
      <c r="X188" s="26">
        <v>5</v>
      </c>
      <c r="Y188" s="26">
        <v>5</v>
      </c>
      <c r="Z188" s="26">
        <v>5</v>
      </c>
      <c r="AA188" t="s">
        <v>3315</v>
      </c>
    </row>
    <row r="189" spans="1:28" x14ac:dyDescent="0.25">
      <c r="A189" s="11">
        <v>188</v>
      </c>
      <c r="B189">
        <v>3204</v>
      </c>
      <c r="C189" t="s">
        <v>2148</v>
      </c>
      <c r="D189" t="s">
        <v>2149</v>
      </c>
      <c r="E189" t="s">
        <v>0</v>
      </c>
      <c r="G189" t="s">
        <v>2150</v>
      </c>
      <c r="H189">
        <v>2015</v>
      </c>
      <c r="I189" t="s">
        <v>2151</v>
      </c>
      <c r="J189">
        <v>1</v>
      </c>
      <c r="N189" s="11">
        <v>0</v>
      </c>
      <c r="P189" s="26"/>
      <c r="Q189" s="26"/>
      <c r="R189" s="26"/>
      <c r="S189" s="26"/>
      <c r="T189" s="26"/>
      <c r="U189" s="26"/>
      <c r="V189" s="26"/>
      <c r="W189" s="26">
        <v>0</v>
      </c>
      <c r="X189" s="26">
        <v>0</v>
      </c>
      <c r="Y189" s="26">
        <v>0</v>
      </c>
      <c r="Z189" s="26">
        <v>0</v>
      </c>
    </row>
    <row r="190" spans="1:28" x14ac:dyDescent="0.25">
      <c r="A190" s="11">
        <v>189</v>
      </c>
      <c r="B190">
        <v>5852</v>
      </c>
      <c r="C190" t="s">
        <v>883</v>
      </c>
      <c r="D190" s="8" t="s">
        <v>884</v>
      </c>
      <c r="E190" t="s">
        <v>28</v>
      </c>
      <c r="G190" t="s">
        <v>885</v>
      </c>
      <c r="H190">
        <v>2018</v>
      </c>
      <c r="I190" t="s">
        <v>886</v>
      </c>
      <c r="J190">
        <v>1</v>
      </c>
      <c r="N190" s="11">
        <v>4</v>
      </c>
      <c r="O190" s="18" t="s">
        <v>3288</v>
      </c>
      <c r="P190" s="26" t="s">
        <v>3372</v>
      </c>
      <c r="Q190" s="26" t="s">
        <v>3615</v>
      </c>
      <c r="R190" s="26" t="s">
        <v>3395</v>
      </c>
      <c r="S190" s="26" t="s">
        <v>6</v>
      </c>
      <c r="T190" s="26" t="s">
        <v>41</v>
      </c>
      <c r="U190" s="26" t="s">
        <v>69</v>
      </c>
      <c r="V190" s="26" t="s">
        <v>3631</v>
      </c>
      <c r="W190" s="26">
        <v>3</v>
      </c>
      <c r="X190" s="26">
        <v>3</v>
      </c>
      <c r="Y190" s="26">
        <v>3</v>
      </c>
      <c r="Z190" s="26">
        <v>3</v>
      </c>
      <c r="AA190" t="s">
        <v>3315</v>
      </c>
    </row>
    <row r="191" spans="1:28" x14ac:dyDescent="0.25">
      <c r="A191" s="11">
        <v>190</v>
      </c>
      <c r="B191">
        <v>3733</v>
      </c>
      <c r="C191" t="s">
        <v>1969</v>
      </c>
      <c r="D191" t="s">
        <v>1970</v>
      </c>
      <c r="E191" t="s">
        <v>1474</v>
      </c>
      <c r="G191" t="s">
        <v>1971</v>
      </c>
      <c r="H191">
        <v>2012</v>
      </c>
      <c r="I191" t="s">
        <v>1972</v>
      </c>
      <c r="J191">
        <v>1</v>
      </c>
      <c r="N191" s="11">
        <v>5</v>
      </c>
      <c r="O191" s="18" t="s">
        <v>3385</v>
      </c>
      <c r="P191" s="26" t="s">
        <v>3372</v>
      </c>
      <c r="Q191" s="26" t="s">
        <v>3507</v>
      </c>
      <c r="R191" s="26" t="s">
        <v>3257</v>
      </c>
      <c r="S191" s="26" t="s">
        <v>1</v>
      </c>
      <c r="T191" s="26" t="s">
        <v>38</v>
      </c>
      <c r="U191" s="26" t="s">
        <v>69</v>
      </c>
      <c r="V191" s="26" t="s">
        <v>3336</v>
      </c>
      <c r="W191" s="26">
        <v>5</v>
      </c>
      <c r="X191" s="26">
        <v>5</v>
      </c>
      <c r="Y191" s="26">
        <v>5</v>
      </c>
      <c r="Z191" s="26">
        <v>5</v>
      </c>
      <c r="AA191" t="s">
        <v>3335</v>
      </c>
    </row>
    <row r="192" spans="1:28" x14ac:dyDescent="0.25">
      <c r="A192" s="11">
        <v>191</v>
      </c>
      <c r="B192">
        <v>6253</v>
      </c>
      <c r="C192" t="s">
        <v>134</v>
      </c>
      <c r="D192" s="26" t="s">
        <v>135</v>
      </c>
      <c r="E192" t="s">
        <v>6</v>
      </c>
      <c r="F192" t="s">
        <v>301</v>
      </c>
      <c r="G192" t="s">
        <v>302</v>
      </c>
      <c r="H192">
        <v>2018</v>
      </c>
      <c r="I192" t="s">
        <v>257</v>
      </c>
      <c r="J192">
        <v>1</v>
      </c>
      <c r="N192" s="11">
        <v>5</v>
      </c>
      <c r="O192" s="18" t="s">
        <v>3244</v>
      </c>
      <c r="P192" s="26" t="s">
        <v>3305</v>
      </c>
      <c r="Q192" s="26" t="s">
        <v>3303</v>
      </c>
      <c r="R192" s="26" t="s">
        <v>3257</v>
      </c>
      <c r="S192" s="26" t="s">
        <v>6</v>
      </c>
      <c r="T192" s="26" t="s">
        <v>38</v>
      </c>
      <c r="U192" s="26" t="s">
        <v>69</v>
      </c>
      <c r="V192" s="26" t="s">
        <v>3304</v>
      </c>
      <c r="W192" s="26">
        <v>5</v>
      </c>
      <c r="X192" s="26">
        <v>5</v>
      </c>
      <c r="Y192" s="26">
        <v>5</v>
      </c>
      <c r="Z192" s="26">
        <v>5</v>
      </c>
      <c r="AA192" t="s">
        <v>61</v>
      </c>
    </row>
    <row r="193" spans="1:28" x14ac:dyDescent="0.25">
      <c r="A193" s="11">
        <v>192</v>
      </c>
      <c r="B193">
        <v>3690</v>
      </c>
      <c r="C193" t="s">
        <v>2722</v>
      </c>
      <c r="D193" t="s">
        <v>158</v>
      </c>
      <c r="E193" t="s">
        <v>0</v>
      </c>
      <c r="G193" t="s">
        <v>2723</v>
      </c>
      <c r="H193">
        <v>2012</v>
      </c>
      <c r="I193" t="s">
        <v>2724</v>
      </c>
      <c r="J193">
        <v>1</v>
      </c>
      <c r="N193" s="11">
        <v>0</v>
      </c>
      <c r="P193" s="26"/>
      <c r="Q193" s="26"/>
      <c r="R193" s="26"/>
      <c r="S193" s="26"/>
      <c r="T193" s="26"/>
      <c r="U193" s="26"/>
      <c r="V193" s="26"/>
      <c r="W193" s="26">
        <v>0</v>
      </c>
      <c r="X193" s="26">
        <v>0</v>
      </c>
      <c r="Y193" s="26">
        <v>0</v>
      </c>
      <c r="Z193" s="26">
        <v>0</v>
      </c>
    </row>
    <row r="194" spans="1:28" x14ac:dyDescent="0.25">
      <c r="A194" s="11">
        <v>193</v>
      </c>
      <c r="B194">
        <v>5667</v>
      </c>
      <c r="C194" t="s">
        <v>530</v>
      </c>
      <c r="D194" t="s">
        <v>531</v>
      </c>
      <c r="E194" t="s">
        <v>0</v>
      </c>
      <c r="F194" t="s">
        <v>951</v>
      </c>
      <c r="G194" t="s">
        <v>532</v>
      </c>
      <c r="H194">
        <v>2012</v>
      </c>
      <c r="I194" t="s">
        <v>533</v>
      </c>
      <c r="J194">
        <v>1</v>
      </c>
      <c r="N194" s="11">
        <v>0</v>
      </c>
      <c r="P194" s="26"/>
      <c r="Q194" s="26"/>
      <c r="R194" s="26"/>
      <c r="S194" s="26"/>
      <c r="T194" s="26"/>
      <c r="U194" s="26"/>
      <c r="V194" s="26"/>
      <c r="W194" s="26">
        <v>0</v>
      </c>
      <c r="X194" s="26">
        <v>0</v>
      </c>
      <c r="Y194" s="26">
        <v>0</v>
      </c>
      <c r="Z194" s="26">
        <v>0</v>
      </c>
    </row>
    <row r="195" spans="1:28" x14ac:dyDescent="0.25">
      <c r="A195" s="11">
        <v>194</v>
      </c>
      <c r="B195">
        <v>3415</v>
      </c>
      <c r="C195" t="s">
        <v>2361</v>
      </c>
      <c r="D195" t="s">
        <v>2362</v>
      </c>
      <c r="E195" t="s">
        <v>0</v>
      </c>
      <c r="G195" t="s">
        <v>2363</v>
      </c>
      <c r="H195">
        <v>2014</v>
      </c>
      <c r="I195" t="s">
        <v>2364</v>
      </c>
      <c r="J195">
        <v>1</v>
      </c>
      <c r="K195">
        <v>1</v>
      </c>
      <c r="N195" s="11">
        <v>4</v>
      </c>
      <c r="O195" s="18" t="s">
        <v>3244</v>
      </c>
      <c r="P195" s="26" t="s">
        <v>3183</v>
      </c>
      <c r="Q195" s="26" t="s">
        <v>3366</v>
      </c>
      <c r="R195" s="26" t="s">
        <v>3243</v>
      </c>
      <c r="S195" s="26" t="s">
        <v>0</v>
      </c>
      <c r="T195" s="26" t="s">
        <v>38</v>
      </c>
      <c r="U195" s="26" t="s">
        <v>69</v>
      </c>
      <c r="V195" s="26" t="s">
        <v>3336</v>
      </c>
      <c r="W195" s="26">
        <v>5</v>
      </c>
      <c r="X195" s="26">
        <v>5</v>
      </c>
      <c r="Y195" s="26">
        <v>5</v>
      </c>
      <c r="Z195" s="26">
        <v>5</v>
      </c>
      <c r="AA195" t="s">
        <v>66</v>
      </c>
    </row>
    <row r="196" spans="1:28" x14ac:dyDescent="0.25">
      <c r="A196" s="11">
        <v>195</v>
      </c>
      <c r="B196">
        <v>3218</v>
      </c>
      <c r="C196" t="s">
        <v>2866</v>
      </c>
      <c r="D196" t="s">
        <v>2867</v>
      </c>
      <c r="E196" t="s">
        <v>0</v>
      </c>
      <c r="F196" t="s">
        <v>3276</v>
      </c>
      <c r="G196" t="s">
        <v>2868</v>
      </c>
      <c r="H196">
        <v>2015</v>
      </c>
      <c r="I196" t="s">
        <v>2869</v>
      </c>
      <c r="J196">
        <v>1</v>
      </c>
      <c r="L196">
        <v>1</v>
      </c>
      <c r="N196" s="11">
        <v>5</v>
      </c>
      <c r="O196" s="18" t="s">
        <v>3157</v>
      </c>
      <c r="P196" s="26" t="s">
        <v>3183</v>
      </c>
      <c r="Q196" s="26" t="s">
        <v>3210</v>
      </c>
      <c r="R196" s="26" t="s">
        <v>3277</v>
      </c>
      <c r="S196" s="26" t="s">
        <v>6</v>
      </c>
      <c r="T196" s="26" t="s">
        <v>38</v>
      </c>
      <c r="U196" s="26" t="s">
        <v>69</v>
      </c>
      <c r="V196" s="26" t="s">
        <v>3336</v>
      </c>
      <c r="W196" s="26">
        <v>5</v>
      </c>
      <c r="X196" s="26">
        <v>5</v>
      </c>
      <c r="Y196" s="26">
        <v>5</v>
      </c>
      <c r="Z196" s="26">
        <v>5</v>
      </c>
    </row>
    <row r="197" spans="1:28" x14ac:dyDescent="0.25">
      <c r="A197" s="11">
        <v>196</v>
      </c>
      <c r="B197">
        <v>2628</v>
      </c>
      <c r="C197" t="s">
        <v>1469</v>
      </c>
      <c r="D197" t="s">
        <v>1470</v>
      </c>
      <c r="E197" t="s">
        <v>1471</v>
      </c>
      <c r="G197" t="s">
        <v>1472</v>
      </c>
      <c r="H197">
        <v>2018</v>
      </c>
      <c r="I197" t="s">
        <v>1473</v>
      </c>
      <c r="J197">
        <v>1</v>
      </c>
      <c r="N197" s="11">
        <v>0</v>
      </c>
      <c r="P197" s="26"/>
      <c r="Q197" s="26"/>
      <c r="R197" s="26"/>
      <c r="S197" s="26"/>
      <c r="T197" s="26"/>
      <c r="U197" s="26"/>
      <c r="V197" s="26"/>
      <c r="W197" s="26">
        <v>0</v>
      </c>
      <c r="X197" s="26">
        <v>0</v>
      </c>
      <c r="Y197" s="26">
        <v>0</v>
      </c>
      <c r="Z197" s="26">
        <v>0</v>
      </c>
    </row>
    <row r="198" spans="1:28" x14ac:dyDescent="0.25">
      <c r="A198" s="11">
        <v>197</v>
      </c>
      <c r="B198">
        <v>3352</v>
      </c>
      <c r="C198" t="s">
        <v>2518</v>
      </c>
      <c r="D198" t="s">
        <v>2519</v>
      </c>
      <c r="E198" t="s">
        <v>0</v>
      </c>
      <c r="G198" t="s">
        <v>2520</v>
      </c>
      <c r="H198">
        <v>2014</v>
      </c>
      <c r="I198" t="s">
        <v>2521</v>
      </c>
      <c r="J198">
        <v>1</v>
      </c>
      <c r="N198" s="11">
        <v>0</v>
      </c>
      <c r="P198" s="26"/>
      <c r="Q198" s="26"/>
      <c r="R198" s="26"/>
      <c r="S198" s="26"/>
      <c r="T198" s="26"/>
      <c r="U198" s="26"/>
      <c r="V198" s="26"/>
      <c r="W198" s="26">
        <v>0</v>
      </c>
      <c r="X198" s="26">
        <v>0</v>
      </c>
      <c r="Y198" s="26">
        <v>0</v>
      </c>
      <c r="Z198" s="26">
        <v>0</v>
      </c>
    </row>
    <row r="199" spans="1:28" x14ac:dyDescent="0.25">
      <c r="A199" s="11">
        <v>198</v>
      </c>
      <c r="B199">
        <v>3160</v>
      </c>
      <c r="C199" t="s">
        <v>2810</v>
      </c>
      <c r="D199" t="s">
        <v>2811</v>
      </c>
      <c r="E199" t="s">
        <v>0</v>
      </c>
      <c r="G199" t="s">
        <v>2812</v>
      </c>
      <c r="H199">
        <v>2015</v>
      </c>
      <c r="I199" t="s">
        <v>2813</v>
      </c>
      <c r="J199">
        <v>1</v>
      </c>
      <c r="N199" s="11">
        <v>5</v>
      </c>
      <c r="O199" s="18" t="s">
        <v>3157</v>
      </c>
      <c r="P199" s="26" t="s">
        <v>3183</v>
      </c>
      <c r="Q199" s="26" t="s">
        <v>3337</v>
      </c>
      <c r="R199" s="26" t="s">
        <v>3257</v>
      </c>
      <c r="S199" s="26" t="s">
        <v>0</v>
      </c>
      <c r="T199" s="26" t="s">
        <v>38</v>
      </c>
      <c r="U199" s="26" t="s">
        <v>69</v>
      </c>
      <c r="V199" s="26" t="s">
        <v>3336</v>
      </c>
      <c r="W199" s="26">
        <v>5</v>
      </c>
      <c r="X199" s="26">
        <v>5</v>
      </c>
      <c r="Y199" s="26">
        <v>5</v>
      </c>
      <c r="Z199" s="26">
        <v>5</v>
      </c>
      <c r="AA199" t="s">
        <v>3338</v>
      </c>
    </row>
    <row r="200" spans="1:28" x14ac:dyDescent="0.25">
      <c r="A200" s="11">
        <v>199</v>
      </c>
      <c r="B200">
        <v>3720</v>
      </c>
      <c r="C200" t="s">
        <v>2680</v>
      </c>
      <c r="D200" t="s">
        <v>2681</v>
      </c>
      <c r="E200" t="s">
        <v>1193</v>
      </c>
      <c r="G200" t="s">
        <v>2682</v>
      </c>
      <c r="H200">
        <v>2012</v>
      </c>
      <c r="I200" t="s">
        <v>2683</v>
      </c>
      <c r="J200">
        <v>1</v>
      </c>
      <c r="N200" s="11">
        <v>0</v>
      </c>
      <c r="P200" s="26"/>
      <c r="Q200" s="26"/>
      <c r="R200" s="26"/>
      <c r="S200" s="26"/>
      <c r="T200" s="26"/>
      <c r="U200" s="26"/>
      <c r="V200" s="26"/>
      <c r="W200" s="26">
        <v>0</v>
      </c>
      <c r="X200" s="26">
        <v>0</v>
      </c>
      <c r="Y200" s="26">
        <v>0</v>
      </c>
      <c r="Z200" s="26">
        <v>0</v>
      </c>
    </row>
    <row r="201" spans="1:28" x14ac:dyDescent="0.25">
      <c r="A201" s="11">
        <v>200</v>
      </c>
      <c r="B201">
        <v>6102</v>
      </c>
      <c r="C201" t="s">
        <v>763</v>
      </c>
      <c r="D201" t="s">
        <v>764</v>
      </c>
      <c r="E201" t="s">
        <v>0</v>
      </c>
      <c r="G201" t="s">
        <v>765</v>
      </c>
      <c r="H201">
        <v>2015</v>
      </c>
      <c r="I201" t="s">
        <v>766</v>
      </c>
      <c r="J201">
        <v>1</v>
      </c>
      <c r="N201" s="11">
        <v>5</v>
      </c>
      <c r="O201" s="18" t="s">
        <v>3555</v>
      </c>
      <c r="P201" s="26" t="s">
        <v>3183</v>
      </c>
      <c r="Q201" s="26" t="s">
        <v>3437</v>
      </c>
      <c r="R201" s="26" t="s">
        <v>3257</v>
      </c>
      <c r="S201" s="26" t="s">
        <v>0</v>
      </c>
      <c r="T201" s="26" t="s">
        <v>38</v>
      </c>
      <c r="U201" s="26" t="s">
        <v>3263</v>
      </c>
      <c r="V201" s="26" t="s">
        <v>3336</v>
      </c>
      <c r="W201" s="26">
        <v>5</v>
      </c>
      <c r="X201" s="26">
        <v>4</v>
      </c>
      <c r="Y201" s="26">
        <v>5</v>
      </c>
      <c r="Z201" s="26">
        <v>5</v>
      </c>
      <c r="AA201" t="s">
        <v>3618</v>
      </c>
    </row>
    <row r="202" spans="1:28" x14ac:dyDescent="0.25">
      <c r="A202" s="11">
        <v>201</v>
      </c>
      <c r="B202">
        <v>3708</v>
      </c>
      <c r="C202" t="s">
        <v>1202</v>
      </c>
      <c r="D202" t="s">
        <v>1203</v>
      </c>
      <c r="E202" t="s">
        <v>5</v>
      </c>
      <c r="G202" t="s">
        <v>1204</v>
      </c>
      <c r="H202">
        <v>2012</v>
      </c>
      <c r="I202" t="s">
        <v>1205</v>
      </c>
      <c r="J202">
        <v>1</v>
      </c>
      <c r="N202" s="11">
        <v>0</v>
      </c>
      <c r="AB202" t="s">
        <v>3281</v>
      </c>
    </row>
    <row r="203" spans="1:28" x14ac:dyDescent="0.25">
      <c r="A203" s="11">
        <v>202</v>
      </c>
      <c r="B203">
        <v>3620</v>
      </c>
      <c r="C203" t="s">
        <v>1194</v>
      </c>
      <c r="D203" s="26" t="s">
        <v>1195</v>
      </c>
      <c r="E203" t="s">
        <v>5</v>
      </c>
      <c r="G203" t="s">
        <v>1196</v>
      </c>
      <c r="H203">
        <v>2013</v>
      </c>
      <c r="I203" t="s">
        <v>1197</v>
      </c>
      <c r="J203">
        <v>1</v>
      </c>
      <c r="N203" s="11">
        <v>2</v>
      </c>
      <c r="O203" s="18" t="s">
        <v>3386</v>
      </c>
      <c r="P203" s="26" t="s">
        <v>3184</v>
      </c>
      <c r="Q203" s="26" t="s">
        <v>3258</v>
      </c>
      <c r="R203" s="26" t="s">
        <v>3243</v>
      </c>
      <c r="S203" s="26" t="s">
        <v>20</v>
      </c>
      <c r="T203" s="26" t="s">
        <v>38</v>
      </c>
      <c r="U203" s="26" t="s">
        <v>69</v>
      </c>
      <c r="V203" s="26" t="s">
        <v>3336</v>
      </c>
      <c r="W203" s="26">
        <v>5</v>
      </c>
      <c r="X203" s="26">
        <v>3</v>
      </c>
      <c r="Y203" s="26">
        <v>2</v>
      </c>
      <c r="Z203" s="26">
        <v>3</v>
      </c>
      <c r="AA203" t="s">
        <v>3335</v>
      </c>
    </row>
    <row r="204" spans="1:28" x14ac:dyDescent="0.25">
      <c r="A204" s="11">
        <v>203</v>
      </c>
      <c r="B204">
        <v>2877</v>
      </c>
      <c r="C204" t="s">
        <v>2318</v>
      </c>
      <c r="D204" t="s">
        <v>2319</v>
      </c>
      <c r="E204" t="s">
        <v>0</v>
      </c>
      <c r="G204" t="s">
        <v>2320</v>
      </c>
      <c r="H204">
        <v>2017</v>
      </c>
      <c r="I204" t="s">
        <v>2321</v>
      </c>
      <c r="J204">
        <v>1</v>
      </c>
      <c r="N204" s="11">
        <v>0</v>
      </c>
      <c r="P204" s="26"/>
      <c r="Q204" s="26"/>
      <c r="R204" s="26"/>
      <c r="S204" s="26"/>
      <c r="T204" s="26"/>
      <c r="U204" s="26"/>
      <c r="V204" s="26"/>
      <c r="W204" s="26">
        <v>0</v>
      </c>
      <c r="X204" s="26">
        <v>0</v>
      </c>
      <c r="Y204" s="26">
        <v>0</v>
      </c>
      <c r="Z204" s="26">
        <v>0</v>
      </c>
    </row>
    <row r="205" spans="1:28" x14ac:dyDescent="0.25">
      <c r="A205" s="11">
        <v>204</v>
      </c>
      <c r="B205">
        <v>4469</v>
      </c>
      <c r="C205" t="s">
        <v>1512</v>
      </c>
      <c r="D205" t="s">
        <v>2933</v>
      </c>
      <c r="E205" t="s">
        <v>3</v>
      </c>
      <c r="G205" t="s">
        <v>2934</v>
      </c>
      <c r="H205">
        <v>2014</v>
      </c>
      <c r="I205" t="s">
        <v>2935</v>
      </c>
      <c r="J205">
        <v>1</v>
      </c>
      <c r="N205" s="11">
        <v>0</v>
      </c>
      <c r="P205" s="26"/>
      <c r="Q205" s="26"/>
      <c r="R205" s="26"/>
      <c r="S205" s="26"/>
      <c r="T205" s="26"/>
      <c r="U205" s="26"/>
      <c r="V205" s="26"/>
      <c r="W205" s="26">
        <v>0</v>
      </c>
      <c r="X205" s="26">
        <v>0</v>
      </c>
      <c r="Y205" s="26">
        <v>0</v>
      </c>
      <c r="Z205" s="26">
        <v>0</v>
      </c>
    </row>
    <row r="206" spans="1:28" x14ac:dyDescent="0.25">
      <c r="A206" s="11">
        <v>205</v>
      </c>
      <c r="B206">
        <v>3149</v>
      </c>
      <c r="C206" t="s">
        <v>1512</v>
      </c>
      <c r="D206" t="s">
        <v>1513</v>
      </c>
      <c r="E206" t="s">
        <v>0</v>
      </c>
      <c r="G206" t="s">
        <v>1514</v>
      </c>
      <c r="H206">
        <v>2015</v>
      </c>
      <c r="I206" t="s">
        <v>1515</v>
      </c>
      <c r="J206">
        <v>1</v>
      </c>
      <c r="N206" s="11">
        <v>0</v>
      </c>
      <c r="P206" s="26"/>
      <c r="Q206" s="26"/>
      <c r="R206" s="26"/>
      <c r="S206" s="26"/>
      <c r="T206" s="26"/>
      <c r="U206" s="26"/>
      <c r="V206" s="26"/>
      <c r="W206" s="26"/>
      <c r="X206" s="26"/>
      <c r="Y206" s="26"/>
      <c r="Z206" s="26"/>
    </row>
    <row r="207" spans="1:28" x14ac:dyDescent="0.25">
      <c r="A207" s="11">
        <v>206</v>
      </c>
      <c r="B207">
        <v>5979</v>
      </c>
      <c r="C207" t="s">
        <v>425</v>
      </c>
      <c r="D207" t="s">
        <v>426</v>
      </c>
      <c r="E207" t="s">
        <v>0</v>
      </c>
      <c r="F207" t="s">
        <v>926</v>
      </c>
      <c r="G207" t="s">
        <v>427</v>
      </c>
      <c r="H207">
        <v>2015</v>
      </c>
      <c r="I207" t="s">
        <v>428</v>
      </c>
      <c r="J207">
        <v>1</v>
      </c>
      <c r="N207" s="11">
        <v>4</v>
      </c>
      <c r="O207" s="18" t="s">
        <v>3311</v>
      </c>
      <c r="P207" s="26" t="s">
        <v>3184</v>
      </c>
      <c r="Q207" s="26" t="s">
        <v>3310</v>
      </c>
      <c r="R207" s="26" t="s">
        <v>3236</v>
      </c>
      <c r="S207" s="26" t="s">
        <v>0</v>
      </c>
      <c r="T207" s="26" t="s">
        <v>38</v>
      </c>
      <c r="U207" s="26" t="s">
        <v>69</v>
      </c>
      <c r="V207" s="26" t="s">
        <v>3336</v>
      </c>
      <c r="W207" s="26">
        <v>5</v>
      </c>
      <c r="X207" s="26">
        <v>5</v>
      </c>
      <c r="Y207" s="26">
        <v>5</v>
      </c>
      <c r="Z207" s="26">
        <v>5</v>
      </c>
      <c r="AA207" t="s">
        <v>57</v>
      </c>
    </row>
    <row r="208" spans="1:28" x14ac:dyDescent="0.25">
      <c r="A208" s="11">
        <v>207</v>
      </c>
      <c r="B208">
        <v>3188</v>
      </c>
      <c r="C208" t="s">
        <v>1984</v>
      </c>
      <c r="D208" t="s">
        <v>1985</v>
      </c>
      <c r="E208" t="s">
        <v>0</v>
      </c>
      <c r="G208" t="s">
        <v>1986</v>
      </c>
      <c r="H208">
        <v>2015</v>
      </c>
      <c r="I208" t="s">
        <v>1987</v>
      </c>
      <c r="J208">
        <v>1</v>
      </c>
      <c r="N208" s="11">
        <v>0</v>
      </c>
      <c r="P208" s="26"/>
      <c r="Q208" s="26"/>
      <c r="R208" s="26"/>
      <c r="S208" s="26"/>
      <c r="T208" s="26"/>
      <c r="U208" s="26"/>
      <c r="V208" s="26"/>
      <c r="W208" s="26">
        <v>0</v>
      </c>
      <c r="X208" s="26">
        <v>0</v>
      </c>
      <c r="Y208" s="26">
        <v>0</v>
      </c>
      <c r="Z208" s="26">
        <v>0</v>
      </c>
    </row>
    <row r="209" spans="1:28" x14ac:dyDescent="0.25">
      <c r="A209" s="11">
        <v>208</v>
      </c>
      <c r="B209">
        <v>3197</v>
      </c>
      <c r="C209" t="s">
        <v>1358</v>
      </c>
      <c r="D209" s="26" t="s">
        <v>1359</v>
      </c>
      <c r="E209" t="s">
        <v>0</v>
      </c>
      <c r="G209" t="s">
        <v>1360</v>
      </c>
      <c r="H209">
        <v>2015</v>
      </c>
      <c r="I209" t="s">
        <v>1361</v>
      </c>
      <c r="J209">
        <v>1</v>
      </c>
      <c r="N209" s="11">
        <v>5</v>
      </c>
      <c r="O209" s="18" t="s">
        <v>3508</v>
      </c>
      <c r="P209" s="26" t="s">
        <v>3509</v>
      </c>
      <c r="Q209" s="26" t="s">
        <v>3510</v>
      </c>
      <c r="R209" s="26" t="s">
        <v>3312</v>
      </c>
      <c r="S209" s="26" t="s">
        <v>0</v>
      </c>
      <c r="T209" s="26" t="s">
        <v>38</v>
      </c>
      <c r="U209" s="26" t="s">
        <v>69</v>
      </c>
      <c r="V209" s="26" t="s">
        <v>3336</v>
      </c>
      <c r="W209" s="26">
        <v>5</v>
      </c>
      <c r="X209" s="26">
        <v>5</v>
      </c>
      <c r="Y209" s="26">
        <v>5</v>
      </c>
      <c r="Z209" s="26">
        <v>5</v>
      </c>
      <c r="AA209" t="s">
        <v>54</v>
      </c>
    </row>
    <row r="210" spans="1:28" x14ac:dyDescent="0.25">
      <c r="A210" s="11">
        <v>210</v>
      </c>
      <c r="B210">
        <v>5936</v>
      </c>
      <c r="C210" t="s">
        <v>538</v>
      </c>
      <c r="D210" t="s">
        <v>539</v>
      </c>
      <c r="E210" t="s">
        <v>0</v>
      </c>
      <c r="G210" t="s">
        <v>540</v>
      </c>
      <c r="H210">
        <v>2018</v>
      </c>
      <c r="I210" t="s">
        <v>541</v>
      </c>
      <c r="J210">
        <v>1</v>
      </c>
      <c r="N210" s="11">
        <v>0</v>
      </c>
      <c r="P210" s="26"/>
      <c r="Q210" s="26"/>
      <c r="R210" s="26"/>
      <c r="S210" s="26"/>
      <c r="T210" s="26"/>
      <c r="U210" s="26"/>
      <c r="V210" s="26"/>
      <c r="W210" s="26">
        <v>0</v>
      </c>
      <c r="X210" s="26">
        <v>0</v>
      </c>
      <c r="Y210" s="26">
        <v>0</v>
      </c>
      <c r="Z210" s="26">
        <v>0</v>
      </c>
    </row>
    <row r="211" spans="1:28" x14ac:dyDescent="0.25">
      <c r="A211" s="11">
        <v>211</v>
      </c>
      <c r="B211">
        <v>3361</v>
      </c>
      <c r="C211" t="s">
        <v>1598</v>
      </c>
      <c r="D211" t="s">
        <v>1599</v>
      </c>
      <c r="E211" t="s">
        <v>0</v>
      </c>
      <c r="G211" t="s">
        <v>1600</v>
      </c>
      <c r="H211">
        <v>2014</v>
      </c>
      <c r="I211" t="s">
        <v>1601</v>
      </c>
      <c r="J211">
        <v>1</v>
      </c>
      <c r="N211" s="11">
        <v>0</v>
      </c>
      <c r="P211" s="26"/>
      <c r="Q211" s="26"/>
      <c r="R211" s="26"/>
      <c r="S211" s="26"/>
      <c r="T211" s="26"/>
      <c r="U211" s="26"/>
      <c r="V211" s="26"/>
      <c r="W211" s="26">
        <v>0</v>
      </c>
      <c r="X211" s="26">
        <v>0</v>
      </c>
      <c r="Y211" s="26">
        <v>0</v>
      </c>
      <c r="Z211" s="26">
        <v>0</v>
      </c>
    </row>
    <row r="212" spans="1:28" x14ac:dyDescent="0.25">
      <c r="A212" s="11">
        <v>212</v>
      </c>
      <c r="B212">
        <v>3350</v>
      </c>
      <c r="C212" t="s">
        <v>2317</v>
      </c>
      <c r="D212" t="s">
        <v>2322</v>
      </c>
      <c r="E212" t="s">
        <v>0</v>
      </c>
      <c r="G212" t="s">
        <v>2323</v>
      </c>
      <c r="H212">
        <v>2014</v>
      </c>
      <c r="I212" t="s">
        <v>2324</v>
      </c>
      <c r="J212">
        <v>1</v>
      </c>
      <c r="N212" s="11">
        <v>0</v>
      </c>
      <c r="P212" s="26"/>
      <c r="Q212" s="26"/>
      <c r="R212" s="26"/>
      <c r="S212" s="26"/>
      <c r="T212" s="26"/>
      <c r="U212" s="26"/>
      <c r="V212" s="26"/>
      <c r="W212" s="26">
        <v>0</v>
      </c>
      <c r="X212" s="26">
        <v>0</v>
      </c>
      <c r="Y212" s="26">
        <v>0</v>
      </c>
      <c r="Z212" s="26">
        <v>0</v>
      </c>
    </row>
    <row r="213" spans="1:28" x14ac:dyDescent="0.25">
      <c r="A213" s="11">
        <v>213</v>
      </c>
      <c r="B213">
        <v>6273</v>
      </c>
      <c r="C213" t="s">
        <v>159</v>
      </c>
      <c r="D213" t="s">
        <v>160</v>
      </c>
      <c r="E213" t="s">
        <v>6</v>
      </c>
      <c r="F213" t="s">
        <v>323</v>
      </c>
      <c r="G213" t="s">
        <v>324</v>
      </c>
      <c r="H213">
        <v>2014</v>
      </c>
      <c r="I213" t="s">
        <v>267</v>
      </c>
      <c r="J213">
        <v>1</v>
      </c>
      <c r="N213" s="11">
        <v>0</v>
      </c>
      <c r="P213" s="26"/>
      <c r="Q213" s="26"/>
      <c r="R213" s="26"/>
      <c r="S213" s="26"/>
      <c r="T213" s="26"/>
      <c r="U213" s="26"/>
      <c r="V213" s="26"/>
      <c r="W213" s="26">
        <v>0</v>
      </c>
      <c r="X213" s="26">
        <v>0</v>
      </c>
      <c r="Y213" s="26">
        <v>0</v>
      </c>
      <c r="Z213" s="26">
        <v>0</v>
      </c>
    </row>
    <row r="214" spans="1:28" x14ac:dyDescent="0.25">
      <c r="A214" s="11">
        <v>214</v>
      </c>
      <c r="B214">
        <v>3367</v>
      </c>
      <c r="C214" t="s">
        <v>2219</v>
      </c>
      <c r="D214" t="s">
        <v>2220</v>
      </c>
      <c r="E214" t="s">
        <v>0</v>
      </c>
      <c r="G214" t="s">
        <v>2221</v>
      </c>
      <c r="H214">
        <v>2014</v>
      </c>
      <c r="I214" t="s">
        <v>2222</v>
      </c>
      <c r="J214">
        <v>1</v>
      </c>
      <c r="N214" s="11">
        <v>5</v>
      </c>
      <c r="O214" s="18" t="s">
        <v>3282</v>
      </c>
      <c r="P214" s="26" t="s">
        <v>3182</v>
      </c>
      <c r="Q214" s="26" t="s">
        <v>3361</v>
      </c>
      <c r="R214" s="26" t="s">
        <v>3187</v>
      </c>
      <c r="S214" s="26" t="s">
        <v>0</v>
      </c>
      <c r="T214" s="26" t="s">
        <v>38</v>
      </c>
      <c r="U214" s="26" t="s">
        <v>69</v>
      </c>
      <c r="V214" s="26" t="s">
        <v>3336</v>
      </c>
      <c r="W214" s="26">
        <v>5</v>
      </c>
      <c r="X214" s="26">
        <v>5</v>
      </c>
      <c r="Y214" s="26">
        <v>5</v>
      </c>
      <c r="Z214" s="26">
        <v>5</v>
      </c>
      <c r="AA214" t="s">
        <v>3402</v>
      </c>
    </row>
    <row r="215" spans="1:28" x14ac:dyDescent="0.25">
      <c r="A215" s="11">
        <v>215</v>
      </c>
      <c r="B215">
        <v>3424</v>
      </c>
      <c r="C215" t="s">
        <v>1198</v>
      </c>
      <c r="D215" t="s">
        <v>1199</v>
      </c>
      <c r="E215" t="s">
        <v>0</v>
      </c>
      <c r="G215" t="s">
        <v>1200</v>
      </c>
      <c r="H215">
        <v>2014</v>
      </c>
      <c r="I215" t="s">
        <v>1201</v>
      </c>
      <c r="J215">
        <v>1</v>
      </c>
      <c r="N215" s="11">
        <v>5</v>
      </c>
      <c r="O215" s="18" t="s">
        <v>3376</v>
      </c>
      <c r="P215" s="26" t="s">
        <v>3182</v>
      </c>
      <c r="Q215" s="26" t="s">
        <v>3316</v>
      </c>
      <c r="R215" s="26" t="s">
        <v>3187</v>
      </c>
      <c r="S215" s="26" t="s">
        <v>0</v>
      </c>
      <c r="T215" s="26" t="s">
        <v>38</v>
      </c>
      <c r="U215" s="26" t="s">
        <v>69</v>
      </c>
      <c r="V215" s="26" t="s">
        <v>3336</v>
      </c>
      <c r="W215" s="26">
        <v>5</v>
      </c>
      <c r="X215" s="26">
        <v>5</v>
      </c>
      <c r="Y215" s="26">
        <v>5</v>
      </c>
      <c r="Z215" s="26">
        <v>5</v>
      </c>
      <c r="AA215" t="s">
        <v>61</v>
      </c>
    </row>
    <row r="216" spans="1:28" x14ac:dyDescent="0.25">
      <c r="A216" s="11">
        <v>216</v>
      </c>
      <c r="B216">
        <v>5646</v>
      </c>
      <c r="C216" t="s">
        <v>542</v>
      </c>
      <c r="D216" t="s">
        <v>543</v>
      </c>
      <c r="E216" t="s">
        <v>0</v>
      </c>
      <c r="G216" t="s">
        <v>544</v>
      </c>
      <c r="H216">
        <v>2016</v>
      </c>
      <c r="I216" t="s">
        <v>545</v>
      </c>
      <c r="J216">
        <v>1</v>
      </c>
      <c r="N216" s="11">
        <v>0</v>
      </c>
      <c r="P216" s="26"/>
      <c r="Q216" s="26"/>
      <c r="R216" s="26"/>
      <c r="S216" s="26"/>
      <c r="T216" s="26"/>
      <c r="U216" s="26"/>
      <c r="V216" s="26"/>
      <c r="W216" s="26">
        <v>0</v>
      </c>
      <c r="X216" s="26">
        <v>0</v>
      </c>
      <c r="Y216" s="26">
        <v>0</v>
      </c>
      <c r="Z216" s="26">
        <v>0</v>
      </c>
    </row>
    <row r="217" spans="1:28" x14ac:dyDescent="0.25">
      <c r="A217" s="11">
        <v>217</v>
      </c>
      <c r="B217">
        <v>3520</v>
      </c>
      <c r="C217" t="s">
        <v>1668</v>
      </c>
      <c r="D217" t="s">
        <v>1669</v>
      </c>
      <c r="E217" t="s">
        <v>1369</v>
      </c>
      <c r="G217" t="s">
        <v>1670</v>
      </c>
      <c r="H217">
        <v>2013</v>
      </c>
      <c r="J217">
        <v>1</v>
      </c>
      <c r="N217" s="11">
        <v>0</v>
      </c>
      <c r="P217" s="26"/>
      <c r="Q217" s="26"/>
      <c r="R217" s="26"/>
      <c r="S217" s="26"/>
      <c r="T217" s="26"/>
      <c r="U217" s="26"/>
      <c r="V217" s="26"/>
      <c r="W217" s="26">
        <v>0</v>
      </c>
      <c r="X217" s="26">
        <v>0</v>
      </c>
      <c r="Y217" s="26">
        <v>0</v>
      </c>
      <c r="Z217" s="26">
        <v>0</v>
      </c>
      <c r="AB217" t="s">
        <v>3281</v>
      </c>
    </row>
    <row r="218" spans="1:28" x14ac:dyDescent="0.25">
      <c r="A218" s="11">
        <v>218</v>
      </c>
      <c r="B218">
        <v>3237</v>
      </c>
      <c r="C218" t="s">
        <v>2381</v>
      </c>
      <c r="D218" t="s">
        <v>2382</v>
      </c>
      <c r="E218" t="s">
        <v>0</v>
      </c>
      <c r="G218" t="s">
        <v>2383</v>
      </c>
      <c r="H218">
        <v>2015</v>
      </c>
      <c r="I218" t="s">
        <v>2384</v>
      </c>
      <c r="J218">
        <v>1</v>
      </c>
      <c r="N218" s="11">
        <v>5</v>
      </c>
      <c r="O218" s="18" t="s">
        <v>3376</v>
      </c>
      <c r="P218" s="26" t="s">
        <v>3182</v>
      </c>
      <c r="Q218" s="26" t="s">
        <v>3210</v>
      </c>
      <c r="R218" s="26" t="s">
        <v>3187</v>
      </c>
      <c r="S218" s="26" t="s">
        <v>0</v>
      </c>
      <c r="T218" s="26" t="s">
        <v>38</v>
      </c>
      <c r="U218" s="26" t="s">
        <v>69</v>
      </c>
      <c r="V218" s="26" t="s">
        <v>3336</v>
      </c>
      <c r="W218" s="26">
        <v>5</v>
      </c>
      <c r="X218" s="26">
        <v>5</v>
      </c>
      <c r="Y218" s="26">
        <v>5</v>
      </c>
      <c r="Z218" s="26">
        <v>5</v>
      </c>
      <c r="AA218" t="s">
        <v>61</v>
      </c>
    </row>
    <row r="219" spans="1:28" x14ac:dyDescent="0.25">
      <c r="A219" s="11">
        <v>219</v>
      </c>
      <c r="B219">
        <v>4566</v>
      </c>
      <c r="C219" t="s">
        <v>2964</v>
      </c>
      <c r="D219" t="s">
        <v>1902</v>
      </c>
      <c r="E219" t="s">
        <v>2</v>
      </c>
      <c r="G219" t="s">
        <v>2965</v>
      </c>
      <c r="H219">
        <v>2013</v>
      </c>
      <c r="I219" t="s">
        <v>2966</v>
      </c>
      <c r="J219">
        <v>1</v>
      </c>
      <c r="N219" s="11">
        <v>0</v>
      </c>
      <c r="P219" s="26"/>
      <c r="Q219" s="26"/>
      <c r="R219" s="26"/>
      <c r="S219" s="26"/>
      <c r="T219" s="26"/>
      <c r="U219" s="26"/>
      <c r="V219" s="26"/>
      <c r="W219" s="26">
        <v>0</v>
      </c>
      <c r="X219" s="26">
        <v>0</v>
      </c>
      <c r="Y219" s="26">
        <v>0</v>
      </c>
      <c r="Z219" s="26">
        <v>0</v>
      </c>
    </row>
    <row r="220" spans="1:28" x14ac:dyDescent="0.25">
      <c r="A220" s="11">
        <v>220</v>
      </c>
      <c r="B220">
        <v>2587</v>
      </c>
      <c r="C220" t="s">
        <v>1910</v>
      </c>
      <c r="D220" t="s">
        <v>1911</v>
      </c>
      <c r="E220" t="s">
        <v>1912</v>
      </c>
      <c r="G220" t="s">
        <v>1913</v>
      </c>
      <c r="H220">
        <v>2018</v>
      </c>
      <c r="I220" t="s">
        <v>1914</v>
      </c>
      <c r="J220">
        <v>1</v>
      </c>
      <c r="N220" s="11">
        <v>5</v>
      </c>
      <c r="O220" s="18" t="s">
        <v>3160</v>
      </c>
      <c r="P220" s="26" t="s">
        <v>3182</v>
      </c>
      <c r="Q220" s="26" t="s">
        <v>3204</v>
      </c>
      <c r="R220" s="26" t="s">
        <v>3243</v>
      </c>
      <c r="S220" s="26" t="s">
        <v>1</v>
      </c>
      <c r="T220" s="26" t="s">
        <v>38</v>
      </c>
      <c r="U220" s="26" t="s">
        <v>69</v>
      </c>
      <c r="V220" s="26" t="s">
        <v>3336</v>
      </c>
      <c r="W220" s="26">
        <v>5</v>
      </c>
      <c r="X220" s="26">
        <v>5</v>
      </c>
      <c r="Y220" s="26">
        <v>5</v>
      </c>
      <c r="Z220" s="26">
        <v>5</v>
      </c>
      <c r="AA220" t="s">
        <v>61</v>
      </c>
    </row>
    <row r="221" spans="1:28" x14ac:dyDescent="0.25">
      <c r="A221" s="11">
        <v>221</v>
      </c>
      <c r="B221">
        <v>2878</v>
      </c>
      <c r="C221" t="s">
        <v>1956</v>
      </c>
      <c r="D221" t="s">
        <v>1957</v>
      </c>
      <c r="E221" t="s">
        <v>0</v>
      </c>
      <c r="G221" t="s">
        <v>1958</v>
      </c>
      <c r="H221">
        <v>2017</v>
      </c>
      <c r="I221" t="s">
        <v>1959</v>
      </c>
      <c r="J221">
        <v>1</v>
      </c>
      <c r="N221" s="11">
        <v>0</v>
      </c>
      <c r="P221" s="26"/>
      <c r="Q221" s="26"/>
      <c r="R221" s="26"/>
      <c r="S221" s="26"/>
      <c r="T221" s="26"/>
      <c r="U221" s="26"/>
      <c r="V221" s="26"/>
      <c r="W221" s="26">
        <v>0</v>
      </c>
      <c r="X221" s="26">
        <v>0</v>
      </c>
      <c r="Y221" s="26">
        <v>0</v>
      </c>
      <c r="Z221" s="26">
        <v>0</v>
      </c>
    </row>
    <row r="222" spans="1:28" x14ac:dyDescent="0.25">
      <c r="A222" s="11">
        <v>222</v>
      </c>
      <c r="B222">
        <v>6021</v>
      </c>
      <c r="C222" t="s">
        <v>871</v>
      </c>
      <c r="D222" s="13" t="s">
        <v>872</v>
      </c>
      <c r="E222" t="s">
        <v>0</v>
      </c>
      <c r="G222" t="s">
        <v>873</v>
      </c>
      <c r="H222">
        <v>2013</v>
      </c>
      <c r="I222" t="s">
        <v>874</v>
      </c>
      <c r="J222">
        <v>1</v>
      </c>
      <c r="N222" s="11">
        <v>5</v>
      </c>
      <c r="O222" s="18" t="s">
        <v>3385</v>
      </c>
      <c r="P222" s="26" t="s">
        <v>3182</v>
      </c>
      <c r="Q222" s="26" t="s">
        <v>3258</v>
      </c>
      <c r="R222" s="26" t="s">
        <v>3228</v>
      </c>
      <c r="S222" s="26" t="s">
        <v>0</v>
      </c>
      <c r="T222" s="26" t="s">
        <v>38</v>
      </c>
      <c r="U222" s="26" t="s">
        <v>69</v>
      </c>
      <c r="V222" s="26" t="s">
        <v>3631</v>
      </c>
      <c r="W222" s="26">
        <v>5</v>
      </c>
      <c r="X222" s="26">
        <v>5</v>
      </c>
      <c r="Y222" s="26">
        <v>5</v>
      </c>
      <c r="Z222" s="26">
        <v>5</v>
      </c>
      <c r="AA222" t="s">
        <v>59</v>
      </c>
    </row>
    <row r="223" spans="1:28" x14ac:dyDescent="0.25">
      <c r="A223" s="11">
        <v>223</v>
      </c>
      <c r="B223">
        <v>6307</v>
      </c>
      <c r="C223" t="s">
        <v>172</v>
      </c>
      <c r="D223" t="s">
        <v>173</v>
      </c>
      <c r="E223" t="s">
        <v>1</v>
      </c>
      <c r="F223" t="s">
        <v>335</v>
      </c>
      <c r="G223" t="s">
        <v>336</v>
      </c>
      <c r="H223" t="s">
        <v>147</v>
      </c>
      <c r="I223">
        <v>1</v>
      </c>
      <c r="J223">
        <v>1</v>
      </c>
      <c r="N223" s="11">
        <v>5</v>
      </c>
      <c r="O223" s="18" t="s">
        <v>3370</v>
      </c>
      <c r="P223" s="26" t="s">
        <v>3182</v>
      </c>
      <c r="Q223" s="26" t="s">
        <v>3361</v>
      </c>
      <c r="R223" s="26" t="s">
        <v>3528</v>
      </c>
      <c r="S223" s="26" t="s">
        <v>1</v>
      </c>
      <c r="T223" s="26" t="s">
        <v>38</v>
      </c>
      <c r="U223" s="26" t="s">
        <v>69</v>
      </c>
      <c r="V223" s="26" t="s">
        <v>3336</v>
      </c>
      <c r="W223" s="26">
        <v>5</v>
      </c>
      <c r="X223" s="26">
        <v>5</v>
      </c>
      <c r="Y223" s="26">
        <v>5</v>
      </c>
      <c r="Z223" s="26">
        <v>5</v>
      </c>
      <c r="AA223" t="s">
        <v>3335</v>
      </c>
    </row>
    <row r="224" spans="1:28" x14ac:dyDescent="0.25">
      <c r="A224" s="11">
        <v>224</v>
      </c>
      <c r="B224">
        <v>3052</v>
      </c>
      <c r="C224" t="s">
        <v>1250</v>
      </c>
      <c r="D224" t="s">
        <v>1251</v>
      </c>
      <c r="E224" t="s">
        <v>0</v>
      </c>
      <c r="G224" t="s">
        <v>1252</v>
      </c>
      <c r="H224">
        <v>2016</v>
      </c>
      <c r="I224" t="s">
        <v>1253</v>
      </c>
      <c r="J224">
        <v>1</v>
      </c>
      <c r="N224" s="11">
        <v>0</v>
      </c>
      <c r="P224" s="26"/>
      <c r="Q224" s="26"/>
      <c r="R224" s="26"/>
      <c r="S224" s="26"/>
      <c r="T224" s="26"/>
      <c r="U224" s="26"/>
      <c r="V224" s="26"/>
      <c r="W224" s="26">
        <v>0</v>
      </c>
      <c r="X224" s="26">
        <v>0</v>
      </c>
      <c r="Y224" s="26">
        <v>0</v>
      </c>
      <c r="Z224" s="26">
        <v>0</v>
      </c>
    </row>
    <row r="225" spans="1:27" x14ac:dyDescent="0.25">
      <c r="A225" s="11">
        <v>225</v>
      </c>
      <c r="B225">
        <v>3322</v>
      </c>
      <c r="C225" t="s">
        <v>1988</v>
      </c>
      <c r="D225" s="8" t="s">
        <v>1989</v>
      </c>
      <c r="E225" t="s">
        <v>953</v>
      </c>
      <c r="G225" t="s">
        <v>1990</v>
      </c>
      <c r="H225">
        <v>2014</v>
      </c>
      <c r="I225" t="s">
        <v>1991</v>
      </c>
      <c r="J225">
        <v>1</v>
      </c>
      <c r="N225" s="11">
        <v>4</v>
      </c>
      <c r="O225" s="18" t="s">
        <v>3629</v>
      </c>
      <c r="P225" s="26" t="s">
        <v>3182</v>
      </c>
      <c r="Q225" s="26" t="s">
        <v>3575</v>
      </c>
      <c r="R225" s="26" t="s">
        <v>3528</v>
      </c>
      <c r="S225" s="26" t="s">
        <v>0</v>
      </c>
      <c r="T225" s="26" t="s">
        <v>3622</v>
      </c>
      <c r="U225" s="26" t="s">
        <v>69</v>
      </c>
      <c r="V225" s="26" t="s">
        <v>3336</v>
      </c>
      <c r="W225" s="26">
        <v>4</v>
      </c>
      <c r="X225" s="26">
        <v>4</v>
      </c>
      <c r="Y225" s="26">
        <v>4</v>
      </c>
      <c r="Z225" s="26">
        <v>4</v>
      </c>
      <c r="AA225" t="s">
        <v>3315</v>
      </c>
    </row>
    <row r="226" spans="1:27" x14ac:dyDescent="0.25">
      <c r="A226" s="11">
        <v>226</v>
      </c>
      <c r="B226">
        <v>5251</v>
      </c>
      <c r="C226" t="s">
        <v>1043</v>
      </c>
      <c r="D226" t="s">
        <v>1044</v>
      </c>
      <c r="E226" t="s">
        <v>22</v>
      </c>
      <c r="G226" t="s">
        <v>1045</v>
      </c>
      <c r="H226">
        <v>2014</v>
      </c>
      <c r="I226" t="s">
        <v>1046</v>
      </c>
      <c r="J226">
        <v>1</v>
      </c>
      <c r="N226" s="11">
        <v>4</v>
      </c>
      <c r="O226" s="18" t="s">
        <v>3446</v>
      </c>
      <c r="P226" s="26" t="s">
        <v>3182</v>
      </c>
      <c r="Q226" s="26" t="s">
        <v>3437</v>
      </c>
      <c r="R226" s="26" t="s">
        <v>3447</v>
      </c>
      <c r="S226" s="26" t="s">
        <v>1</v>
      </c>
      <c r="T226" s="26" t="s">
        <v>38</v>
      </c>
      <c r="U226" s="26" t="s">
        <v>69</v>
      </c>
      <c r="V226" s="26" t="s">
        <v>3336</v>
      </c>
      <c r="W226" s="26">
        <v>5</v>
      </c>
      <c r="X226" s="26">
        <v>5</v>
      </c>
      <c r="Y226" s="26">
        <v>5</v>
      </c>
      <c r="Z226" s="26">
        <v>5</v>
      </c>
      <c r="AA226" t="s">
        <v>65</v>
      </c>
    </row>
    <row r="227" spans="1:27" x14ac:dyDescent="0.25">
      <c r="A227" s="11">
        <v>227</v>
      </c>
      <c r="B227">
        <v>2542</v>
      </c>
      <c r="C227" t="s">
        <v>2445</v>
      </c>
      <c r="D227" t="s">
        <v>2446</v>
      </c>
      <c r="E227" t="s">
        <v>962</v>
      </c>
      <c r="G227" t="s">
        <v>2447</v>
      </c>
      <c r="H227">
        <v>2019</v>
      </c>
      <c r="I227" t="s">
        <v>2448</v>
      </c>
      <c r="J227">
        <v>1</v>
      </c>
      <c r="N227" s="11">
        <v>1</v>
      </c>
      <c r="O227" s="18" t="s">
        <v>3325</v>
      </c>
      <c r="P227" s="26" t="s">
        <v>3182</v>
      </c>
      <c r="Q227" s="26" t="s">
        <v>3209</v>
      </c>
      <c r="R227" s="26" t="s">
        <v>3234</v>
      </c>
      <c r="S227" s="26" t="s">
        <v>1</v>
      </c>
      <c r="T227" s="26" t="s">
        <v>42</v>
      </c>
      <c r="U227" s="26" t="s">
        <v>69</v>
      </c>
      <c r="V227" s="26" t="s">
        <v>3512</v>
      </c>
      <c r="W227" s="26">
        <v>3</v>
      </c>
      <c r="X227" s="26">
        <v>3</v>
      </c>
      <c r="Y227" s="26">
        <v>3</v>
      </c>
      <c r="Z227" s="26">
        <v>3</v>
      </c>
      <c r="AA227" t="s">
        <v>3335</v>
      </c>
    </row>
    <row r="228" spans="1:27" x14ac:dyDescent="0.25">
      <c r="A228" s="11">
        <v>228</v>
      </c>
      <c r="B228">
        <v>2757</v>
      </c>
      <c r="C228" t="s">
        <v>1671</v>
      </c>
      <c r="D228" t="s">
        <v>1672</v>
      </c>
      <c r="E228" t="s">
        <v>5</v>
      </c>
      <c r="G228" t="s">
        <v>1673</v>
      </c>
      <c r="H228">
        <v>2018</v>
      </c>
      <c r="I228" t="s">
        <v>1674</v>
      </c>
      <c r="J228">
        <v>1</v>
      </c>
      <c r="N228" s="11">
        <v>0</v>
      </c>
      <c r="P228" s="26"/>
      <c r="Q228" s="26"/>
      <c r="R228" s="26"/>
      <c r="S228" s="26"/>
      <c r="T228" s="26"/>
      <c r="U228" s="26"/>
      <c r="V228" s="26"/>
      <c r="W228" s="26">
        <v>0</v>
      </c>
      <c r="X228" s="26">
        <v>0</v>
      </c>
      <c r="Y228" s="26">
        <v>0</v>
      </c>
      <c r="Z228" s="26">
        <v>0</v>
      </c>
    </row>
    <row r="229" spans="1:27" x14ac:dyDescent="0.25">
      <c r="A229" s="11">
        <v>229</v>
      </c>
      <c r="B229">
        <v>3043</v>
      </c>
      <c r="C229" t="s">
        <v>2021</v>
      </c>
      <c r="D229" t="s">
        <v>2022</v>
      </c>
      <c r="E229" t="s">
        <v>0</v>
      </c>
      <c r="G229" t="s">
        <v>2023</v>
      </c>
      <c r="H229">
        <v>2016</v>
      </c>
      <c r="I229" t="s">
        <v>2024</v>
      </c>
      <c r="J229">
        <v>1</v>
      </c>
      <c r="N229" s="11">
        <v>0</v>
      </c>
      <c r="P229" s="26"/>
      <c r="Q229" s="26"/>
      <c r="R229" s="26"/>
      <c r="S229" s="26"/>
      <c r="T229" s="26"/>
      <c r="U229" s="26"/>
      <c r="V229" s="26"/>
      <c r="W229" s="26">
        <v>0</v>
      </c>
      <c r="X229" s="26">
        <v>0</v>
      </c>
      <c r="Y229" s="26">
        <v>0</v>
      </c>
      <c r="Z229" s="26">
        <v>0</v>
      </c>
    </row>
    <row r="230" spans="1:27" x14ac:dyDescent="0.25">
      <c r="A230" s="11">
        <v>230</v>
      </c>
      <c r="B230">
        <v>3607</v>
      </c>
      <c r="C230" t="s">
        <v>1837</v>
      </c>
      <c r="D230" s="26" t="s">
        <v>1838</v>
      </c>
      <c r="E230" t="s">
        <v>5</v>
      </c>
      <c r="G230" t="s">
        <v>1839</v>
      </c>
      <c r="H230">
        <v>2013</v>
      </c>
      <c r="I230" t="s">
        <v>1840</v>
      </c>
      <c r="J230">
        <v>0</v>
      </c>
      <c r="N230" s="11">
        <v>3</v>
      </c>
      <c r="O230" s="18" t="s">
        <v>3273</v>
      </c>
      <c r="P230" s="26" t="s">
        <v>3182</v>
      </c>
      <c r="Q230" s="26" t="s">
        <v>3204</v>
      </c>
      <c r="R230" s="26" t="s">
        <v>3236</v>
      </c>
      <c r="S230" s="26" t="s">
        <v>20</v>
      </c>
      <c r="T230" s="26" t="s">
        <v>38</v>
      </c>
      <c r="U230" s="26" t="s">
        <v>69</v>
      </c>
      <c r="V230" s="26" t="s">
        <v>3336</v>
      </c>
      <c r="W230" s="26">
        <v>5</v>
      </c>
      <c r="X230" s="26">
        <v>5</v>
      </c>
      <c r="Y230" s="26">
        <v>5</v>
      </c>
      <c r="Z230" s="26">
        <v>5</v>
      </c>
      <c r="AA230" t="s">
        <v>56</v>
      </c>
    </row>
    <row r="231" spans="1:27" x14ac:dyDescent="0.25">
      <c r="A231" s="11">
        <v>231</v>
      </c>
      <c r="B231">
        <v>2693</v>
      </c>
      <c r="C231" t="s">
        <v>1693</v>
      </c>
      <c r="D231" s="8" t="s">
        <v>1694</v>
      </c>
      <c r="E231" t="s">
        <v>0</v>
      </c>
      <c r="G231" t="s">
        <v>1695</v>
      </c>
      <c r="H231">
        <v>2018</v>
      </c>
      <c r="I231" s="26" t="s">
        <v>1696</v>
      </c>
      <c r="J231">
        <v>1</v>
      </c>
      <c r="N231" s="11">
        <v>0</v>
      </c>
      <c r="P231" s="26"/>
      <c r="Q231" s="26"/>
      <c r="R231" s="26"/>
      <c r="S231" s="26"/>
      <c r="T231" s="26"/>
      <c r="U231" s="26"/>
      <c r="V231" s="26"/>
      <c r="W231" s="26">
        <v>0</v>
      </c>
      <c r="X231" s="26">
        <v>0</v>
      </c>
      <c r="Y231" s="26">
        <v>0</v>
      </c>
      <c r="Z231" s="26">
        <v>0</v>
      </c>
    </row>
    <row r="232" spans="1:27" x14ac:dyDescent="0.25">
      <c r="A232" s="11">
        <v>232</v>
      </c>
      <c r="B232">
        <v>2934</v>
      </c>
      <c r="C232" t="s">
        <v>1440</v>
      </c>
      <c r="D232" t="s">
        <v>2345</v>
      </c>
      <c r="E232" t="s">
        <v>2346</v>
      </c>
      <c r="G232" t="s">
        <v>2347</v>
      </c>
      <c r="H232">
        <v>2017</v>
      </c>
      <c r="I232" t="s">
        <v>2348</v>
      </c>
      <c r="J232">
        <v>1</v>
      </c>
      <c r="N232" s="11">
        <v>5</v>
      </c>
      <c r="O232" s="18" t="s">
        <v>3573</v>
      </c>
      <c r="P232" s="26" t="s">
        <v>3182</v>
      </c>
      <c r="Q232" s="26" t="s">
        <v>3204</v>
      </c>
      <c r="R232" s="26" t="s">
        <v>3524</v>
      </c>
      <c r="S232" s="26" t="s">
        <v>1</v>
      </c>
      <c r="T232" s="26" t="s">
        <v>38</v>
      </c>
      <c r="U232" s="26" t="s">
        <v>69</v>
      </c>
      <c r="V232" s="26" t="s">
        <v>3336</v>
      </c>
      <c r="W232" s="26">
        <v>5</v>
      </c>
      <c r="X232" s="26">
        <v>5</v>
      </c>
      <c r="Y232" s="26">
        <v>5</v>
      </c>
      <c r="Z232" s="26">
        <v>5</v>
      </c>
      <c r="AA232" t="s">
        <v>3355</v>
      </c>
    </row>
    <row r="233" spans="1:27" x14ac:dyDescent="0.25">
      <c r="A233" s="11">
        <v>233</v>
      </c>
      <c r="B233">
        <v>4228</v>
      </c>
      <c r="C233" t="s">
        <v>2936</v>
      </c>
      <c r="D233" t="s">
        <v>2937</v>
      </c>
      <c r="E233" t="s">
        <v>2</v>
      </c>
      <c r="G233" t="s">
        <v>2938</v>
      </c>
      <c r="H233">
        <v>2016</v>
      </c>
      <c r="I233" t="s">
        <v>2939</v>
      </c>
      <c r="J233">
        <v>1</v>
      </c>
      <c r="N233" s="11">
        <v>0</v>
      </c>
    </row>
    <row r="234" spans="1:27" x14ac:dyDescent="0.25">
      <c r="A234" s="11">
        <v>234</v>
      </c>
      <c r="B234">
        <v>3246</v>
      </c>
      <c r="C234" t="s">
        <v>2534</v>
      </c>
      <c r="D234" t="s">
        <v>550</v>
      </c>
      <c r="E234" t="s">
        <v>0</v>
      </c>
      <c r="G234" t="s">
        <v>2535</v>
      </c>
      <c r="H234">
        <v>2015</v>
      </c>
      <c r="I234" t="s">
        <v>2536</v>
      </c>
      <c r="J234">
        <v>1</v>
      </c>
      <c r="N234" s="11">
        <v>0</v>
      </c>
      <c r="P234" s="26"/>
      <c r="Q234" s="26"/>
      <c r="R234" s="26"/>
      <c r="S234" s="26"/>
      <c r="T234" s="26"/>
      <c r="U234" s="26"/>
      <c r="V234" s="26"/>
      <c r="W234" s="26">
        <v>0</v>
      </c>
      <c r="X234" s="26">
        <v>0</v>
      </c>
      <c r="Y234" s="26">
        <v>0</v>
      </c>
      <c r="Z234" s="26">
        <v>0</v>
      </c>
    </row>
    <row r="235" spans="1:27" x14ac:dyDescent="0.25">
      <c r="A235" s="11">
        <v>235</v>
      </c>
      <c r="B235">
        <v>2949</v>
      </c>
      <c r="C235" t="s">
        <v>2801</v>
      </c>
      <c r="D235" t="s">
        <v>2802</v>
      </c>
      <c r="E235" t="s">
        <v>2803</v>
      </c>
      <c r="G235" t="s">
        <v>2804</v>
      </c>
      <c r="H235">
        <v>2017</v>
      </c>
      <c r="I235" t="s">
        <v>2805</v>
      </c>
      <c r="J235">
        <v>1</v>
      </c>
      <c r="N235" s="11">
        <v>5</v>
      </c>
      <c r="O235" s="18" t="s">
        <v>3160</v>
      </c>
      <c r="P235" s="26" t="s">
        <v>3182</v>
      </c>
      <c r="Q235" s="26" t="s">
        <v>3567</v>
      </c>
      <c r="R235" s="26" t="s">
        <v>3239</v>
      </c>
      <c r="S235" s="26" t="s">
        <v>1</v>
      </c>
      <c r="T235" s="26" t="s">
        <v>38</v>
      </c>
      <c r="U235" s="26" t="s">
        <v>69</v>
      </c>
      <c r="V235" s="26" t="s">
        <v>3336</v>
      </c>
      <c r="W235" s="26">
        <v>5</v>
      </c>
      <c r="X235" s="26">
        <v>5</v>
      </c>
      <c r="Y235" s="26">
        <v>5</v>
      </c>
      <c r="Z235" s="26">
        <v>5</v>
      </c>
      <c r="AA235" t="s">
        <v>3568</v>
      </c>
    </row>
    <row r="236" spans="1:27" x14ac:dyDescent="0.25">
      <c r="A236" s="11">
        <v>236</v>
      </c>
      <c r="B236">
        <v>3258</v>
      </c>
      <c r="C236" t="s">
        <v>2270</v>
      </c>
      <c r="D236" t="s">
        <v>2271</v>
      </c>
      <c r="E236" t="s">
        <v>0</v>
      </c>
      <c r="G236" t="s">
        <v>2272</v>
      </c>
      <c r="H236">
        <v>2015</v>
      </c>
      <c r="I236" t="s">
        <v>2273</v>
      </c>
      <c r="J236">
        <v>1</v>
      </c>
      <c r="N236" s="11">
        <v>0</v>
      </c>
      <c r="P236" s="26"/>
      <c r="Q236" s="26"/>
      <c r="R236" s="26"/>
      <c r="S236" s="26"/>
      <c r="T236" s="26"/>
      <c r="U236" s="26"/>
      <c r="V236" s="26"/>
      <c r="W236" s="26">
        <v>0</v>
      </c>
      <c r="X236" s="26">
        <v>0</v>
      </c>
      <c r="Y236" s="26">
        <v>0</v>
      </c>
      <c r="Z236" s="26">
        <v>0</v>
      </c>
    </row>
    <row r="237" spans="1:27" x14ac:dyDescent="0.25">
      <c r="A237" s="11">
        <v>237</v>
      </c>
      <c r="B237">
        <v>3533</v>
      </c>
      <c r="C237" t="s">
        <v>2274</v>
      </c>
      <c r="D237" s="8" t="s">
        <v>2275</v>
      </c>
      <c r="E237" t="s">
        <v>0</v>
      </c>
      <c r="G237" t="s">
        <v>2276</v>
      </c>
      <c r="H237">
        <v>2013</v>
      </c>
      <c r="I237" t="s">
        <v>2277</v>
      </c>
      <c r="J237">
        <v>1</v>
      </c>
      <c r="N237" s="11">
        <v>0</v>
      </c>
      <c r="P237" s="26"/>
      <c r="Q237" s="26"/>
      <c r="R237" s="26"/>
      <c r="S237" s="26"/>
      <c r="T237" s="26"/>
      <c r="U237" s="26"/>
      <c r="V237" s="26"/>
      <c r="W237" s="26">
        <v>0</v>
      </c>
      <c r="X237" s="26">
        <v>0</v>
      </c>
      <c r="Y237" s="26">
        <v>0</v>
      </c>
      <c r="Z237" s="26">
        <v>0</v>
      </c>
    </row>
    <row r="238" spans="1:27" x14ac:dyDescent="0.25">
      <c r="A238" s="11">
        <v>238</v>
      </c>
      <c r="B238">
        <v>2914</v>
      </c>
      <c r="C238" t="s">
        <v>2831</v>
      </c>
      <c r="D238" s="26" t="s">
        <v>2832</v>
      </c>
      <c r="E238" t="s">
        <v>0</v>
      </c>
      <c r="G238" t="s">
        <v>2833</v>
      </c>
      <c r="H238">
        <v>2017</v>
      </c>
      <c r="I238" t="s">
        <v>2834</v>
      </c>
      <c r="J238">
        <v>1</v>
      </c>
      <c r="N238" s="11">
        <v>0</v>
      </c>
      <c r="P238" s="26"/>
      <c r="Q238" s="26"/>
      <c r="R238" s="26"/>
      <c r="S238" s="26"/>
      <c r="T238" s="26"/>
      <c r="U238" s="26"/>
      <c r="V238" s="26"/>
      <c r="W238" s="26">
        <v>0</v>
      </c>
      <c r="X238" s="26">
        <v>0</v>
      </c>
      <c r="Y238" s="26">
        <v>0</v>
      </c>
      <c r="Z238" s="26">
        <v>0</v>
      </c>
    </row>
    <row r="239" spans="1:27" x14ac:dyDescent="0.25">
      <c r="A239" s="11">
        <v>239</v>
      </c>
      <c r="B239">
        <v>3304</v>
      </c>
      <c r="C239" t="s">
        <v>1288</v>
      </c>
      <c r="D239" s="13" t="s">
        <v>1289</v>
      </c>
      <c r="E239" t="s">
        <v>1290</v>
      </c>
      <c r="G239" t="s">
        <v>1291</v>
      </c>
      <c r="H239">
        <v>2015</v>
      </c>
      <c r="I239" t="s">
        <v>1292</v>
      </c>
      <c r="J239">
        <v>1</v>
      </c>
      <c r="N239" s="11">
        <v>5</v>
      </c>
      <c r="O239" s="18" t="s">
        <v>3376</v>
      </c>
      <c r="P239" s="26" t="s">
        <v>3182</v>
      </c>
      <c r="Q239" s="26" t="s">
        <v>3204</v>
      </c>
      <c r="R239" s="26" t="s">
        <v>3332</v>
      </c>
      <c r="S239" s="26" t="s">
        <v>1</v>
      </c>
      <c r="T239" s="26" t="s">
        <v>38</v>
      </c>
      <c r="U239" s="26" t="s">
        <v>69</v>
      </c>
      <c r="V239" s="26" t="s">
        <v>3336</v>
      </c>
      <c r="W239" s="26">
        <v>5</v>
      </c>
      <c r="X239" s="26">
        <v>5</v>
      </c>
      <c r="Y239" s="26">
        <v>3</v>
      </c>
      <c r="Z239" s="26">
        <v>4</v>
      </c>
      <c r="AA239" t="s">
        <v>61</v>
      </c>
    </row>
    <row r="240" spans="1:27" x14ac:dyDescent="0.25">
      <c r="A240" s="11">
        <v>240</v>
      </c>
      <c r="B240">
        <v>5730</v>
      </c>
      <c r="C240" t="s">
        <v>491</v>
      </c>
      <c r="D240" t="s">
        <v>492</v>
      </c>
      <c r="E240" t="s">
        <v>0</v>
      </c>
      <c r="F240" t="s">
        <v>941</v>
      </c>
      <c r="G240" t="s">
        <v>493</v>
      </c>
      <c r="H240">
        <v>2015</v>
      </c>
      <c r="I240" t="s">
        <v>494</v>
      </c>
      <c r="J240">
        <v>1</v>
      </c>
      <c r="N240" s="11">
        <v>5</v>
      </c>
      <c r="O240" s="18" t="s">
        <v>3397</v>
      </c>
      <c r="P240" s="26" t="s">
        <v>3398</v>
      </c>
      <c r="Q240" s="26" t="s">
        <v>3258</v>
      </c>
      <c r="R240" s="26" t="s">
        <v>3187</v>
      </c>
      <c r="S240" s="26" t="s">
        <v>1</v>
      </c>
      <c r="T240" s="26" t="s">
        <v>38</v>
      </c>
      <c r="U240" s="26" t="s">
        <v>69</v>
      </c>
      <c r="V240" s="26" t="s">
        <v>3399</v>
      </c>
      <c r="W240" s="26">
        <v>5</v>
      </c>
      <c r="X240" s="26">
        <v>5</v>
      </c>
      <c r="Y240" s="26">
        <v>5</v>
      </c>
      <c r="Z240" s="26">
        <v>5</v>
      </c>
      <c r="AA240" t="s">
        <v>3365</v>
      </c>
    </row>
    <row r="241" spans="1:27" x14ac:dyDescent="0.25">
      <c r="A241" s="11">
        <v>241</v>
      </c>
      <c r="B241">
        <v>5938</v>
      </c>
      <c r="C241" t="s">
        <v>715</v>
      </c>
      <c r="D241" t="s">
        <v>719</v>
      </c>
      <c r="E241" t="s">
        <v>0</v>
      </c>
      <c r="G241" t="s">
        <v>720</v>
      </c>
      <c r="H241">
        <v>2018</v>
      </c>
      <c r="I241" t="s">
        <v>721</v>
      </c>
      <c r="J241">
        <v>1</v>
      </c>
      <c r="N241" s="11">
        <v>4</v>
      </c>
      <c r="O241" s="18" t="s">
        <v>3383</v>
      </c>
      <c r="P241" s="26" t="s">
        <v>3467</v>
      </c>
      <c r="Q241" s="26" t="s">
        <v>3204</v>
      </c>
      <c r="R241" s="26" t="s">
        <v>3187</v>
      </c>
      <c r="S241" s="26" t="s">
        <v>0</v>
      </c>
      <c r="T241" s="26" t="s">
        <v>38</v>
      </c>
      <c r="U241" s="26" t="s">
        <v>69</v>
      </c>
      <c r="V241" s="26" t="s">
        <v>3336</v>
      </c>
      <c r="W241" s="26">
        <v>5</v>
      </c>
      <c r="X241" s="26">
        <v>4</v>
      </c>
      <c r="Y241" s="26">
        <v>3</v>
      </c>
      <c r="Z241" s="26">
        <v>4</v>
      </c>
      <c r="AA241" t="s">
        <v>3315</v>
      </c>
    </row>
    <row r="242" spans="1:27" x14ac:dyDescent="0.25">
      <c r="A242" s="11">
        <v>242</v>
      </c>
      <c r="B242">
        <v>5981</v>
      </c>
      <c r="C242" t="s">
        <v>555</v>
      </c>
      <c r="D242" t="s">
        <v>556</v>
      </c>
      <c r="E242" t="s">
        <v>0</v>
      </c>
      <c r="G242" t="s">
        <v>557</v>
      </c>
      <c r="H242">
        <v>2014</v>
      </c>
      <c r="I242" t="s">
        <v>558</v>
      </c>
      <c r="J242">
        <v>1</v>
      </c>
      <c r="N242" s="11">
        <v>0</v>
      </c>
      <c r="P242" s="26"/>
      <c r="Q242" s="26"/>
      <c r="R242" s="26"/>
      <c r="S242" s="26"/>
      <c r="T242" s="26"/>
      <c r="U242" s="26"/>
      <c r="V242" s="26"/>
      <c r="W242" s="26">
        <v>0</v>
      </c>
      <c r="X242" s="26">
        <v>0</v>
      </c>
      <c r="Y242" s="26">
        <v>0</v>
      </c>
      <c r="Z242" s="26">
        <v>0</v>
      </c>
    </row>
    <row r="243" spans="1:27" x14ac:dyDescent="0.25">
      <c r="A243" s="11">
        <v>243</v>
      </c>
      <c r="B243">
        <v>3158</v>
      </c>
      <c r="C243" t="s">
        <v>1853</v>
      </c>
      <c r="D243" t="s">
        <v>1854</v>
      </c>
      <c r="E243" t="s">
        <v>0</v>
      </c>
      <c r="G243" t="s">
        <v>1855</v>
      </c>
      <c r="H243">
        <v>2015</v>
      </c>
      <c r="I243" t="s">
        <v>1856</v>
      </c>
      <c r="J243">
        <v>1</v>
      </c>
      <c r="N243" s="11">
        <v>0</v>
      </c>
      <c r="P243" s="26"/>
      <c r="Q243" s="26"/>
      <c r="R243" s="26"/>
      <c r="S243" s="26"/>
      <c r="T243" s="26"/>
      <c r="U243" s="26"/>
      <c r="V243" s="26"/>
      <c r="W243" s="26">
        <v>0</v>
      </c>
      <c r="X243" s="26">
        <v>0</v>
      </c>
      <c r="Y243" s="26">
        <v>0</v>
      </c>
      <c r="Z243" s="26">
        <v>0</v>
      </c>
    </row>
    <row r="244" spans="1:27" x14ac:dyDescent="0.25">
      <c r="A244" s="11">
        <v>244</v>
      </c>
      <c r="B244">
        <v>6089</v>
      </c>
      <c r="C244" t="s">
        <v>559</v>
      </c>
      <c r="D244" s="39" t="s">
        <v>563</v>
      </c>
      <c r="E244" t="s">
        <v>0</v>
      </c>
      <c r="G244" t="s">
        <v>564</v>
      </c>
      <c r="H244">
        <v>2015</v>
      </c>
      <c r="I244" t="s">
        <v>565</v>
      </c>
      <c r="J244">
        <v>1</v>
      </c>
      <c r="N244" s="11">
        <v>0</v>
      </c>
      <c r="P244" s="26"/>
      <c r="Q244" s="26"/>
      <c r="R244" s="26"/>
      <c r="S244" s="26"/>
      <c r="T244" s="26"/>
      <c r="U244" s="26"/>
      <c r="V244" s="26"/>
      <c r="W244" s="26">
        <v>0</v>
      </c>
      <c r="X244" s="26">
        <v>0</v>
      </c>
      <c r="Y244" s="26">
        <v>0</v>
      </c>
      <c r="Z244" s="26">
        <v>0</v>
      </c>
    </row>
    <row r="245" spans="1:27" x14ac:dyDescent="0.25">
      <c r="A245" s="11">
        <v>245</v>
      </c>
      <c r="B245">
        <v>6086</v>
      </c>
      <c r="C245" t="s">
        <v>559</v>
      </c>
      <c r="D245" s="26" t="s">
        <v>560</v>
      </c>
      <c r="E245" t="s">
        <v>0</v>
      </c>
      <c r="G245" t="s">
        <v>561</v>
      </c>
      <c r="H245">
        <v>2015</v>
      </c>
      <c r="I245" t="s">
        <v>562</v>
      </c>
      <c r="J245">
        <v>1</v>
      </c>
      <c r="N245" s="11">
        <v>0</v>
      </c>
      <c r="P245" s="26"/>
      <c r="Q245" s="26"/>
      <c r="R245" s="26"/>
      <c r="S245" s="26"/>
      <c r="T245" s="26"/>
      <c r="U245" s="26"/>
      <c r="V245" s="26"/>
      <c r="W245" s="26">
        <v>0</v>
      </c>
      <c r="X245" s="26">
        <v>0</v>
      </c>
      <c r="Y245" s="26">
        <v>0</v>
      </c>
      <c r="Z245" s="26">
        <v>0</v>
      </c>
    </row>
    <row r="246" spans="1:27" x14ac:dyDescent="0.25">
      <c r="A246" s="11">
        <v>246</v>
      </c>
      <c r="B246">
        <v>4057</v>
      </c>
      <c r="C246" t="s">
        <v>2977</v>
      </c>
      <c r="D246" t="s">
        <v>2978</v>
      </c>
      <c r="E246" t="s">
        <v>1193</v>
      </c>
      <c r="G246" t="s">
        <v>2979</v>
      </c>
      <c r="H246">
        <v>2017</v>
      </c>
      <c r="I246" t="s">
        <v>2980</v>
      </c>
      <c r="J246">
        <v>1</v>
      </c>
      <c r="N246" s="11">
        <v>5</v>
      </c>
      <c r="O246" s="18" t="s">
        <v>3165</v>
      </c>
      <c r="P246" s="26" t="s">
        <v>3467</v>
      </c>
      <c r="Q246" s="26" t="s">
        <v>3361</v>
      </c>
      <c r="R246" s="26" t="s">
        <v>3312</v>
      </c>
      <c r="S246" s="26" t="s">
        <v>1</v>
      </c>
      <c r="T246" s="26" t="s">
        <v>38</v>
      </c>
      <c r="U246" s="26" t="s">
        <v>69</v>
      </c>
      <c r="V246" s="26" t="s">
        <v>3336</v>
      </c>
      <c r="W246" s="26">
        <v>5</v>
      </c>
      <c r="X246" s="26">
        <v>5</v>
      </c>
      <c r="Y246" s="26">
        <v>5</v>
      </c>
      <c r="Z246" s="26">
        <v>5</v>
      </c>
      <c r="AA246" t="s">
        <v>59</v>
      </c>
    </row>
    <row r="247" spans="1:27" x14ac:dyDescent="0.25">
      <c r="A247" s="11">
        <v>247</v>
      </c>
      <c r="B247">
        <v>2955</v>
      </c>
      <c r="C247" t="s">
        <v>2107</v>
      </c>
      <c r="D247" s="13" t="s">
        <v>2108</v>
      </c>
      <c r="E247" t="s">
        <v>0</v>
      </c>
      <c r="G247" t="s">
        <v>2109</v>
      </c>
      <c r="H247">
        <v>2017</v>
      </c>
      <c r="I247" t="s">
        <v>2110</v>
      </c>
      <c r="J247">
        <v>1</v>
      </c>
      <c r="K247">
        <v>1</v>
      </c>
      <c r="N247" s="11">
        <v>5</v>
      </c>
      <c r="O247" s="18" t="s">
        <v>3592</v>
      </c>
      <c r="P247" s="26" t="s">
        <v>3467</v>
      </c>
      <c r="Q247" s="26" t="s">
        <v>3389</v>
      </c>
      <c r="R247" s="26" t="s">
        <v>3528</v>
      </c>
      <c r="S247" s="26" t="s">
        <v>0</v>
      </c>
      <c r="T247" s="26" t="s">
        <v>38</v>
      </c>
      <c r="U247" s="26" t="s">
        <v>69</v>
      </c>
      <c r="V247" s="26" t="s">
        <v>3280</v>
      </c>
      <c r="W247" s="26">
        <v>5</v>
      </c>
      <c r="X247" s="26">
        <v>5</v>
      </c>
      <c r="Y247" s="26">
        <v>5</v>
      </c>
      <c r="Z247" s="26">
        <v>5</v>
      </c>
      <c r="AA247" t="s">
        <v>3594</v>
      </c>
    </row>
    <row r="248" spans="1:27" x14ac:dyDescent="0.25">
      <c r="A248" s="11">
        <v>248</v>
      </c>
      <c r="B248">
        <v>3167</v>
      </c>
      <c r="C248" t="s">
        <v>2338</v>
      </c>
      <c r="D248" s="26" t="s">
        <v>2339</v>
      </c>
      <c r="E248" t="s">
        <v>0</v>
      </c>
      <c r="G248" t="s">
        <v>2340</v>
      </c>
      <c r="H248">
        <v>2015</v>
      </c>
      <c r="I248" t="s">
        <v>2341</v>
      </c>
      <c r="J248">
        <v>1</v>
      </c>
      <c r="N248" s="11">
        <v>5</v>
      </c>
      <c r="O248" s="18" t="s">
        <v>3583</v>
      </c>
      <c r="P248" s="26" t="s">
        <v>3467</v>
      </c>
      <c r="Q248" s="26" t="s">
        <v>3361</v>
      </c>
      <c r="R248" s="26" t="s">
        <v>3238</v>
      </c>
      <c r="S248" s="26" t="s">
        <v>0</v>
      </c>
      <c r="T248" s="26" t="s">
        <v>38</v>
      </c>
      <c r="U248" s="26" t="s">
        <v>69</v>
      </c>
      <c r="V248" s="26" t="s">
        <v>3336</v>
      </c>
      <c r="W248" s="26">
        <v>5</v>
      </c>
      <c r="X248" s="26">
        <v>5</v>
      </c>
      <c r="Y248" s="26">
        <v>5</v>
      </c>
      <c r="Z248" s="26">
        <v>5</v>
      </c>
      <c r="AA248" t="s">
        <v>59</v>
      </c>
    </row>
    <row r="249" spans="1:27" x14ac:dyDescent="0.25">
      <c r="A249" s="11">
        <v>249</v>
      </c>
      <c r="B249">
        <v>6190</v>
      </c>
      <c r="C249" t="s">
        <v>566</v>
      </c>
      <c r="D249" s="26" t="s">
        <v>567</v>
      </c>
      <c r="E249" t="s">
        <v>0</v>
      </c>
      <c r="G249" t="s">
        <v>568</v>
      </c>
      <c r="H249">
        <v>2014</v>
      </c>
      <c r="I249" t="s">
        <v>569</v>
      </c>
      <c r="J249">
        <v>1</v>
      </c>
      <c r="N249" s="11">
        <v>0</v>
      </c>
      <c r="P249" s="26"/>
      <c r="Q249" s="26"/>
      <c r="R249" s="26"/>
      <c r="S249" s="26"/>
      <c r="T249" s="26"/>
      <c r="U249" s="26"/>
      <c r="V249" s="26"/>
      <c r="W249" s="26">
        <v>0</v>
      </c>
      <c r="X249" s="26">
        <v>0</v>
      </c>
      <c r="Y249" s="26">
        <v>0</v>
      </c>
      <c r="Z249" s="26">
        <v>0</v>
      </c>
    </row>
    <row r="250" spans="1:27" x14ac:dyDescent="0.25">
      <c r="A250" s="11">
        <v>250</v>
      </c>
      <c r="B250">
        <v>4910</v>
      </c>
      <c r="C250" t="s">
        <v>1147</v>
      </c>
      <c r="D250" s="8" t="s">
        <v>1148</v>
      </c>
      <c r="E250" t="s">
        <v>22</v>
      </c>
      <c r="G250" t="s">
        <v>1149</v>
      </c>
      <c r="H250">
        <v>2017</v>
      </c>
      <c r="I250" t="s">
        <v>1150</v>
      </c>
      <c r="J250">
        <v>1</v>
      </c>
      <c r="N250" s="11">
        <v>5</v>
      </c>
      <c r="O250" s="18" t="s">
        <v>3157</v>
      </c>
      <c r="P250" s="26" t="s">
        <v>3630</v>
      </c>
      <c r="Q250" s="26" t="s">
        <v>3361</v>
      </c>
      <c r="R250" s="26" t="s">
        <v>3528</v>
      </c>
      <c r="S250" s="26" t="s">
        <v>0</v>
      </c>
      <c r="T250" s="26" t="s">
        <v>38</v>
      </c>
      <c r="U250" s="26" t="s">
        <v>69</v>
      </c>
      <c r="V250" s="26" t="s">
        <v>3631</v>
      </c>
      <c r="W250" s="26">
        <v>5</v>
      </c>
      <c r="X250" s="26">
        <v>5</v>
      </c>
      <c r="Y250" s="26">
        <v>5</v>
      </c>
      <c r="Z250" s="26">
        <v>5</v>
      </c>
      <c r="AA250" t="s">
        <v>3632</v>
      </c>
    </row>
    <row r="251" spans="1:27" x14ac:dyDescent="0.25">
      <c r="A251" s="11">
        <v>251</v>
      </c>
      <c r="B251">
        <v>3443</v>
      </c>
      <c r="C251" t="s">
        <v>2473</v>
      </c>
      <c r="D251" s="26" t="s">
        <v>2474</v>
      </c>
      <c r="E251" t="s">
        <v>0</v>
      </c>
      <c r="G251" t="s">
        <v>2475</v>
      </c>
      <c r="H251">
        <v>2014</v>
      </c>
      <c r="I251" t="s">
        <v>2476</v>
      </c>
      <c r="J251">
        <v>1</v>
      </c>
      <c r="N251" s="11">
        <v>3</v>
      </c>
      <c r="O251" s="18" t="s">
        <v>3451</v>
      </c>
      <c r="P251" s="26" t="s">
        <v>3289</v>
      </c>
      <c r="Q251" s="26" t="s">
        <v>3258</v>
      </c>
      <c r="R251" s="26" t="s">
        <v>3312</v>
      </c>
      <c r="S251" s="26" t="s">
        <v>6</v>
      </c>
      <c r="T251" s="26" t="s">
        <v>41</v>
      </c>
      <c r="U251" s="26" t="s">
        <v>69</v>
      </c>
      <c r="V251" s="26" t="s">
        <v>3512</v>
      </c>
      <c r="W251" s="26">
        <v>3</v>
      </c>
      <c r="X251" s="26">
        <v>3</v>
      </c>
      <c r="Y251" s="26">
        <v>3</v>
      </c>
      <c r="Z251" s="26">
        <v>3</v>
      </c>
      <c r="AA251" t="s">
        <v>57</v>
      </c>
    </row>
    <row r="252" spans="1:27" x14ac:dyDescent="0.25">
      <c r="A252" s="11">
        <v>252</v>
      </c>
      <c r="B252">
        <v>2691</v>
      </c>
      <c r="C252" t="s">
        <v>1218</v>
      </c>
      <c r="D252" t="s">
        <v>1219</v>
      </c>
      <c r="E252" t="s">
        <v>0</v>
      </c>
      <c r="G252" t="s">
        <v>1220</v>
      </c>
      <c r="H252">
        <v>2018</v>
      </c>
      <c r="I252" t="s">
        <v>1221</v>
      </c>
      <c r="J252">
        <v>1</v>
      </c>
      <c r="N252" s="11">
        <v>0</v>
      </c>
      <c r="P252" s="26"/>
      <c r="Q252" s="26"/>
      <c r="R252" s="26"/>
      <c r="S252" s="26"/>
      <c r="T252" s="26"/>
      <c r="U252" s="26"/>
      <c r="V252" s="26"/>
      <c r="W252" s="26">
        <v>0</v>
      </c>
      <c r="X252" s="26">
        <v>0</v>
      </c>
      <c r="Y252" s="26">
        <v>0</v>
      </c>
      <c r="Z252" s="26">
        <v>0</v>
      </c>
    </row>
    <row r="253" spans="1:27" x14ac:dyDescent="0.25">
      <c r="A253" s="11">
        <v>253</v>
      </c>
      <c r="B253">
        <v>2507</v>
      </c>
      <c r="C253" t="s">
        <v>570</v>
      </c>
      <c r="D253" t="s">
        <v>571</v>
      </c>
      <c r="E253" t="s">
        <v>0</v>
      </c>
      <c r="G253" t="s">
        <v>2814</v>
      </c>
      <c r="H253">
        <v>2019</v>
      </c>
      <c r="I253" t="s">
        <v>2815</v>
      </c>
      <c r="J253">
        <v>1</v>
      </c>
      <c r="N253" s="11">
        <v>0</v>
      </c>
      <c r="P253" s="26"/>
      <c r="Q253" s="26"/>
      <c r="R253" s="26"/>
      <c r="S253" s="26"/>
      <c r="T253" s="26"/>
      <c r="U253" s="26"/>
      <c r="V253" s="26"/>
      <c r="W253" s="26">
        <v>0</v>
      </c>
      <c r="X253" s="26">
        <v>0</v>
      </c>
      <c r="Y253" s="26">
        <v>0</v>
      </c>
      <c r="Z253" s="26">
        <v>0</v>
      </c>
    </row>
    <row r="254" spans="1:27" x14ac:dyDescent="0.25">
      <c r="A254" s="11">
        <v>254</v>
      </c>
      <c r="B254">
        <v>2582</v>
      </c>
      <c r="C254" t="s">
        <v>2453</v>
      </c>
      <c r="D254" s="26" t="s">
        <v>2454</v>
      </c>
      <c r="E254" t="s">
        <v>22</v>
      </c>
      <c r="G254" t="s">
        <v>2455</v>
      </c>
      <c r="H254">
        <v>2018</v>
      </c>
      <c r="I254" t="s">
        <v>2456</v>
      </c>
      <c r="J254">
        <v>1</v>
      </c>
      <c r="N254" s="11">
        <v>5</v>
      </c>
      <c r="O254" s="18" t="s">
        <v>3368</v>
      </c>
      <c r="P254" s="26" t="s">
        <v>3289</v>
      </c>
      <c r="Q254" s="26" t="s">
        <v>3366</v>
      </c>
      <c r="R254" s="26" t="s">
        <v>3231</v>
      </c>
      <c r="S254" s="26" t="s">
        <v>0</v>
      </c>
      <c r="T254" s="26" t="s">
        <v>38</v>
      </c>
      <c r="U254" s="26" t="s">
        <v>69</v>
      </c>
      <c r="V254" s="26" t="s">
        <v>3336</v>
      </c>
      <c r="W254" s="26">
        <v>5</v>
      </c>
      <c r="X254" s="26">
        <v>5</v>
      </c>
      <c r="Y254" s="26">
        <v>5</v>
      </c>
      <c r="Z254" s="26">
        <v>5</v>
      </c>
      <c r="AA254" t="s">
        <v>61</v>
      </c>
    </row>
    <row r="255" spans="1:27" x14ac:dyDescent="0.25">
      <c r="A255" s="11">
        <v>255</v>
      </c>
      <c r="B255">
        <v>3032</v>
      </c>
      <c r="C255" t="s">
        <v>2469</v>
      </c>
      <c r="D255" t="s">
        <v>2470</v>
      </c>
      <c r="E255" t="s">
        <v>0</v>
      </c>
      <c r="G255" t="s">
        <v>2471</v>
      </c>
      <c r="H255">
        <v>2016</v>
      </c>
      <c r="I255" t="s">
        <v>2472</v>
      </c>
      <c r="J255">
        <v>1</v>
      </c>
      <c r="N255" s="11">
        <v>5</v>
      </c>
      <c r="O255" s="18" t="s">
        <v>3368</v>
      </c>
      <c r="P255" s="26" t="s">
        <v>3289</v>
      </c>
      <c r="Q255" s="26" t="s">
        <v>3369</v>
      </c>
      <c r="R255" s="26" t="s">
        <v>3232</v>
      </c>
      <c r="S255" s="26" t="s">
        <v>0</v>
      </c>
      <c r="T255" s="26" t="s">
        <v>38</v>
      </c>
      <c r="U255" s="26" t="s">
        <v>69</v>
      </c>
      <c r="V255" s="26" t="s">
        <v>3336</v>
      </c>
      <c r="W255" s="26">
        <v>5</v>
      </c>
      <c r="X255" s="26">
        <v>5</v>
      </c>
      <c r="Y255" s="26">
        <v>5</v>
      </c>
      <c r="Z255" s="26">
        <v>5</v>
      </c>
      <c r="AA255" t="s">
        <v>61</v>
      </c>
    </row>
    <row r="256" spans="1:27" x14ac:dyDescent="0.25">
      <c r="A256" s="11">
        <v>256</v>
      </c>
      <c r="B256">
        <v>2954</v>
      </c>
      <c r="C256" t="s">
        <v>1550</v>
      </c>
      <c r="D256" t="s">
        <v>1551</v>
      </c>
      <c r="E256" t="s">
        <v>0</v>
      </c>
      <c r="G256" t="s">
        <v>1552</v>
      </c>
      <c r="H256">
        <v>2017</v>
      </c>
      <c r="I256" t="s">
        <v>1553</v>
      </c>
      <c r="J256">
        <v>1</v>
      </c>
      <c r="L256">
        <v>1</v>
      </c>
      <c r="N256" s="11">
        <v>5</v>
      </c>
      <c r="O256" s="18" t="s">
        <v>3288</v>
      </c>
      <c r="P256" s="26" t="s">
        <v>3289</v>
      </c>
      <c r="Q256" s="26" t="s">
        <v>3209</v>
      </c>
      <c r="R256" s="26" t="s">
        <v>3236</v>
      </c>
      <c r="S256" s="26" t="s">
        <v>6</v>
      </c>
      <c r="T256" s="26" t="s">
        <v>38</v>
      </c>
      <c r="U256" s="26" t="s">
        <v>69</v>
      </c>
      <c r="V256" s="26" t="s">
        <v>3336</v>
      </c>
      <c r="W256" s="26">
        <v>5</v>
      </c>
      <c r="X256" s="26">
        <v>5</v>
      </c>
      <c r="Y256" s="26">
        <v>5</v>
      </c>
      <c r="Z256" s="26">
        <v>5</v>
      </c>
      <c r="AA256" t="s">
        <v>3290</v>
      </c>
    </row>
    <row r="257" spans="1:28" x14ac:dyDescent="0.25">
      <c r="A257" s="11">
        <v>257</v>
      </c>
      <c r="B257">
        <v>3675</v>
      </c>
      <c r="C257" t="s">
        <v>1618</v>
      </c>
      <c r="D257" t="s">
        <v>1619</v>
      </c>
      <c r="E257" t="s">
        <v>0</v>
      </c>
      <c r="G257" t="s">
        <v>1620</v>
      </c>
      <c r="H257">
        <v>2012</v>
      </c>
      <c r="I257" t="s">
        <v>1621</v>
      </c>
      <c r="J257">
        <v>1</v>
      </c>
      <c r="N257" s="11">
        <v>5</v>
      </c>
      <c r="O257" s="18" t="s">
        <v>3409</v>
      </c>
      <c r="P257" s="26" t="s">
        <v>3289</v>
      </c>
      <c r="Q257" s="26" t="s">
        <v>3202</v>
      </c>
      <c r="R257" s="26" t="s">
        <v>3236</v>
      </c>
      <c r="S257" s="26" t="s">
        <v>0</v>
      </c>
      <c r="T257" s="26" t="s">
        <v>38</v>
      </c>
      <c r="U257" s="26" t="s">
        <v>3263</v>
      </c>
      <c r="V257" s="26" t="s">
        <v>3336</v>
      </c>
      <c r="W257" s="26">
        <v>5</v>
      </c>
      <c r="X257" s="26">
        <v>5</v>
      </c>
      <c r="Y257" s="26">
        <v>5</v>
      </c>
      <c r="Z257" s="26">
        <v>5</v>
      </c>
      <c r="AA257" t="s">
        <v>3317</v>
      </c>
    </row>
    <row r="258" spans="1:28" x14ac:dyDescent="0.25">
      <c r="A258" s="11">
        <v>258</v>
      </c>
      <c r="B258">
        <v>3441</v>
      </c>
      <c r="C258" t="s">
        <v>2297</v>
      </c>
      <c r="D258" s="13" t="s">
        <v>2298</v>
      </c>
      <c r="E258" t="s">
        <v>0</v>
      </c>
      <c r="G258" t="s">
        <v>2299</v>
      </c>
      <c r="H258">
        <v>2014</v>
      </c>
      <c r="I258" t="s">
        <v>2300</v>
      </c>
      <c r="J258">
        <v>1</v>
      </c>
      <c r="N258" s="11">
        <v>3</v>
      </c>
      <c r="O258" s="18" t="s">
        <v>3370</v>
      </c>
      <c r="P258" s="26" t="s">
        <v>3289</v>
      </c>
      <c r="Q258" s="26" t="s">
        <v>3437</v>
      </c>
      <c r="R258" s="26" t="s">
        <v>3236</v>
      </c>
      <c r="S258" s="26" t="s">
        <v>6</v>
      </c>
      <c r="T258" s="26" t="s">
        <v>37</v>
      </c>
      <c r="U258" s="26" t="s">
        <v>3263</v>
      </c>
      <c r="V258" s="26" t="s">
        <v>3512</v>
      </c>
      <c r="W258" s="26">
        <v>4</v>
      </c>
      <c r="X258" s="26">
        <v>3</v>
      </c>
      <c r="Y258" s="26">
        <v>3</v>
      </c>
      <c r="Z258" s="26">
        <v>3</v>
      </c>
      <c r="AA258" s="26" t="s">
        <v>3335</v>
      </c>
      <c r="AB258" s="26"/>
    </row>
    <row r="259" spans="1:28" x14ac:dyDescent="0.25">
      <c r="A259" s="11">
        <v>259</v>
      </c>
      <c r="B259">
        <v>2974</v>
      </c>
      <c r="C259" t="s">
        <v>2215</v>
      </c>
      <c r="D259" s="49" t="s">
        <v>2216</v>
      </c>
      <c r="E259" t="s">
        <v>0</v>
      </c>
      <c r="G259" t="s">
        <v>2217</v>
      </c>
      <c r="H259">
        <v>2017</v>
      </c>
      <c r="I259" t="s">
        <v>2218</v>
      </c>
      <c r="J259">
        <v>1</v>
      </c>
      <c r="K259">
        <v>1</v>
      </c>
      <c r="N259" s="11">
        <v>4</v>
      </c>
      <c r="O259" s="18" t="s">
        <v>3371</v>
      </c>
      <c r="P259" s="26" t="s">
        <v>3391</v>
      </c>
      <c r="Q259" s="26" t="s">
        <v>3637</v>
      </c>
      <c r="R259" s="26" t="s">
        <v>3187</v>
      </c>
      <c r="S259" s="26" t="s">
        <v>6</v>
      </c>
      <c r="T259" s="26" t="s">
        <v>40</v>
      </c>
      <c r="U259" s="26" t="s">
        <v>69</v>
      </c>
      <c r="V259" s="26" t="s">
        <v>3512</v>
      </c>
      <c r="W259" s="26">
        <v>4</v>
      </c>
      <c r="X259" s="26">
        <v>4</v>
      </c>
      <c r="Y259" s="26">
        <v>4</v>
      </c>
      <c r="Z259" s="26">
        <v>4</v>
      </c>
      <c r="AA259" t="s">
        <v>3315</v>
      </c>
    </row>
    <row r="260" spans="1:28" x14ac:dyDescent="0.25">
      <c r="A260" s="11">
        <v>260</v>
      </c>
      <c r="B260">
        <v>5854</v>
      </c>
      <c r="C260" t="s">
        <v>484</v>
      </c>
      <c r="D260" t="s">
        <v>485</v>
      </c>
      <c r="E260" t="s">
        <v>0</v>
      </c>
      <c r="F260" t="s">
        <v>939</v>
      </c>
      <c r="G260" t="s">
        <v>486</v>
      </c>
      <c r="H260">
        <v>2018</v>
      </c>
      <c r="I260" t="s">
        <v>487</v>
      </c>
      <c r="J260">
        <v>1</v>
      </c>
      <c r="N260" s="11">
        <v>5</v>
      </c>
      <c r="O260" s="18" t="s">
        <v>3157</v>
      </c>
      <c r="P260" s="26" t="s">
        <v>3391</v>
      </c>
      <c r="Q260" s="26" t="s">
        <v>3361</v>
      </c>
      <c r="R260" s="26" t="s">
        <v>3231</v>
      </c>
      <c r="S260" s="26" t="s">
        <v>0</v>
      </c>
      <c r="T260" s="26" t="s">
        <v>38</v>
      </c>
      <c r="U260" s="26" t="s">
        <v>69</v>
      </c>
      <c r="V260" s="26" t="s">
        <v>3336</v>
      </c>
      <c r="W260" s="26">
        <v>5</v>
      </c>
      <c r="X260" s="26">
        <v>5</v>
      </c>
      <c r="Y260" s="26">
        <v>5</v>
      </c>
      <c r="Z260" s="26">
        <v>5</v>
      </c>
      <c r="AA260" t="s">
        <v>3392</v>
      </c>
    </row>
    <row r="261" spans="1:28" x14ac:dyDescent="0.25">
      <c r="A261" s="11">
        <v>261</v>
      </c>
      <c r="B261">
        <v>6187</v>
      </c>
      <c r="C261" t="s">
        <v>546</v>
      </c>
      <c r="D261" t="s">
        <v>547</v>
      </c>
      <c r="E261" t="s">
        <v>0</v>
      </c>
      <c r="G261" t="s">
        <v>548</v>
      </c>
      <c r="H261">
        <v>2015</v>
      </c>
      <c r="I261" t="s">
        <v>549</v>
      </c>
      <c r="J261">
        <v>1</v>
      </c>
      <c r="N261" s="11">
        <v>4</v>
      </c>
      <c r="O261" s="18" t="s">
        <v>3386</v>
      </c>
      <c r="P261" s="26" t="s">
        <v>3391</v>
      </c>
      <c r="Q261" s="26" t="s">
        <v>3466</v>
      </c>
      <c r="R261" s="26" t="s">
        <v>3257</v>
      </c>
      <c r="S261" s="26" t="s">
        <v>0</v>
      </c>
      <c r="T261" s="26" t="s">
        <v>38</v>
      </c>
      <c r="U261" s="26" t="s">
        <v>69</v>
      </c>
      <c r="V261" s="26" t="s">
        <v>3336</v>
      </c>
      <c r="W261" s="26">
        <v>4</v>
      </c>
      <c r="X261" s="26">
        <v>4</v>
      </c>
      <c r="Y261" s="26">
        <v>4</v>
      </c>
      <c r="Z261" s="26">
        <v>4</v>
      </c>
      <c r="AA261" t="s">
        <v>3315</v>
      </c>
    </row>
    <row r="262" spans="1:28" ht="27" customHeight="1" x14ac:dyDescent="0.25">
      <c r="A262" s="11">
        <v>262</v>
      </c>
      <c r="B262">
        <v>4965</v>
      </c>
      <c r="C262" t="s">
        <v>967</v>
      </c>
      <c r="D262" t="s">
        <v>968</v>
      </c>
      <c r="E262" t="s">
        <v>24</v>
      </c>
      <c r="G262" t="s">
        <v>969</v>
      </c>
      <c r="H262">
        <v>2019</v>
      </c>
      <c r="I262" t="s">
        <v>970</v>
      </c>
      <c r="J262">
        <v>1</v>
      </c>
      <c r="N262" s="11">
        <v>5</v>
      </c>
      <c r="O262" s="18" t="s">
        <v>3325</v>
      </c>
      <c r="P262" s="26" t="s">
        <v>3324</v>
      </c>
      <c r="Q262" s="26" t="s">
        <v>3209</v>
      </c>
      <c r="R262" s="26" t="s">
        <v>3322</v>
      </c>
      <c r="S262" s="26" t="s">
        <v>1</v>
      </c>
      <c r="T262" s="26" t="s">
        <v>38</v>
      </c>
      <c r="U262" s="26" t="s">
        <v>69</v>
      </c>
      <c r="V262" s="26" t="s">
        <v>3320</v>
      </c>
      <c r="W262" s="26">
        <v>5</v>
      </c>
      <c r="X262" s="26">
        <v>5</v>
      </c>
      <c r="Y262" s="26">
        <v>5</v>
      </c>
      <c r="Z262" s="26">
        <v>5</v>
      </c>
      <c r="AA262" s="26" t="s">
        <v>3321</v>
      </c>
    </row>
    <row r="263" spans="1:28" x14ac:dyDescent="0.25">
      <c r="A263" s="11">
        <v>263</v>
      </c>
      <c r="B263">
        <v>4862</v>
      </c>
      <c r="C263" t="s">
        <v>1015</v>
      </c>
      <c r="D263" t="s">
        <v>1016</v>
      </c>
      <c r="E263" t="s">
        <v>24</v>
      </c>
      <c r="F263" s="26"/>
      <c r="G263" t="s">
        <v>1017</v>
      </c>
      <c r="H263">
        <v>2019</v>
      </c>
      <c r="I263" t="s">
        <v>1018</v>
      </c>
      <c r="J263">
        <v>1</v>
      </c>
      <c r="N263" s="11">
        <v>5</v>
      </c>
      <c r="O263" s="18" t="s">
        <v>3376</v>
      </c>
      <c r="P263" s="26" t="s">
        <v>3324</v>
      </c>
      <c r="Q263" s="26" t="s">
        <v>3361</v>
      </c>
      <c r="R263" s="26" t="s">
        <v>3231</v>
      </c>
      <c r="S263" s="26" t="s">
        <v>1</v>
      </c>
      <c r="T263" s="26" t="s">
        <v>38</v>
      </c>
      <c r="U263" s="26" t="s">
        <v>69</v>
      </c>
      <c r="V263" s="26" t="s">
        <v>3336</v>
      </c>
      <c r="W263" s="26">
        <v>5</v>
      </c>
      <c r="X263" s="26">
        <v>5</v>
      </c>
      <c r="Y263" s="26">
        <v>5</v>
      </c>
      <c r="Z263" s="26">
        <v>5</v>
      </c>
      <c r="AA263" t="s">
        <v>3335</v>
      </c>
    </row>
    <row r="264" spans="1:28" x14ac:dyDescent="0.25">
      <c r="A264" s="11">
        <v>264</v>
      </c>
      <c r="B264">
        <v>2732</v>
      </c>
      <c r="C264" t="s">
        <v>1238</v>
      </c>
      <c r="D264" s="13" t="s">
        <v>1239</v>
      </c>
      <c r="E264" t="s">
        <v>0</v>
      </c>
      <c r="G264" t="s">
        <v>1240</v>
      </c>
      <c r="H264">
        <v>2018</v>
      </c>
      <c r="I264" t="s">
        <v>1241</v>
      </c>
      <c r="J264">
        <v>1</v>
      </c>
      <c r="N264" s="11">
        <v>5</v>
      </c>
      <c r="O264" s="18" t="s">
        <v>3162</v>
      </c>
      <c r="P264" s="26" t="s">
        <v>3420</v>
      </c>
      <c r="Q264" s="26" t="s">
        <v>3364</v>
      </c>
      <c r="R264" s="26" t="s">
        <v>3626</v>
      </c>
      <c r="S264" s="26" t="s">
        <v>0</v>
      </c>
      <c r="T264" s="26" t="s">
        <v>3622</v>
      </c>
      <c r="U264" s="26" t="s">
        <v>70</v>
      </c>
      <c r="V264" s="26" t="s">
        <v>3512</v>
      </c>
      <c r="W264" s="26">
        <v>5</v>
      </c>
      <c r="X264" s="26">
        <v>5</v>
      </c>
      <c r="Y264" s="26">
        <v>5</v>
      </c>
      <c r="Z264" s="26">
        <v>5</v>
      </c>
      <c r="AA264" t="s">
        <v>3317</v>
      </c>
    </row>
    <row r="265" spans="1:28" x14ac:dyDescent="0.25">
      <c r="A265" s="11">
        <v>265</v>
      </c>
      <c r="B265">
        <v>5676</v>
      </c>
      <c r="C265" t="s">
        <v>580</v>
      </c>
      <c r="D265" t="s">
        <v>581</v>
      </c>
      <c r="E265" t="s">
        <v>0</v>
      </c>
      <c r="G265" t="s">
        <v>582</v>
      </c>
      <c r="H265">
        <v>2015</v>
      </c>
      <c r="I265" t="s">
        <v>583</v>
      </c>
      <c r="J265">
        <v>1</v>
      </c>
      <c r="N265" s="11">
        <v>0</v>
      </c>
      <c r="P265" s="26"/>
      <c r="Q265" s="26"/>
      <c r="R265" s="26"/>
      <c r="S265" s="26"/>
      <c r="T265" s="26"/>
      <c r="U265" s="26"/>
      <c r="V265" s="26"/>
      <c r="W265" s="26">
        <v>0</v>
      </c>
      <c r="X265" s="26">
        <v>0</v>
      </c>
      <c r="Y265" s="26">
        <v>0</v>
      </c>
      <c r="Z265" s="26">
        <v>0</v>
      </c>
    </row>
    <row r="266" spans="1:28" x14ac:dyDescent="0.25">
      <c r="A266" s="11">
        <v>266</v>
      </c>
      <c r="B266">
        <v>6129</v>
      </c>
      <c r="C266" t="s">
        <v>584</v>
      </c>
      <c r="D266" s="26" t="s">
        <v>585</v>
      </c>
      <c r="E266" t="s">
        <v>0</v>
      </c>
      <c r="G266" t="s">
        <v>586</v>
      </c>
      <c r="H266">
        <v>2015</v>
      </c>
      <c r="I266" t="s">
        <v>587</v>
      </c>
      <c r="J266">
        <v>1</v>
      </c>
      <c r="N266" s="11">
        <v>0</v>
      </c>
      <c r="P266" s="26"/>
      <c r="Q266" s="26"/>
      <c r="R266" s="26"/>
      <c r="S266" s="26"/>
      <c r="T266" s="26"/>
      <c r="U266" s="26"/>
      <c r="V266" s="26"/>
      <c r="W266" s="26">
        <v>0</v>
      </c>
      <c r="X266" s="26">
        <v>0</v>
      </c>
      <c r="Y266" s="26">
        <v>0</v>
      </c>
      <c r="Z266" s="26">
        <v>0</v>
      </c>
    </row>
    <row r="267" spans="1:28" x14ac:dyDescent="0.25">
      <c r="A267" s="11">
        <v>267</v>
      </c>
      <c r="B267">
        <v>5954</v>
      </c>
      <c r="C267" t="s">
        <v>588</v>
      </c>
      <c r="D267" t="s">
        <v>589</v>
      </c>
      <c r="E267" t="s">
        <v>0</v>
      </c>
      <c r="G267" t="s">
        <v>590</v>
      </c>
      <c r="H267">
        <v>2013</v>
      </c>
      <c r="I267" t="s">
        <v>591</v>
      </c>
      <c r="J267">
        <v>1</v>
      </c>
      <c r="K267">
        <v>-1</v>
      </c>
      <c r="N267" s="11">
        <v>0</v>
      </c>
      <c r="P267" s="26"/>
      <c r="Q267" s="26"/>
      <c r="R267" s="26"/>
      <c r="S267" s="26"/>
      <c r="T267" s="26"/>
      <c r="U267" s="26"/>
      <c r="V267" s="26"/>
      <c r="W267" s="26">
        <v>0</v>
      </c>
      <c r="X267" s="26">
        <v>0</v>
      </c>
      <c r="Y267" s="26">
        <v>0</v>
      </c>
      <c r="Z267" s="26">
        <v>0</v>
      </c>
    </row>
    <row r="268" spans="1:28" x14ac:dyDescent="0.25">
      <c r="A268" s="11">
        <v>268</v>
      </c>
      <c r="B268">
        <v>6278</v>
      </c>
      <c r="C268" t="s">
        <v>216</v>
      </c>
      <c r="D268" s="13" t="s">
        <v>217</v>
      </c>
      <c r="E268" t="s">
        <v>6</v>
      </c>
      <c r="F268" t="s">
        <v>375</v>
      </c>
      <c r="G268" t="s">
        <v>376</v>
      </c>
      <c r="H268">
        <v>2017</v>
      </c>
      <c r="I268" t="s">
        <v>288</v>
      </c>
      <c r="J268">
        <v>1</v>
      </c>
      <c r="N268" s="11">
        <v>5</v>
      </c>
      <c r="O268" s="18" t="s">
        <v>3157</v>
      </c>
      <c r="P268" s="26" t="s">
        <v>3420</v>
      </c>
      <c r="Q268" s="26" t="s">
        <v>3357</v>
      </c>
      <c r="R268" s="26" t="s">
        <v>3626</v>
      </c>
      <c r="S268" s="26" t="s">
        <v>0</v>
      </c>
      <c r="T268" s="26" t="s">
        <v>3622</v>
      </c>
      <c r="U268" s="26" t="s">
        <v>69</v>
      </c>
      <c r="V268" s="26" t="s">
        <v>3246</v>
      </c>
      <c r="W268" s="26">
        <v>5</v>
      </c>
      <c r="X268" s="26">
        <v>5</v>
      </c>
      <c r="Y268" s="26">
        <v>5</v>
      </c>
      <c r="Z268" s="26">
        <v>5</v>
      </c>
      <c r="AA268" t="s">
        <v>61</v>
      </c>
    </row>
    <row r="269" spans="1:28" x14ac:dyDescent="0.25">
      <c r="A269" s="11">
        <v>269</v>
      </c>
      <c r="B269">
        <v>2657</v>
      </c>
      <c r="C269" t="s">
        <v>2502</v>
      </c>
      <c r="D269" s="26" t="s">
        <v>2503</v>
      </c>
      <c r="E269" t="s">
        <v>0</v>
      </c>
      <c r="G269" t="s">
        <v>2504</v>
      </c>
      <c r="H269">
        <v>2018</v>
      </c>
      <c r="I269" t="s">
        <v>2505</v>
      </c>
      <c r="J269">
        <v>1</v>
      </c>
      <c r="K269">
        <v>1</v>
      </c>
      <c r="N269" s="11">
        <v>5</v>
      </c>
      <c r="O269" s="18" t="s">
        <v>3413</v>
      </c>
      <c r="P269" s="26" t="s">
        <v>3420</v>
      </c>
      <c r="Q269" s="26" t="s">
        <v>3364</v>
      </c>
      <c r="R269" s="26" t="s">
        <v>3187</v>
      </c>
      <c r="S269" s="26" t="s">
        <v>0</v>
      </c>
      <c r="T269" s="26" t="s">
        <v>38</v>
      </c>
      <c r="U269" s="26" t="s">
        <v>69</v>
      </c>
      <c r="V269" s="26" t="s">
        <v>3336</v>
      </c>
      <c r="W269" s="26">
        <v>5</v>
      </c>
      <c r="X269" s="26">
        <v>5</v>
      </c>
      <c r="Y269" s="26">
        <v>4</v>
      </c>
      <c r="Z269" s="26">
        <v>5</v>
      </c>
      <c r="AA269" t="s">
        <v>3414</v>
      </c>
    </row>
    <row r="270" spans="1:28" x14ac:dyDescent="0.25">
      <c r="A270" s="11">
        <v>270</v>
      </c>
      <c r="B270">
        <v>3910</v>
      </c>
      <c r="C270" t="s">
        <v>2973</v>
      </c>
      <c r="D270" t="s">
        <v>2974</v>
      </c>
      <c r="E270" t="s">
        <v>3</v>
      </c>
      <c r="G270" t="s">
        <v>2975</v>
      </c>
      <c r="H270">
        <v>2018</v>
      </c>
      <c r="I270" t="s">
        <v>2976</v>
      </c>
      <c r="J270">
        <v>1</v>
      </c>
      <c r="N270" s="11">
        <v>5</v>
      </c>
      <c r="O270" s="18" t="s">
        <v>3543</v>
      </c>
      <c r="P270" s="26" t="s">
        <v>3420</v>
      </c>
      <c r="Q270" s="26" t="s">
        <v>3316</v>
      </c>
      <c r="R270" s="26" t="s">
        <v>3187</v>
      </c>
      <c r="S270" s="26" t="s">
        <v>2</v>
      </c>
      <c r="T270" s="26" t="s">
        <v>38</v>
      </c>
      <c r="U270" s="26" t="s">
        <v>69</v>
      </c>
      <c r="V270" s="26" t="s">
        <v>3542</v>
      </c>
      <c r="W270" s="26">
        <v>5</v>
      </c>
      <c r="X270" s="26">
        <v>5</v>
      </c>
      <c r="Y270" s="26">
        <v>5</v>
      </c>
      <c r="Z270" s="26">
        <v>5</v>
      </c>
      <c r="AA270" t="s">
        <v>3545</v>
      </c>
    </row>
    <row r="271" spans="1:28" x14ac:dyDescent="0.25">
      <c r="A271" s="11">
        <v>271</v>
      </c>
      <c r="B271">
        <v>4220</v>
      </c>
      <c r="C271" t="s">
        <v>3088</v>
      </c>
      <c r="D271" s="13" t="s">
        <v>3089</v>
      </c>
      <c r="E271" t="s">
        <v>3</v>
      </c>
      <c r="G271" t="s">
        <v>3090</v>
      </c>
      <c r="H271">
        <v>2016</v>
      </c>
      <c r="I271" t="s">
        <v>3091</v>
      </c>
      <c r="J271">
        <v>1</v>
      </c>
      <c r="N271" s="11">
        <v>5</v>
      </c>
      <c r="O271" s="18" t="s">
        <v>3244</v>
      </c>
      <c r="P271" s="26" t="s">
        <v>3420</v>
      </c>
      <c r="Q271" s="26" t="s">
        <v>3575</v>
      </c>
      <c r="R271" s="26" t="s">
        <v>3187</v>
      </c>
      <c r="S271" s="26" t="s">
        <v>2</v>
      </c>
      <c r="T271" s="26" t="s">
        <v>38</v>
      </c>
      <c r="U271" s="26" t="s">
        <v>69</v>
      </c>
      <c r="V271" s="26" t="s">
        <v>3607</v>
      </c>
      <c r="W271" s="26">
        <v>5</v>
      </c>
      <c r="X271" s="26">
        <v>5</v>
      </c>
      <c r="Y271" s="26">
        <v>5</v>
      </c>
      <c r="Z271" s="26">
        <v>5</v>
      </c>
      <c r="AA271" t="s">
        <v>63</v>
      </c>
    </row>
    <row r="272" spans="1:28" x14ac:dyDescent="0.25">
      <c r="A272" s="11">
        <v>272</v>
      </c>
      <c r="B272">
        <v>2527</v>
      </c>
      <c r="C272" t="s">
        <v>692</v>
      </c>
      <c r="D272" s="47" t="s">
        <v>693</v>
      </c>
      <c r="E272" t="s">
        <v>0</v>
      </c>
      <c r="G272" t="s">
        <v>1622</v>
      </c>
      <c r="H272">
        <v>2019</v>
      </c>
      <c r="I272" t="s">
        <v>1623</v>
      </c>
      <c r="J272">
        <v>1</v>
      </c>
      <c r="N272" s="11">
        <v>5</v>
      </c>
      <c r="O272" s="18" t="s">
        <v>3598</v>
      </c>
      <c r="P272" s="26" t="s">
        <v>3420</v>
      </c>
      <c r="Q272" s="26" t="s">
        <v>3204</v>
      </c>
      <c r="R272" s="26" t="s">
        <v>3367</v>
      </c>
      <c r="S272" s="26" t="s">
        <v>0</v>
      </c>
      <c r="T272" s="26" t="s">
        <v>38</v>
      </c>
      <c r="U272" s="26" t="s">
        <v>69</v>
      </c>
      <c r="V272" s="26" t="s">
        <v>3512</v>
      </c>
      <c r="W272" s="26">
        <v>5</v>
      </c>
      <c r="X272" s="26">
        <v>5</v>
      </c>
      <c r="Y272" s="26">
        <v>5</v>
      </c>
      <c r="Z272" s="26">
        <v>5</v>
      </c>
      <c r="AA272" t="s">
        <v>54</v>
      </c>
    </row>
    <row r="273" spans="1:28" x14ac:dyDescent="0.25">
      <c r="A273" s="11">
        <v>273</v>
      </c>
      <c r="B273">
        <v>6282</v>
      </c>
      <c r="C273" t="s">
        <v>188</v>
      </c>
      <c r="D273" s="13" t="s">
        <v>189</v>
      </c>
      <c r="E273" t="s">
        <v>6</v>
      </c>
      <c r="F273" t="s">
        <v>349</v>
      </c>
      <c r="G273" t="s">
        <v>350</v>
      </c>
      <c r="H273">
        <v>2018</v>
      </c>
      <c r="I273" t="s">
        <v>278</v>
      </c>
      <c r="J273">
        <v>1</v>
      </c>
      <c r="N273" s="11">
        <v>5</v>
      </c>
      <c r="O273" s="18" t="s">
        <v>3325</v>
      </c>
      <c r="P273" s="26" t="s">
        <v>3420</v>
      </c>
      <c r="Q273" s="26" t="s">
        <v>3522</v>
      </c>
      <c r="R273" s="26" t="s">
        <v>3608</v>
      </c>
      <c r="S273" s="26" t="s">
        <v>6</v>
      </c>
      <c r="T273" s="26" t="s">
        <v>38</v>
      </c>
      <c r="U273" s="26" t="s">
        <v>69</v>
      </c>
      <c r="V273" s="26" t="s">
        <v>3336</v>
      </c>
      <c r="W273" s="26">
        <v>5</v>
      </c>
      <c r="X273" s="26">
        <v>5</v>
      </c>
      <c r="Y273" s="26">
        <v>5</v>
      </c>
      <c r="Z273" s="26">
        <v>5</v>
      </c>
      <c r="AA273" t="s">
        <v>56</v>
      </c>
    </row>
    <row r="274" spans="1:28" x14ac:dyDescent="0.25">
      <c r="A274" s="11">
        <v>274</v>
      </c>
      <c r="B274" s="26">
        <v>6280</v>
      </c>
      <c r="C274" s="26" t="s">
        <v>183</v>
      </c>
      <c r="D274" s="13" t="s">
        <v>184</v>
      </c>
      <c r="E274" s="26" t="s">
        <v>6</v>
      </c>
      <c r="F274" s="26" t="s">
        <v>345</v>
      </c>
      <c r="G274" s="26" t="s">
        <v>346</v>
      </c>
      <c r="H274" s="26">
        <v>2014</v>
      </c>
      <c r="I274" s="26" t="s">
        <v>276</v>
      </c>
      <c r="J274" s="26">
        <v>1</v>
      </c>
      <c r="K274" s="26"/>
      <c r="L274" s="26"/>
      <c r="M274" s="26"/>
      <c r="N274" s="26">
        <v>5</v>
      </c>
      <c r="O274" s="18" t="s">
        <v>3413</v>
      </c>
      <c r="P274" s="26" t="s">
        <v>3420</v>
      </c>
      <c r="Q274" s="26" t="s">
        <v>3210</v>
      </c>
      <c r="R274" s="26" t="s">
        <v>3238</v>
      </c>
      <c r="S274" s="26" t="s">
        <v>6</v>
      </c>
      <c r="T274" s="26" t="s">
        <v>38</v>
      </c>
      <c r="U274" s="26" t="s">
        <v>69</v>
      </c>
      <c r="V274" s="26" t="s">
        <v>3336</v>
      </c>
      <c r="W274" s="26">
        <v>5</v>
      </c>
      <c r="X274" s="26">
        <v>5</v>
      </c>
      <c r="Y274" s="26">
        <v>5</v>
      </c>
      <c r="Z274" s="26">
        <v>5</v>
      </c>
      <c r="AA274" s="26" t="s">
        <v>3604</v>
      </c>
      <c r="AB274" s="26"/>
    </row>
    <row r="275" spans="1:28" x14ac:dyDescent="0.25">
      <c r="A275" s="11">
        <v>275</v>
      </c>
      <c r="B275">
        <v>5993</v>
      </c>
      <c r="C275" t="s">
        <v>875</v>
      </c>
      <c r="D275" s="13" t="s">
        <v>876</v>
      </c>
      <c r="E275" t="s">
        <v>0</v>
      </c>
      <c r="G275" t="s">
        <v>877</v>
      </c>
      <c r="H275">
        <v>2018</v>
      </c>
      <c r="J275">
        <v>1</v>
      </c>
      <c r="N275" s="11">
        <v>5</v>
      </c>
      <c r="O275" s="18" t="s">
        <v>3496</v>
      </c>
      <c r="P275" s="26" t="s">
        <v>3420</v>
      </c>
      <c r="Q275" s="26" t="s">
        <v>3258</v>
      </c>
      <c r="R275" s="26" t="s">
        <v>3238</v>
      </c>
      <c r="S275" s="26" t="s">
        <v>0</v>
      </c>
      <c r="T275" s="26" t="s">
        <v>38</v>
      </c>
      <c r="U275" s="26" t="s">
        <v>69</v>
      </c>
      <c r="V275" s="26" t="s">
        <v>3280</v>
      </c>
      <c r="W275" s="26">
        <v>5</v>
      </c>
      <c r="X275" s="26">
        <v>5</v>
      </c>
      <c r="Y275" s="26">
        <v>5</v>
      </c>
      <c r="Z275" s="26">
        <v>5</v>
      </c>
      <c r="AA275" t="s">
        <v>54</v>
      </c>
    </row>
    <row r="276" spans="1:28" x14ac:dyDescent="0.25">
      <c r="A276" s="11">
        <v>276</v>
      </c>
      <c r="B276">
        <v>3128</v>
      </c>
      <c r="C276" t="s">
        <v>2407</v>
      </c>
      <c r="D276" s="8" t="s">
        <v>2408</v>
      </c>
      <c r="E276" t="s">
        <v>22</v>
      </c>
      <c r="G276" t="s">
        <v>2409</v>
      </c>
      <c r="H276">
        <v>2016</v>
      </c>
      <c r="I276" t="s">
        <v>2410</v>
      </c>
      <c r="J276">
        <v>1</v>
      </c>
      <c r="N276" s="11">
        <v>0</v>
      </c>
      <c r="P276" s="26"/>
      <c r="Q276" s="26"/>
      <c r="R276" s="26"/>
      <c r="S276" s="26"/>
      <c r="T276" s="26"/>
      <c r="U276" s="26"/>
      <c r="V276" s="26"/>
      <c r="W276" s="26">
        <v>0</v>
      </c>
      <c r="X276" s="26">
        <v>0</v>
      </c>
      <c r="Y276" s="26">
        <v>0</v>
      </c>
      <c r="Z276" s="26">
        <v>0</v>
      </c>
    </row>
    <row r="277" spans="1:28" x14ac:dyDescent="0.25">
      <c r="A277" s="11">
        <v>277</v>
      </c>
      <c r="B277">
        <v>2753</v>
      </c>
      <c r="C277" t="s">
        <v>2482</v>
      </c>
      <c r="D277" t="s">
        <v>2483</v>
      </c>
      <c r="E277" t="s">
        <v>5</v>
      </c>
      <c r="G277" t="s">
        <v>2484</v>
      </c>
      <c r="H277">
        <v>2018</v>
      </c>
      <c r="I277" t="s">
        <v>2485</v>
      </c>
      <c r="J277">
        <v>1</v>
      </c>
      <c r="K277">
        <v>1</v>
      </c>
      <c r="N277" s="11">
        <v>0</v>
      </c>
      <c r="P277" s="26"/>
      <c r="Q277" s="26"/>
      <c r="R277" s="26"/>
      <c r="S277" s="26"/>
      <c r="T277" s="26"/>
      <c r="U277" s="26"/>
      <c r="V277" s="26"/>
      <c r="W277" s="26">
        <v>0</v>
      </c>
      <c r="X277" s="26">
        <v>0</v>
      </c>
      <c r="Y277" s="26">
        <v>0</v>
      </c>
      <c r="Z277" s="26">
        <v>0</v>
      </c>
      <c r="AB277" t="s">
        <v>3281</v>
      </c>
    </row>
    <row r="278" spans="1:28" x14ac:dyDescent="0.25">
      <c r="A278" s="11">
        <v>278</v>
      </c>
      <c r="B278">
        <v>3057</v>
      </c>
      <c r="C278" t="s">
        <v>2759</v>
      </c>
      <c r="D278" t="s">
        <v>2760</v>
      </c>
      <c r="E278" t="s">
        <v>0</v>
      </c>
      <c r="G278" t="s">
        <v>2761</v>
      </c>
      <c r="H278">
        <v>2016</v>
      </c>
      <c r="I278" t="s">
        <v>2762</v>
      </c>
      <c r="J278">
        <v>1</v>
      </c>
      <c r="K278">
        <v>1</v>
      </c>
      <c r="L278">
        <v>1</v>
      </c>
      <c r="N278" s="11">
        <v>0</v>
      </c>
      <c r="P278" s="26"/>
      <c r="Q278" s="26"/>
      <c r="R278" s="26"/>
      <c r="S278" s="26"/>
      <c r="T278" s="26"/>
      <c r="U278" s="26"/>
      <c r="V278" s="26"/>
      <c r="W278" s="26">
        <v>0</v>
      </c>
      <c r="X278" s="26">
        <v>0</v>
      </c>
      <c r="Y278" s="26">
        <v>0</v>
      </c>
      <c r="Z278" s="26">
        <v>0</v>
      </c>
    </row>
    <row r="279" spans="1:28" x14ac:dyDescent="0.25">
      <c r="A279" s="11">
        <v>279</v>
      </c>
      <c r="B279">
        <v>6394</v>
      </c>
      <c r="C279" t="s">
        <v>152</v>
      </c>
      <c r="D279" s="26" t="s">
        <v>153</v>
      </c>
      <c r="E279" t="s">
        <v>6</v>
      </c>
      <c r="F279" t="s">
        <v>317</v>
      </c>
      <c r="G279" t="s">
        <v>318</v>
      </c>
      <c r="H279">
        <v>2018</v>
      </c>
      <c r="I279" t="s">
        <v>264</v>
      </c>
      <c r="J279">
        <v>1</v>
      </c>
      <c r="N279" s="11">
        <v>5</v>
      </c>
      <c r="O279" s="18" t="s">
        <v>3413</v>
      </c>
      <c r="P279" s="26" t="s">
        <v>3420</v>
      </c>
      <c r="Q279" s="26" t="s">
        <v>3258</v>
      </c>
      <c r="R279" s="26" t="s">
        <v>3239</v>
      </c>
      <c r="S279" s="26" t="s">
        <v>0</v>
      </c>
      <c r="T279" s="26" t="s">
        <v>38</v>
      </c>
      <c r="U279" s="26" t="s">
        <v>69</v>
      </c>
      <c r="V279" s="26" t="s">
        <v>3336</v>
      </c>
      <c r="W279" s="26">
        <v>5</v>
      </c>
      <c r="X279" s="26">
        <v>5</v>
      </c>
      <c r="Y279" s="26">
        <v>5</v>
      </c>
      <c r="Z279" s="26">
        <v>5</v>
      </c>
      <c r="AA279" t="s">
        <v>59</v>
      </c>
    </row>
    <row r="280" spans="1:28" x14ac:dyDescent="0.25">
      <c r="A280" s="11">
        <v>280</v>
      </c>
      <c r="B280">
        <v>6434</v>
      </c>
      <c r="C280" t="s">
        <v>164</v>
      </c>
      <c r="D280" t="s">
        <v>165</v>
      </c>
      <c r="E280" t="s">
        <v>6</v>
      </c>
      <c r="F280" t="s">
        <v>327</v>
      </c>
      <c r="G280" t="s">
        <v>328</v>
      </c>
      <c r="H280">
        <v>2016</v>
      </c>
      <c r="I280" t="s">
        <v>269</v>
      </c>
      <c r="J280">
        <v>1</v>
      </c>
      <c r="N280" s="11">
        <v>0</v>
      </c>
      <c r="P280" s="26"/>
      <c r="Q280" s="26"/>
      <c r="R280" s="26"/>
      <c r="S280" s="26"/>
      <c r="T280" s="26"/>
      <c r="U280" s="26"/>
      <c r="V280" s="26"/>
      <c r="W280" s="26">
        <v>0</v>
      </c>
      <c r="X280" s="26">
        <v>0</v>
      </c>
      <c r="Y280" s="26">
        <v>0</v>
      </c>
      <c r="Z280" s="26">
        <v>0</v>
      </c>
    </row>
    <row r="281" spans="1:28" x14ac:dyDescent="0.25">
      <c r="A281" s="11">
        <v>281</v>
      </c>
      <c r="B281">
        <v>3692</v>
      </c>
      <c r="C281" t="s">
        <v>2578</v>
      </c>
      <c r="D281" t="s">
        <v>2579</v>
      </c>
      <c r="E281" t="s">
        <v>0</v>
      </c>
      <c r="G281" t="s">
        <v>2580</v>
      </c>
      <c r="H281">
        <v>2012</v>
      </c>
      <c r="I281" t="s">
        <v>2581</v>
      </c>
      <c r="J281">
        <v>1</v>
      </c>
      <c r="N281" s="11">
        <v>0</v>
      </c>
      <c r="P281" s="26"/>
      <c r="Q281" s="26"/>
      <c r="R281" s="26"/>
      <c r="S281" s="26"/>
      <c r="T281" s="26"/>
      <c r="U281" s="26"/>
      <c r="V281" s="26"/>
      <c r="W281" s="26">
        <v>0</v>
      </c>
      <c r="X281" s="26">
        <v>0</v>
      </c>
      <c r="Y281" s="26">
        <v>0</v>
      </c>
      <c r="Z281" s="26">
        <v>0</v>
      </c>
    </row>
    <row r="282" spans="1:28" x14ac:dyDescent="0.25">
      <c r="A282" s="11">
        <v>282</v>
      </c>
      <c r="B282">
        <v>3681</v>
      </c>
      <c r="C282" t="s">
        <v>2398</v>
      </c>
      <c r="D282" s="26" t="s">
        <v>2399</v>
      </c>
      <c r="E282" t="s">
        <v>0</v>
      </c>
      <c r="G282" t="s">
        <v>2400</v>
      </c>
      <c r="H282">
        <v>2012</v>
      </c>
      <c r="I282" t="s">
        <v>2401</v>
      </c>
      <c r="J282">
        <v>1</v>
      </c>
      <c r="N282" s="11">
        <v>0</v>
      </c>
    </row>
    <row r="283" spans="1:28" x14ac:dyDescent="0.25">
      <c r="A283" s="11">
        <v>283</v>
      </c>
      <c r="B283">
        <v>5950</v>
      </c>
      <c r="C283" t="s">
        <v>405</v>
      </c>
      <c r="D283" t="s">
        <v>406</v>
      </c>
      <c r="E283" t="s">
        <v>121</v>
      </c>
      <c r="F283" t="s">
        <v>921</v>
      </c>
      <c r="G283" t="s">
        <v>407</v>
      </c>
      <c r="H283">
        <v>2019</v>
      </c>
      <c r="I283" t="s">
        <v>408</v>
      </c>
      <c r="J283">
        <v>1</v>
      </c>
      <c r="L283">
        <v>1</v>
      </c>
      <c r="N283" s="11">
        <v>5</v>
      </c>
      <c r="O283" s="18" t="s">
        <v>3157</v>
      </c>
      <c r="P283" s="26" t="s">
        <v>3187</v>
      </c>
      <c r="Q283" s="26" t="s">
        <v>3254</v>
      </c>
      <c r="R283" s="26" t="s">
        <v>3248</v>
      </c>
      <c r="S283" s="26" t="s">
        <v>1</v>
      </c>
      <c r="T283" s="26" t="s">
        <v>38</v>
      </c>
      <c r="U283" s="26" t="s">
        <v>69</v>
      </c>
      <c r="V283" s="26" t="s">
        <v>3246</v>
      </c>
      <c r="W283" s="26">
        <v>5</v>
      </c>
      <c r="X283" s="26">
        <v>5</v>
      </c>
      <c r="Y283" s="26">
        <v>4</v>
      </c>
      <c r="Z283" s="26">
        <v>4</v>
      </c>
      <c r="AA283" t="s">
        <v>3249</v>
      </c>
    </row>
    <row r="284" spans="1:28" x14ac:dyDescent="0.25">
      <c r="A284" s="11">
        <v>284</v>
      </c>
      <c r="B284">
        <v>5651</v>
      </c>
      <c r="C284" t="s">
        <v>600</v>
      </c>
      <c r="D284" s="8" t="s">
        <v>601</v>
      </c>
      <c r="E284" t="s">
        <v>0</v>
      </c>
      <c r="G284" t="s">
        <v>602</v>
      </c>
      <c r="H284">
        <v>2014</v>
      </c>
      <c r="I284" t="s">
        <v>603</v>
      </c>
      <c r="J284">
        <v>1</v>
      </c>
      <c r="K284">
        <v>-1</v>
      </c>
      <c r="N284" s="11">
        <v>0</v>
      </c>
      <c r="P284" s="26"/>
      <c r="Q284" s="26"/>
      <c r="R284" s="26"/>
      <c r="S284" s="26"/>
      <c r="T284" s="26"/>
      <c r="U284" s="26"/>
      <c r="V284" s="26"/>
      <c r="W284" s="26">
        <v>0</v>
      </c>
      <c r="X284" s="26">
        <v>0</v>
      </c>
      <c r="Y284" s="26">
        <v>0</v>
      </c>
      <c r="Z284" s="26">
        <v>0</v>
      </c>
    </row>
    <row r="285" spans="1:28" x14ac:dyDescent="0.25">
      <c r="A285" s="11">
        <v>285</v>
      </c>
      <c r="B285">
        <v>2710</v>
      </c>
      <c r="C285" t="s">
        <v>2140</v>
      </c>
      <c r="D285" t="s">
        <v>2141</v>
      </c>
      <c r="E285" t="s">
        <v>0</v>
      </c>
      <c r="G285" t="s">
        <v>2142</v>
      </c>
      <c r="H285">
        <v>2018</v>
      </c>
      <c r="I285" t="s">
        <v>2143</v>
      </c>
      <c r="J285">
        <v>1</v>
      </c>
      <c r="N285" s="11">
        <v>0</v>
      </c>
      <c r="P285" s="26"/>
      <c r="Q285" s="26"/>
      <c r="R285" s="26"/>
      <c r="S285" s="26"/>
      <c r="T285" s="26"/>
      <c r="U285" s="26"/>
      <c r="V285" s="26"/>
      <c r="W285" s="26">
        <v>0</v>
      </c>
      <c r="X285" s="26">
        <v>0</v>
      </c>
      <c r="Y285" s="26">
        <v>0</v>
      </c>
      <c r="Z285" s="26">
        <v>0</v>
      </c>
    </row>
    <row r="286" spans="1:28" x14ac:dyDescent="0.25">
      <c r="A286" s="11">
        <v>286</v>
      </c>
      <c r="B286">
        <v>3341</v>
      </c>
      <c r="C286" t="s">
        <v>2159</v>
      </c>
      <c r="D286" s="26" t="s">
        <v>2160</v>
      </c>
      <c r="E286" t="s">
        <v>0</v>
      </c>
      <c r="G286" t="s">
        <v>2161</v>
      </c>
      <c r="H286">
        <v>2014</v>
      </c>
      <c r="I286" t="s">
        <v>2162</v>
      </c>
      <c r="J286">
        <v>1</v>
      </c>
      <c r="N286" s="11">
        <v>4</v>
      </c>
      <c r="O286" s="18" t="s">
        <v>3157</v>
      </c>
      <c r="P286" s="26" t="s">
        <v>3187</v>
      </c>
      <c r="Q286" s="26" t="s">
        <v>3364</v>
      </c>
      <c r="R286" s="26" t="s">
        <v>3231</v>
      </c>
      <c r="S286" s="26" t="s">
        <v>0</v>
      </c>
      <c r="T286" s="26" t="s">
        <v>38</v>
      </c>
      <c r="U286" s="26" t="s">
        <v>69</v>
      </c>
      <c r="V286" s="26" t="s">
        <v>3336</v>
      </c>
      <c r="W286" s="26">
        <v>5</v>
      </c>
      <c r="X286" s="26">
        <v>5</v>
      </c>
      <c r="Y286" s="26">
        <v>5</v>
      </c>
      <c r="Z286" s="26">
        <v>5</v>
      </c>
      <c r="AA286" t="s">
        <v>3365</v>
      </c>
    </row>
    <row r="287" spans="1:28" x14ac:dyDescent="0.25">
      <c r="A287" s="11">
        <v>287</v>
      </c>
      <c r="B287">
        <v>6333</v>
      </c>
      <c r="C287" t="s">
        <v>166</v>
      </c>
      <c r="D287" t="s">
        <v>167</v>
      </c>
      <c r="E287" t="s">
        <v>6</v>
      </c>
      <c r="F287" t="s">
        <v>329</v>
      </c>
      <c r="G287" t="s">
        <v>330</v>
      </c>
      <c r="H287">
        <v>2017</v>
      </c>
      <c r="I287" t="s">
        <v>270</v>
      </c>
      <c r="J287">
        <v>1</v>
      </c>
      <c r="N287" s="11">
        <v>0</v>
      </c>
      <c r="P287" s="26"/>
      <c r="Q287" s="26"/>
      <c r="R287" s="26"/>
      <c r="S287" s="26"/>
      <c r="T287" s="26"/>
      <c r="U287" s="26"/>
      <c r="V287" s="26"/>
      <c r="W287" s="26">
        <v>0</v>
      </c>
      <c r="X287" s="26">
        <v>0</v>
      </c>
      <c r="Y287" s="26">
        <v>0</v>
      </c>
      <c r="Z287" s="26">
        <v>0</v>
      </c>
    </row>
    <row r="288" spans="1:28" x14ac:dyDescent="0.25">
      <c r="A288" s="11">
        <v>288</v>
      </c>
      <c r="B288">
        <v>3364</v>
      </c>
      <c r="C288" t="s">
        <v>1640</v>
      </c>
      <c r="D288" t="s">
        <v>1641</v>
      </c>
      <c r="E288" t="s">
        <v>0</v>
      </c>
      <c r="G288" t="s">
        <v>1642</v>
      </c>
      <c r="H288">
        <v>2014</v>
      </c>
      <c r="I288" t="s">
        <v>1643</v>
      </c>
      <c r="J288">
        <v>1</v>
      </c>
      <c r="N288" s="11">
        <v>0</v>
      </c>
      <c r="P288" s="26"/>
      <c r="Q288" s="26"/>
      <c r="R288" s="26"/>
      <c r="S288" s="26"/>
      <c r="T288" s="26"/>
      <c r="U288" s="26"/>
      <c r="V288" s="26"/>
      <c r="W288" s="26">
        <v>0</v>
      </c>
      <c r="X288" s="26">
        <v>0</v>
      </c>
      <c r="Y288" s="26">
        <v>0</v>
      </c>
      <c r="Z288" s="26">
        <v>0</v>
      </c>
    </row>
    <row r="289" spans="1:27" x14ac:dyDescent="0.25">
      <c r="A289" s="11">
        <v>289</v>
      </c>
      <c r="B289">
        <v>6085</v>
      </c>
      <c r="C289" t="s">
        <v>441</v>
      </c>
      <c r="D289" s="9" t="s">
        <v>442</v>
      </c>
      <c r="E289" t="s">
        <v>0</v>
      </c>
      <c r="F289" t="s">
        <v>930</v>
      </c>
      <c r="G289" t="s">
        <v>443</v>
      </c>
      <c r="H289">
        <v>2013</v>
      </c>
      <c r="I289" t="s">
        <v>444</v>
      </c>
      <c r="J289">
        <v>1</v>
      </c>
      <c r="N289" s="11">
        <v>2</v>
      </c>
      <c r="O289" s="18" t="s">
        <v>3288</v>
      </c>
      <c r="P289" s="26" t="s">
        <v>3187</v>
      </c>
      <c r="Q289" s="26" t="s">
        <v>3210</v>
      </c>
      <c r="R289" s="26" t="s">
        <v>3238</v>
      </c>
      <c r="S289" s="26" t="s">
        <v>0</v>
      </c>
      <c r="T289" s="26" t="s">
        <v>37</v>
      </c>
      <c r="U289" s="26" t="s">
        <v>69</v>
      </c>
      <c r="V289" s="26" t="s">
        <v>3336</v>
      </c>
      <c r="W289" s="26">
        <v>5</v>
      </c>
      <c r="X289" s="26">
        <v>5</v>
      </c>
      <c r="Y289" s="26">
        <v>3</v>
      </c>
      <c r="Z289" s="26">
        <v>5</v>
      </c>
      <c r="AA289" t="s">
        <v>57</v>
      </c>
    </row>
    <row r="290" spans="1:27" x14ac:dyDescent="0.25">
      <c r="A290" s="11">
        <v>290</v>
      </c>
      <c r="B290">
        <v>2553</v>
      </c>
      <c r="C290" t="s">
        <v>2511</v>
      </c>
      <c r="D290" t="s">
        <v>2512</v>
      </c>
      <c r="E290" t="s">
        <v>0</v>
      </c>
      <c r="G290" t="s">
        <v>2513</v>
      </c>
      <c r="H290">
        <v>2019</v>
      </c>
      <c r="I290" t="s">
        <v>2514</v>
      </c>
      <c r="J290">
        <v>1</v>
      </c>
      <c r="N290" s="11">
        <v>0</v>
      </c>
      <c r="P290" s="26"/>
      <c r="Q290" s="26"/>
      <c r="R290" s="26"/>
      <c r="S290" s="26"/>
      <c r="T290" s="26"/>
      <c r="U290" s="26"/>
      <c r="V290" s="26"/>
      <c r="W290" s="26">
        <v>0</v>
      </c>
      <c r="X290" s="26">
        <v>0</v>
      </c>
      <c r="Y290" s="26">
        <v>0</v>
      </c>
      <c r="Z290" s="26">
        <v>0</v>
      </c>
    </row>
    <row r="291" spans="1:27" x14ac:dyDescent="0.25">
      <c r="A291" s="11">
        <v>291</v>
      </c>
      <c r="B291">
        <v>6329</v>
      </c>
      <c r="C291" t="s">
        <v>209</v>
      </c>
      <c r="D291" s="26" t="s">
        <v>210</v>
      </c>
      <c r="E291" t="s">
        <v>6</v>
      </c>
      <c r="F291" t="s">
        <v>369</v>
      </c>
      <c r="G291" t="s">
        <v>370</v>
      </c>
      <c r="H291">
        <v>2015</v>
      </c>
      <c r="I291" t="s">
        <v>286</v>
      </c>
      <c r="J291">
        <v>0</v>
      </c>
      <c r="N291" s="11">
        <v>2</v>
      </c>
      <c r="O291" s="18" t="s">
        <v>3370</v>
      </c>
      <c r="P291" s="26" t="s">
        <v>3188</v>
      </c>
      <c r="Q291" s="26" t="s">
        <v>3204</v>
      </c>
      <c r="R291" s="26" t="s">
        <v>3215</v>
      </c>
      <c r="S291" s="26" t="s">
        <v>1</v>
      </c>
      <c r="T291" s="26" t="s">
        <v>38</v>
      </c>
      <c r="U291" s="26" t="s">
        <v>70</v>
      </c>
      <c r="V291" s="26" t="s">
        <v>3354</v>
      </c>
      <c r="W291" s="26">
        <v>2</v>
      </c>
      <c r="X291" s="26">
        <v>2</v>
      </c>
      <c r="Y291" s="26">
        <v>2</v>
      </c>
      <c r="Z291" s="26">
        <v>2</v>
      </c>
      <c r="AA291" t="s">
        <v>3335</v>
      </c>
    </row>
    <row r="292" spans="1:27" x14ac:dyDescent="0.25">
      <c r="A292" s="11">
        <v>292</v>
      </c>
      <c r="B292">
        <v>2713</v>
      </c>
      <c r="C292" t="s">
        <v>668</v>
      </c>
      <c r="D292" s="8" t="s">
        <v>1589</v>
      </c>
      <c r="E292" t="s">
        <v>0</v>
      </c>
      <c r="G292" t="s">
        <v>1590</v>
      </c>
      <c r="H292">
        <v>2018</v>
      </c>
      <c r="I292" t="s">
        <v>1591</v>
      </c>
      <c r="J292">
        <v>0</v>
      </c>
      <c r="N292" s="11">
        <v>3</v>
      </c>
      <c r="O292" s="18" t="s">
        <v>3555</v>
      </c>
      <c r="P292" s="26" t="s">
        <v>3582</v>
      </c>
      <c r="Q292" s="26" t="s">
        <v>3258</v>
      </c>
      <c r="R292" s="26" t="s">
        <v>3187</v>
      </c>
      <c r="S292" s="26" t="s">
        <v>0</v>
      </c>
      <c r="T292" s="26" t="s">
        <v>38</v>
      </c>
      <c r="U292" s="26" t="s">
        <v>69</v>
      </c>
      <c r="V292" s="26" t="s">
        <v>3450</v>
      </c>
      <c r="W292" s="26">
        <v>5</v>
      </c>
      <c r="X292" s="26">
        <v>5</v>
      </c>
      <c r="Y292" s="26">
        <v>3</v>
      </c>
      <c r="Z292" s="26">
        <v>3</v>
      </c>
      <c r="AA292" t="s">
        <v>59</v>
      </c>
    </row>
    <row r="293" spans="1:27" x14ac:dyDescent="0.25">
      <c r="A293" s="11">
        <v>293</v>
      </c>
      <c r="B293">
        <v>5468</v>
      </c>
      <c r="C293" t="s">
        <v>1076</v>
      </c>
      <c r="D293" s="26" t="s">
        <v>1077</v>
      </c>
      <c r="E293" t="s">
        <v>22</v>
      </c>
      <c r="G293" t="s">
        <v>1078</v>
      </c>
      <c r="H293">
        <v>2019</v>
      </c>
      <c r="I293" t="s">
        <v>1079</v>
      </c>
      <c r="J293">
        <v>1</v>
      </c>
      <c r="N293" s="11">
        <v>5</v>
      </c>
      <c r="O293" s="18" t="s">
        <v>3535</v>
      </c>
      <c r="P293" s="26" t="s">
        <v>3536</v>
      </c>
      <c r="Q293" s="26" t="s">
        <v>3210</v>
      </c>
      <c r="R293" s="26" t="s">
        <v>3257</v>
      </c>
      <c r="S293" s="26" t="s">
        <v>0</v>
      </c>
      <c r="T293" s="26" t="s">
        <v>38</v>
      </c>
      <c r="U293" s="26" t="s">
        <v>69</v>
      </c>
      <c r="V293" s="26" t="s">
        <v>3336</v>
      </c>
      <c r="W293" s="26">
        <v>5</v>
      </c>
      <c r="X293" s="26">
        <v>5</v>
      </c>
      <c r="Y293" s="26">
        <v>5</v>
      </c>
      <c r="Z293" s="26">
        <v>5</v>
      </c>
      <c r="AA293" t="s">
        <v>65</v>
      </c>
    </row>
    <row r="294" spans="1:27" x14ac:dyDescent="0.25">
      <c r="A294" s="11">
        <v>294</v>
      </c>
      <c r="B294">
        <v>5690</v>
      </c>
      <c r="C294" t="s">
        <v>605</v>
      </c>
      <c r="D294" t="s">
        <v>606</v>
      </c>
      <c r="E294" t="s">
        <v>0</v>
      </c>
      <c r="G294" t="s">
        <v>607</v>
      </c>
      <c r="H294">
        <v>2018</v>
      </c>
      <c r="I294" t="s">
        <v>608</v>
      </c>
      <c r="J294">
        <v>1</v>
      </c>
      <c r="N294" s="11">
        <v>0</v>
      </c>
      <c r="P294" s="26"/>
      <c r="Q294" s="26"/>
      <c r="R294" s="26"/>
      <c r="S294" s="26"/>
      <c r="T294" s="26"/>
      <c r="U294" s="26"/>
      <c r="V294" s="26"/>
      <c r="W294" s="26">
        <v>0</v>
      </c>
      <c r="X294" s="26">
        <v>0</v>
      </c>
      <c r="Y294" s="26">
        <v>0</v>
      </c>
      <c r="Z294" s="26">
        <v>0</v>
      </c>
    </row>
    <row r="295" spans="1:27" x14ac:dyDescent="0.25">
      <c r="A295" s="11">
        <v>295</v>
      </c>
      <c r="B295">
        <v>5893</v>
      </c>
      <c r="C295" t="s">
        <v>609</v>
      </c>
      <c r="D295" s="8" t="s">
        <v>610</v>
      </c>
      <c r="E295" t="s">
        <v>0</v>
      </c>
      <c r="G295" t="s">
        <v>611</v>
      </c>
      <c r="H295">
        <v>2018</v>
      </c>
      <c r="J295">
        <v>1</v>
      </c>
      <c r="K295">
        <v>-1</v>
      </c>
      <c r="N295" s="11">
        <v>0</v>
      </c>
      <c r="P295" s="26"/>
      <c r="Q295" s="26"/>
      <c r="R295" s="26"/>
      <c r="S295" s="26"/>
      <c r="T295" s="26"/>
      <c r="U295" s="26"/>
      <c r="V295" s="26"/>
      <c r="W295" s="26">
        <v>0</v>
      </c>
      <c r="X295" s="26">
        <v>0</v>
      </c>
      <c r="Y295" s="26">
        <v>0</v>
      </c>
      <c r="Z295" s="26">
        <v>0</v>
      </c>
    </row>
    <row r="296" spans="1:27" x14ac:dyDescent="0.25">
      <c r="A296" s="11">
        <v>297</v>
      </c>
      <c r="B296">
        <v>2856</v>
      </c>
      <c r="C296" t="s">
        <v>2111</v>
      </c>
      <c r="D296" t="s">
        <v>2112</v>
      </c>
      <c r="E296" t="s">
        <v>0</v>
      </c>
      <c r="G296" t="s">
        <v>2113</v>
      </c>
      <c r="H296">
        <v>2017</v>
      </c>
      <c r="I296" t="s">
        <v>2114</v>
      </c>
      <c r="J296">
        <v>1</v>
      </c>
      <c r="N296" s="11">
        <v>0</v>
      </c>
      <c r="P296" s="26"/>
      <c r="Q296" s="26"/>
      <c r="R296" s="26"/>
      <c r="S296" s="26"/>
      <c r="T296" s="26"/>
      <c r="U296" s="26"/>
      <c r="V296" s="26"/>
      <c r="W296" s="26">
        <v>0</v>
      </c>
      <c r="X296" s="26">
        <v>0</v>
      </c>
      <c r="Y296" s="26">
        <v>0</v>
      </c>
      <c r="Z296" s="26">
        <v>0</v>
      </c>
    </row>
    <row r="297" spans="1:27" x14ac:dyDescent="0.25">
      <c r="A297" s="11">
        <v>298</v>
      </c>
      <c r="B297">
        <v>4230</v>
      </c>
      <c r="C297" t="s">
        <v>3140</v>
      </c>
      <c r="D297" t="s">
        <v>3141</v>
      </c>
      <c r="E297" t="s">
        <v>3142</v>
      </c>
      <c r="G297" t="s">
        <v>3143</v>
      </c>
      <c r="H297">
        <v>2016</v>
      </c>
      <c r="I297" t="s">
        <v>3144</v>
      </c>
      <c r="J297">
        <v>1</v>
      </c>
      <c r="N297" s="11">
        <v>0</v>
      </c>
      <c r="P297" s="26"/>
      <c r="Q297" s="26"/>
      <c r="R297" s="26"/>
      <c r="S297" s="26"/>
      <c r="T297" s="26"/>
      <c r="U297" s="26"/>
      <c r="V297" s="26"/>
      <c r="W297" s="26">
        <v>0</v>
      </c>
      <c r="X297" s="26">
        <v>0</v>
      </c>
      <c r="Y297" s="26">
        <v>0</v>
      </c>
      <c r="Z297" s="26">
        <v>0</v>
      </c>
    </row>
    <row r="298" spans="1:27" x14ac:dyDescent="0.25">
      <c r="A298" s="11">
        <v>299</v>
      </c>
      <c r="B298">
        <v>2969</v>
      </c>
      <c r="C298" t="s">
        <v>1436</v>
      </c>
      <c r="D298" t="s">
        <v>1437</v>
      </c>
      <c r="E298" t="s">
        <v>0</v>
      </c>
      <c r="G298" t="s">
        <v>1438</v>
      </c>
      <c r="H298">
        <v>2017</v>
      </c>
      <c r="I298" t="s">
        <v>1439</v>
      </c>
      <c r="J298">
        <v>1</v>
      </c>
      <c r="N298" s="11">
        <v>0</v>
      </c>
      <c r="P298" s="26"/>
      <c r="Q298" s="26"/>
      <c r="R298" s="26"/>
      <c r="S298" s="26"/>
      <c r="T298" s="26"/>
      <c r="U298" s="26"/>
      <c r="V298" s="26"/>
      <c r="W298" s="26">
        <v>0</v>
      </c>
      <c r="X298" s="26">
        <v>0</v>
      </c>
      <c r="Y298" s="26">
        <v>0</v>
      </c>
      <c r="Z298" s="26">
        <v>0</v>
      </c>
    </row>
    <row r="299" spans="1:27" x14ac:dyDescent="0.25">
      <c r="A299" s="11">
        <v>300</v>
      </c>
      <c r="B299">
        <v>2904</v>
      </c>
      <c r="C299" t="s">
        <v>2870</v>
      </c>
      <c r="D299" t="s">
        <v>2871</v>
      </c>
      <c r="E299" t="s">
        <v>0</v>
      </c>
      <c r="G299" t="s">
        <v>2872</v>
      </c>
      <c r="H299">
        <v>2017</v>
      </c>
      <c r="I299" t="s">
        <v>2873</v>
      </c>
      <c r="J299">
        <v>1</v>
      </c>
      <c r="N299" s="11">
        <v>5</v>
      </c>
      <c r="O299" s="18" t="s">
        <v>3157</v>
      </c>
      <c r="P299" s="26" t="s">
        <v>3173</v>
      </c>
      <c r="Q299" s="26" t="s">
        <v>3203</v>
      </c>
      <c r="R299" s="26" t="s">
        <v>3243</v>
      </c>
      <c r="S299" s="26" t="s">
        <v>6</v>
      </c>
      <c r="T299" s="26" t="s">
        <v>38</v>
      </c>
      <c r="U299" s="26" t="s">
        <v>69</v>
      </c>
      <c r="V299" s="26" t="s">
        <v>3259</v>
      </c>
      <c r="W299" s="26">
        <v>5</v>
      </c>
      <c r="X299" s="26">
        <v>5</v>
      </c>
      <c r="Y299" s="26">
        <v>5</v>
      </c>
      <c r="Z299" s="26">
        <v>5</v>
      </c>
      <c r="AA299" t="s">
        <v>3251</v>
      </c>
    </row>
    <row r="300" spans="1:27" x14ac:dyDescent="0.25">
      <c r="A300" s="11">
        <v>301</v>
      </c>
      <c r="B300">
        <v>5684</v>
      </c>
      <c r="C300" t="s">
        <v>612</v>
      </c>
      <c r="D300" t="s">
        <v>613</v>
      </c>
      <c r="E300" t="s">
        <v>0</v>
      </c>
      <c r="G300" t="s">
        <v>614</v>
      </c>
      <c r="H300">
        <v>2012</v>
      </c>
      <c r="I300" t="s">
        <v>615</v>
      </c>
      <c r="J300">
        <v>1</v>
      </c>
      <c r="N300" s="11">
        <v>0</v>
      </c>
      <c r="P300" s="26"/>
      <c r="Q300" s="26"/>
      <c r="R300" s="26"/>
      <c r="S300" s="26"/>
      <c r="T300" s="26"/>
      <c r="U300" s="26"/>
      <c r="V300" s="26"/>
      <c r="W300" s="26">
        <v>0</v>
      </c>
      <c r="X300" s="26">
        <v>0</v>
      </c>
      <c r="Y300" s="26">
        <v>0</v>
      </c>
      <c r="Z300" s="26">
        <v>0</v>
      </c>
    </row>
    <row r="301" spans="1:27" x14ac:dyDescent="0.25">
      <c r="A301" s="11">
        <v>302</v>
      </c>
      <c r="B301">
        <v>3157</v>
      </c>
      <c r="C301" t="s">
        <v>1682</v>
      </c>
      <c r="D301" s="26" t="s">
        <v>1683</v>
      </c>
      <c r="E301" t="s">
        <v>0</v>
      </c>
      <c r="G301" t="s">
        <v>1684</v>
      </c>
      <c r="H301">
        <v>2015</v>
      </c>
      <c r="I301" t="s">
        <v>1685</v>
      </c>
      <c r="J301">
        <v>1</v>
      </c>
      <c r="N301" s="11">
        <v>4</v>
      </c>
      <c r="O301" s="18" t="s">
        <v>3328</v>
      </c>
      <c r="P301" s="26" t="s">
        <v>3173</v>
      </c>
      <c r="Q301" s="26" t="s">
        <v>3258</v>
      </c>
      <c r="R301" s="26" t="s">
        <v>3243</v>
      </c>
      <c r="S301" s="26" t="s">
        <v>0</v>
      </c>
      <c r="T301" s="26" t="s">
        <v>38</v>
      </c>
      <c r="U301" s="26" t="s">
        <v>69</v>
      </c>
      <c r="V301" s="26" t="s">
        <v>3336</v>
      </c>
      <c r="W301" s="26">
        <v>5</v>
      </c>
      <c r="X301" s="26">
        <v>5</v>
      </c>
      <c r="Y301" s="26">
        <v>5</v>
      </c>
      <c r="Z301" s="26">
        <v>5</v>
      </c>
      <c r="AA301" t="s">
        <v>62</v>
      </c>
    </row>
    <row r="302" spans="1:27" x14ac:dyDescent="0.25">
      <c r="A302" s="11">
        <v>303</v>
      </c>
      <c r="B302">
        <v>4339</v>
      </c>
      <c r="C302" t="s">
        <v>2943</v>
      </c>
      <c r="D302" t="s">
        <v>2971</v>
      </c>
      <c r="E302" t="s">
        <v>3</v>
      </c>
      <c r="G302" t="s">
        <v>746</v>
      </c>
      <c r="H302">
        <v>2015</v>
      </c>
      <c r="I302" t="s">
        <v>2972</v>
      </c>
      <c r="J302">
        <v>1</v>
      </c>
      <c r="N302" s="11">
        <v>5</v>
      </c>
      <c r="O302" s="18" t="s">
        <v>3157</v>
      </c>
      <c r="P302" s="26" t="s">
        <v>3499</v>
      </c>
      <c r="Q302" s="26" t="s">
        <v>3500</v>
      </c>
      <c r="R302" s="26" t="s">
        <v>3243</v>
      </c>
      <c r="S302" s="26" t="s">
        <v>2</v>
      </c>
      <c r="T302" s="26" t="s">
        <v>38</v>
      </c>
      <c r="U302" s="26" t="s">
        <v>69</v>
      </c>
      <c r="V302" s="26" t="s">
        <v>3336</v>
      </c>
      <c r="W302" s="26">
        <v>5</v>
      </c>
      <c r="X302" s="26">
        <v>5</v>
      </c>
      <c r="Y302" s="26">
        <v>5</v>
      </c>
      <c r="Z302" s="26">
        <v>5</v>
      </c>
      <c r="AA302" t="s">
        <v>3501</v>
      </c>
    </row>
    <row r="303" spans="1:27" x14ac:dyDescent="0.25">
      <c r="A303" s="11">
        <v>304</v>
      </c>
      <c r="B303">
        <v>5669</v>
      </c>
      <c r="C303" t="s">
        <v>616</v>
      </c>
      <c r="D303" s="8" t="s">
        <v>617</v>
      </c>
      <c r="E303" t="s">
        <v>0</v>
      </c>
      <c r="G303" t="s">
        <v>618</v>
      </c>
      <c r="H303">
        <v>2017</v>
      </c>
      <c r="I303" t="s">
        <v>619</v>
      </c>
      <c r="J303">
        <v>1</v>
      </c>
      <c r="N303" s="11">
        <v>0</v>
      </c>
      <c r="P303" s="26"/>
      <c r="Q303" s="26"/>
      <c r="R303" s="26"/>
      <c r="S303" s="26"/>
      <c r="T303" s="26"/>
      <c r="U303" s="26"/>
      <c r="V303" s="26"/>
      <c r="W303" s="26">
        <v>0</v>
      </c>
      <c r="X303" s="26">
        <v>0</v>
      </c>
      <c r="Y303" s="26">
        <v>0</v>
      </c>
      <c r="Z303" s="26">
        <v>0</v>
      </c>
    </row>
    <row r="304" spans="1:27" x14ac:dyDescent="0.25">
      <c r="A304" s="11">
        <v>305</v>
      </c>
      <c r="B304">
        <v>5743</v>
      </c>
      <c r="C304" t="s">
        <v>620</v>
      </c>
      <c r="D304" t="s">
        <v>621</v>
      </c>
      <c r="E304" t="s">
        <v>0</v>
      </c>
      <c r="G304" t="s">
        <v>622</v>
      </c>
      <c r="H304">
        <v>2013</v>
      </c>
      <c r="I304" t="s">
        <v>623</v>
      </c>
      <c r="J304">
        <v>1</v>
      </c>
      <c r="K304">
        <v>-1</v>
      </c>
      <c r="N304" s="11">
        <v>0</v>
      </c>
      <c r="P304" s="26"/>
      <c r="Q304" s="26"/>
      <c r="R304" s="26"/>
      <c r="S304" s="26"/>
      <c r="T304" s="26"/>
      <c r="U304" s="26"/>
      <c r="V304" s="26"/>
      <c r="W304" s="26">
        <v>0</v>
      </c>
      <c r="X304" s="26">
        <v>0</v>
      </c>
      <c r="Y304" s="26">
        <v>0</v>
      </c>
      <c r="Z304" s="26">
        <v>0</v>
      </c>
    </row>
    <row r="305" spans="1:28" x14ac:dyDescent="0.25">
      <c r="A305" s="11">
        <v>306</v>
      </c>
      <c r="B305">
        <v>5687</v>
      </c>
      <c r="C305" t="s">
        <v>792</v>
      </c>
      <c r="D305" s="26" t="s">
        <v>793</v>
      </c>
      <c r="E305" t="s">
        <v>0</v>
      </c>
      <c r="G305" t="s">
        <v>794</v>
      </c>
      <c r="H305">
        <v>2018</v>
      </c>
      <c r="I305" t="s">
        <v>795</v>
      </c>
      <c r="J305">
        <v>1</v>
      </c>
      <c r="N305" s="11">
        <v>4</v>
      </c>
      <c r="O305" s="18" t="s">
        <v>3273</v>
      </c>
      <c r="P305" s="26" t="s">
        <v>3194</v>
      </c>
      <c r="Q305" s="26" t="s">
        <v>3316</v>
      </c>
      <c r="R305" s="26" t="s">
        <v>3265</v>
      </c>
      <c r="S305" s="26" t="s">
        <v>1</v>
      </c>
      <c r="T305" s="26" t="s">
        <v>42</v>
      </c>
      <c r="U305" s="26" t="s">
        <v>69</v>
      </c>
      <c r="V305" s="26" t="s">
        <v>3512</v>
      </c>
      <c r="W305" s="26">
        <v>4</v>
      </c>
      <c r="X305" s="26">
        <v>4</v>
      </c>
      <c r="Y305" s="26">
        <v>4</v>
      </c>
      <c r="Z305" s="26">
        <v>4</v>
      </c>
      <c r="AA305" t="s">
        <v>3315</v>
      </c>
    </row>
    <row r="306" spans="1:28" x14ac:dyDescent="0.25">
      <c r="A306" s="11">
        <v>307</v>
      </c>
      <c r="B306">
        <v>3001</v>
      </c>
      <c r="C306" t="s">
        <v>1700</v>
      </c>
      <c r="D306" s="26" t="s">
        <v>1701</v>
      </c>
      <c r="E306" t="s">
        <v>0</v>
      </c>
      <c r="G306" t="s">
        <v>1702</v>
      </c>
      <c r="H306">
        <v>2016</v>
      </c>
      <c r="I306" t="s">
        <v>1703</v>
      </c>
      <c r="J306">
        <v>1</v>
      </c>
      <c r="N306" s="11">
        <v>4</v>
      </c>
      <c r="O306" s="18" t="s">
        <v>3244</v>
      </c>
      <c r="P306" s="26" t="s">
        <v>3614</v>
      </c>
      <c r="Q306" s="26" t="s">
        <v>3615</v>
      </c>
      <c r="R306" s="26" t="s">
        <v>3239</v>
      </c>
      <c r="S306" s="26" t="s">
        <v>0</v>
      </c>
      <c r="T306" s="26" t="s">
        <v>38</v>
      </c>
      <c r="U306" s="26" t="s">
        <v>3263</v>
      </c>
      <c r="V306" s="26" t="s">
        <v>3336</v>
      </c>
      <c r="W306" s="26">
        <v>4</v>
      </c>
      <c r="X306" s="26">
        <v>4</v>
      </c>
      <c r="Y306" s="26">
        <v>3</v>
      </c>
      <c r="Z306" s="26">
        <v>4</v>
      </c>
      <c r="AA306" t="s">
        <v>3616</v>
      </c>
    </row>
    <row r="307" spans="1:28" x14ac:dyDescent="0.25">
      <c r="A307" s="11">
        <v>308</v>
      </c>
      <c r="B307">
        <v>3086</v>
      </c>
      <c r="C307" t="s">
        <v>2526</v>
      </c>
      <c r="D307" t="s">
        <v>2527</v>
      </c>
      <c r="E307" t="s">
        <v>0</v>
      </c>
      <c r="G307" t="s">
        <v>2528</v>
      </c>
      <c r="H307">
        <v>2016</v>
      </c>
      <c r="I307" t="s">
        <v>2529</v>
      </c>
      <c r="J307">
        <v>1</v>
      </c>
      <c r="N307" s="11">
        <v>4</v>
      </c>
      <c r="O307" s="18" t="s">
        <v>3348</v>
      </c>
      <c r="P307" s="26" t="s">
        <v>3521</v>
      </c>
      <c r="Q307" s="26" t="s">
        <v>3522</v>
      </c>
      <c r="R307" s="26" t="s">
        <v>3237</v>
      </c>
      <c r="S307" s="26" t="s">
        <v>0</v>
      </c>
      <c r="T307" s="26" t="s">
        <v>38</v>
      </c>
      <c r="U307" s="26" t="s">
        <v>69</v>
      </c>
      <c r="V307" s="26" t="s">
        <v>3280</v>
      </c>
      <c r="W307" s="26">
        <v>5</v>
      </c>
      <c r="X307" s="26">
        <v>5</v>
      </c>
      <c r="Y307" s="26">
        <v>5</v>
      </c>
      <c r="Z307" s="26">
        <v>5</v>
      </c>
      <c r="AA307" t="s">
        <v>3523</v>
      </c>
    </row>
    <row r="308" spans="1:28" x14ac:dyDescent="0.25">
      <c r="A308" s="11">
        <v>309</v>
      </c>
      <c r="B308">
        <v>2494</v>
      </c>
      <c r="C308" t="s">
        <v>1992</v>
      </c>
      <c r="D308" t="s">
        <v>1993</v>
      </c>
      <c r="E308" t="s">
        <v>24</v>
      </c>
      <c r="G308" t="s">
        <v>1994</v>
      </c>
      <c r="H308">
        <v>2019</v>
      </c>
      <c r="I308" t="s">
        <v>1995</v>
      </c>
      <c r="J308">
        <v>1</v>
      </c>
      <c r="N308" s="11">
        <v>5</v>
      </c>
      <c r="O308" s="18" t="s">
        <v>3385</v>
      </c>
      <c r="P308" s="26" t="s">
        <v>3521</v>
      </c>
      <c r="Q308" s="26" t="s">
        <v>3617</v>
      </c>
      <c r="R308" s="26" t="s">
        <v>3524</v>
      </c>
      <c r="S308" s="26" t="s">
        <v>0</v>
      </c>
      <c r="T308" s="26" t="s">
        <v>38</v>
      </c>
      <c r="U308" s="26" t="s">
        <v>69</v>
      </c>
      <c r="V308" s="26" t="s">
        <v>3336</v>
      </c>
      <c r="W308" s="26">
        <v>5</v>
      </c>
      <c r="X308" s="26">
        <v>4</v>
      </c>
      <c r="Y308" s="26">
        <v>4</v>
      </c>
      <c r="Z308" s="26">
        <v>4</v>
      </c>
      <c r="AA308" t="s">
        <v>3335</v>
      </c>
    </row>
    <row r="309" spans="1:28" x14ac:dyDescent="0.25">
      <c r="A309" s="11">
        <v>310</v>
      </c>
      <c r="B309">
        <v>4074</v>
      </c>
      <c r="C309" t="s">
        <v>3077</v>
      </c>
      <c r="D309" t="s">
        <v>3078</v>
      </c>
      <c r="E309" t="s">
        <v>3</v>
      </c>
      <c r="G309" t="s">
        <v>3079</v>
      </c>
      <c r="H309">
        <v>2017</v>
      </c>
      <c r="I309" t="s">
        <v>3080</v>
      </c>
      <c r="J309">
        <v>1</v>
      </c>
      <c r="N309" s="11">
        <v>0</v>
      </c>
      <c r="P309" s="26"/>
      <c r="Q309" s="26"/>
      <c r="R309" s="26"/>
      <c r="S309" s="26"/>
      <c r="T309" s="26"/>
      <c r="U309" s="26"/>
      <c r="V309" s="26"/>
      <c r="W309" s="26">
        <v>0</v>
      </c>
      <c r="X309" s="26">
        <v>0</v>
      </c>
      <c r="Y309" s="26">
        <v>0</v>
      </c>
      <c r="Z309" s="26">
        <v>0</v>
      </c>
    </row>
    <row r="310" spans="1:28" x14ac:dyDescent="0.25">
      <c r="A310" s="11">
        <v>311</v>
      </c>
      <c r="B310">
        <v>4072</v>
      </c>
      <c r="C310" t="s">
        <v>2887</v>
      </c>
      <c r="D310" s="8" t="s">
        <v>2888</v>
      </c>
      <c r="E310" t="s">
        <v>3</v>
      </c>
      <c r="G310" t="s">
        <v>2889</v>
      </c>
      <c r="H310">
        <v>2017</v>
      </c>
      <c r="I310" t="s">
        <v>2890</v>
      </c>
      <c r="J310">
        <v>1</v>
      </c>
      <c r="N310" s="11">
        <v>0</v>
      </c>
      <c r="P310" s="26"/>
      <c r="Q310" s="26"/>
      <c r="R310" s="26"/>
      <c r="S310" s="26"/>
      <c r="T310" s="26"/>
      <c r="U310" s="26"/>
      <c r="V310" s="26"/>
      <c r="W310" s="26">
        <v>0</v>
      </c>
      <c r="X310" s="26">
        <v>0</v>
      </c>
      <c r="Y310" s="26">
        <v>0</v>
      </c>
      <c r="Z310" s="26">
        <v>0</v>
      </c>
    </row>
    <row r="311" spans="1:28" x14ac:dyDescent="0.25">
      <c r="A311" s="11">
        <v>312</v>
      </c>
      <c r="B311">
        <v>6092</v>
      </c>
      <c r="C311" t="s">
        <v>433</v>
      </c>
      <c r="D311" s="26" t="s">
        <v>434</v>
      </c>
      <c r="E311" t="s">
        <v>0</v>
      </c>
      <c r="F311" t="s">
        <v>928</v>
      </c>
      <c r="G311" t="s">
        <v>435</v>
      </c>
      <c r="H311">
        <v>2015</v>
      </c>
      <c r="I311" t="s">
        <v>436</v>
      </c>
      <c r="J311">
        <v>1</v>
      </c>
      <c r="N311" s="11">
        <v>4</v>
      </c>
      <c r="O311" s="18" t="s">
        <v>3348</v>
      </c>
      <c r="P311" s="26" t="s">
        <v>3199</v>
      </c>
      <c r="Q311" s="26" t="s">
        <v>3209</v>
      </c>
      <c r="R311" s="26" t="s">
        <v>3232</v>
      </c>
      <c r="S311" s="26" t="s">
        <v>0</v>
      </c>
      <c r="T311" s="26" t="s">
        <v>38</v>
      </c>
      <c r="U311" s="26" t="s">
        <v>69</v>
      </c>
      <c r="V311" s="26" t="s">
        <v>3280</v>
      </c>
      <c r="W311" s="26">
        <v>5</v>
      </c>
      <c r="X311" s="26">
        <v>4</v>
      </c>
      <c r="Y311" s="26">
        <v>4</v>
      </c>
      <c r="Z311" s="26">
        <v>4</v>
      </c>
      <c r="AA311" t="s">
        <v>3349</v>
      </c>
    </row>
    <row r="312" spans="1:28" x14ac:dyDescent="0.25">
      <c r="A312" s="11">
        <v>313</v>
      </c>
      <c r="B312">
        <v>2906</v>
      </c>
      <c r="C312" t="s">
        <v>2155</v>
      </c>
      <c r="D312" s="8" t="s">
        <v>2156</v>
      </c>
      <c r="E312" t="s">
        <v>0</v>
      </c>
      <c r="G312" t="s">
        <v>2157</v>
      </c>
      <c r="H312">
        <v>2017</v>
      </c>
      <c r="I312" t="s">
        <v>2158</v>
      </c>
      <c r="J312">
        <v>1</v>
      </c>
      <c r="N312" s="11">
        <v>0</v>
      </c>
      <c r="P312" s="26"/>
      <c r="Q312" s="26"/>
      <c r="R312" s="26"/>
      <c r="S312" s="26"/>
      <c r="T312" s="26"/>
      <c r="U312" s="26"/>
      <c r="V312" s="26"/>
      <c r="W312" s="26">
        <v>0</v>
      </c>
      <c r="X312" s="26">
        <v>0</v>
      </c>
      <c r="Y312" s="26">
        <v>0</v>
      </c>
      <c r="Z312" s="26">
        <v>0</v>
      </c>
    </row>
    <row r="313" spans="1:28" x14ac:dyDescent="0.25">
      <c r="A313" s="11">
        <v>314</v>
      </c>
      <c r="B313">
        <v>3925</v>
      </c>
      <c r="C313" t="s">
        <v>3065</v>
      </c>
      <c r="D313" t="s">
        <v>3066</v>
      </c>
      <c r="E313" t="s">
        <v>3</v>
      </c>
      <c r="G313" t="s">
        <v>3067</v>
      </c>
      <c r="H313">
        <v>2018</v>
      </c>
      <c r="I313" t="s">
        <v>3068</v>
      </c>
      <c r="J313">
        <v>1</v>
      </c>
      <c r="N313" s="11">
        <v>0</v>
      </c>
      <c r="P313" s="26"/>
      <c r="Q313" s="26"/>
      <c r="R313" s="26"/>
      <c r="S313" s="26"/>
      <c r="T313" s="26"/>
      <c r="U313" s="26"/>
      <c r="V313" s="26"/>
      <c r="W313" s="26">
        <v>0</v>
      </c>
      <c r="X313" s="26">
        <v>0</v>
      </c>
      <c r="Y313" s="26">
        <v>0</v>
      </c>
      <c r="Z313" s="26">
        <v>0</v>
      </c>
    </row>
    <row r="314" spans="1:28" x14ac:dyDescent="0.25">
      <c r="A314" s="11">
        <v>315</v>
      </c>
      <c r="B314">
        <v>3116</v>
      </c>
      <c r="C314" t="s">
        <v>433</v>
      </c>
      <c r="D314" t="s">
        <v>1362</v>
      </c>
      <c r="E314" t="s">
        <v>5</v>
      </c>
      <c r="G314" t="s">
        <v>1363</v>
      </c>
      <c r="H314">
        <v>2016</v>
      </c>
      <c r="I314" t="s">
        <v>1364</v>
      </c>
      <c r="J314">
        <v>1</v>
      </c>
      <c r="N314" s="11">
        <v>0</v>
      </c>
      <c r="O314" s="18" t="s">
        <v>3348</v>
      </c>
      <c r="P314" s="26" t="s">
        <v>3199</v>
      </c>
      <c r="Q314" s="26" t="s">
        <v>3350</v>
      </c>
      <c r="R314" s="26" t="s">
        <v>3232</v>
      </c>
      <c r="S314" s="26" t="s">
        <v>3</v>
      </c>
      <c r="T314" s="26" t="s">
        <v>38</v>
      </c>
      <c r="U314" s="26" t="s">
        <v>69</v>
      </c>
      <c r="V314" s="26" t="s">
        <v>3336</v>
      </c>
      <c r="W314" s="26">
        <v>5</v>
      </c>
      <c r="X314" s="26">
        <v>5</v>
      </c>
      <c r="Y314" s="26">
        <v>5</v>
      </c>
      <c r="Z314" s="26">
        <v>5</v>
      </c>
      <c r="AA314" t="s">
        <v>3349</v>
      </c>
      <c r="AB314" t="s">
        <v>3281</v>
      </c>
    </row>
    <row r="315" spans="1:28" x14ac:dyDescent="0.25">
      <c r="A315" s="11">
        <v>316</v>
      </c>
      <c r="B315">
        <v>4912</v>
      </c>
      <c r="C315" t="s">
        <v>1084</v>
      </c>
      <c r="D315" t="s">
        <v>1085</v>
      </c>
      <c r="E315" t="s">
        <v>7</v>
      </c>
      <c r="G315" t="s">
        <v>1086</v>
      </c>
      <c r="H315">
        <v>2015</v>
      </c>
      <c r="I315" t="s">
        <v>1087</v>
      </c>
      <c r="J315">
        <v>1</v>
      </c>
      <c r="N315" s="11">
        <v>0</v>
      </c>
      <c r="P315" s="26"/>
      <c r="Q315" s="26"/>
      <c r="R315" s="26"/>
      <c r="S315" s="26"/>
      <c r="T315" s="26"/>
      <c r="U315" s="26"/>
      <c r="V315" s="26"/>
      <c r="W315" s="26">
        <v>0</v>
      </c>
      <c r="X315" s="26">
        <v>0</v>
      </c>
      <c r="Y315" s="26">
        <v>0</v>
      </c>
      <c r="Z315" s="26">
        <v>0</v>
      </c>
    </row>
    <row r="316" spans="1:28" x14ac:dyDescent="0.25">
      <c r="A316" s="11">
        <v>317</v>
      </c>
      <c r="B316">
        <v>2752</v>
      </c>
      <c r="C316" t="s">
        <v>1538</v>
      </c>
      <c r="D316" s="26" t="s">
        <v>1539</v>
      </c>
      <c r="E316" t="s">
        <v>5</v>
      </c>
      <c r="G316" t="s">
        <v>1540</v>
      </c>
      <c r="H316">
        <v>2018</v>
      </c>
      <c r="I316" t="s">
        <v>1541</v>
      </c>
      <c r="J316">
        <v>1</v>
      </c>
      <c r="N316" s="11">
        <v>4</v>
      </c>
      <c r="O316" s="18" t="s">
        <v>3283</v>
      </c>
      <c r="P316" s="26" t="s">
        <v>3199</v>
      </c>
      <c r="Q316" s="26" t="s">
        <v>3207</v>
      </c>
      <c r="R316" s="26" t="s">
        <v>3257</v>
      </c>
      <c r="S316" s="26" t="s">
        <v>20</v>
      </c>
      <c r="T316" s="26" t="s">
        <v>38</v>
      </c>
      <c r="U316" s="26" t="s">
        <v>69</v>
      </c>
      <c r="V316" s="26" t="s">
        <v>3336</v>
      </c>
      <c r="W316" s="26">
        <v>4</v>
      </c>
      <c r="X316" s="26">
        <v>4</v>
      </c>
      <c r="Y316" s="26">
        <v>4</v>
      </c>
      <c r="Z316" s="26">
        <v>4</v>
      </c>
      <c r="AA316" t="s">
        <v>3317</v>
      </c>
    </row>
    <row r="317" spans="1:28" x14ac:dyDescent="0.25">
      <c r="A317" s="11">
        <v>318</v>
      </c>
      <c r="B317">
        <v>6193</v>
      </c>
      <c r="C317" t="s">
        <v>624</v>
      </c>
      <c r="D317" t="s">
        <v>625</v>
      </c>
      <c r="E317" t="s">
        <v>0</v>
      </c>
      <c r="G317" t="s">
        <v>626</v>
      </c>
      <c r="H317">
        <v>2016</v>
      </c>
      <c r="I317" t="s">
        <v>627</v>
      </c>
      <c r="J317">
        <v>1</v>
      </c>
      <c r="N317" s="11">
        <v>0</v>
      </c>
      <c r="P317" s="26"/>
      <c r="Q317" s="26"/>
      <c r="R317" s="26"/>
      <c r="S317" s="26"/>
      <c r="T317" s="26"/>
      <c r="U317" s="26"/>
      <c r="V317" s="26"/>
      <c r="W317" s="26">
        <v>0</v>
      </c>
      <c r="X317" s="26">
        <v>0</v>
      </c>
      <c r="Y317" s="26">
        <v>0</v>
      </c>
      <c r="Z317" s="26">
        <v>0</v>
      </c>
    </row>
    <row r="318" spans="1:28" x14ac:dyDescent="0.25">
      <c r="A318" s="11">
        <v>319</v>
      </c>
      <c r="B318">
        <v>5303</v>
      </c>
      <c r="C318" t="s">
        <v>1088</v>
      </c>
      <c r="D318" t="s">
        <v>1089</v>
      </c>
      <c r="E318" t="s">
        <v>22</v>
      </c>
      <c r="G318" t="s">
        <v>1090</v>
      </c>
      <c r="H318">
        <v>2017</v>
      </c>
      <c r="I318" t="s">
        <v>1091</v>
      </c>
      <c r="J318">
        <v>1</v>
      </c>
      <c r="N318" s="11">
        <v>0</v>
      </c>
      <c r="P318" s="26"/>
      <c r="Q318" s="26"/>
      <c r="R318" s="26"/>
      <c r="S318" s="26"/>
      <c r="T318" s="26"/>
      <c r="U318" s="26"/>
      <c r="V318" s="26"/>
      <c r="W318" s="26">
        <v>0</v>
      </c>
      <c r="X318" s="26">
        <v>0</v>
      </c>
      <c r="Y318" s="26">
        <v>0</v>
      </c>
      <c r="Z318" s="26">
        <v>0</v>
      </c>
    </row>
    <row r="319" spans="1:28" x14ac:dyDescent="0.25">
      <c r="A319" s="11">
        <v>320</v>
      </c>
      <c r="B319">
        <v>6191</v>
      </c>
      <c r="C319" t="s">
        <v>643</v>
      </c>
      <c r="D319" t="s">
        <v>644</v>
      </c>
      <c r="E319" t="s">
        <v>0</v>
      </c>
      <c r="G319" t="s">
        <v>645</v>
      </c>
      <c r="H319">
        <v>2017</v>
      </c>
      <c r="I319" t="s">
        <v>646</v>
      </c>
      <c r="J319">
        <v>1</v>
      </c>
      <c r="N319" s="11">
        <v>3</v>
      </c>
      <c r="O319" s="18" t="s">
        <v>3244</v>
      </c>
      <c r="P319" s="26" t="s">
        <v>3560</v>
      </c>
      <c r="Q319" s="26" t="s">
        <v>3454</v>
      </c>
      <c r="R319" s="26" t="s">
        <v>3239</v>
      </c>
      <c r="S319" s="26" t="s">
        <v>0</v>
      </c>
      <c r="T319" s="26" t="s">
        <v>38</v>
      </c>
      <c r="U319" s="26" t="s">
        <v>69</v>
      </c>
      <c r="V319" s="26" t="s">
        <v>3336</v>
      </c>
      <c r="W319" s="26">
        <v>5</v>
      </c>
      <c r="X319" s="26">
        <v>5</v>
      </c>
      <c r="Y319" s="26">
        <v>5</v>
      </c>
      <c r="Z319" s="26">
        <v>5</v>
      </c>
      <c r="AA319" t="s">
        <v>3561</v>
      </c>
    </row>
    <row r="320" spans="1:28" x14ac:dyDescent="0.25">
      <c r="A320" s="11">
        <v>321</v>
      </c>
      <c r="B320">
        <v>3348</v>
      </c>
      <c r="C320" t="s">
        <v>1254</v>
      </c>
      <c r="D320" t="s">
        <v>1741</v>
      </c>
      <c r="E320" t="s">
        <v>5</v>
      </c>
      <c r="G320" t="s">
        <v>1742</v>
      </c>
      <c r="H320">
        <v>2014</v>
      </c>
      <c r="I320" t="s">
        <v>1743</v>
      </c>
      <c r="J320">
        <v>1</v>
      </c>
      <c r="N320" s="11">
        <v>5</v>
      </c>
      <c r="O320" s="18" t="s">
        <v>3244</v>
      </c>
      <c r="P320" s="26" t="s">
        <v>3432</v>
      </c>
      <c r="Q320" s="26" t="s">
        <v>3258</v>
      </c>
      <c r="R320" s="26" t="s">
        <v>3243</v>
      </c>
      <c r="S320" s="26" t="s">
        <v>20</v>
      </c>
      <c r="T320" s="26" t="s">
        <v>38</v>
      </c>
      <c r="U320" s="26" t="s">
        <v>69</v>
      </c>
      <c r="V320" s="26" t="s">
        <v>3433</v>
      </c>
      <c r="W320" s="26">
        <v>5</v>
      </c>
      <c r="X320" s="26">
        <v>5</v>
      </c>
      <c r="Y320" s="26">
        <v>5</v>
      </c>
      <c r="Z320" s="26">
        <v>5</v>
      </c>
      <c r="AA320" t="s">
        <v>56</v>
      </c>
    </row>
    <row r="321" spans="1:27" x14ac:dyDescent="0.25">
      <c r="A321" s="11">
        <v>322</v>
      </c>
      <c r="B321">
        <v>2540</v>
      </c>
      <c r="C321" t="s">
        <v>1542</v>
      </c>
      <c r="D321" t="s">
        <v>1543</v>
      </c>
      <c r="E321" t="s">
        <v>121</v>
      </c>
      <c r="G321" t="s">
        <v>1544</v>
      </c>
      <c r="H321">
        <v>2019</v>
      </c>
      <c r="I321" t="s">
        <v>1545</v>
      </c>
      <c r="J321">
        <v>1</v>
      </c>
      <c r="N321" s="11">
        <v>5</v>
      </c>
      <c r="O321" s="18" t="s">
        <v>3282</v>
      </c>
      <c r="P321" s="26" t="s">
        <v>3432</v>
      </c>
      <c r="Q321" s="26" t="s">
        <v>3522</v>
      </c>
      <c r="R321" s="26" t="s">
        <v>3257</v>
      </c>
      <c r="S321" s="26" t="s">
        <v>1</v>
      </c>
      <c r="T321" s="26" t="s">
        <v>38</v>
      </c>
      <c r="U321" s="26" t="s">
        <v>69</v>
      </c>
      <c r="V321" s="26" t="s">
        <v>3336</v>
      </c>
      <c r="W321" s="26">
        <v>5</v>
      </c>
      <c r="X321" s="26">
        <v>5</v>
      </c>
      <c r="Y321" s="26">
        <v>5</v>
      </c>
      <c r="Z321" s="26">
        <v>5</v>
      </c>
      <c r="AA321" t="s">
        <v>3611</v>
      </c>
    </row>
    <row r="322" spans="1:27" x14ac:dyDescent="0.25">
      <c r="A322" s="11">
        <v>323</v>
      </c>
      <c r="B322">
        <v>5739</v>
      </c>
      <c r="C322" t="s">
        <v>639</v>
      </c>
      <c r="D322" t="s">
        <v>640</v>
      </c>
      <c r="E322" t="s">
        <v>0</v>
      </c>
      <c r="G322" t="s">
        <v>641</v>
      </c>
      <c r="H322">
        <v>2016</v>
      </c>
      <c r="I322" t="s">
        <v>642</v>
      </c>
      <c r="J322">
        <v>1</v>
      </c>
      <c r="N322" s="11">
        <v>0</v>
      </c>
      <c r="P322" s="26"/>
      <c r="Q322" s="26"/>
      <c r="R322" s="26"/>
      <c r="S322" s="26"/>
      <c r="T322" s="26"/>
      <c r="U322" s="26"/>
      <c r="V322" s="26"/>
      <c r="W322" s="26">
        <v>0</v>
      </c>
      <c r="X322" s="26">
        <v>0</v>
      </c>
      <c r="Y322" s="26">
        <v>0</v>
      </c>
      <c r="Z322" s="26">
        <v>0</v>
      </c>
    </row>
    <row r="323" spans="1:27" x14ac:dyDescent="0.25">
      <c r="A323" s="11">
        <v>324</v>
      </c>
      <c r="B323">
        <v>2916</v>
      </c>
      <c r="C323" t="s">
        <v>2171</v>
      </c>
      <c r="D323" s="8" t="s">
        <v>2172</v>
      </c>
      <c r="E323" t="s">
        <v>2173</v>
      </c>
      <c r="G323" t="s">
        <v>2174</v>
      </c>
      <c r="H323">
        <v>2017</v>
      </c>
      <c r="I323" t="s">
        <v>2175</v>
      </c>
      <c r="J323">
        <v>1</v>
      </c>
      <c r="N323" s="11">
        <v>4</v>
      </c>
      <c r="O323" s="18" t="s">
        <v>3244</v>
      </c>
      <c r="P323" s="26" t="s">
        <v>3540</v>
      </c>
      <c r="Q323" s="26" t="s">
        <v>3369</v>
      </c>
      <c r="R323" s="26" t="s">
        <v>3374</v>
      </c>
      <c r="S323" s="26" t="s">
        <v>1</v>
      </c>
      <c r="T323" s="26" t="s">
        <v>38</v>
      </c>
      <c r="U323" s="26" t="s">
        <v>69</v>
      </c>
      <c r="V323" s="26" t="s">
        <v>3512</v>
      </c>
      <c r="W323" s="26">
        <v>4</v>
      </c>
      <c r="X323" s="26">
        <v>4</v>
      </c>
      <c r="Y323" s="26">
        <v>4</v>
      </c>
      <c r="Z323" s="26">
        <v>4</v>
      </c>
      <c r="AA323" t="s">
        <v>3317</v>
      </c>
    </row>
    <row r="324" spans="1:27" x14ac:dyDescent="0.25">
      <c r="A324" s="11">
        <v>325</v>
      </c>
      <c r="B324">
        <v>5502</v>
      </c>
      <c r="C324" t="s">
        <v>1080</v>
      </c>
      <c r="D324" t="s">
        <v>1081</v>
      </c>
      <c r="E324" t="s">
        <v>22</v>
      </c>
      <c r="G324" t="s">
        <v>1082</v>
      </c>
      <c r="H324">
        <v>2018</v>
      </c>
      <c r="I324" t="s">
        <v>1083</v>
      </c>
      <c r="J324">
        <v>1</v>
      </c>
      <c r="N324" s="11">
        <v>5</v>
      </c>
      <c r="O324" s="18" t="s">
        <v>3244</v>
      </c>
      <c r="P324" s="26" t="s">
        <v>3540</v>
      </c>
      <c r="Q324" s="26" t="s">
        <v>3539</v>
      </c>
      <c r="R324" s="26" t="s">
        <v>3239</v>
      </c>
      <c r="S324" s="26" t="s">
        <v>1</v>
      </c>
      <c r="T324" s="26" t="s">
        <v>38</v>
      </c>
      <c r="U324" s="26" t="s">
        <v>69</v>
      </c>
      <c r="V324" s="26" t="s">
        <v>3336</v>
      </c>
      <c r="W324" s="26">
        <v>5</v>
      </c>
      <c r="X324" s="26">
        <v>5</v>
      </c>
      <c r="Y324" s="26">
        <v>5</v>
      </c>
      <c r="Z324" s="26">
        <v>5</v>
      </c>
      <c r="AA324" t="s">
        <v>3317</v>
      </c>
    </row>
    <row r="325" spans="1:27" x14ac:dyDescent="0.25">
      <c r="A325" s="11">
        <v>326</v>
      </c>
      <c r="B325">
        <v>3355</v>
      </c>
      <c r="C325" t="s">
        <v>1915</v>
      </c>
      <c r="D325" t="s">
        <v>1916</v>
      </c>
      <c r="E325" t="s">
        <v>0</v>
      </c>
      <c r="G325" t="s">
        <v>1917</v>
      </c>
      <c r="H325">
        <v>2014</v>
      </c>
      <c r="I325" t="s">
        <v>1918</v>
      </c>
      <c r="J325">
        <v>1</v>
      </c>
      <c r="N325" s="11">
        <v>5</v>
      </c>
      <c r="O325" s="18" t="s">
        <v>3386</v>
      </c>
      <c r="P325" s="26" t="s">
        <v>3584</v>
      </c>
      <c r="Q325" s="26" t="s">
        <v>3204</v>
      </c>
      <c r="R325" s="26" t="s">
        <v>3187</v>
      </c>
      <c r="S325" s="26" t="s">
        <v>0</v>
      </c>
      <c r="T325" s="26" t="s">
        <v>38</v>
      </c>
      <c r="U325" s="26" t="s">
        <v>69</v>
      </c>
      <c r="V325" s="26" t="s">
        <v>3336</v>
      </c>
      <c r="W325" s="26">
        <v>5</v>
      </c>
      <c r="X325" s="26">
        <v>5</v>
      </c>
      <c r="Y325" s="26">
        <v>5</v>
      </c>
      <c r="Z325" s="26">
        <v>5</v>
      </c>
      <c r="AA325" t="s">
        <v>61</v>
      </c>
    </row>
    <row r="326" spans="1:27" x14ac:dyDescent="0.25">
      <c r="A326" s="11">
        <v>327</v>
      </c>
      <c r="B326">
        <v>5103</v>
      </c>
      <c r="C326" t="s">
        <v>1092</v>
      </c>
      <c r="D326" t="s">
        <v>1093</v>
      </c>
      <c r="E326" t="s">
        <v>7</v>
      </c>
      <c r="G326" t="s">
        <v>1094</v>
      </c>
      <c r="H326">
        <v>2016</v>
      </c>
      <c r="I326" t="s">
        <v>1095</v>
      </c>
      <c r="J326">
        <v>1</v>
      </c>
      <c r="N326" s="11">
        <v>0</v>
      </c>
      <c r="P326" s="26"/>
      <c r="Q326" s="26"/>
      <c r="R326" s="26"/>
      <c r="S326" s="26"/>
      <c r="T326" s="26"/>
      <c r="U326" s="26"/>
      <c r="V326" s="26"/>
      <c r="W326" s="26">
        <v>0</v>
      </c>
      <c r="X326" s="26">
        <v>0</v>
      </c>
      <c r="Y326" s="26">
        <v>0</v>
      </c>
      <c r="Z326" s="26">
        <v>0</v>
      </c>
    </row>
    <row r="327" spans="1:27" x14ac:dyDescent="0.25">
      <c r="A327" s="11">
        <v>328</v>
      </c>
      <c r="B327">
        <v>2890</v>
      </c>
      <c r="C327" t="s">
        <v>2013</v>
      </c>
      <c r="D327" s="26" t="s">
        <v>2014</v>
      </c>
      <c r="E327" t="s">
        <v>0</v>
      </c>
      <c r="G327" t="s">
        <v>2015</v>
      </c>
      <c r="H327">
        <v>2017</v>
      </c>
      <c r="I327" t="s">
        <v>2016</v>
      </c>
      <c r="J327">
        <v>1</v>
      </c>
      <c r="N327" s="11">
        <v>2</v>
      </c>
      <c r="O327" s="18" t="s">
        <v>3555</v>
      </c>
      <c r="P327" s="26" t="s">
        <v>3584</v>
      </c>
      <c r="Q327" s="26" t="s">
        <v>3585</v>
      </c>
      <c r="R327" s="26" t="s">
        <v>3586</v>
      </c>
      <c r="S327" s="26" t="s">
        <v>0</v>
      </c>
      <c r="T327" s="26" t="s">
        <v>38</v>
      </c>
      <c r="U327" s="26" t="s">
        <v>69</v>
      </c>
      <c r="V327" s="26" t="s">
        <v>3450</v>
      </c>
      <c r="W327" s="26">
        <v>5</v>
      </c>
      <c r="X327" s="26">
        <v>5</v>
      </c>
      <c r="Y327" s="26">
        <v>5</v>
      </c>
      <c r="Z327" s="26">
        <v>5</v>
      </c>
      <c r="AA327" t="s">
        <v>3489</v>
      </c>
    </row>
    <row r="328" spans="1:27" x14ac:dyDescent="0.25">
      <c r="A328" s="11">
        <v>329</v>
      </c>
      <c r="B328">
        <v>2807</v>
      </c>
      <c r="C328" t="s">
        <v>1354</v>
      </c>
      <c r="D328" t="s">
        <v>1355</v>
      </c>
      <c r="E328" t="s">
        <v>0</v>
      </c>
      <c r="G328" t="s">
        <v>1356</v>
      </c>
      <c r="H328">
        <v>2017</v>
      </c>
      <c r="I328" t="s">
        <v>1357</v>
      </c>
      <c r="J328">
        <v>1</v>
      </c>
      <c r="N328" s="11">
        <v>5</v>
      </c>
      <c r="O328" s="18" t="s">
        <v>3244</v>
      </c>
      <c r="P328" s="26" t="s">
        <v>3581</v>
      </c>
      <c r="Q328" s="26" t="s">
        <v>3258</v>
      </c>
      <c r="R328" s="26" t="s">
        <v>3257</v>
      </c>
      <c r="S328" s="26" t="s">
        <v>0</v>
      </c>
      <c r="T328" s="26" t="s">
        <v>38</v>
      </c>
      <c r="U328" s="26" t="s">
        <v>70</v>
      </c>
      <c r="V328" s="26" t="s">
        <v>3336</v>
      </c>
      <c r="W328" s="26">
        <v>5</v>
      </c>
      <c r="X328" s="26">
        <v>5</v>
      </c>
      <c r="Y328" s="26">
        <v>5</v>
      </c>
      <c r="Z328" s="26">
        <v>5</v>
      </c>
      <c r="AA328" t="s">
        <v>3335</v>
      </c>
    </row>
    <row r="329" spans="1:27" x14ac:dyDescent="0.25">
      <c r="A329" s="11">
        <v>330</v>
      </c>
      <c r="B329">
        <v>5491</v>
      </c>
      <c r="C329" t="s">
        <v>1096</v>
      </c>
      <c r="D329" t="s">
        <v>1097</v>
      </c>
      <c r="E329" t="s">
        <v>22</v>
      </c>
      <c r="G329" t="s">
        <v>1098</v>
      </c>
      <c r="H329">
        <v>2018</v>
      </c>
      <c r="I329" t="s">
        <v>1099</v>
      </c>
      <c r="J329">
        <v>1</v>
      </c>
      <c r="N329" s="11">
        <v>5</v>
      </c>
      <c r="O329" s="18" t="s">
        <v>3244</v>
      </c>
      <c r="P329" s="26" t="s">
        <v>3574</v>
      </c>
      <c r="Q329" s="26" t="s">
        <v>3575</v>
      </c>
      <c r="R329" s="26" t="s">
        <v>3228</v>
      </c>
      <c r="S329" s="26" t="s">
        <v>1</v>
      </c>
      <c r="T329" s="26" t="s">
        <v>38</v>
      </c>
      <c r="U329" s="26" t="s">
        <v>69</v>
      </c>
      <c r="V329" s="26" t="s">
        <v>3336</v>
      </c>
      <c r="W329" s="26">
        <v>5</v>
      </c>
      <c r="X329" s="26">
        <v>5</v>
      </c>
      <c r="Y329" s="26">
        <v>5</v>
      </c>
      <c r="Z329" s="26">
        <v>5</v>
      </c>
      <c r="AA329" t="s">
        <v>61</v>
      </c>
    </row>
    <row r="330" spans="1:27" x14ac:dyDescent="0.25">
      <c r="A330" s="11">
        <v>331</v>
      </c>
      <c r="B330">
        <v>5999</v>
      </c>
      <c r="C330" t="s">
        <v>488</v>
      </c>
      <c r="D330" t="s">
        <v>489</v>
      </c>
      <c r="E330" t="s">
        <v>0</v>
      </c>
      <c r="F330" t="s">
        <v>940</v>
      </c>
      <c r="G330" t="s">
        <v>490</v>
      </c>
      <c r="H330">
        <v>2018</v>
      </c>
      <c r="J330">
        <v>1</v>
      </c>
      <c r="N330" s="11">
        <v>4</v>
      </c>
      <c r="O330" s="18" t="s">
        <v>3157</v>
      </c>
      <c r="P330" s="26" t="s">
        <v>3394</v>
      </c>
      <c r="Q330" s="26" t="s">
        <v>3393</v>
      </c>
      <c r="R330" s="26"/>
      <c r="S330" s="26"/>
      <c r="T330" s="26"/>
      <c r="U330" s="26"/>
      <c r="V330" s="26" t="s">
        <v>3336</v>
      </c>
      <c r="W330" s="26">
        <v>5</v>
      </c>
      <c r="X330" s="26">
        <v>5</v>
      </c>
      <c r="Y330" s="26">
        <v>5</v>
      </c>
      <c r="Z330" s="26">
        <v>5</v>
      </c>
      <c r="AA330" t="s">
        <v>60</v>
      </c>
    </row>
    <row r="331" spans="1:27" x14ac:dyDescent="0.25">
      <c r="A331" s="11">
        <v>332</v>
      </c>
      <c r="B331">
        <v>5035</v>
      </c>
      <c r="C331" t="s">
        <v>1135</v>
      </c>
      <c r="D331" s="8" t="s">
        <v>1136</v>
      </c>
      <c r="E331" t="s">
        <v>24</v>
      </c>
      <c r="G331" t="s">
        <v>1137</v>
      </c>
      <c r="H331">
        <v>2018</v>
      </c>
      <c r="I331" t="s">
        <v>1138</v>
      </c>
      <c r="J331">
        <v>1</v>
      </c>
      <c r="N331" s="11">
        <v>5</v>
      </c>
      <c r="O331" s="18" t="s">
        <v>3161</v>
      </c>
      <c r="P331" s="26" t="s">
        <v>3231</v>
      </c>
      <c r="Q331" s="26" t="s">
        <v>3436</v>
      </c>
      <c r="R331" s="26" t="s">
        <v>3312</v>
      </c>
      <c r="S331" s="26" t="s">
        <v>6</v>
      </c>
      <c r="T331" s="26" t="s">
        <v>3622</v>
      </c>
      <c r="U331" s="26" t="s">
        <v>69</v>
      </c>
      <c r="V331" s="26" t="s">
        <v>3336</v>
      </c>
      <c r="W331" s="26">
        <v>5</v>
      </c>
      <c r="X331" s="26">
        <v>5</v>
      </c>
      <c r="Y331" s="26">
        <v>5</v>
      </c>
      <c r="Z331" s="26">
        <v>5</v>
      </c>
      <c r="AA331" t="s">
        <v>61</v>
      </c>
    </row>
    <row r="332" spans="1:27" x14ac:dyDescent="0.25">
      <c r="A332" s="11">
        <v>333</v>
      </c>
      <c r="B332">
        <v>2718</v>
      </c>
      <c r="C332" t="s">
        <v>2582</v>
      </c>
      <c r="D332" t="s">
        <v>2583</v>
      </c>
      <c r="E332" t="s">
        <v>0</v>
      </c>
      <c r="G332" t="s">
        <v>2584</v>
      </c>
      <c r="H332">
        <v>2018</v>
      </c>
      <c r="I332" t="s">
        <v>2585</v>
      </c>
      <c r="J332">
        <v>1</v>
      </c>
      <c r="N332" s="11">
        <v>0</v>
      </c>
      <c r="P332" s="26"/>
      <c r="Q332" s="26"/>
      <c r="R332" s="26"/>
      <c r="S332" s="26"/>
      <c r="T332" s="26"/>
      <c r="U332" s="26"/>
      <c r="V332" s="26"/>
      <c r="W332" s="26">
        <v>0</v>
      </c>
      <c r="X332" s="26">
        <v>0</v>
      </c>
      <c r="Y332" s="26">
        <v>0</v>
      </c>
      <c r="Z332" s="26">
        <v>0</v>
      </c>
    </row>
    <row r="333" spans="1:27" x14ac:dyDescent="0.25">
      <c r="A333" s="11">
        <v>334</v>
      </c>
      <c r="B333">
        <v>3551</v>
      </c>
      <c r="C333" t="s">
        <v>1885</v>
      </c>
      <c r="D333" t="s">
        <v>1886</v>
      </c>
      <c r="E333" t="s">
        <v>0</v>
      </c>
      <c r="G333" t="s">
        <v>1887</v>
      </c>
      <c r="H333">
        <v>2013</v>
      </c>
      <c r="I333" t="s">
        <v>1888</v>
      </c>
      <c r="J333">
        <v>1</v>
      </c>
      <c r="N333" s="11">
        <v>3</v>
      </c>
      <c r="O333" s="18" t="s">
        <v>3157</v>
      </c>
      <c r="P333" s="26" t="s">
        <v>3231</v>
      </c>
      <c r="Q333" s="26" t="s">
        <v>3210</v>
      </c>
      <c r="R333" s="26" t="s">
        <v>3257</v>
      </c>
      <c r="S333" s="26" t="s">
        <v>0</v>
      </c>
      <c r="T333" s="26" t="s">
        <v>38</v>
      </c>
      <c r="U333" s="26" t="s">
        <v>69</v>
      </c>
      <c r="V333" s="26" t="s">
        <v>3336</v>
      </c>
      <c r="W333" s="26">
        <v>4</v>
      </c>
      <c r="X333" s="26">
        <v>4</v>
      </c>
      <c r="Y333" s="26">
        <v>3</v>
      </c>
      <c r="Z333" s="26">
        <v>3</v>
      </c>
      <c r="AA333" t="s">
        <v>61</v>
      </c>
    </row>
    <row r="334" spans="1:27" x14ac:dyDescent="0.25">
      <c r="A334" s="11">
        <v>335</v>
      </c>
      <c r="B334">
        <v>5907</v>
      </c>
      <c r="C334" t="s">
        <v>651</v>
      </c>
      <c r="D334" t="s">
        <v>652</v>
      </c>
      <c r="E334" t="s">
        <v>0</v>
      </c>
      <c r="G334" t="s">
        <v>653</v>
      </c>
      <c r="H334">
        <v>2014</v>
      </c>
      <c r="I334" t="s">
        <v>654</v>
      </c>
      <c r="J334">
        <v>1</v>
      </c>
      <c r="N334" s="11">
        <v>0</v>
      </c>
      <c r="P334" s="26"/>
      <c r="Q334" s="26"/>
      <c r="R334" s="26"/>
      <c r="S334" s="26"/>
      <c r="T334" s="26"/>
      <c r="U334" s="26"/>
      <c r="V334" s="26"/>
      <c r="W334" s="26">
        <v>0</v>
      </c>
      <c r="X334" s="26">
        <v>0</v>
      </c>
      <c r="Y334" s="26">
        <v>0</v>
      </c>
      <c r="Z334" s="26">
        <v>0</v>
      </c>
    </row>
    <row r="335" spans="1:27" x14ac:dyDescent="0.25">
      <c r="A335" s="11">
        <v>336</v>
      </c>
      <c r="B335">
        <v>6252</v>
      </c>
      <c r="C335" t="s">
        <v>161</v>
      </c>
      <c r="D335" t="s">
        <v>162</v>
      </c>
      <c r="E335" t="s">
        <v>6</v>
      </c>
      <c r="F335" t="s">
        <v>325</v>
      </c>
      <c r="G335" t="s">
        <v>326</v>
      </c>
      <c r="H335">
        <v>2014</v>
      </c>
      <c r="I335" t="s">
        <v>268</v>
      </c>
      <c r="J335">
        <v>1</v>
      </c>
      <c r="N335" s="11">
        <v>4</v>
      </c>
      <c r="O335" s="18" t="s">
        <v>3459</v>
      </c>
      <c r="P335" s="26" t="s">
        <v>3460</v>
      </c>
      <c r="Q335" s="26" t="s">
        <v>3364</v>
      </c>
      <c r="R335" s="26" t="s">
        <v>3374</v>
      </c>
      <c r="S335" s="26" t="s">
        <v>0</v>
      </c>
      <c r="T335" s="26" t="s">
        <v>38</v>
      </c>
      <c r="U335" s="26" t="s">
        <v>69</v>
      </c>
      <c r="V335" s="26" t="s">
        <v>3336</v>
      </c>
      <c r="W335" s="26">
        <v>4</v>
      </c>
      <c r="X335" s="26">
        <v>4</v>
      </c>
      <c r="Y335" s="26">
        <v>4</v>
      </c>
      <c r="Z335" s="26">
        <v>4</v>
      </c>
      <c r="AA335" t="s">
        <v>3317</v>
      </c>
    </row>
    <row r="336" spans="1:27" x14ac:dyDescent="0.25">
      <c r="A336" s="11">
        <v>337</v>
      </c>
      <c r="B336">
        <v>5837</v>
      </c>
      <c r="C336" t="s">
        <v>655</v>
      </c>
      <c r="D336" t="s">
        <v>656</v>
      </c>
      <c r="E336" t="s">
        <v>0</v>
      </c>
      <c r="G336" t="s">
        <v>657</v>
      </c>
      <c r="H336">
        <v>2013</v>
      </c>
      <c r="I336" t="s">
        <v>658</v>
      </c>
      <c r="J336">
        <v>1</v>
      </c>
      <c r="N336" s="11">
        <v>0</v>
      </c>
      <c r="P336" s="26"/>
      <c r="Q336" s="26"/>
      <c r="R336" s="26"/>
      <c r="S336" s="26"/>
      <c r="T336" s="26"/>
      <c r="U336" s="26"/>
      <c r="V336" s="26"/>
      <c r="W336" s="26">
        <v>0</v>
      </c>
      <c r="X336" s="26">
        <v>0</v>
      </c>
      <c r="Y336" s="26">
        <v>0</v>
      </c>
      <c r="Z336" s="26">
        <v>0</v>
      </c>
    </row>
    <row r="337" spans="1:27" x14ac:dyDescent="0.25">
      <c r="A337" s="11">
        <v>338</v>
      </c>
      <c r="B337">
        <v>2756</v>
      </c>
      <c r="C337" t="s">
        <v>2099</v>
      </c>
      <c r="D337" t="s">
        <v>2100</v>
      </c>
      <c r="E337" t="s">
        <v>5</v>
      </c>
      <c r="G337" t="s">
        <v>2101</v>
      </c>
      <c r="H337">
        <v>2018</v>
      </c>
      <c r="I337" t="s">
        <v>2102</v>
      </c>
      <c r="J337">
        <v>1</v>
      </c>
      <c r="N337" s="11">
        <v>5</v>
      </c>
      <c r="O337" s="18" t="s">
        <v>3244</v>
      </c>
      <c r="P337" s="26" t="s">
        <v>3465</v>
      </c>
      <c r="Q337" s="26" t="s">
        <v>3204</v>
      </c>
      <c r="R337" s="26" t="s">
        <v>3239</v>
      </c>
      <c r="S337" s="26" t="s">
        <v>0</v>
      </c>
      <c r="T337" s="26" t="s">
        <v>38</v>
      </c>
      <c r="U337" s="26" t="s">
        <v>69</v>
      </c>
      <c r="V337" s="26" t="s">
        <v>3336</v>
      </c>
      <c r="W337" s="26">
        <v>5</v>
      </c>
      <c r="X337" s="26">
        <v>5</v>
      </c>
      <c r="Y337" s="26">
        <v>5</v>
      </c>
      <c r="Z337" s="26">
        <v>5</v>
      </c>
      <c r="AA337" t="s">
        <v>54</v>
      </c>
    </row>
    <row r="338" spans="1:27" x14ac:dyDescent="0.25">
      <c r="A338" s="11">
        <v>340</v>
      </c>
      <c r="B338">
        <v>3732</v>
      </c>
      <c r="C338" t="s">
        <v>1708</v>
      </c>
      <c r="D338" t="s">
        <v>1709</v>
      </c>
      <c r="E338" t="s">
        <v>0</v>
      </c>
      <c r="G338" t="s">
        <v>1710</v>
      </c>
      <c r="H338">
        <v>2012</v>
      </c>
      <c r="I338" t="s">
        <v>1711</v>
      </c>
      <c r="J338">
        <v>1</v>
      </c>
      <c r="N338" s="11">
        <v>5</v>
      </c>
      <c r="O338" s="18" t="s">
        <v>3165</v>
      </c>
      <c r="P338" s="26" t="s">
        <v>3442</v>
      </c>
      <c r="Q338" s="26" t="s">
        <v>3364</v>
      </c>
      <c r="R338" s="26" t="s">
        <v>3235</v>
      </c>
      <c r="S338" s="26" t="s">
        <v>0</v>
      </c>
      <c r="T338" s="26" t="s">
        <v>38</v>
      </c>
      <c r="U338" s="26" t="s">
        <v>69</v>
      </c>
      <c r="V338" s="26" t="s">
        <v>3336</v>
      </c>
      <c r="W338" s="26">
        <v>5</v>
      </c>
      <c r="X338" s="26">
        <v>5</v>
      </c>
      <c r="Y338" s="26">
        <v>5</v>
      </c>
      <c r="Z338" s="26">
        <v>5</v>
      </c>
      <c r="AA338" t="s">
        <v>3443</v>
      </c>
    </row>
    <row r="339" spans="1:27" x14ac:dyDescent="0.25">
      <c r="A339" s="11">
        <v>341</v>
      </c>
      <c r="B339">
        <v>5082</v>
      </c>
      <c r="C339" t="s">
        <v>1131</v>
      </c>
      <c r="D339" s="26" t="s">
        <v>1132</v>
      </c>
      <c r="E339" t="s">
        <v>24</v>
      </c>
      <c r="G339" t="s">
        <v>1133</v>
      </c>
      <c r="H339">
        <v>2014</v>
      </c>
      <c r="I339" t="s">
        <v>1134</v>
      </c>
      <c r="J339">
        <v>1</v>
      </c>
      <c r="N339" s="11">
        <v>5</v>
      </c>
      <c r="O339" s="18" t="s">
        <v>3311</v>
      </c>
      <c r="P339" s="26" t="s">
        <v>3442</v>
      </c>
      <c r="Q339" s="26" t="s">
        <v>3204</v>
      </c>
      <c r="R339" s="26" t="s">
        <v>3235</v>
      </c>
      <c r="S339" s="26" t="s">
        <v>1</v>
      </c>
      <c r="T339" s="26" t="s">
        <v>3622</v>
      </c>
      <c r="U339" s="26" t="s">
        <v>69</v>
      </c>
      <c r="V339" s="26" t="s">
        <v>3512</v>
      </c>
      <c r="W339" s="26">
        <v>3</v>
      </c>
      <c r="X339" s="26">
        <v>3</v>
      </c>
      <c r="Y339" s="26">
        <v>3</v>
      </c>
      <c r="Z339" s="26">
        <v>3</v>
      </c>
      <c r="AA339" t="s">
        <v>3335</v>
      </c>
    </row>
    <row r="340" spans="1:27" x14ac:dyDescent="0.25">
      <c r="A340" s="11">
        <v>342</v>
      </c>
      <c r="B340">
        <v>6277</v>
      </c>
      <c r="C340" t="s">
        <v>174</v>
      </c>
      <c r="D340" t="s">
        <v>175</v>
      </c>
      <c r="E340" t="s">
        <v>6</v>
      </c>
      <c r="F340" t="s">
        <v>337</v>
      </c>
      <c r="G340" t="s">
        <v>338</v>
      </c>
      <c r="H340">
        <v>2012</v>
      </c>
      <c r="J340">
        <v>1</v>
      </c>
      <c r="N340" s="11">
        <v>0</v>
      </c>
      <c r="P340" s="26"/>
      <c r="Q340" s="26"/>
      <c r="R340" s="26"/>
      <c r="S340" s="26"/>
      <c r="T340" s="26"/>
      <c r="U340" s="26"/>
      <c r="V340" s="26"/>
      <c r="W340" s="26">
        <v>0</v>
      </c>
      <c r="X340" s="26">
        <v>0</v>
      </c>
      <c r="Y340" s="26">
        <v>0</v>
      </c>
      <c r="Z340" s="26">
        <v>0</v>
      </c>
    </row>
    <row r="341" spans="1:27" x14ac:dyDescent="0.25">
      <c r="A341" s="11">
        <v>343</v>
      </c>
      <c r="B341">
        <v>3598</v>
      </c>
      <c r="C341" t="s">
        <v>1558</v>
      </c>
      <c r="D341" t="s">
        <v>1559</v>
      </c>
      <c r="E341" t="s">
        <v>0</v>
      </c>
      <c r="G341" t="s">
        <v>1560</v>
      </c>
      <c r="H341">
        <v>2013</v>
      </c>
      <c r="I341" t="s">
        <v>1561</v>
      </c>
      <c r="J341">
        <v>1</v>
      </c>
      <c r="N341" s="11">
        <v>0</v>
      </c>
      <c r="P341" s="26"/>
      <c r="Q341" s="26"/>
      <c r="R341" s="26"/>
      <c r="S341" s="26"/>
      <c r="T341" s="26"/>
      <c r="U341" s="26"/>
      <c r="V341" s="26"/>
      <c r="W341" s="26">
        <v>0</v>
      </c>
      <c r="X341" s="26">
        <v>0</v>
      </c>
      <c r="Y341" s="26">
        <v>0</v>
      </c>
      <c r="Z341" s="26">
        <v>0</v>
      </c>
    </row>
    <row r="342" spans="1:27" x14ac:dyDescent="0.25">
      <c r="A342" s="11">
        <v>344</v>
      </c>
      <c r="B342">
        <v>6285</v>
      </c>
      <c r="C342" t="s">
        <v>136</v>
      </c>
      <c r="D342" t="s">
        <v>137</v>
      </c>
      <c r="E342" t="s">
        <v>6</v>
      </c>
      <c r="F342" t="s">
        <v>303</v>
      </c>
      <c r="G342" t="s">
        <v>304</v>
      </c>
      <c r="H342">
        <v>2016</v>
      </c>
      <c r="I342" t="s">
        <v>258</v>
      </c>
      <c r="J342">
        <v>1</v>
      </c>
      <c r="N342" s="11">
        <v>2</v>
      </c>
      <c r="O342" s="18" t="s">
        <v>3244</v>
      </c>
      <c r="P342" s="26" t="s">
        <v>3181</v>
      </c>
      <c r="Q342" s="26" t="s">
        <v>3210</v>
      </c>
      <c r="R342" s="26" t="s">
        <v>3318</v>
      </c>
      <c r="S342" s="26" t="s">
        <v>6</v>
      </c>
      <c r="T342" s="26" t="s">
        <v>38</v>
      </c>
      <c r="U342" s="26" t="s">
        <v>69</v>
      </c>
      <c r="V342" s="26" t="s">
        <v>3241</v>
      </c>
      <c r="W342" s="26">
        <v>4</v>
      </c>
      <c r="X342" s="26">
        <v>5</v>
      </c>
      <c r="Y342" s="26">
        <v>5</v>
      </c>
      <c r="Z342" s="26">
        <v>5</v>
      </c>
      <c r="AA342" t="s">
        <v>3319</v>
      </c>
    </row>
    <row r="343" spans="1:27" x14ac:dyDescent="0.25">
      <c r="A343" s="11">
        <v>345</v>
      </c>
      <c r="B343">
        <v>6364</v>
      </c>
      <c r="C343" t="s">
        <v>176</v>
      </c>
      <c r="D343" s="8" t="s">
        <v>177</v>
      </c>
      <c r="E343" t="s">
        <v>6</v>
      </c>
      <c r="F343" t="s">
        <v>339</v>
      </c>
      <c r="G343" t="s">
        <v>340</v>
      </c>
      <c r="H343">
        <v>2018</v>
      </c>
      <c r="I343" t="s">
        <v>273</v>
      </c>
      <c r="J343">
        <v>1</v>
      </c>
      <c r="N343" s="11">
        <v>0</v>
      </c>
      <c r="P343" s="26"/>
      <c r="Q343" s="26"/>
      <c r="R343" s="26"/>
      <c r="S343" s="26"/>
      <c r="T343" s="26"/>
      <c r="U343" s="26"/>
      <c r="V343" s="26"/>
      <c r="W343" s="26">
        <v>0</v>
      </c>
      <c r="X343" s="26">
        <v>0</v>
      </c>
      <c r="Y343" s="26">
        <v>0</v>
      </c>
      <c r="Z343" s="26">
        <v>0</v>
      </c>
    </row>
    <row r="344" spans="1:27" x14ac:dyDescent="0.25">
      <c r="A344" s="11">
        <v>346</v>
      </c>
      <c r="B344">
        <v>2931</v>
      </c>
      <c r="C344" t="s">
        <v>2329</v>
      </c>
      <c r="D344" t="s">
        <v>2330</v>
      </c>
      <c r="E344" t="s">
        <v>0</v>
      </c>
      <c r="G344" t="s">
        <v>2331</v>
      </c>
      <c r="H344">
        <v>2017</v>
      </c>
      <c r="I344" t="s">
        <v>2332</v>
      </c>
      <c r="J344">
        <v>1</v>
      </c>
      <c r="N344" s="11">
        <v>5</v>
      </c>
      <c r="O344" s="18" t="s">
        <v>3555</v>
      </c>
      <c r="P344" s="26" t="s">
        <v>3556</v>
      </c>
      <c r="Q344" s="26" t="s">
        <v>3210</v>
      </c>
      <c r="R344" s="26" t="s">
        <v>3257</v>
      </c>
      <c r="S344" s="26" t="s">
        <v>0</v>
      </c>
      <c r="T344" s="26" t="s">
        <v>38</v>
      </c>
      <c r="U344" s="26" t="s">
        <v>69</v>
      </c>
      <c r="V344" s="26" t="s">
        <v>3557</v>
      </c>
      <c r="W344" s="26">
        <v>5</v>
      </c>
      <c r="X344" s="26">
        <v>5</v>
      </c>
      <c r="Y344" s="26">
        <v>5</v>
      </c>
      <c r="Z344" s="26">
        <v>5</v>
      </c>
      <c r="AA344" t="s">
        <v>3558</v>
      </c>
    </row>
    <row r="345" spans="1:27" x14ac:dyDescent="0.25">
      <c r="A345" s="11">
        <v>347</v>
      </c>
      <c r="B345">
        <v>4452</v>
      </c>
      <c r="C345" t="s">
        <v>1100</v>
      </c>
      <c r="D345" t="s">
        <v>2954</v>
      </c>
      <c r="E345" t="s">
        <v>2</v>
      </c>
      <c r="G345" t="s">
        <v>2955</v>
      </c>
      <c r="H345">
        <v>2014</v>
      </c>
      <c r="I345" t="s">
        <v>2956</v>
      </c>
      <c r="J345">
        <v>1</v>
      </c>
      <c r="N345" s="11">
        <v>0</v>
      </c>
      <c r="P345" s="26"/>
      <c r="Q345" s="26"/>
      <c r="R345" s="26"/>
      <c r="S345" s="26"/>
      <c r="T345" s="26"/>
      <c r="U345" s="26"/>
      <c r="V345" s="26"/>
      <c r="W345" s="26">
        <v>0</v>
      </c>
      <c r="X345" s="26">
        <v>0</v>
      </c>
      <c r="Y345" s="26">
        <v>0</v>
      </c>
      <c r="Z345" s="26">
        <v>0</v>
      </c>
    </row>
    <row r="346" spans="1:27" x14ac:dyDescent="0.25">
      <c r="A346" s="11">
        <v>348</v>
      </c>
      <c r="B346">
        <v>4226</v>
      </c>
      <c r="C346" t="s">
        <v>3046</v>
      </c>
      <c r="D346" t="s">
        <v>3047</v>
      </c>
      <c r="E346" t="s">
        <v>3</v>
      </c>
      <c r="G346" t="s">
        <v>3048</v>
      </c>
      <c r="H346">
        <v>2016</v>
      </c>
      <c r="I346" t="s">
        <v>3049</v>
      </c>
      <c r="J346">
        <v>1</v>
      </c>
      <c r="N346" s="11">
        <v>5</v>
      </c>
      <c r="O346" s="18" t="s">
        <v>3157</v>
      </c>
      <c r="P346" s="26" t="s">
        <v>3191</v>
      </c>
      <c r="Q346" s="26" t="s">
        <v>3209</v>
      </c>
      <c r="R346" s="26" t="s">
        <v>3341</v>
      </c>
      <c r="S346" s="26" t="s">
        <v>3</v>
      </c>
      <c r="T346" s="26" t="s">
        <v>38</v>
      </c>
      <c r="U346" s="26" t="s">
        <v>69</v>
      </c>
      <c r="V346" s="26" t="s">
        <v>3340</v>
      </c>
      <c r="W346" s="26">
        <v>5</v>
      </c>
      <c r="X346" s="26">
        <v>5</v>
      </c>
      <c r="Y346" s="26">
        <v>5</v>
      </c>
      <c r="Z346" s="26">
        <v>5</v>
      </c>
      <c r="AA346" t="s">
        <v>59</v>
      </c>
    </row>
    <row r="347" spans="1:27" x14ac:dyDescent="0.25">
      <c r="A347" s="11">
        <v>349</v>
      </c>
      <c r="B347">
        <v>5534</v>
      </c>
      <c r="C347" t="s">
        <v>1064</v>
      </c>
      <c r="D347" s="26" t="s">
        <v>1065</v>
      </c>
      <c r="E347" t="s">
        <v>22</v>
      </c>
      <c r="G347" t="s">
        <v>1066</v>
      </c>
      <c r="H347">
        <v>2019</v>
      </c>
      <c r="I347" t="s">
        <v>1067</v>
      </c>
      <c r="J347">
        <v>1</v>
      </c>
      <c r="N347" s="11">
        <v>5</v>
      </c>
      <c r="O347" s="18" t="s">
        <v>3160</v>
      </c>
      <c r="P347" s="26" t="s">
        <v>3497</v>
      </c>
      <c r="Q347" s="26" t="s">
        <v>3498</v>
      </c>
      <c r="R347" s="26" t="s">
        <v>3232</v>
      </c>
      <c r="S347" s="26" t="s">
        <v>1</v>
      </c>
      <c r="T347" s="26" t="s">
        <v>38</v>
      </c>
      <c r="U347" s="26" t="s">
        <v>69</v>
      </c>
      <c r="V347" s="26" t="s">
        <v>3336</v>
      </c>
      <c r="W347" s="26">
        <v>5</v>
      </c>
      <c r="X347" s="26">
        <v>5</v>
      </c>
      <c r="Y347" s="26">
        <v>5</v>
      </c>
      <c r="Z347" s="26">
        <v>5</v>
      </c>
      <c r="AA347" t="s">
        <v>59</v>
      </c>
    </row>
    <row r="348" spans="1:27" x14ac:dyDescent="0.25">
      <c r="A348" s="11">
        <v>350</v>
      </c>
      <c r="B348">
        <v>4882</v>
      </c>
      <c r="C348" t="s">
        <v>1101</v>
      </c>
      <c r="D348" t="s">
        <v>1102</v>
      </c>
      <c r="E348" t="s">
        <v>22</v>
      </c>
      <c r="G348" t="s">
        <v>1103</v>
      </c>
      <c r="H348">
        <v>2017</v>
      </c>
      <c r="I348" t="s">
        <v>1104</v>
      </c>
      <c r="J348">
        <v>1</v>
      </c>
      <c r="N348" s="11">
        <v>0</v>
      </c>
      <c r="P348" s="26"/>
      <c r="Q348" s="26"/>
      <c r="R348" s="26"/>
      <c r="S348" s="26"/>
      <c r="T348" s="26"/>
      <c r="U348" s="26"/>
      <c r="V348" s="26"/>
      <c r="W348" s="26">
        <v>0</v>
      </c>
      <c r="X348" s="26">
        <v>0</v>
      </c>
      <c r="Y348" s="26">
        <v>0</v>
      </c>
      <c r="Z348" s="26">
        <v>0</v>
      </c>
    </row>
    <row r="349" spans="1:27" x14ac:dyDescent="0.25">
      <c r="A349" s="11">
        <v>351</v>
      </c>
      <c r="B349">
        <v>4264</v>
      </c>
      <c r="C349" t="s">
        <v>3069</v>
      </c>
      <c r="D349" s="8" t="s">
        <v>3070</v>
      </c>
      <c r="E349" t="s">
        <v>3071</v>
      </c>
      <c r="G349" t="s">
        <v>3072</v>
      </c>
      <c r="H349">
        <v>2015</v>
      </c>
      <c r="I349" t="s">
        <v>3073</v>
      </c>
      <c r="J349">
        <v>1</v>
      </c>
      <c r="N349" s="11">
        <v>0</v>
      </c>
      <c r="P349" s="26"/>
      <c r="Q349" s="26"/>
      <c r="R349" s="26"/>
      <c r="S349" s="26"/>
      <c r="T349" s="26"/>
      <c r="U349" s="26"/>
      <c r="V349" s="26"/>
      <c r="W349" s="26">
        <v>0</v>
      </c>
      <c r="X349" s="26">
        <v>0</v>
      </c>
      <c r="Y349" s="26">
        <v>0</v>
      </c>
      <c r="Z349" s="26">
        <v>0</v>
      </c>
    </row>
    <row r="350" spans="1:27" x14ac:dyDescent="0.25">
      <c r="A350" s="11">
        <v>352</v>
      </c>
      <c r="B350">
        <v>6309</v>
      </c>
      <c r="C350" t="s">
        <v>178</v>
      </c>
      <c r="D350" t="s">
        <v>179</v>
      </c>
      <c r="E350" t="s">
        <v>6</v>
      </c>
      <c r="F350" t="s">
        <v>341</v>
      </c>
      <c r="G350" t="s">
        <v>342</v>
      </c>
      <c r="H350">
        <v>2012</v>
      </c>
      <c r="I350" t="s">
        <v>274</v>
      </c>
      <c r="J350">
        <v>1</v>
      </c>
      <c r="N350" s="11">
        <v>0</v>
      </c>
      <c r="P350" s="26"/>
      <c r="Q350" s="26"/>
      <c r="R350" s="26"/>
      <c r="S350" s="26"/>
      <c r="T350" s="26"/>
      <c r="U350" s="26"/>
      <c r="V350" s="26"/>
      <c r="W350" s="26">
        <v>0</v>
      </c>
      <c r="X350" s="26">
        <v>0</v>
      </c>
      <c r="Y350" s="26">
        <v>0</v>
      </c>
      <c r="Z350" s="26">
        <v>0</v>
      </c>
    </row>
    <row r="351" spans="1:27" x14ac:dyDescent="0.25">
      <c r="A351" s="11">
        <v>353</v>
      </c>
      <c r="B351">
        <v>6152</v>
      </c>
      <c r="C351" t="s">
        <v>664</v>
      </c>
      <c r="D351" t="s">
        <v>665</v>
      </c>
      <c r="E351" t="s">
        <v>0</v>
      </c>
      <c r="G351" t="s">
        <v>666</v>
      </c>
      <c r="H351">
        <v>2018</v>
      </c>
      <c r="I351" t="s">
        <v>667</v>
      </c>
      <c r="J351">
        <v>1</v>
      </c>
      <c r="N351" s="11">
        <v>0</v>
      </c>
      <c r="P351" s="26"/>
      <c r="Q351" s="26"/>
      <c r="R351" s="26"/>
      <c r="S351" s="26"/>
      <c r="T351" s="26"/>
      <c r="U351" s="26"/>
      <c r="V351" s="26"/>
      <c r="W351" s="26">
        <v>0</v>
      </c>
      <c r="X351" s="26">
        <v>0</v>
      </c>
      <c r="Y351" s="26">
        <v>0</v>
      </c>
      <c r="Z351" s="26">
        <v>0</v>
      </c>
    </row>
    <row r="352" spans="1:27" x14ac:dyDescent="0.25">
      <c r="A352" s="11">
        <v>354</v>
      </c>
      <c r="B352">
        <v>2508</v>
      </c>
      <c r="C352" t="s">
        <v>2816</v>
      </c>
      <c r="D352" t="s">
        <v>2817</v>
      </c>
      <c r="E352" t="s">
        <v>0</v>
      </c>
      <c r="G352" t="s">
        <v>2818</v>
      </c>
      <c r="H352">
        <v>2019</v>
      </c>
      <c r="I352" t="s">
        <v>2819</v>
      </c>
      <c r="J352">
        <v>1</v>
      </c>
      <c r="K352">
        <v>1</v>
      </c>
      <c r="N352" s="11">
        <v>5</v>
      </c>
      <c r="O352" s="18" t="s">
        <v>3244</v>
      </c>
      <c r="P352" s="26" t="s">
        <v>3480</v>
      </c>
      <c r="Q352" s="26" t="s">
        <v>3479</v>
      </c>
      <c r="R352" s="26" t="s">
        <v>3481</v>
      </c>
      <c r="S352" s="26" t="s">
        <v>0</v>
      </c>
      <c r="T352" s="26" t="s">
        <v>38</v>
      </c>
      <c r="U352" s="26" t="s">
        <v>69</v>
      </c>
      <c r="V352" s="26" t="s">
        <v>3336</v>
      </c>
      <c r="W352" s="26">
        <v>5</v>
      </c>
      <c r="X352" s="26">
        <v>5</v>
      </c>
      <c r="Y352" s="26">
        <v>5</v>
      </c>
      <c r="Z352" s="26">
        <v>5</v>
      </c>
      <c r="AA352" t="s">
        <v>3482</v>
      </c>
    </row>
    <row r="353" spans="1:28" x14ac:dyDescent="0.25">
      <c r="A353" s="11">
        <v>355</v>
      </c>
      <c r="B353">
        <v>5202</v>
      </c>
      <c r="C353" t="s">
        <v>1052</v>
      </c>
      <c r="D353" s="26" t="s">
        <v>1053</v>
      </c>
      <c r="E353" t="s">
        <v>24</v>
      </c>
      <c r="G353" t="s">
        <v>1054</v>
      </c>
      <c r="H353">
        <v>2018</v>
      </c>
      <c r="I353" t="s">
        <v>1055</v>
      </c>
      <c r="J353">
        <v>1</v>
      </c>
      <c r="N353" s="11">
        <v>4</v>
      </c>
      <c r="O353" s="18" t="s">
        <v>3488</v>
      </c>
      <c r="P353" s="26" t="s">
        <v>3295</v>
      </c>
      <c r="Q353" s="26" t="s">
        <v>3253</v>
      </c>
      <c r="R353" s="26" t="s">
        <v>3187</v>
      </c>
      <c r="S353" s="26" t="s">
        <v>1</v>
      </c>
      <c r="T353" s="26" t="s">
        <v>38</v>
      </c>
      <c r="U353" s="26" t="s">
        <v>69</v>
      </c>
      <c r="V353" s="26" t="s">
        <v>3280</v>
      </c>
      <c r="W353" s="26">
        <v>5</v>
      </c>
      <c r="X353" s="26">
        <v>5</v>
      </c>
      <c r="Y353" s="26">
        <v>4</v>
      </c>
      <c r="Z353" s="26">
        <v>5</v>
      </c>
      <c r="AA353" t="s">
        <v>3489</v>
      </c>
    </row>
    <row r="354" spans="1:28" x14ac:dyDescent="0.25">
      <c r="A354" s="11">
        <v>356</v>
      </c>
      <c r="B354" s="75">
        <v>3251</v>
      </c>
      <c r="C354" s="75" t="s">
        <v>1334</v>
      </c>
      <c r="D354" s="75" t="s">
        <v>1335</v>
      </c>
      <c r="E354" s="75" t="s">
        <v>0</v>
      </c>
      <c r="F354" s="75"/>
      <c r="G354" s="75" t="s">
        <v>1336</v>
      </c>
      <c r="H354" s="75">
        <v>2015</v>
      </c>
      <c r="I354" s="75" t="s">
        <v>1337</v>
      </c>
      <c r="J354" s="75">
        <v>0</v>
      </c>
      <c r="K354" s="75"/>
      <c r="L354" s="75"/>
      <c r="M354" s="75"/>
      <c r="N354" s="75">
        <v>4</v>
      </c>
      <c r="O354" s="76" t="s">
        <v>3282</v>
      </c>
      <c r="P354" s="75" t="s">
        <v>3295</v>
      </c>
      <c r="Q354" s="75" t="s">
        <v>3294</v>
      </c>
      <c r="R354" s="75" t="s">
        <v>3243</v>
      </c>
      <c r="S354" s="75" t="s">
        <v>0</v>
      </c>
      <c r="T354" s="75" t="s">
        <v>38</v>
      </c>
      <c r="U354" s="75" t="s">
        <v>69</v>
      </c>
      <c r="V354" s="75" t="s">
        <v>3296</v>
      </c>
      <c r="W354" s="75">
        <v>5</v>
      </c>
      <c r="X354" s="75">
        <v>5</v>
      </c>
      <c r="Y354" s="75">
        <v>5</v>
      </c>
      <c r="Z354" s="75">
        <v>5</v>
      </c>
      <c r="AA354" s="75" t="s">
        <v>3297</v>
      </c>
      <c r="AB354" s="75"/>
    </row>
    <row r="355" spans="1:28" x14ac:dyDescent="0.25">
      <c r="A355" s="11">
        <v>357</v>
      </c>
      <c r="B355">
        <v>3353</v>
      </c>
      <c r="C355" t="s">
        <v>2711</v>
      </c>
      <c r="D355" s="26" t="s">
        <v>2712</v>
      </c>
      <c r="E355" t="s">
        <v>0</v>
      </c>
      <c r="G355" t="s">
        <v>2713</v>
      </c>
      <c r="H355">
        <v>2014</v>
      </c>
      <c r="I355" t="s">
        <v>2714</v>
      </c>
      <c r="J355">
        <v>0</v>
      </c>
      <c r="N355" s="11">
        <v>4</v>
      </c>
      <c r="O355" s="18" t="s">
        <v>3385</v>
      </c>
      <c r="P355" s="26" t="s">
        <v>3295</v>
      </c>
      <c r="Q355" s="26" t="s">
        <v>3258</v>
      </c>
      <c r="R355" s="26" t="s">
        <v>3243</v>
      </c>
      <c r="S355" s="26" t="s">
        <v>0</v>
      </c>
      <c r="T355" s="26" t="s">
        <v>38</v>
      </c>
      <c r="U355" s="26" t="s">
        <v>69</v>
      </c>
      <c r="V355" s="26" t="s">
        <v>3336</v>
      </c>
      <c r="W355" s="26">
        <v>5</v>
      </c>
      <c r="X355" s="26">
        <v>5</v>
      </c>
      <c r="Y355" s="26">
        <v>5</v>
      </c>
      <c r="Z355" s="26">
        <v>5</v>
      </c>
      <c r="AA355" t="s">
        <v>58</v>
      </c>
    </row>
    <row r="356" spans="1:28" x14ac:dyDescent="0.25">
      <c r="A356" s="11">
        <v>358</v>
      </c>
      <c r="B356">
        <v>3335</v>
      </c>
      <c r="C356" t="s">
        <v>1973</v>
      </c>
      <c r="D356" s="26" t="s">
        <v>1974</v>
      </c>
      <c r="E356" t="s">
        <v>24</v>
      </c>
      <c r="G356" t="s">
        <v>1975</v>
      </c>
      <c r="H356">
        <v>2014</v>
      </c>
      <c r="I356" t="s">
        <v>1976</v>
      </c>
      <c r="J356">
        <v>1</v>
      </c>
      <c r="K356">
        <v>1</v>
      </c>
      <c r="N356" s="11">
        <v>5</v>
      </c>
      <c r="O356" s="18" t="s">
        <v>3244</v>
      </c>
      <c r="P356" s="26" t="s">
        <v>3295</v>
      </c>
      <c r="Q356" s="26" t="s">
        <v>3429</v>
      </c>
      <c r="R356" s="26" t="s">
        <v>3232</v>
      </c>
      <c r="S356" s="26" t="s">
        <v>1</v>
      </c>
      <c r="T356" s="26" t="s">
        <v>38</v>
      </c>
      <c r="U356" s="26" t="s">
        <v>69</v>
      </c>
      <c r="V356" s="26" t="s">
        <v>3430</v>
      </c>
      <c r="W356" s="26">
        <v>5</v>
      </c>
      <c r="X356" s="26">
        <v>5</v>
      </c>
      <c r="Y356" s="26">
        <v>5</v>
      </c>
      <c r="Z356" s="26">
        <v>5</v>
      </c>
      <c r="AA356" t="s">
        <v>3355</v>
      </c>
    </row>
    <row r="357" spans="1:28" x14ac:dyDescent="0.25">
      <c r="A357" s="11">
        <v>359</v>
      </c>
      <c r="B357">
        <v>3513</v>
      </c>
      <c r="C357" t="s">
        <v>2699</v>
      </c>
      <c r="D357" s="26" t="s">
        <v>2700</v>
      </c>
      <c r="E357" t="s">
        <v>0</v>
      </c>
      <c r="G357" t="s">
        <v>2701</v>
      </c>
      <c r="H357">
        <v>2013</v>
      </c>
      <c r="I357" t="s">
        <v>2702</v>
      </c>
      <c r="J357">
        <v>1</v>
      </c>
      <c r="N357" s="11">
        <v>0</v>
      </c>
      <c r="P357" s="26"/>
      <c r="Q357" s="26"/>
      <c r="R357" s="26"/>
      <c r="S357" s="26"/>
      <c r="T357" s="26"/>
      <c r="U357" s="26"/>
      <c r="V357" s="26"/>
      <c r="W357" s="26">
        <v>0</v>
      </c>
      <c r="X357" s="26">
        <v>0</v>
      </c>
      <c r="Y357" s="26">
        <v>0</v>
      </c>
      <c r="Z357" s="26">
        <v>0</v>
      </c>
    </row>
    <row r="358" spans="1:28" x14ac:dyDescent="0.25">
      <c r="A358" s="11">
        <v>360</v>
      </c>
      <c r="B358">
        <v>3182</v>
      </c>
      <c r="C358" t="s">
        <v>1461</v>
      </c>
      <c r="D358" t="s">
        <v>1462</v>
      </c>
      <c r="E358" t="s">
        <v>0</v>
      </c>
      <c r="G358" t="s">
        <v>1463</v>
      </c>
      <c r="H358">
        <v>2015</v>
      </c>
      <c r="I358" t="s">
        <v>1464</v>
      </c>
      <c r="J358">
        <v>1</v>
      </c>
      <c r="N358" s="11">
        <v>5</v>
      </c>
      <c r="O358" s="18" t="s">
        <v>3244</v>
      </c>
      <c r="P358" s="26" t="s">
        <v>3295</v>
      </c>
      <c r="Q358" s="26" t="s">
        <v>3253</v>
      </c>
      <c r="R358" s="26" t="s">
        <v>3236</v>
      </c>
      <c r="S358" s="26" t="s">
        <v>0</v>
      </c>
      <c r="T358" s="26" t="s">
        <v>38</v>
      </c>
      <c r="U358" s="26" t="s">
        <v>69</v>
      </c>
      <c r="V358" s="26" t="s">
        <v>3354</v>
      </c>
      <c r="W358" s="26">
        <v>5</v>
      </c>
      <c r="X358" s="26">
        <v>5</v>
      </c>
      <c r="Y358" s="26">
        <v>5</v>
      </c>
      <c r="Z358" s="26">
        <v>5</v>
      </c>
      <c r="AA358" t="s">
        <v>3355</v>
      </c>
    </row>
    <row r="359" spans="1:28" x14ac:dyDescent="0.25">
      <c r="A359" s="11">
        <v>361</v>
      </c>
      <c r="B359">
        <v>5976</v>
      </c>
      <c r="C359" t="s">
        <v>669</v>
      </c>
      <c r="D359" t="s">
        <v>670</v>
      </c>
      <c r="E359" t="s">
        <v>0</v>
      </c>
      <c r="G359" t="s">
        <v>671</v>
      </c>
      <c r="H359">
        <v>2019</v>
      </c>
      <c r="I359" t="s">
        <v>672</v>
      </c>
      <c r="J359">
        <v>1</v>
      </c>
      <c r="N359" s="11">
        <v>0</v>
      </c>
      <c r="P359" s="26"/>
      <c r="Q359" s="26"/>
      <c r="R359" s="26"/>
      <c r="S359" s="26"/>
      <c r="T359" s="26"/>
      <c r="U359" s="26"/>
      <c r="V359" s="26"/>
      <c r="W359" s="26">
        <v>0</v>
      </c>
      <c r="X359" s="26">
        <v>0</v>
      </c>
      <c r="Y359" s="26">
        <v>0</v>
      </c>
      <c r="Z359" s="26">
        <v>0</v>
      </c>
      <c r="AB359" t="s">
        <v>3589</v>
      </c>
    </row>
    <row r="360" spans="1:28" x14ac:dyDescent="0.25">
      <c r="A360" s="11">
        <v>362</v>
      </c>
      <c r="B360">
        <v>5640</v>
      </c>
      <c r="C360" t="s">
        <v>673</v>
      </c>
      <c r="D360" s="8" t="s">
        <v>674</v>
      </c>
      <c r="E360" t="s">
        <v>0</v>
      </c>
      <c r="G360" t="s">
        <v>675</v>
      </c>
      <c r="H360">
        <v>2017</v>
      </c>
      <c r="I360" t="s">
        <v>676</v>
      </c>
      <c r="J360">
        <v>1</v>
      </c>
      <c r="N360" s="11">
        <v>0</v>
      </c>
      <c r="P360" s="26"/>
      <c r="Q360" s="26"/>
      <c r="R360" s="26"/>
      <c r="S360" s="26"/>
      <c r="T360" s="26"/>
      <c r="U360" s="26"/>
      <c r="V360" s="26"/>
      <c r="W360" s="26">
        <v>0</v>
      </c>
      <c r="X360" s="26">
        <v>0</v>
      </c>
      <c r="Y360" s="26">
        <v>0</v>
      </c>
      <c r="Z360" s="26">
        <v>0</v>
      </c>
    </row>
    <row r="361" spans="1:28" x14ac:dyDescent="0.25">
      <c r="A361" s="11">
        <v>363</v>
      </c>
      <c r="B361">
        <v>6141</v>
      </c>
      <c r="C361" t="s">
        <v>677</v>
      </c>
      <c r="D361" s="8" t="s">
        <v>678</v>
      </c>
      <c r="E361" t="s">
        <v>0</v>
      </c>
      <c r="G361" t="s">
        <v>679</v>
      </c>
      <c r="H361">
        <v>2017</v>
      </c>
      <c r="I361" t="s">
        <v>680</v>
      </c>
      <c r="J361">
        <v>1</v>
      </c>
      <c r="L361">
        <v>-1</v>
      </c>
      <c r="N361" s="11">
        <v>0</v>
      </c>
      <c r="P361" s="26"/>
      <c r="Q361" s="26"/>
      <c r="R361" s="26"/>
      <c r="S361" s="26"/>
      <c r="T361" s="26"/>
      <c r="U361" s="26"/>
      <c r="V361" s="26"/>
      <c r="W361" s="26">
        <v>0</v>
      </c>
      <c r="X361" s="26">
        <v>0</v>
      </c>
      <c r="Y361" s="26">
        <v>0</v>
      </c>
      <c r="Z361" s="26">
        <v>0</v>
      </c>
    </row>
    <row r="362" spans="1:28" x14ac:dyDescent="0.25">
      <c r="A362" s="11">
        <v>364</v>
      </c>
      <c r="B362">
        <v>2568</v>
      </c>
      <c r="C362" t="s">
        <v>1678</v>
      </c>
      <c r="D362" t="s">
        <v>1679</v>
      </c>
      <c r="E362" t="s">
        <v>1193</v>
      </c>
      <c r="G362" t="s">
        <v>1680</v>
      </c>
      <c r="H362">
        <v>2019</v>
      </c>
      <c r="I362" t="s">
        <v>1681</v>
      </c>
      <c r="J362">
        <v>1</v>
      </c>
      <c r="N362" s="11">
        <v>4</v>
      </c>
      <c r="O362" s="18" t="s">
        <v>3385</v>
      </c>
      <c r="P362" s="26" t="s">
        <v>3295</v>
      </c>
      <c r="Q362" s="26" t="s">
        <v>3361</v>
      </c>
      <c r="R362" s="26" t="s">
        <v>3257</v>
      </c>
      <c r="S362" s="26" t="s">
        <v>1</v>
      </c>
      <c r="T362" s="26" t="s">
        <v>38</v>
      </c>
      <c r="U362" s="26" t="s">
        <v>69</v>
      </c>
      <c r="V362" s="26" t="s">
        <v>3450</v>
      </c>
      <c r="W362" s="26">
        <v>4</v>
      </c>
      <c r="X362" s="26">
        <v>4</v>
      </c>
      <c r="Y362" s="26">
        <v>4</v>
      </c>
      <c r="Z362" s="26">
        <v>4</v>
      </c>
      <c r="AA362" t="s">
        <v>57</v>
      </c>
    </row>
    <row r="363" spans="1:28" x14ac:dyDescent="0.25">
      <c r="A363" s="11">
        <v>365</v>
      </c>
      <c r="B363">
        <v>3115</v>
      </c>
      <c r="C363" t="s">
        <v>2373</v>
      </c>
      <c r="D363" s="26" t="s">
        <v>2374</v>
      </c>
      <c r="E363" t="s">
        <v>0</v>
      </c>
      <c r="G363" t="s">
        <v>2375</v>
      </c>
      <c r="H363">
        <v>2016</v>
      </c>
      <c r="I363" t="s">
        <v>2376</v>
      </c>
      <c r="J363">
        <v>1</v>
      </c>
      <c r="N363" s="11">
        <v>4</v>
      </c>
      <c r="O363" s="18" t="s">
        <v>3244</v>
      </c>
      <c r="P363" s="26" t="s">
        <v>3295</v>
      </c>
      <c r="Q363" s="26" t="s">
        <v>3404</v>
      </c>
      <c r="R363" s="26" t="s">
        <v>3239</v>
      </c>
      <c r="S363" s="26" t="s">
        <v>0</v>
      </c>
      <c r="T363" s="26" t="s">
        <v>38</v>
      </c>
      <c r="U363" s="26" t="s">
        <v>69</v>
      </c>
      <c r="V363" s="26" t="s">
        <v>3336</v>
      </c>
      <c r="W363" s="26">
        <v>3</v>
      </c>
      <c r="X363" s="26">
        <v>5</v>
      </c>
      <c r="Y363" s="26">
        <v>5</v>
      </c>
      <c r="Z363" s="26">
        <v>5</v>
      </c>
      <c r="AA363" t="s">
        <v>3405</v>
      </c>
    </row>
    <row r="364" spans="1:28" x14ac:dyDescent="0.25">
      <c r="A364" s="11">
        <v>366</v>
      </c>
      <c r="B364">
        <v>3354</v>
      </c>
      <c r="C364" t="s">
        <v>1704</v>
      </c>
      <c r="D364" s="26" t="s">
        <v>1705</v>
      </c>
      <c r="E364" t="s">
        <v>0</v>
      </c>
      <c r="G364" t="s">
        <v>1706</v>
      </c>
      <c r="H364">
        <v>2014</v>
      </c>
      <c r="I364" t="s">
        <v>1707</v>
      </c>
      <c r="J364">
        <v>1</v>
      </c>
      <c r="N364" s="11">
        <v>0</v>
      </c>
      <c r="P364" s="26"/>
      <c r="Q364" s="26"/>
      <c r="R364" s="26"/>
      <c r="S364" s="26"/>
      <c r="T364" s="26"/>
      <c r="U364" s="26"/>
      <c r="V364" s="26"/>
      <c r="W364" s="26">
        <v>0</v>
      </c>
      <c r="X364" s="26">
        <v>0</v>
      </c>
      <c r="Y364" s="26">
        <v>0</v>
      </c>
      <c r="Z364" s="26">
        <v>0</v>
      </c>
    </row>
    <row r="365" spans="1:28" x14ac:dyDescent="0.25">
      <c r="A365" s="11">
        <v>367</v>
      </c>
      <c r="B365">
        <v>3362</v>
      </c>
      <c r="C365" t="s">
        <v>2302</v>
      </c>
      <c r="D365" s="46" t="s">
        <v>180</v>
      </c>
      <c r="E365" t="s">
        <v>0</v>
      </c>
      <c r="G365" t="s">
        <v>2303</v>
      </c>
      <c r="H365">
        <v>2014</v>
      </c>
      <c r="I365" t="s">
        <v>2304</v>
      </c>
      <c r="J365">
        <v>1</v>
      </c>
      <c r="N365" s="11">
        <v>0</v>
      </c>
      <c r="P365" s="26"/>
      <c r="Q365" s="26"/>
      <c r="R365" s="26"/>
      <c r="S365" s="26"/>
      <c r="T365" s="26"/>
      <c r="U365" s="26"/>
      <c r="V365" s="26"/>
      <c r="W365" s="26">
        <v>0</v>
      </c>
      <c r="X365" s="26">
        <v>0</v>
      </c>
      <c r="Y365" s="26">
        <v>0</v>
      </c>
      <c r="Z365" s="26">
        <v>0</v>
      </c>
    </row>
    <row r="366" spans="1:28" x14ac:dyDescent="0.25">
      <c r="A366" s="11">
        <v>368</v>
      </c>
      <c r="B366">
        <v>4237</v>
      </c>
      <c r="C366" t="s">
        <v>1320</v>
      </c>
      <c r="D366" t="s">
        <v>3038</v>
      </c>
      <c r="E366" t="s">
        <v>3</v>
      </c>
      <c r="G366" t="s">
        <v>3039</v>
      </c>
      <c r="H366">
        <v>2016</v>
      </c>
      <c r="I366" t="s">
        <v>3040</v>
      </c>
      <c r="J366">
        <v>1</v>
      </c>
      <c r="N366" s="11">
        <v>0</v>
      </c>
      <c r="P366" s="26"/>
      <c r="Q366" s="26"/>
      <c r="R366" s="26"/>
      <c r="S366" s="26"/>
      <c r="T366" s="26"/>
      <c r="U366" s="26"/>
      <c r="V366" s="26"/>
      <c r="W366" s="26">
        <v>0</v>
      </c>
      <c r="X366" s="26">
        <v>0</v>
      </c>
      <c r="Y366" s="26">
        <v>0</v>
      </c>
      <c r="Z366" s="26">
        <v>0</v>
      </c>
    </row>
    <row r="367" spans="1:28" x14ac:dyDescent="0.25">
      <c r="A367" s="11">
        <v>369</v>
      </c>
      <c r="B367">
        <v>3387</v>
      </c>
      <c r="C367" t="s">
        <v>1628</v>
      </c>
      <c r="D367" t="s">
        <v>1629</v>
      </c>
      <c r="E367" t="s">
        <v>1192</v>
      </c>
      <c r="G367" t="s">
        <v>1630</v>
      </c>
      <c r="H367">
        <v>2014</v>
      </c>
      <c r="I367" t="s">
        <v>1631</v>
      </c>
      <c r="J367">
        <v>1</v>
      </c>
      <c r="N367" s="11">
        <v>0</v>
      </c>
      <c r="P367" s="26"/>
      <c r="Q367" s="26"/>
      <c r="R367" s="26"/>
      <c r="S367" s="26"/>
      <c r="T367" s="26"/>
      <c r="U367" s="26"/>
      <c r="V367" s="26"/>
      <c r="W367" s="26">
        <v>0</v>
      </c>
      <c r="X367" s="26">
        <v>0</v>
      </c>
      <c r="Y367" s="26">
        <v>0</v>
      </c>
      <c r="Z367" s="26">
        <v>0</v>
      </c>
    </row>
    <row r="368" spans="1:28" x14ac:dyDescent="0.25">
      <c r="A368" s="11">
        <v>370</v>
      </c>
      <c r="B368">
        <v>5923</v>
      </c>
      <c r="C368" t="s">
        <v>506</v>
      </c>
      <c r="D368" s="8" t="s">
        <v>507</v>
      </c>
      <c r="E368" t="s">
        <v>0</v>
      </c>
      <c r="F368" t="s">
        <v>945</v>
      </c>
      <c r="G368" t="s">
        <v>508</v>
      </c>
      <c r="H368">
        <v>2016</v>
      </c>
      <c r="I368" t="s">
        <v>509</v>
      </c>
      <c r="J368">
        <v>1</v>
      </c>
      <c r="N368" s="11">
        <v>4</v>
      </c>
      <c r="O368" s="18" t="s">
        <v>3386</v>
      </c>
      <c r="P368" s="26" t="s">
        <v>3295</v>
      </c>
      <c r="Q368" s="26" t="s">
        <v>3204</v>
      </c>
      <c r="R368" s="26" t="s">
        <v>3239</v>
      </c>
      <c r="S368" s="26" t="s">
        <v>0</v>
      </c>
      <c r="T368" s="26" t="s">
        <v>38</v>
      </c>
      <c r="U368" s="26" t="s">
        <v>69</v>
      </c>
      <c r="V368" s="26" t="s">
        <v>3336</v>
      </c>
      <c r="W368" s="26">
        <v>5</v>
      </c>
      <c r="X368" s="26">
        <v>5</v>
      </c>
      <c r="Y368" s="26">
        <v>5</v>
      </c>
      <c r="Z368" s="26">
        <v>5</v>
      </c>
      <c r="AA368" t="s">
        <v>3422</v>
      </c>
    </row>
    <row r="369" spans="1:28" x14ac:dyDescent="0.25">
      <c r="A369" s="11">
        <v>371</v>
      </c>
      <c r="B369">
        <v>3596</v>
      </c>
      <c r="C369" t="s">
        <v>1365</v>
      </c>
      <c r="D369" s="26" t="s">
        <v>1366</v>
      </c>
      <c r="E369" t="s">
        <v>0</v>
      </c>
      <c r="G369" t="s">
        <v>1367</v>
      </c>
      <c r="H369">
        <v>2013</v>
      </c>
      <c r="I369" t="s">
        <v>1368</v>
      </c>
      <c r="J369">
        <v>1</v>
      </c>
      <c r="N369" s="11">
        <v>0</v>
      </c>
      <c r="P369" s="26"/>
      <c r="Q369" s="26"/>
      <c r="R369" s="26"/>
      <c r="S369" s="26"/>
      <c r="T369" s="26"/>
      <c r="U369" s="26"/>
      <c r="V369" s="26"/>
      <c r="W369" s="26">
        <v>0</v>
      </c>
      <c r="X369" s="26">
        <v>0</v>
      </c>
      <c r="Y369" s="26">
        <v>0</v>
      </c>
      <c r="Z369" s="26">
        <v>0</v>
      </c>
      <c r="AB369" t="s">
        <v>3589</v>
      </c>
    </row>
    <row r="370" spans="1:28" x14ac:dyDescent="0.25">
      <c r="A370" s="11">
        <v>372</v>
      </c>
      <c r="B370">
        <v>3554</v>
      </c>
      <c r="C370" t="s">
        <v>2795</v>
      </c>
      <c r="D370" t="s">
        <v>2796</v>
      </c>
      <c r="E370" t="s">
        <v>0</v>
      </c>
      <c r="G370" t="s">
        <v>2797</v>
      </c>
      <c r="H370">
        <v>2013</v>
      </c>
      <c r="I370" t="s">
        <v>2798</v>
      </c>
      <c r="J370">
        <v>1</v>
      </c>
      <c r="N370" s="11">
        <v>0</v>
      </c>
      <c r="P370" s="26"/>
      <c r="Q370" s="26"/>
      <c r="R370" s="26"/>
      <c r="S370" s="26"/>
      <c r="T370" s="26"/>
      <c r="U370" s="26"/>
      <c r="V370" s="26"/>
      <c r="W370" s="26">
        <v>0</v>
      </c>
      <c r="X370" s="26">
        <v>0</v>
      </c>
      <c r="Y370" s="26">
        <v>0</v>
      </c>
      <c r="Z370" s="26">
        <v>0</v>
      </c>
    </row>
    <row r="371" spans="1:28" x14ac:dyDescent="0.25">
      <c r="A371" s="11">
        <v>373</v>
      </c>
      <c r="B371">
        <v>3419</v>
      </c>
      <c r="C371" t="s">
        <v>1577</v>
      </c>
      <c r="D371" s="8" t="s">
        <v>1578</v>
      </c>
      <c r="E371" t="s">
        <v>0</v>
      </c>
      <c r="G371" t="s">
        <v>1579</v>
      </c>
      <c r="H371">
        <v>2014</v>
      </c>
      <c r="I371" t="s">
        <v>1580</v>
      </c>
      <c r="J371">
        <v>1</v>
      </c>
      <c r="N371" s="11">
        <v>0</v>
      </c>
      <c r="P371" s="26"/>
      <c r="Q371" s="26"/>
      <c r="R371" s="26"/>
      <c r="S371" s="26"/>
      <c r="T371" s="26"/>
      <c r="U371" s="26"/>
      <c r="V371" s="26"/>
      <c r="W371" s="26">
        <v>0</v>
      </c>
      <c r="X371" s="26">
        <v>0</v>
      </c>
      <c r="Y371" s="26">
        <v>0</v>
      </c>
      <c r="Z371" s="26">
        <v>0</v>
      </c>
    </row>
    <row r="372" spans="1:28" x14ac:dyDescent="0.25">
      <c r="A372" s="11">
        <v>374</v>
      </c>
      <c r="B372">
        <v>5650</v>
      </c>
      <c r="C372" t="s">
        <v>689</v>
      </c>
      <c r="D372" t="s">
        <v>690</v>
      </c>
      <c r="E372" t="s">
        <v>0</v>
      </c>
      <c r="G372" t="s">
        <v>691</v>
      </c>
      <c r="H372">
        <v>2018</v>
      </c>
      <c r="J372">
        <v>1</v>
      </c>
      <c r="N372" s="11">
        <v>0</v>
      </c>
      <c r="P372" s="26"/>
      <c r="Q372" s="26"/>
      <c r="R372" s="26"/>
      <c r="S372" s="26"/>
      <c r="T372" s="26"/>
      <c r="U372" s="26"/>
      <c r="V372" s="26"/>
      <c r="W372" s="26">
        <v>0</v>
      </c>
      <c r="X372" s="26">
        <v>0</v>
      </c>
      <c r="Y372" s="26">
        <v>0</v>
      </c>
      <c r="Z372" s="26">
        <v>0</v>
      </c>
    </row>
    <row r="373" spans="1:28" x14ac:dyDescent="0.25">
      <c r="A373" s="11">
        <v>375</v>
      </c>
      <c r="B373">
        <v>3600</v>
      </c>
      <c r="C373" t="s">
        <v>1415</v>
      </c>
      <c r="D373" t="s">
        <v>1416</v>
      </c>
      <c r="E373" t="s">
        <v>1193</v>
      </c>
      <c r="G373" t="s">
        <v>1417</v>
      </c>
      <c r="H373">
        <v>2013</v>
      </c>
      <c r="I373" t="s">
        <v>1418</v>
      </c>
      <c r="J373">
        <v>1</v>
      </c>
      <c r="N373" s="11">
        <v>0</v>
      </c>
      <c r="P373" s="26"/>
      <c r="Q373" s="26"/>
      <c r="R373" s="26"/>
      <c r="S373" s="26"/>
      <c r="T373" s="26"/>
      <c r="U373" s="26"/>
      <c r="V373" s="26"/>
      <c r="W373" s="26">
        <v>0</v>
      </c>
      <c r="X373" s="26">
        <v>0</v>
      </c>
      <c r="Y373" s="26">
        <v>0</v>
      </c>
      <c r="Z373" s="26">
        <v>0</v>
      </c>
    </row>
    <row r="374" spans="1:28" x14ac:dyDescent="0.25">
      <c r="A374" s="11">
        <v>376</v>
      </c>
      <c r="B374">
        <v>5406</v>
      </c>
      <c r="C374" t="s">
        <v>1068</v>
      </c>
      <c r="D374" s="26" t="s">
        <v>1069</v>
      </c>
      <c r="E374" t="s">
        <v>22</v>
      </c>
      <c r="G374" t="s">
        <v>1070</v>
      </c>
      <c r="H374">
        <v>2013</v>
      </c>
      <c r="I374" t="s">
        <v>1071</v>
      </c>
      <c r="J374">
        <v>1</v>
      </c>
      <c r="N374" s="11">
        <v>3</v>
      </c>
      <c r="O374" s="18" t="s">
        <v>3244</v>
      </c>
      <c r="P374" s="26" t="s">
        <v>3295</v>
      </c>
      <c r="Q374" s="26" t="s">
        <v>3514</v>
      </c>
      <c r="R374" s="26" t="s">
        <v>3239</v>
      </c>
      <c r="S374" s="26" t="s">
        <v>1</v>
      </c>
      <c r="T374" s="26" t="s">
        <v>38</v>
      </c>
      <c r="U374" s="26" t="s">
        <v>69</v>
      </c>
      <c r="V374" s="26" t="s">
        <v>3515</v>
      </c>
      <c r="W374" s="26">
        <v>5</v>
      </c>
      <c r="X374" s="26">
        <v>4</v>
      </c>
      <c r="Y374" s="26">
        <v>4</v>
      </c>
      <c r="Z374" s="26">
        <v>4</v>
      </c>
      <c r="AA374" t="s">
        <v>58</v>
      </c>
    </row>
    <row r="375" spans="1:28" x14ac:dyDescent="0.25">
      <c r="A375" s="11">
        <v>377</v>
      </c>
      <c r="B375">
        <v>2668</v>
      </c>
      <c r="C375" t="s">
        <v>2553</v>
      </c>
      <c r="D375" t="s">
        <v>2554</v>
      </c>
      <c r="E375" t="s">
        <v>0</v>
      </c>
      <c r="G375" t="s">
        <v>2555</v>
      </c>
      <c r="H375">
        <v>2018</v>
      </c>
      <c r="I375" t="s">
        <v>2556</v>
      </c>
      <c r="J375">
        <v>1</v>
      </c>
      <c r="N375" s="11">
        <v>0</v>
      </c>
      <c r="P375" s="26"/>
      <c r="Q375" s="26"/>
      <c r="R375" s="26"/>
      <c r="S375" s="26"/>
      <c r="T375" s="26"/>
      <c r="U375" s="26"/>
      <c r="V375" s="26"/>
      <c r="W375" s="26"/>
      <c r="X375" s="26"/>
      <c r="Y375" s="26"/>
      <c r="Z375" s="26"/>
    </row>
    <row r="376" spans="1:28" x14ac:dyDescent="0.25">
      <c r="A376" s="11">
        <v>378</v>
      </c>
      <c r="B376">
        <v>2556</v>
      </c>
      <c r="C376" t="s">
        <v>2506</v>
      </c>
      <c r="D376" t="s">
        <v>2507</v>
      </c>
      <c r="E376" t="s">
        <v>5</v>
      </c>
      <c r="G376" t="s">
        <v>2508</v>
      </c>
      <c r="H376">
        <v>2019</v>
      </c>
      <c r="I376" t="s">
        <v>2509</v>
      </c>
      <c r="J376">
        <v>1</v>
      </c>
      <c r="N376" s="11">
        <v>0</v>
      </c>
      <c r="P376" s="26"/>
      <c r="Q376" s="26"/>
      <c r="R376" s="26"/>
      <c r="S376" s="26"/>
      <c r="T376" s="26"/>
      <c r="U376" s="26"/>
      <c r="V376" s="26"/>
      <c r="W376" s="26">
        <v>0</v>
      </c>
      <c r="X376" s="26">
        <v>0</v>
      </c>
      <c r="Y376" s="26">
        <v>0</v>
      </c>
      <c r="Z376" s="26">
        <v>0</v>
      </c>
    </row>
    <row r="377" spans="1:28" x14ac:dyDescent="0.25">
      <c r="A377" s="11">
        <v>379</v>
      </c>
      <c r="B377">
        <v>3650</v>
      </c>
      <c r="C377" t="s">
        <v>1395</v>
      </c>
      <c r="D377" s="26" t="s">
        <v>1396</v>
      </c>
      <c r="E377" t="s">
        <v>0</v>
      </c>
      <c r="G377" t="s">
        <v>1397</v>
      </c>
      <c r="H377">
        <v>2012</v>
      </c>
      <c r="I377" t="s">
        <v>1398</v>
      </c>
      <c r="J377">
        <v>1</v>
      </c>
      <c r="N377" s="11">
        <v>0</v>
      </c>
      <c r="P377" s="26"/>
      <c r="Q377" s="26"/>
      <c r="R377" s="26"/>
      <c r="S377" s="26"/>
      <c r="T377" s="26"/>
      <c r="U377" s="26"/>
      <c r="V377" s="26"/>
      <c r="W377" s="26">
        <v>0</v>
      </c>
      <c r="X377" s="26">
        <v>0</v>
      </c>
      <c r="Y377" s="26">
        <v>0</v>
      </c>
      <c r="Z377" s="26">
        <v>0</v>
      </c>
    </row>
    <row r="378" spans="1:28" x14ac:dyDescent="0.25">
      <c r="A378" s="11">
        <v>380</v>
      </c>
      <c r="B378">
        <v>3021</v>
      </c>
      <c r="C378" t="s">
        <v>2775</v>
      </c>
      <c r="D378" s="26" t="s">
        <v>2776</v>
      </c>
      <c r="E378" t="s">
        <v>0</v>
      </c>
      <c r="G378" t="s">
        <v>2777</v>
      </c>
      <c r="H378">
        <v>2016</v>
      </c>
      <c r="I378" t="s">
        <v>2778</v>
      </c>
      <c r="J378">
        <v>1</v>
      </c>
      <c r="N378" s="11">
        <v>3</v>
      </c>
      <c r="O378" s="18" t="s">
        <v>3244</v>
      </c>
      <c r="P378" s="26" t="s">
        <v>3612</v>
      </c>
      <c r="Q378" s="26" t="s">
        <v>3279</v>
      </c>
      <c r="R378" s="26" t="s">
        <v>3239</v>
      </c>
      <c r="S378" s="26" t="s">
        <v>0</v>
      </c>
      <c r="T378" s="26" t="s">
        <v>38</v>
      </c>
      <c r="U378" s="26" t="s">
        <v>69</v>
      </c>
      <c r="V378" s="26" t="s">
        <v>3512</v>
      </c>
      <c r="W378" s="26">
        <v>5</v>
      </c>
      <c r="X378" s="26">
        <v>5</v>
      </c>
      <c r="Y378" s="26">
        <v>5</v>
      </c>
      <c r="Z378" s="26">
        <v>5</v>
      </c>
      <c r="AA378" t="s">
        <v>58</v>
      </c>
    </row>
    <row r="379" spans="1:28" x14ac:dyDescent="0.25">
      <c r="A379" s="11">
        <v>381</v>
      </c>
      <c r="B379">
        <v>2972</v>
      </c>
      <c r="C379" t="s">
        <v>2729</v>
      </c>
      <c r="D379" t="s">
        <v>2730</v>
      </c>
      <c r="E379" t="s">
        <v>5</v>
      </c>
      <c r="G379" t="s">
        <v>2731</v>
      </c>
      <c r="H379">
        <v>2017</v>
      </c>
      <c r="I379" t="s">
        <v>2732</v>
      </c>
      <c r="J379">
        <v>1</v>
      </c>
      <c r="N379" s="11">
        <v>0</v>
      </c>
      <c r="P379" s="26"/>
      <c r="Q379" s="26"/>
      <c r="R379" s="26"/>
      <c r="S379" s="26"/>
      <c r="T379" s="26"/>
      <c r="U379" s="26"/>
      <c r="V379" s="26"/>
      <c r="W379" s="26">
        <v>0</v>
      </c>
      <c r="X379" s="26">
        <v>0</v>
      </c>
      <c r="Y379" s="26">
        <v>0</v>
      </c>
      <c r="Z379" s="26">
        <v>0</v>
      </c>
    </row>
    <row r="380" spans="1:28" x14ac:dyDescent="0.25">
      <c r="A380" s="11">
        <v>382</v>
      </c>
      <c r="B380">
        <v>4330</v>
      </c>
      <c r="C380" t="s">
        <v>2967</v>
      </c>
      <c r="D380" t="s">
        <v>2968</v>
      </c>
      <c r="E380" t="s">
        <v>3</v>
      </c>
      <c r="G380" t="s">
        <v>2969</v>
      </c>
      <c r="H380">
        <v>2015</v>
      </c>
      <c r="I380" t="s">
        <v>2970</v>
      </c>
      <c r="J380">
        <v>1</v>
      </c>
      <c r="N380" s="11">
        <v>0</v>
      </c>
      <c r="P380" s="26"/>
      <c r="Q380" s="26"/>
      <c r="R380" s="26"/>
      <c r="S380" s="26"/>
      <c r="T380" s="26"/>
      <c r="U380" s="26"/>
      <c r="V380" s="26"/>
      <c r="W380" s="26">
        <v>0</v>
      </c>
      <c r="X380" s="26">
        <v>0</v>
      </c>
      <c r="Y380" s="26">
        <v>0</v>
      </c>
      <c r="Z380" s="26">
        <v>0</v>
      </c>
    </row>
    <row r="381" spans="1:28" x14ac:dyDescent="0.25">
      <c r="A381" s="11">
        <v>383</v>
      </c>
      <c r="B381">
        <v>3772</v>
      </c>
      <c r="C381" t="s">
        <v>2919</v>
      </c>
      <c r="D381" t="s">
        <v>2920</v>
      </c>
      <c r="E381" t="s">
        <v>3</v>
      </c>
      <c r="G381" t="s">
        <v>2921</v>
      </c>
      <c r="H381">
        <v>2019</v>
      </c>
      <c r="I381" t="s">
        <v>2922</v>
      </c>
      <c r="J381">
        <v>1</v>
      </c>
      <c r="N381" s="11">
        <v>0</v>
      </c>
      <c r="P381" s="26"/>
      <c r="Q381" s="26"/>
      <c r="R381" s="26"/>
      <c r="S381" s="26"/>
      <c r="T381" s="26"/>
      <c r="U381" s="26"/>
      <c r="V381" s="26"/>
      <c r="W381" s="26">
        <v>0</v>
      </c>
      <c r="X381" s="26">
        <v>0</v>
      </c>
      <c r="Y381" s="26">
        <v>0</v>
      </c>
      <c r="Z381" s="26">
        <v>0</v>
      </c>
    </row>
    <row r="382" spans="1:28" x14ac:dyDescent="0.25">
      <c r="A382" s="11">
        <v>384</v>
      </c>
      <c r="B382">
        <v>2624</v>
      </c>
      <c r="C382" t="s">
        <v>2293</v>
      </c>
      <c r="D382" t="s">
        <v>2294</v>
      </c>
      <c r="E382" t="s">
        <v>0</v>
      </c>
      <c r="G382" t="s">
        <v>2295</v>
      </c>
      <c r="H382">
        <v>2018</v>
      </c>
      <c r="I382" t="s">
        <v>2296</v>
      </c>
      <c r="J382">
        <v>1</v>
      </c>
      <c r="N382" s="11">
        <v>5</v>
      </c>
      <c r="O382" s="18" t="s">
        <v>3511</v>
      </c>
      <c r="P382" s="26" t="s">
        <v>3170</v>
      </c>
      <c r="Q382" s="26" t="s">
        <v>3364</v>
      </c>
      <c r="R382" s="26" t="s">
        <v>3239</v>
      </c>
      <c r="S382" s="26" t="s">
        <v>0</v>
      </c>
      <c r="T382" s="26" t="s">
        <v>38</v>
      </c>
      <c r="U382" s="26" t="s">
        <v>69</v>
      </c>
      <c r="V382" s="26" t="s">
        <v>3512</v>
      </c>
      <c r="W382" s="26">
        <v>5</v>
      </c>
      <c r="X382" s="26">
        <v>5</v>
      </c>
      <c r="Y382" s="26">
        <v>5</v>
      </c>
      <c r="Z382" s="26">
        <v>5</v>
      </c>
      <c r="AA382" t="s">
        <v>3317</v>
      </c>
    </row>
    <row r="383" spans="1:28" x14ac:dyDescent="0.25">
      <c r="A383" s="11">
        <v>386</v>
      </c>
      <c r="B383">
        <v>3536</v>
      </c>
      <c r="C383" t="s">
        <v>1770</v>
      </c>
      <c r="D383" t="s">
        <v>1771</v>
      </c>
      <c r="E383" t="s">
        <v>0</v>
      </c>
      <c r="G383" t="s">
        <v>1772</v>
      </c>
      <c r="H383">
        <v>2013</v>
      </c>
      <c r="I383" t="s">
        <v>1773</v>
      </c>
      <c r="J383">
        <v>1</v>
      </c>
      <c r="N383" s="11">
        <v>0</v>
      </c>
      <c r="P383" s="26"/>
      <c r="Q383" s="26"/>
      <c r="R383" s="26"/>
      <c r="S383" s="26"/>
      <c r="T383" s="26"/>
      <c r="U383" s="26"/>
      <c r="V383" s="26"/>
      <c r="W383" s="26">
        <v>0</v>
      </c>
      <c r="X383" s="26">
        <v>0</v>
      </c>
      <c r="Y383" s="26">
        <v>0</v>
      </c>
      <c r="Z383" s="26">
        <v>0</v>
      </c>
    </row>
    <row r="384" spans="1:28" x14ac:dyDescent="0.25">
      <c r="A384" s="11">
        <v>388</v>
      </c>
      <c r="B384">
        <v>3543</v>
      </c>
      <c r="C384" t="s">
        <v>2657</v>
      </c>
      <c r="D384" t="s">
        <v>2658</v>
      </c>
      <c r="E384" t="s">
        <v>5</v>
      </c>
      <c r="G384" t="s">
        <v>2659</v>
      </c>
      <c r="H384">
        <v>2013</v>
      </c>
      <c r="I384" t="s">
        <v>2660</v>
      </c>
      <c r="J384">
        <v>1</v>
      </c>
      <c r="N384" s="11">
        <v>4</v>
      </c>
      <c r="O384" s="18" t="s">
        <v>3386</v>
      </c>
      <c r="P384" s="26" t="s">
        <v>3189</v>
      </c>
      <c r="Q384" s="26" t="s">
        <v>3204</v>
      </c>
      <c r="R384" s="26" t="s">
        <v>3257</v>
      </c>
      <c r="S384" s="26" t="s">
        <v>20</v>
      </c>
      <c r="T384" s="26" t="s">
        <v>38</v>
      </c>
      <c r="U384" s="26" t="s">
        <v>69</v>
      </c>
      <c r="V384" s="26" t="s">
        <v>3336</v>
      </c>
      <c r="W384" s="26">
        <v>5</v>
      </c>
      <c r="X384" s="26">
        <v>5</v>
      </c>
      <c r="Y384" s="26">
        <v>5</v>
      </c>
      <c r="Z384" s="26">
        <v>5</v>
      </c>
      <c r="AA384" t="s">
        <v>3315</v>
      </c>
    </row>
    <row r="385" spans="1:27" x14ac:dyDescent="0.25">
      <c r="A385" s="11">
        <v>389</v>
      </c>
      <c r="B385">
        <v>3669</v>
      </c>
      <c r="C385" t="s">
        <v>1977</v>
      </c>
      <c r="D385" t="s">
        <v>1978</v>
      </c>
      <c r="E385" t="s">
        <v>121</v>
      </c>
      <c r="G385" t="s">
        <v>1979</v>
      </c>
      <c r="H385">
        <v>2012</v>
      </c>
      <c r="I385" t="s">
        <v>1980</v>
      </c>
      <c r="J385">
        <v>1</v>
      </c>
      <c r="N385" s="11">
        <v>0</v>
      </c>
      <c r="P385" s="26"/>
      <c r="Q385" s="26"/>
      <c r="R385" s="26"/>
      <c r="S385" s="26"/>
      <c r="T385" s="26"/>
      <c r="U385" s="26"/>
      <c r="V385" s="26"/>
      <c r="W385" s="26">
        <v>0</v>
      </c>
      <c r="X385" s="26">
        <v>0</v>
      </c>
      <c r="Y385" s="26">
        <v>0</v>
      </c>
      <c r="Z385" s="26">
        <v>0</v>
      </c>
    </row>
    <row r="386" spans="1:27" x14ac:dyDescent="0.25">
      <c r="A386" s="11">
        <v>390</v>
      </c>
      <c r="B386">
        <v>2495</v>
      </c>
      <c r="C386" t="s">
        <v>1865</v>
      </c>
      <c r="D386" t="s">
        <v>1866</v>
      </c>
      <c r="E386" t="s">
        <v>22</v>
      </c>
      <c r="G386" t="s">
        <v>1867</v>
      </c>
      <c r="H386">
        <v>2019</v>
      </c>
      <c r="I386" t="s">
        <v>1868</v>
      </c>
      <c r="J386">
        <v>1</v>
      </c>
      <c r="N386" s="11">
        <v>1</v>
      </c>
      <c r="O386" s="18" t="s">
        <v>3387</v>
      </c>
      <c r="P386" s="26" t="s">
        <v>3388</v>
      </c>
      <c r="Q386" s="26" t="s">
        <v>3389</v>
      </c>
      <c r="R386" s="26" t="s">
        <v>3187</v>
      </c>
      <c r="S386" s="26" t="s">
        <v>1</v>
      </c>
      <c r="T386" s="26" t="s">
        <v>38</v>
      </c>
      <c r="U386" s="26" t="s">
        <v>69</v>
      </c>
      <c r="V386" s="26" t="s">
        <v>3336</v>
      </c>
      <c r="W386" s="26">
        <v>5</v>
      </c>
      <c r="X386" s="26">
        <v>5</v>
      </c>
      <c r="Y386" s="26">
        <v>5</v>
      </c>
      <c r="Z386" s="26">
        <v>5</v>
      </c>
      <c r="AA386" t="s">
        <v>59</v>
      </c>
    </row>
    <row r="387" spans="1:27" x14ac:dyDescent="0.25">
      <c r="A387" s="11">
        <v>391</v>
      </c>
      <c r="B387">
        <v>4628</v>
      </c>
      <c r="C387" t="s">
        <v>2981</v>
      </c>
      <c r="D387" t="s">
        <v>2982</v>
      </c>
      <c r="E387" t="s">
        <v>2</v>
      </c>
      <c r="G387" t="s">
        <v>2983</v>
      </c>
      <c r="H387">
        <v>2012</v>
      </c>
      <c r="I387" t="s">
        <v>2984</v>
      </c>
      <c r="J387">
        <v>1</v>
      </c>
      <c r="N387" s="11">
        <v>0</v>
      </c>
      <c r="P387" s="26"/>
      <c r="Q387" s="26"/>
      <c r="R387" s="26"/>
      <c r="S387" s="26"/>
      <c r="T387" s="26"/>
      <c r="U387" s="26"/>
      <c r="V387" s="26"/>
      <c r="W387" s="26">
        <v>0</v>
      </c>
      <c r="X387" s="26">
        <v>0</v>
      </c>
      <c r="Y387" s="26">
        <v>0</v>
      </c>
      <c r="Z387" s="26">
        <v>0</v>
      </c>
    </row>
    <row r="388" spans="1:27" x14ac:dyDescent="0.25">
      <c r="A388" s="11">
        <v>392</v>
      </c>
      <c r="B388">
        <v>3503</v>
      </c>
      <c r="C388" t="s">
        <v>1391</v>
      </c>
      <c r="D388" t="s">
        <v>1392</v>
      </c>
      <c r="E388" t="s">
        <v>0</v>
      </c>
      <c r="G388" t="s">
        <v>1393</v>
      </c>
      <c r="H388">
        <v>2013</v>
      </c>
      <c r="I388" t="s">
        <v>1394</v>
      </c>
      <c r="J388">
        <v>1</v>
      </c>
      <c r="N388" s="11">
        <v>0</v>
      </c>
      <c r="P388" s="26"/>
      <c r="Q388" s="26"/>
      <c r="R388" s="26"/>
      <c r="S388" s="26"/>
      <c r="T388" s="26"/>
      <c r="U388" s="26"/>
      <c r="V388" s="26"/>
      <c r="W388" s="26">
        <v>0</v>
      </c>
      <c r="X388" s="26">
        <v>0</v>
      </c>
      <c r="Y388" s="26">
        <v>0</v>
      </c>
      <c r="Z388" s="26">
        <v>0</v>
      </c>
    </row>
    <row r="389" spans="1:27" x14ac:dyDescent="0.25">
      <c r="A389" s="11">
        <v>393</v>
      </c>
      <c r="B389">
        <v>2825</v>
      </c>
      <c r="C389" t="s">
        <v>2688</v>
      </c>
      <c r="D389" s="26" t="s">
        <v>2689</v>
      </c>
      <c r="E389" t="s">
        <v>0</v>
      </c>
      <c r="G389" t="s">
        <v>2690</v>
      </c>
      <c r="H389">
        <v>2017</v>
      </c>
      <c r="I389" t="s">
        <v>2691</v>
      </c>
      <c r="J389">
        <v>1</v>
      </c>
      <c r="N389" s="11">
        <v>5</v>
      </c>
      <c r="O389" s="18" t="s">
        <v>3387</v>
      </c>
      <c r="P389" s="26" t="s">
        <v>3353</v>
      </c>
      <c r="Q389" s="26" t="s">
        <v>3361</v>
      </c>
      <c r="R389" s="26" t="s">
        <v>3257</v>
      </c>
      <c r="S389" s="26" t="s">
        <v>0</v>
      </c>
      <c r="T389" s="26" t="s">
        <v>38</v>
      </c>
      <c r="U389" s="26" t="s">
        <v>69</v>
      </c>
      <c r="V389" s="26" t="s">
        <v>3336</v>
      </c>
      <c r="W389" s="26">
        <v>5</v>
      </c>
      <c r="X389" s="26">
        <v>5</v>
      </c>
      <c r="Y389" s="26">
        <v>5</v>
      </c>
      <c r="Z389" s="26">
        <v>5</v>
      </c>
      <c r="AA389" t="s">
        <v>3403</v>
      </c>
    </row>
    <row r="390" spans="1:27" x14ac:dyDescent="0.25">
      <c r="A390" s="11">
        <v>394</v>
      </c>
      <c r="B390">
        <v>4371</v>
      </c>
      <c r="C390" t="s">
        <v>3113</v>
      </c>
      <c r="D390" s="26" t="s">
        <v>3114</v>
      </c>
      <c r="E390" t="s">
        <v>2</v>
      </c>
      <c r="G390" t="s">
        <v>3115</v>
      </c>
      <c r="H390">
        <v>2015</v>
      </c>
      <c r="I390" t="s">
        <v>3116</v>
      </c>
      <c r="J390">
        <v>1</v>
      </c>
      <c r="N390" s="11">
        <v>0</v>
      </c>
      <c r="P390" s="26"/>
      <c r="Q390" s="26"/>
      <c r="R390" s="26"/>
      <c r="S390" s="26"/>
      <c r="T390" s="26"/>
      <c r="U390" s="26"/>
      <c r="V390" s="26"/>
      <c r="W390" s="26">
        <v>0</v>
      </c>
      <c r="X390" s="26">
        <v>0</v>
      </c>
      <c r="Y390" s="26">
        <v>0</v>
      </c>
      <c r="Z390" s="26">
        <v>0</v>
      </c>
    </row>
    <row r="391" spans="1:27" x14ac:dyDescent="0.25">
      <c r="A391" s="11">
        <v>395</v>
      </c>
      <c r="B391">
        <v>3083</v>
      </c>
      <c r="C391" t="s">
        <v>1787</v>
      </c>
      <c r="D391" t="s">
        <v>138</v>
      </c>
      <c r="E391" t="s">
        <v>0</v>
      </c>
      <c r="G391" t="s">
        <v>2333</v>
      </c>
      <c r="H391">
        <v>2016</v>
      </c>
      <c r="I391" t="s">
        <v>2334</v>
      </c>
      <c r="J391">
        <v>1</v>
      </c>
      <c r="N391" s="11">
        <v>5</v>
      </c>
      <c r="O391" s="18" t="s">
        <v>3352</v>
      </c>
      <c r="P391" s="26" t="s">
        <v>3353</v>
      </c>
      <c r="Q391" s="26" t="s">
        <v>3209</v>
      </c>
      <c r="R391" s="26" t="s">
        <v>3239</v>
      </c>
      <c r="S391" s="26" t="s">
        <v>0</v>
      </c>
      <c r="T391" s="26" t="s">
        <v>38</v>
      </c>
      <c r="U391" s="26" t="s">
        <v>69</v>
      </c>
      <c r="V391" s="26" t="s">
        <v>3336</v>
      </c>
      <c r="W391" s="26">
        <v>5</v>
      </c>
      <c r="X391" s="26">
        <v>5</v>
      </c>
      <c r="Y391" s="26">
        <v>5</v>
      </c>
      <c r="Z391" s="26">
        <v>5</v>
      </c>
      <c r="AA391" t="s">
        <v>56</v>
      </c>
    </row>
    <row r="392" spans="1:27" x14ac:dyDescent="0.25">
      <c r="A392" s="11">
        <v>396</v>
      </c>
      <c r="B392">
        <v>3005</v>
      </c>
      <c r="C392" t="s">
        <v>2590</v>
      </c>
      <c r="D392" t="s">
        <v>2591</v>
      </c>
      <c r="E392" t="s">
        <v>0</v>
      </c>
      <c r="G392" t="s">
        <v>2592</v>
      </c>
      <c r="H392">
        <v>2016</v>
      </c>
      <c r="I392" t="s">
        <v>2593</v>
      </c>
      <c r="J392">
        <v>1</v>
      </c>
      <c r="N392" s="11">
        <v>0</v>
      </c>
      <c r="P392" s="26"/>
      <c r="Q392" s="26"/>
      <c r="R392" s="26"/>
      <c r="S392" s="26"/>
      <c r="T392" s="26"/>
      <c r="U392" s="26"/>
      <c r="V392" s="26"/>
      <c r="W392" s="26">
        <v>0</v>
      </c>
      <c r="X392" s="26">
        <v>0</v>
      </c>
      <c r="Y392" s="26">
        <v>0</v>
      </c>
      <c r="Z392" s="26">
        <v>0</v>
      </c>
    </row>
    <row r="393" spans="1:27" x14ac:dyDescent="0.25">
      <c r="A393" s="11">
        <v>397</v>
      </c>
      <c r="B393">
        <v>6237</v>
      </c>
      <c r="C393" t="s">
        <v>181</v>
      </c>
      <c r="D393" s="26" t="s">
        <v>182</v>
      </c>
      <c r="E393" t="s">
        <v>6</v>
      </c>
      <c r="F393" t="s">
        <v>343</v>
      </c>
      <c r="G393" t="s">
        <v>344</v>
      </c>
      <c r="H393">
        <v>2014</v>
      </c>
      <c r="I393" t="s">
        <v>275</v>
      </c>
      <c r="J393">
        <v>1</v>
      </c>
      <c r="N393" s="11">
        <v>0</v>
      </c>
      <c r="P393" s="26"/>
      <c r="Q393" s="26"/>
      <c r="R393" s="26"/>
      <c r="S393" s="26"/>
      <c r="T393" s="26"/>
      <c r="U393" s="26"/>
      <c r="V393" s="26"/>
      <c r="W393" s="26">
        <v>0</v>
      </c>
      <c r="X393" s="26">
        <v>0</v>
      </c>
      <c r="Y393" s="26">
        <v>0</v>
      </c>
      <c r="Z393" s="26">
        <v>0</v>
      </c>
    </row>
    <row r="394" spans="1:27" x14ac:dyDescent="0.25">
      <c r="A394" s="11">
        <v>398</v>
      </c>
      <c r="B394">
        <v>3343</v>
      </c>
      <c r="C394" t="s">
        <v>1944</v>
      </c>
      <c r="D394" t="s">
        <v>1945</v>
      </c>
      <c r="E394" t="s">
        <v>0</v>
      </c>
      <c r="G394" t="s">
        <v>1946</v>
      </c>
      <c r="H394">
        <v>2014</v>
      </c>
      <c r="I394" t="s">
        <v>1947</v>
      </c>
      <c r="J394">
        <v>1</v>
      </c>
      <c r="N394" s="11">
        <v>0</v>
      </c>
      <c r="P394" s="26"/>
      <c r="Q394" s="26"/>
      <c r="R394" s="26"/>
      <c r="S394" s="26"/>
      <c r="T394" s="26"/>
      <c r="U394" s="26"/>
      <c r="V394" s="26"/>
      <c r="W394" s="26">
        <v>0</v>
      </c>
      <c r="X394" s="26">
        <v>0</v>
      </c>
      <c r="Y394" s="26">
        <v>0</v>
      </c>
      <c r="Z394" s="26">
        <v>0</v>
      </c>
    </row>
    <row r="395" spans="1:27" x14ac:dyDescent="0.25">
      <c r="A395" s="11">
        <v>399</v>
      </c>
      <c r="B395">
        <v>3641</v>
      </c>
      <c r="C395" t="s">
        <v>2824</v>
      </c>
      <c r="D395" s="47" t="s">
        <v>2825</v>
      </c>
      <c r="E395" t="s">
        <v>0</v>
      </c>
      <c r="G395" t="s">
        <v>2826</v>
      </c>
      <c r="H395">
        <v>2012</v>
      </c>
      <c r="I395" t="s">
        <v>2827</v>
      </c>
      <c r="J395">
        <v>1</v>
      </c>
      <c r="N395" s="11">
        <v>0</v>
      </c>
      <c r="P395" s="26"/>
      <c r="Q395" s="26"/>
      <c r="R395" s="26"/>
      <c r="S395" s="26"/>
      <c r="T395" s="26"/>
      <c r="U395" s="26"/>
      <c r="V395" s="26"/>
      <c r="W395" s="26">
        <v>0</v>
      </c>
      <c r="X395" s="26">
        <v>0</v>
      </c>
      <c r="Y395" s="26">
        <v>0</v>
      </c>
      <c r="Z395" s="26">
        <v>0</v>
      </c>
    </row>
    <row r="396" spans="1:27" x14ac:dyDescent="0.25">
      <c r="A396" s="11">
        <v>400</v>
      </c>
      <c r="B396">
        <v>5905</v>
      </c>
      <c r="C396" t="s">
        <v>522</v>
      </c>
      <c r="D396" t="s">
        <v>523</v>
      </c>
      <c r="E396" t="s">
        <v>0</v>
      </c>
      <c r="F396" t="s">
        <v>949</v>
      </c>
      <c r="G396" t="s">
        <v>524</v>
      </c>
      <c r="H396">
        <v>2018</v>
      </c>
      <c r="I396" t="s">
        <v>525</v>
      </c>
      <c r="J396">
        <v>1</v>
      </c>
      <c r="N396" s="11">
        <v>5</v>
      </c>
      <c r="O396" s="18" t="s">
        <v>3167</v>
      </c>
      <c r="P396" s="26" t="s">
        <v>3353</v>
      </c>
      <c r="Q396" s="26" t="s">
        <v>3210</v>
      </c>
      <c r="R396" s="26" t="s">
        <v>3239</v>
      </c>
      <c r="S396" s="26" t="s">
        <v>0</v>
      </c>
      <c r="T396" s="26" t="s">
        <v>38</v>
      </c>
      <c r="U396" s="26" t="s">
        <v>69</v>
      </c>
      <c r="V396" s="26" t="s">
        <v>3336</v>
      </c>
      <c r="W396" s="26">
        <v>5</v>
      </c>
      <c r="X396" s="26">
        <v>5</v>
      </c>
      <c r="Y396" s="26">
        <v>5</v>
      </c>
      <c r="Z396" s="26">
        <v>5</v>
      </c>
      <c r="AA396" t="s">
        <v>3431</v>
      </c>
    </row>
    <row r="397" spans="1:27" x14ac:dyDescent="0.25">
      <c r="A397" s="11">
        <v>401</v>
      </c>
      <c r="B397">
        <v>3521</v>
      </c>
      <c r="C397" t="s">
        <v>1342</v>
      </c>
      <c r="D397" t="s">
        <v>1343</v>
      </c>
      <c r="E397" t="s">
        <v>0</v>
      </c>
      <c r="G397" t="s">
        <v>1344</v>
      </c>
      <c r="H397">
        <v>2013</v>
      </c>
      <c r="I397" t="s">
        <v>1345</v>
      </c>
      <c r="J397">
        <v>1</v>
      </c>
      <c r="N397" s="11">
        <v>0</v>
      </c>
      <c r="P397" s="26"/>
      <c r="Q397" s="26"/>
      <c r="R397" s="26"/>
      <c r="S397" s="26"/>
      <c r="T397" s="26"/>
      <c r="U397" s="26"/>
      <c r="V397" s="26"/>
      <c r="W397" s="26">
        <v>0</v>
      </c>
      <c r="X397" s="26">
        <v>0</v>
      </c>
      <c r="Y397" s="26">
        <v>0</v>
      </c>
      <c r="Z397" s="26">
        <v>0</v>
      </c>
    </row>
    <row r="398" spans="1:27" x14ac:dyDescent="0.25">
      <c r="A398" s="11">
        <v>402</v>
      </c>
      <c r="B398">
        <v>4471</v>
      </c>
      <c r="C398" t="s">
        <v>2301</v>
      </c>
      <c r="D398" s="47" t="s">
        <v>2916</v>
      </c>
      <c r="E398" t="s">
        <v>3</v>
      </c>
      <c r="G398" t="s">
        <v>2917</v>
      </c>
      <c r="H398">
        <v>2014</v>
      </c>
      <c r="I398" t="s">
        <v>2918</v>
      </c>
      <c r="J398">
        <v>1</v>
      </c>
      <c r="N398" s="11">
        <v>0</v>
      </c>
      <c r="P398" s="26"/>
      <c r="Q398" s="26"/>
      <c r="R398" s="26"/>
      <c r="S398" s="26"/>
      <c r="T398" s="26"/>
      <c r="U398" s="26"/>
      <c r="V398" s="26"/>
      <c r="W398" s="26">
        <v>0</v>
      </c>
      <c r="X398" s="26">
        <v>0</v>
      </c>
      <c r="Y398" s="26">
        <v>0</v>
      </c>
      <c r="Z398" s="26">
        <v>0</v>
      </c>
    </row>
    <row r="399" spans="1:27" x14ac:dyDescent="0.25">
      <c r="A399" s="11">
        <v>403</v>
      </c>
      <c r="B399">
        <v>6288</v>
      </c>
      <c r="C399" t="s">
        <v>190</v>
      </c>
      <c r="D399" s="13" t="s">
        <v>191</v>
      </c>
      <c r="E399" t="s">
        <v>6</v>
      </c>
      <c r="F399" t="s">
        <v>351</v>
      </c>
      <c r="G399" t="s">
        <v>352</v>
      </c>
      <c r="H399">
        <v>2018</v>
      </c>
      <c r="I399" t="s">
        <v>279</v>
      </c>
      <c r="J399">
        <v>1</v>
      </c>
      <c r="N399" s="11">
        <v>5</v>
      </c>
      <c r="O399" s="18" t="s">
        <v>3167</v>
      </c>
      <c r="P399" s="26" t="s">
        <v>3609</v>
      </c>
      <c r="Q399" s="26" t="s">
        <v>3436</v>
      </c>
      <c r="R399" s="26" t="s">
        <v>3608</v>
      </c>
      <c r="S399" s="26" t="s">
        <v>6</v>
      </c>
      <c r="T399" s="26" t="s">
        <v>38</v>
      </c>
      <c r="U399" s="26" t="s">
        <v>69</v>
      </c>
      <c r="V399" s="26" t="s">
        <v>3336</v>
      </c>
      <c r="W399" s="26">
        <v>5</v>
      </c>
      <c r="X399" s="26">
        <v>5</v>
      </c>
      <c r="Y399" s="26">
        <v>5</v>
      </c>
      <c r="Z399" s="26">
        <v>5</v>
      </c>
      <c r="AA399" t="s">
        <v>56</v>
      </c>
    </row>
    <row r="400" spans="1:27" x14ac:dyDescent="0.25">
      <c r="A400" s="11">
        <v>404</v>
      </c>
      <c r="B400">
        <v>3523</v>
      </c>
      <c r="C400" t="s">
        <v>1260</v>
      </c>
      <c r="D400" t="s">
        <v>1261</v>
      </c>
      <c r="E400" t="s">
        <v>0</v>
      </c>
      <c r="G400" t="s">
        <v>1262</v>
      </c>
      <c r="H400">
        <v>2013</v>
      </c>
      <c r="I400" t="s">
        <v>1263</v>
      </c>
      <c r="J400">
        <v>1</v>
      </c>
      <c r="N400" s="11">
        <v>0</v>
      </c>
      <c r="P400" s="26"/>
      <c r="Q400" s="26"/>
      <c r="R400" s="26"/>
      <c r="S400" s="26"/>
      <c r="T400" s="26"/>
      <c r="U400" s="26"/>
      <c r="V400" s="26"/>
      <c r="W400" s="26">
        <v>0</v>
      </c>
      <c r="X400" s="26">
        <v>0</v>
      </c>
      <c r="Y400" s="26">
        <v>0</v>
      </c>
      <c r="Z400" s="26">
        <v>0</v>
      </c>
    </row>
    <row r="401" spans="1:27" x14ac:dyDescent="0.25">
      <c r="A401" s="11">
        <v>405</v>
      </c>
      <c r="B401">
        <v>6149</v>
      </c>
      <c r="C401" t="s">
        <v>695</v>
      </c>
      <c r="D401" s="26" t="s">
        <v>696</v>
      </c>
      <c r="E401" t="s">
        <v>121</v>
      </c>
      <c r="G401" t="s">
        <v>697</v>
      </c>
      <c r="H401">
        <v>2018</v>
      </c>
      <c r="I401" t="s">
        <v>698</v>
      </c>
      <c r="J401">
        <v>1</v>
      </c>
      <c r="N401" s="11">
        <v>0</v>
      </c>
      <c r="P401" s="26"/>
      <c r="Q401" s="26"/>
      <c r="R401" s="26"/>
      <c r="S401" s="26"/>
      <c r="T401" s="26"/>
      <c r="U401" s="26"/>
      <c r="V401" s="26"/>
      <c r="W401" s="26">
        <v>0</v>
      </c>
      <c r="X401" s="26">
        <v>0</v>
      </c>
      <c r="Y401" s="26">
        <v>0</v>
      </c>
      <c r="Z401" s="26">
        <v>0</v>
      </c>
    </row>
    <row r="402" spans="1:27" x14ac:dyDescent="0.25">
      <c r="A402" s="11">
        <v>406</v>
      </c>
      <c r="B402">
        <v>2839</v>
      </c>
      <c r="C402" t="s">
        <v>2058</v>
      </c>
      <c r="D402" t="s">
        <v>2059</v>
      </c>
      <c r="E402" t="s">
        <v>0</v>
      </c>
      <c r="G402" t="s">
        <v>2060</v>
      </c>
      <c r="H402">
        <v>2017</v>
      </c>
      <c r="I402" t="s">
        <v>2061</v>
      </c>
      <c r="J402">
        <v>1</v>
      </c>
      <c r="K402">
        <v>-1</v>
      </c>
      <c r="N402" s="11">
        <v>0</v>
      </c>
      <c r="P402" s="26"/>
      <c r="Q402" s="26"/>
      <c r="R402" s="26"/>
      <c r="S402" s="26"/>
      <c r="T402" s="26"/>
      <c r="U402" s="26"/>
      <c r="V402" s="26"/>
      <c r="W402" s="26">
        <v>0</v>
      </c>
      <c r="X402" s="26">
        <v>0</v>
      </c>
      <c r="Y402" s="26">
        <v>0</v>
      </c>
      <c r="Z402" s="26">
        <v>0</v>
      </c>
    </row>
    <row r="403" spans="1:27" x14ac:dyDescent="0.25">
      <c r="A403" s="11">
        <v>407</v>
      </c>
      <c r="B403">
        <v>2735</v>
      </c>
      <c r="C403" t="s">
        <v>1274</v>
      </c>
      <c r="D403" t="s">
        <v>1275</v>
      </c>
      <c r="E403" t="s">
        <v>1276</v>
      </c>
      <c r="G403" t="s">
        <v>1277</v>
      </c>
      <c r="H403">
        <v>2018</v>
      </c>
      <c r="I403" t="s">
        <v>1278</v>
      </c>
      <c r="J403">
        <v>1</v>
      </c>
      <c r="N403" s="11">
        <v>0</v>
      </c>
      <c r="P403" s="26"/>
      <c r="Q403" s="26"/>
      <c r="R403" s="26"/>
      <c r="S403" s="26"/>
      <c r="T403" s="26"/>
      <c r="U403" s="26"/>
      <c r="V403" s="26"/>
      <c r="W403" s="26">
        <v>0</v>
      </c>
      <c r="X403" s="26">
        <v>0</v>
      </c>
      <c r="Y403" s="26">
        <v>0</v>
      </c>
      <c r="Z403" s="26">
        <v>0</v>
      </c>
    </row>
    <row r="404" spans="1:27" x14ac:dyDescent="0.25">
      <c r="A404" s="11">
        <v>408</v>
      </c>
      <c r="B404">
        <v>4644</v>
      </c>
      <c r="C404" t="s">
        <v>2131</v>
      </c>
      <c r="D404" s="26" t="s">
        <v>3014</v>
      </c>
      <c r="E404" t="s">
        <v>2</v>
      </c>
      <c r="G404" t="s">
        <v>3015</v>
      </c>
      <c r="H404">
        <v>2012</v>
      </c>
      <c r="I404" t="s">
        <v>3016</v>
      </c>
      <c r="J404">
        <v>1</v>
      </c>
      <c r="N404" s="11">
        <v>5</v>
      </c>
      <c r="O404" s="18" t="s">
        <v>3386</v>
      </c>
      <c r="P404" s="26" t="s">
        <v>3201</v>
      </c>
      <c r="Q404" s="26" t="s">
        <v>3364</v>
      </c>
      <c r="R404" s="26" t="s">
        <v>3256</v>
      </c>
      <c r="S404" s="26" t="s">
        <v>2</v>
      </c>
      <c r="T404" s="26" t="s">
        <v>38</v>
      </c>
      <c r="U404" s="26" t="s">
        <v>69</v>
      </c>
      <c r="V404" s="26" t="s">
        <v>3336</v>
      </c>
      <c r="W404" s="26">
        <v>5</v>
      </c>
      <c r="X404" s="26">
        <v>5</v>
      </c>
      <c r="Y404" s="26">
        <v>5</v>
      </c>
      <c r="Z404" s="26">
        <v>5</v>
      </c>
      <c r="AA404" t="s">
        <v>3317</v>
      </c>
    </row>
    <row r="405" spans="1:27" x14ac:dyDescent="0.25">
      <c r="A405" s="11">
        <v>409</v>
      </c>
      <c r="B405">
        <v>3794</v>
      </c>
      <c r="C405" t="s">
        <v>3017</v>
      </c>
      <c r="D405" t="s">
        <v>1691</v>
      </c>
      <c r="E405" t="s">
        <v>1692</v>
      </c>
      <c r="G405" t="s">
        <v>3018</v>
      </c>
      <c r="H405">
        <v>2018</v>
      </c>
      <c r="I405" t="s">
        <v>3019</v>
      </c>
      <c r="J405">
        <v>1</v>
      </c>
      <c r="N405" s="11">
        <v>0</v>
      </c>
      <c r="P405" s="26"/>
      <c r="Q405" s="26"/>
      <c r="R405" s="26"/>
      <c r="S405" s="26"/>
      <c r="T405" s="26"/>
      <c r="U405" s="26"/>
      <c r="V405" s="26"/>
      <c r="W405" s="26">
        <v>0</v>
      </c>
      <c r="X405" s="26">
        <v>0</v>
      </c>
      <c r="Y405" s="26">
        <v>0</v>
      </c>
      <c r="Z405" s="26">
        <v>0</v>
      </c>
    </row>
    <row r="406" spans="1:27" x14ac:dyDescent="0.25">
      <c r="A406" s="11">
        <v>410</v>
      </c>
      <c r="B406">
        <v>3264</v>
      </c>
      <c r="C406" t="s">
        <v>2411</v>
      </c>
      <c r="D406" s="26" t="s">
        <v>2412</v>
      </c>
      <c r="E406" t="s">
        <v>5</v>
      </c>
      <c r="G406" t="s">
        <v>2413</v>
      </c>
      <c r="H406">
        <v>2015</v>
      </c>
      <c r="I406" t="s">
        <v>2414</v>
      </c>
      <c r="J406">
        <v>1</v>
      </c>
      <c r="N406" s="11">
        <v>0</v>
      </c>
      <c r="P406" s="26"/>
      <c r="Q406" s="26"/>
      <c r="R406" s="26"/>
      <c r="S406" s="26"/>
      <c r="T406" s="26"/>
      <c r="U406" s="26"/>
      <c r="V406" s="26"/>
      <c r="W406" s="26">
        <v>0</v>
      </c>
      <c r="X406" s="26">
        <v>0</v>
      </c>
      <c r="Y406" s="26">
        <v>0</v>
      </c>
      <c r="Z406" s="26">
        <v>0</v>
      </c>
    </row>
    <row r="407" spans="1:27" x14ac:dyDescent="0.25">
      <c r="A407" s="11">
        <v>411</v>
      </c>
      <c r="B407">
        <v>2806</v>
      </c>
      <c r="C407" t="s">
        <v>2067</v>
      </c>
      <c r="D407" t="s">
        <v>2068</v>
      </c>
      <c r="E407" t="s">
        <v>1193</v>
      </c>
      <c r="G407" t="s">
        <v>2069</v>
      </c>
      <c r="H407">
        <v>2017</v>
      </c>
      <c r="I407" t="s">
        <v>2070</v>
      </c>
      <c r="J407">
        <v>1</v>
      </c>
      <c r="N407" s="11">
        <v>0</v>
      </c>
      <c r="P407" s="26"/>
      <c r="Q407" s="26"/>
      <c r="R407" s="26"/>
      <c r="S407" s="26"/>
      <c r="T407" s="26"/>
      <c r="U407" s="26"/>
      <c r="V407" s="26"/>
      <c r="W407" s="26">
        <v>0</v>
      </c>
      <c r="X407" s="26">
        <v>0</v>
      </c>
      <c r="Y407" s="26">
        <v>0</v>
      </c>
      <c r="Z407" s="26">
        <v>0</v>
      </c>
    </row>
    <row r="408" spans="1:27" x14ac:dyDescent="0.25">
      <c r="A408" s="11">
        <v>412</v>
      </c>
      <c r="B408">
        <v>2855</v>
      </c>
      <c r="C408" t="s">
        <v>2783</v>
      </c>
      <c r="D408" s="26" t="s">
        <v>2784</v>
      </c>
      <c r="E408" t="s">
        <v>0</v>
      </c>
      <c r="G408" t="s">
        <v>2785</v>
      </c>
      <c r="H408">
        <v>2017</v>
      </c>
      <c r="I408" t="s">
        <v>2786</v>
      </c>
      <c r="J408">
        <v>1</v>
      </c>
      <c r="L408">
        <v>1</v>
      </c>
      <c r="N408" s="11">
        <v>5</v>
      </c>
      <c r="O408" s="18" t="s">
        <v>3273</v>
      </c>
      <c r="P408" s="26" t="s">
        <v>3201</v>
      </c>
      <c r="Q408" s="26" t="s">
        <v>3209</v>
      </c>
      <c r="R408" s="26" t="s">
        <v>3228</v>
      </c>
      <c r="S408" s="26" t="s">
        <v>0</v>
      </c>
      <c r="T408" s="26" t="s">
        <v>38</v>
      </c>
      <c r="U408" s="26" t="s">
        <v>69</v>
      </c>
      <c r="V408" s="26" t="s">
        <v>3280</v>
      </c>
      <c r="W408" s="26">
        <v>5</v>
      </c>
      <c r="X408" s="26">
        <v>5</v>
      </c>
      <c r="Y408" s="26">
        <v>5</v>
      </c>
      <c r="Z408" s="26">
        <v>5</v>
      </c>
      <c r="AA408" t="s">
        <v>61</v>
      </c>
    </row>
    <row r="409" spans="1:27" x14ac:dyDescent="0.25">
      <c r="A409" s="11">
        <v>413</v>
      </c>
      <c r="B409">
        <v>2597</v>
      </c>
      <c r="C409" t="s">
        <v>1303</v>
      </c>
      <c r="D409" t="s">
        <v>1304</v>
      </c>
      <c r="E409" t="s">
        <v>0</v>
      </c>
      <c r="G409" t="s">
        <v>1305</v>
      </c>
      <c r="H409">
        <v>2018</v>
      </c>
      <c r="I409" t="s">
        <v>1306</v>
      </c>
      <c r="J409">
        <v>1</v>
      </c>
      <c r="N409" s="11">
        <v>0</v>
      </c>
      <c r="P409" s="26"/>
      <c r="Q409" s="26"/>
      <c r="R409" s="26"/>
      <c r="S409" s="26"/>
      <c r="T409" s="26"/>
      <c r="U409" s="26"/>
      <c r="V409" s="26"/>
      <c r="W409" s="26">
        <v>0</v>
      </c>
      <c r="X409" s="26">
        <v>0</v>
      </c>
      <c r="Y409" s="26">
        <v>0</v>
      </c>
      <c r="Z409" s="26">
        <v>0</v>
      </c>
    </row>
    <row r="410" spans="1:27" x14ac:dyDescent="0.25">
      <c r="A410" s="11">
        <v>414</v>
      </c>
      <c r="B410">
        <v>3065</v>
      </c>
      <c r="C410" t="s">
        <v>1529</v>
      </c>
      <c r="D410" t="s">
        <v>1530</v>
      </c>
      <c r="E410" t="s">
        <v>1531</v>
      </c>
      <c r="G410" t="s">
        <v>1532</v>
      </c>
      <c r="H410">
        <v>2016</v>
      </c>
      <c r="I410" t="s">
        <v>1533</v>
      </c>
      <c r="J410">
        <v>1</v>
      </c>
      <c r="N410" s="11">
        <v>0</v>
      </c>
      <c r="P410" s="26"/>
      <c r="Q410" s="26"/>
      <c r="R410" s="26"/>
      <c r="S410" s="26"/>
      <c r="T410" s="26"/>
      <c r="U410" s="26"/>
      <c r="V410" s="26"/>
      <c r="W410" s="26">
        <v>0</v>
      </c>
      <c r="X410" s="26">
        <v>0</v>
      </c>
      <c r="Y410" s="26">
        <v>0</v>
      </c>
      <c r="Z410" s="26">
        <v>0</v>
      </c>
    </row>
    <row r="411" spans="1:27" x14ac:dyDescent="0.25">
      <c r="A411" s="11">
        <v>415</v>
      </c>
      <c r="B411">
        <v>3715</v>
      </c>
      <c r="C411" t="s">
        <v>2103</v>
      </c>
      <c r="D411" t="s">
        <v>2104</v>
      </c>
      <c r="E411" t="s">
        <v>1369</v>
      </c>
      <c r="G411" t="s">
        <v>2105</v>
      </c>
      <c r="H411">
        <v>2012</v>
      </c>
      <c r="I411" t="s">
        <v>2106</v>
      </c>
      <c r="J411">
        <v>1</v>
      </c>
      <c r="N411" s="11">
        <v>0</v>
      </c>
      <c r="P411" s="26"/>
      <c r="Q411" s="26"/>
      <c r="R411" s="26"/>
      <c r="S411" s="26"/>
      <c r="T411" s="26"/>
      <c r="U411" s="26"/>
      <c r="V411" s="26"/>
      <c r="W411" s="26">
        <v>0</v>
      </c>
      <c r="X411" s="26">
        <v>0</v>
      </c>
      <c r="Y411" s="26">
        <v>0</v>
      </c>
      <c r="Z411" s="26">
        <v>0</v>
      </c>
    </row>
    <row r="412" spans="1:27" x14ac:dyDescent="0.25">
      <c r="A412" s="11">
        <v>416</v>
      </c>
      <c r="B412">
        <v>3629</v>
      </c>
      <c r="C412" t="s">
        <v>2278</v>
      </c>
      <c r="D412" t="s">
        <v>2279</v>
      </c>
      <c r="E412" t="s">
        <v>0</v>
      </c>
      <c r="G412" t="s">
        <v>2280</v>
      </c>
      <c r="H412">
        <v>2012</v>
      </c>
      <c r="I412" t="s">
        <v>2281</v>
      </c>
      <c r="J412">
        <v>1</v>
      </c>
      <c r="N412" s="11">
        <v>0</v>
      </c>
      <c r="P412" s="26"/>
      <c r="Q412" s="26"/>
      <c r="R412" s="26"/>
      <c r="S412" s="26"/>
      <c r="T412" s="26"/>
      <c r="U412" s="26"/>
      <c r="V412" s="26"/>
      <c r="W412" s="26">
        <v>0</v>
      </c>
      <c r="X412" s="26">
        <v>0</v>
      </c>
      <c r="Y412" s="26">
        <v>0</v>
      </c>
      <c r="Z412" s="26">
        <v>0</v>
      </c>
    </row>
    <row r="413" spans="1:27" x14ac:dyDescent="0.25">
      <c r="A413" s="11">
        <v>417</v>
      </c>
      <c r="B413">
        <v>4858</v>
      </c>
      <c r="C413" t="s">
        <v>1105</v>
      </c>
      <c r="D413" t="s">
        <v>1106</v>
      </c>
      <c r="E413" t="s">
        <v>24</v>
      </c>
      <c r="G413" t="s">
        <v>1107</v>
      </c>
      <c r="H413">
        <v>2019</v>
      </c>
      <c r="I413" t="s">
        <v>1108</v>
      </c>
      <c r="J413">
        <v>1</v>
      </c>
      <c r="N413" s="11">
        <v>0</v>
      </c>
      <c r="P413" s="26"/>
      <c r="Q413" s="26"/>
      <c r="R413" s="26"/>
      <c r="S413" s="26"/>
      <c r="T413" s="26"/>
      <c r="U413" s="26"/>
      <c r="V413" s="26"/>
      <c r="W413" s="26">
        <v>0</v>
      </c>
      <c r="X413" s="26">
        <v>0</v>
      </c>
      <c r="Y413" s="26">
        <v>0</v>
      </c>
      <c r="Z413" s="26">
        <v>0</v>
      </c>
    </row>
    <row r="414" spans="1:27" x14ac:dyDescent="0.25">
      <c r="A414" s="11">
        <v>418</v>
      </c>
      <c r="B414">
        <v>6075</v>
      </c>
      <c r="C414" t="s">
        <v>699</v>
      </c>
      <c r="D414" t="s">
        <v>700</v>
      </c>
      <c r="E414" t="s">
        <v>0</v>
      </c>
      <c r="G414" t="s">
        <v>701</v>
      </c>
      <c r="H414">
        <v>2014</v>
      </c>
      <c r="I414" t="s">
        <v>702</v>
      </c>
      <c r="J414">
        <v>1</v>
      </c>
      <c r="N414" s="11">
        <v>0</v>
      </c>
      <c r="P414" s="26"/>
      <c r="Q414" s="26"/>
      <c r="R414" s="26"/>
      <c r="S414" s="26"/>
      <c r="T414" s="26"/>
      <c r="U414" s="26"/>
      <c r="V414" s="26"/>
      <c r="W414" s="26">
        <v>0</v>
      </c>
      <c r="X414" s="26">
        <v>0</v>
      </c>
      <c r="Y414" s="26">
        <v>0</v>
      </c>
      <c r="Z414" s="26">
        <v>0</v>
      </c>
    </row>
    <row r="415" spans="1:27" x14ac:dyDescent="0.25">
      <c r="A415" s="11">
        <v>419</v>
      </c>
      <c r="B415">
        <v>6043</v>
      </c>
      <c r="C415" t="s">
        <v>703</v>
      </c>
      <c r="D415" s="8" t="s">
        <v>704</v>
      </c>
      <c r="E415" t="s">
        <v>0</v>
      </c>
      <c r="G415" t="s">
        <v>705</v>
      </c>
      <c r="H415">
        <v>2017</v>
      </c>
      <c r="I415" t="s">
        <v>706</v>
      </c>
      <c r="J415">
        <v>1</v>
      </c>
      <c r="N415" s="11">
        <v>0</v>
      </c>
      <c r="P415" s="26"/>
      <c r="Q415" s="26"/>
      <c r="R415" s="26"/>
      <c r="S415" s="26"/>
      <c r="T415" s="26"/>
      <c r="U415" s="26"/>
      <c r="V415" s="26"/>
      <c r="W415" s="26">
        <v>0</v>
      </c>
      <c r="X415" s="26">
        <v>0</v>
      </c>
      <c r="Y415" s="26">
        <v>0</v>
      </c>
      <c r="Z415" s="26">
        <v>0</v>
      </c>
    </row>
    <row r="416" spans="1:27" x14ac:dyDescent="0.25">
      <c r="A416" s="11">
        <v>420</v>
      </c>
      <c r="B416">
        <v>4102</v>
      </c>
      <c r="C416" t="s">
        <v>3041</v>
      </c>
      <c r="D416" s="47" t="s">
        <v>3042</v>
      </c>
      <c r="E416" t="s">
        <v>3043</v>
      </c>
      <c r="G416" t="s">
        <v>3044</v>
      </c>
      <c r="H416">
        <v>2017</v>
      </c>
      <c r="I416" t="s">
        <v>3045</v>
      </c>
      <c r="J416">
        <v>1</v>
      </c>
      <c r="N416" s="11">
        <v>1</v>
      </c>
      <c r="O416" s="18" t="s">
        <v>3157</v>
      </c>
      <c r="P416" s="26" t="s">
        <v>3201</v>
      </c>
      <c r="Q416" s="26" t="s">
        <v>3258</v>
      </c>
      <c r="R416" s="26" t="s">
        <v>3235</v>
      </c>
      <c r="S416" s="26" t="s">
        <v>1</v>
      </c>
      <c r="T416" s="26" t="s">
        <v>38</v>
      </c>
      <c r="U416" s="26" t="s">
        <v>69</v>
      </c>
      <c r="V416" s="26" t="s">
        <v>3336</v>
      </c>
      <c r="W416" s="26">
        <v>5</v>
      </c>
      <c r="X416" s="26">
        <v>5</v>
      </c>
      <c r="Y416" s="26">
        <v>5</v>
      </c>
      <c r="Z416" s="26">
        <v>5</v>
      </c>
      <c r="AA416" t="s">
        <v>3600</v>
      </c>
    </row>
    <row r="417" spans="1:27" x14ac:dyDescent="0.25">
      <c r="A417" s="11">
        <v>421</v>
      </c>
      <c r="B417">
        <v>3926</v>
      </c>
      <c r="C417" t="s">
        <v>2510</v>
      </c>
      <c r="D417" t="s">
        <v>3081</v>
      </c>
      <c r="E417" t="s">
        <v>3</v>
      </c>
      <c r="G417" t="s">
        <v>3082</v>
      </c>
      <c r="H417">
        <v>2018</v>
      </c>
      <c r="I417" t="s">
        <v>3083</v>
      </c>
      <c r="J417">
        <v>1</v>
      </c>
      <c r="N417" s="11">
        <v>0</v>
      </c>
      <c r="P417" s="26"/>
      <c r="Q417" s="26"/>
      <c r="R417" s="26"/>
      <c r="S417" s="26"/>
      <c r="T417" s="26"/>
      <c r="U417" s="26"/>
      <c r="V417" s="26"/>
      <c r="W417" s="26">
        <v>0</v>
      </c>
      <c r="X417" s="26">
        <v>0</v>
      </c>
      <c r="Y417" s="26">
        <v>0</v>
      </c>
      <c r="Z417" s="26">
        <v>0</v>
      </c>
    </row>
    <row r="418" spans="1:27" x14ac:dyDescent="0.25">
      <c r="A418" s="11">
        <v>422</v>
      </c>
      <c r="B418">
        <v>5649</v>
      </c>
      <c r="C418" t="s">
        <v>707</v>
      </c>
      <c r="D418" t="s">
        <v>708</v>
      </c>
      <c r="E418" t="s">
        <v>0</v>
      </c>
      <c r="G418" t="s">
        <v>709</v>
      </c>
      <c r="H418">
        <v>2012</v>
      </c>
      <c r="I418" t="s">
        <v>710</v>
      </c>
      <c r="J418">
        <v>1</v>
      </c>
      <c r="N418" s="11">
        <v>0</v>
      </c>
      <c r="P418" s="26"/>
      <c r="Q418" s="26"/>
      <c r="R418" s="26"/>
      <c r="S418" s="26"/>
      <c r="T418" s="26"/>
      <c r="U418" s="26"/>
      <c r="V418" s="26"/>
      <c r="W418" s="26">
        <v>0</v>
      </c>
      <c r="X418" s="26">
        <v>0</v>
      </c>
      <c r="Y418" s="26">
        <v>0</v>
      </c>
      <c r="Z418" s="26">
        <v>0</v>
      </c>
    </row>
    <row r="419" spans="1:27" x14ac:dyDescent="0.25">
      <c r="A419" s="11">
        <v>423</v>
      </c>
      <c r="B419">
        <v>3633</v>
      </c>
      <c r="C419" t="s">
        <v>1581</v>
      </c>
      <c r="D419" t="s">
        <v>1582</v>
      </c>
      <c r="E419" t="s">
        <v>0</v>
      </c>
      <c r="G419" t="s">
        <v>1583</v>
      </c>
      <c r="H419">
        <v>2012</v>
      </c>
      <c r="I419" t="s">
        <v>1584</v>
      </c>
      <c r="J419">
        <v>1</v>
      </c>
      <c r="N419" s="11">
        <v>0</v>
      </c>
      <c r="P419" s="26"/>
      <c r="Q419" s="26"/>
      <c r="R419" s="26"/>
      <c r="S419" s="26"/>
      <c r="T419" s="26"/>
      <c r="U419" s="26"/>
      <c r="V419" s="26"/>
      <c r="W419" s="26">
        <v>0</v>
      </c>
      <c r="X419" s="26">
        <v>0</v>
      </c>
      <c r="Y419" s="26">
        <v>0</v>
      </c>
      <c r="Z419" s="26">
        <v>0</v>
      </c>
    </row>
    <row r="420" spans="1:27" x14ac:dyDescent="0.25">
      <c r="A420" s="11">
        <v>424</v>
      </c>
      <c r="B420">
        <v>3512</v>
      </c>
      <c r="C420" t="s">
        <v>1782</v>
      </c>
      <c r="D420" t="s">
        <v>1783</v>
      </c>
      <c r="E420" t="s">
        <v>0</v>
      </c>
      <c r="G420" t="s">
        <v>1784</v>
      </c>
      <c r="H420">
        <v>2013</v>
      </c>
      <c r="I420" t="s">
        <v>1785</v>
      </c>
      <c r="J420">
        <v>1</v>
      </c>
      <c r="N420" s="11">
        <v>0</v>
      </c>
      <c r="P420" s="26"/>
      <c r="Q420" s="26"/>
      <c r="R420" s="26"/>
      <c r="S420" s="26"/>
      <c r="T420" s="26"/>
      <c r="U420" s="26"/>
      <c r="V420" s="26"/>
      <c r="W420" s="26">
        <v>0</v>
      </c>
      <c r="X420" s="26">
        <v>0</v>
      </c>
      <c r="Y420" s="26">
        <v>0</v>
      </c>
      <c r="Z420" s="26">
        <v>0</v>
      </c>
    </row>
    <row r="421" spans="1:27" x14ac:dyDescent="0.25">
      <c r="A421" s="11">
        <v>425</v>
      </c>
      <c r="B421">
        <v>2580</v>
      </c>
      <c r="C421" t="s">
        <v>2004</v>
      </c>
      <c r="D421" t="s">
        <v>2005</v>
      </c>
      <c r="E421" t="s">
        <v>2006</v>
      </c>
      <c r="G421" t="s">
        <v>2007</v>
      </c>
      <c r="H421">
        <v>2018</v>
      </c>
      <c r="I421" t="s">
        <v>2008</v>
      </c>
      <c r="J421">
        <v>1</v>
      </c>
      <c r="N421" s="11">
        <v>0</v>
      </c>
      <c r="P421" s="26"/>
      <c r="Q421" s="26"/>
      <c r="R421" s="26"/>
      <c r="S421" s="26"/>
      <c r="T421" s="26"/>
      <c r="U421" s="26"/>
      <c r="V421" s="26"/>
      <c r="W421" s="26">
        <v>0</v>
      </c>
      <c r="X421" s="26">
        <v>0</v>
      </c>
      <c r="Y421" s="26">
        <v>0</v>
      </c>
      <c r="Z421" s="26">
        <v>0</v>
      </c>
    </row>
    <row r="422" spans="1:27" x14ac:dyDescent="0.25">
      <c r="A422" s="11">
        <v>426</v>
      </c>
      <c r="B422">
        <v>6295</v>
      </c>
      <c r="C422" t="s">
        <v>186</v>
      </c>
      <c r="D422" t="s">
        <v>187</v>
      </c>
      <c r="E422" t="s">
        <v>6</v>
      </c>
      <c r="F422" t="s">
        <v>347</v>
      </c>
      <c r="G422" t="s">
        <v>348</v>
      </c>
      <c r="H422">
        <v>2014</v>
      </c>
      <c r="I422" t="s">
        <v>277</v>
      </c>
      <c r="J422">
        <v>1</v>
      </c>
      <c r="N422" s="11">
        <v>0</v>
      </c>
      <c r="P422" s="26"/>
      <c r="Q422" s="26"/>
      <c r="R422" s="26"/>
      <c r="S422" s="26"/>
      <c r="T422" s="26"/>
      <c r="U422" s="26"/>
      <c r="V422" s="26"/>
      <c r="W422" s="26">
        <v>0</v>
      </c>
      <c r="X422" s="26">
        <v>0</v>
      </c>
      <c r="Y422" s="26">
        <v>0</v>
      </c>
      <c r="Z422" s="26">
        <v>0</v>
      </c>
    </row>
    <row r="423" spans="1:27" x14ac:dyDescent="0.25">
      <c r="A423" s="11">
        <v>427</v>
      </c>
      <c r="B423">
        <v>2760</v>
      </c>
      <c r="C423" t="s">
        <v>2071</v>
      </c>
      <c r="D423" s="26" t="s">
        <v>2072</v>
      </c>
      <c r="E423" t="s">
        <v>0</v>
      </c>
      <c r="G423" t="s">
        <v>2073</v>
      </c>
      <c r="H423">
        <v>2018</v>
      </c>
      <c r="I423" t="s">
        <v>2074</v>
      </c>
      <c r="J423">
        <v>1</v>
      </c>
      <c r="N423" s="11">
        <v>0</v>
      </c>
      <c r="P423" s="26"/>
      <c r="Q423" s="26"/>
      <c r="R423" s="26"/>
      <c r="S423" s="26"/>
      <c r="T423" s="26"/>
      <c r="U423" s="26"/>
      <c r="V423" s="26"/>
      <c r="W423" s="26">
        <v>0</v>
      </c>
      <c r="X423" s="26">
        <v>0</v>
      </c>
      <c r="Y423" s="26">
        <v>0</v>
      </c>
      <c r="Z423" s="26">
        <v>0</v>
      </c>
    </row>
    <row r="424" spans="1:27" x14ac:dyDescent="0.25">
      <c r="A424" s="11">
        <v>428</v>
      </c>
      <c r="B424">
        <v>2614</v>
      </c>
      <c r="C424" t="s">
        <v>2692</v>
      </c>
      <c r="D424" t="s">
        <v>2693</v>
      </c>
      <c r="E424" t="s">
        <v>0</v>
      </c>
      <c r="G424" t="s">
        <v>2694</v>
      </c>
      <c r="H424">
        <v>2018</v>
      </c>
      <c r="I424" t="s">
        <v>2695</v>
      </c>
      <c r="J424">
        <v>1</v>
      </c>
      <c r="N424" s="11">
        <v>0</v>
      </c>
      <c r="P424" s="26"/>
      <c r="Q424" s="26"/>
      <c r="R424" s="26"/>
      <c r="S424" s="26"/>
      <c r="T424" s="26"/>
      <c r="U424" s="26"/>
      <c r="V424" s="26"/>
      <c r="W424" s="26">
        <v>0</v>
      </c>
      <c r="X424" s="26">
        <v>0</v>
      </c>
      <c r="Y424" s="26">
        <v>0</v>
      </c>
      <c r="Z424" s="26">
        <v>0</v>
      </c>
    </row>
    <row r="425" spans="1:27" x14ac:dyDescent="0.25">
      <c r="A425" s="11">
        <v>429</v>
      </c>
      <c r="B425">
        <v>5751</v>
      </c>
      <c r="C425" t="s">
        <v>711</v>
      </c>
      <c r="D425" s="8" t="s">
        <v>712</v>
      </c>
      <c r="E425" t="s">
        <v>0</v>
      </c>
      <c r="G425" t="s">
        <v>713</v>
      </c>
      <c r="H425">
        <v>2017</v>
      </c>
      <c r="I425" t="s">
        <v>714</v>
      </c>
      <c r="J425">
        <v>1</v>
      </c>
      <c r="N425" s="11">
        <v>0</v>
      </c>
      <c r="P425" s="26"/>
      <c r="Q425" s="26"/>
      <c r="R425" s="26"/>
      <c r="S425" s="26"/>
      <c r="T425" s="26"/>
      <c r="U425" s="26"/>
      <c r="V425" s="26"/>
      <c r="W425" s="26">
        <v>0</v>
      </c>
      <c r="X425" s="26">
        <v>0</v>
      </c>
      <c r="Y425" s="26">
        <v>0</v>
      </c>
      <c r="Z425" s="26">
        <v>0</v>
      </c>
    </row>
    <row r="426" spans="1:27" x14ac:dyDescent="0.25">
      <c r="A426" s="11">
        <v>430</v>
      </c>
      <c r="B426">
        <v>3239</v>
      </c>
      <c r="C426" t="s">
        <v>2862</v>
      </c>
      <c r="D426" s="8" t="s">
        <v>2863</v>
      </c>
      <c r="E426" t="s">
        <v>5</v>
      </c>
      <c r="G426" t="s">
        <v>2864</v>
      </c>
      <c r="H426">
        <v>2015</v>
      </c>
      <c r="I426" t="s">
        <v>2865</v>
      </c>
      <c r="J426">
        <v>1</v>
      </c>
      <c r="N426" s="11">
        <v>4</v>
      </c>
      <c r="O426" s="18" t="s">
        <v>3157</v>
      </c>
      <c r="P426" s="26" t="s">
        <v>3201</v>
      </c>
      <c r="Q426" s="26" t="s">
        <v>3209</v>
      </c>
      <c r="R426" s="26" t="s">
        <v>3332</v>
      </c>
      <c r="S426" s="26" t="s">
        <v>2</v>
      </c>
      <c r="T426" s="26" t="s">
        <v>40</v>
      </c>
      <c r="U426" s="26" t="s">
        <v>70</v>
      </c>
      <c r="V426" s="26" t="s">
        <v>3280</v>
      </c>
      <c r="W426" s="26">
        <v>4</v>
      </c>
      <c r="X426" s="26">
        <v>4</v>
      </c>
      <c r="Y426" s="26">
        <v>4</v>
      </c>
      <c r="Z426" s="26">
        <v>4</v>
      </c>
      <c r="AA426" t="s">
        <v>3625</v>
      </c>
    </row>
    <row r="427" spans="1:27" x14ac:dyDescent="0.25">
      <c r="A427" s="11">
        <v>431</v>
      </c>
      <c r="B427">
        <v>3727</v>
      </c>
      <c r="C427" t="s">
        <v>2313</v>
      </c>
      <c r="D427" t="s">
        <v>2314</v>
      </c>
      <c r="E427" t="s">
        <v>5</v>
      </c>
      <c r="G427" t="s">
        <v>2315</v>
      </c>
      <c r="H427">
        <v>2012</v>
      </c>
      <c r="I427" t="s">
        <v>2316</v>
      </c>
      <c r="J427">
        <v>1</v>
      </c>
      <c r="N427" s="11">
        <v>0</v>
      </c>
      <c r="P427" s="26"/>
      <c r="Q427" s="26"/>
      <c r="R427" s="26"/>
      <c r="S427" s="26"/>
      <c r="T427" s="26"/>
      <c r="U427" s="26"/>
      <c r="V427" s="26"/>
      <c r="W427" s="26">
        <v>0</v>
      </c>
      <c r="X427" s="26">
        <v>0</v>
      </c>
      <c r="Y427" s="26">
        <v>0</v>
      </c>
      <c r="Z427" s="26">
        <v>0</v>
      </c>
    </row>
    <row r="428" spans="1:27" x14ac:dyDescent="0.25">
      <c r="A428" s="11">
        <v>432</v>
      </c>
      <c r="B428">
        <v>3192</v>
      </c>
      <c r="C428" t="s">
        <v>2570</v>
      </c>
      <c r="D428" t="s">
        <v>2571</v>
      </c>
      <c r="E428" t="s">
        <v>0</v>
      </c>
      <c r="G428" t="s">
        <v>2572</v>
      </c>
      <c r="H428">
        <v>2015</v>
      </c>
      <c r="I428" t="s">
        <v>2573</v>
      </c>
      <c r="J428">
        <v>1</v>
      </c>
      <c r="N428" s="11">
        <v>5</v>
      </c>
      <c r="O428" s="18" t="s">
        <v>3376</v>
      </c>
      <c r="P428" s="26" t="s">
        <v>3407</v>
      </c>
      <c r="Q428" s="26" t="s">
        <v>3361</v>
      </c>
      <c r="R428" s="26" t="s">
        <v>3187</v>
      </c>
      <c r="S428" s="26" t="s">
        <v>0</v>
      </c>
      <c r="T428" s="26" t="s">
        <v>38</v>
      </c>
      <c r="U428" s="26" t="s">
        <v>69</v>
      </c>
      <c r="V428" s="26" t="s">
        <v>3336</v>
      </c>
      <c r="W428" s="26">
        <v>5</v>
      </c>
      <c r="X428" s="26">
        <v>5</v>
      </c>
      <c r="Y428" s="26">
        <v>5</v>
      </c>
      <c r="Z428" s="26">
        <v>5</v>
      </c>
      <c r="AA428" t="s">
        <v>3408</v>
      </c>
    </row>
    <row r="429" spans="1:27" x14ac:dyDescent="0.25">
      <c r="A429" s="11">
        <v>433</v>
      </c>
      <c r="B429">
        <v>5768</v>
      </c>
      <c r="C429" t="s">
        <v>715</v>
      </c>
      <c r="D429" t="s">
        <v>716</v>
      </c>
      <c r="E429" t="s">
        <v>0</v>
      </c>
      <c r="G429" t="s">
        <v>717</v>
      </c>
      <c r="H429">
        <v>2017</v>
      </c>
      <c r="I429" t="s">
        <v>718</v>
      </c>
      <c r="J429">
        <v>1</v>
      </c>
      <c r="N429" s="11">
        <v>0</v>
      </c>
      <c r="P429" s="26"/>
      <c r="Q429" s="26"/>
      <c r="R429" s="26"/>
      <c r="S429" s="26"/>
      <c r="T429" s="26"/>
      <c r="U429" s="26"/>
      <c r="V429" s="26"/>
      <c r="W429" s="26">
        <v>0</v>
      </c>
      <c r="X429" s="26">
        <v>0</v>
      </c>
      <c r="Y429" s="26">
        <v>0</v>
      </c>
      <c r="Z429" s="26">
        <v>0</v>
      </c>
    </row>
    <row r="430" spans="1:27" x14ac:dyDescent="0.25">
      <c r="A430" s="11">
        <v>434</v>
      </c>
      <c r="B430">
        <v>5744</v>
      </c>
      <c r="C430" t="s">
        <v>429</v>
      </c>
      <c r="D430" s="26" t="s">
        <v>430</v>
      </c>
      <c r="E430" t="s">
        <v>0</v>
      </c>
      <c r="F430" t="s">
        <v>927</v>
      </c>
      <c r="G430" t="s">
        <v>431</v>
      </c>
      <c r="H430">
        <v>2017</v>
      </c>
      <c r="I430" t="s">
        <v>432</v>
      </c>
      <c r="J430">
        <v>1</v>
      </c>
      <c r="N430" s="11">
        <v>4</v>
      </c>
      <c r="O430" s="18" t="s">
        <v>3157</v>
      </c>
      <c r="P430" s="26" t="s">
        <v>3313</v>
      </c>
      <c r="Q430" s="26" t="s">
        <v>3314</v>
      </c>
      <c r="R430" s="26" t="s">
        <v>3256</v>
      </c>
      <c r="S430" s="26" t="s">
        <v>0</v>
      </c>
      <c r="T430" s="26" t="s">
        <v>38</v>
      </c>
      <c r="U430" s="26" t="s">
        <v>69</v>
      </c>
      <c r="V430" s="26" t="s">
        <v>3336</v>
      </c>
      <c r="W430" s="26">
        <v>5</v>
      </c>
      <c r="X430" s="26">
        <v>5</v>
      </c>
      <c r="Y430" s="26">
        <v>3</v>
      </c>
      <c r="Z430" s="26">
        <v>5</v>
      </c>
      <c r="AA430" t="s">
        <v>3315</v>
      </c>
    </row>
    <row r="431" spans="1:27" x14ac:dyDescent="0.25">
      <c r="A431" s="11">
        <v>435</v>
      </c>
      <c r="B431">
        <v>3488</v>
      </c>
      <c r="C431" t="s">
        <v>1453</v>
      </c>
      <c r="D431" s="26" t="s">
        <v>1454</v>
      </c>
      <c r="E431" t="s">
        <v>0</v>
      </c>
      <c r="G431" t="s">
        <v>1455</v>
      </c>
      <c r="H431">
        <v>2013</v>
      </c>
      <c r="I431" t="s">
        <v>1456</v>
      </c>
      <c r="J431">
        <v>1</v>
      </c>
      <c r="N431" s="11">
        <v>4</v>
      </c>
      <c r="O431" s="18" t="s">
        <v>3386</v>
      </c>
      <c r="P431" s="26" t="s">
        <v>3469</v>
      </c>
      <c r="Q431" s="26" t="s">
        <v>3202</v>
      </c>
      <c r="R431" s="26" t="s">
        <v>3237</v>
      </c>
      <c r="S431" s="26" t="s">
        <v>0</v>
      </c>
      <c r="T431" s="26" t="s">
        <v>38</v>
      </c>
      <c r="U431" s="26" t="s">
        <v>3263</v>
      </c>
      <c r="V431" s="26" t="s">
        <v>3336</v>
      </c>
      <c r="W431" s="26">
        <v>5</v>
      </c>
      <c r="X431" s="26">
        <v>5</v>
      </c>
      <c r="Y431" s="26">
        <v>3</v>
      </c>
      <c r="Z431" s="26">
        <v>5</v>
      </c>
      <c r="AA431" t="s">
        <v>3470</v>
      </c>
    </row>
    <row r="432" spans="1:27" x14ac:dyDescent="0.25">
      <c r="A432" s="11">
        <v>436</v>
      </c>
      <c r="B432">
        <v>3928</v>
      </c>
      <c r="C432" t="s">
        <v>1942</v>
      </c>
      <c r="D432" t="s">
        <v>1943</v>
      </c>
      <c r="E432" t="s">
        <v>3</v>
      </c>
      <c r="G432" t="s">
        <v>3138</v>
      </c>
      <c r="H432">
        <v>2018</v>
      </c>
      <c r="I432" t="s">
        <v>3139</v>
      </c>
      <c r="J432">
        <v>1</v>
      </c>
      <c r="N432" s="11">
        <v>0</v>
      </c>
      <c r="P432" s="26"/>
      <c r="Q432" s="26"/>
      <c r="R432" s="26"/>
      <c r="S432" s="26"/>
      <c r="T432" s="26"/>
      <c r="U432" s="26"/>
      <c r="V432" s="26"/>
      <c r="W432" s="26">
        <v>0</v>
      </c>
      <c r="X432" s="26">
        <v>0</v>
      </c>
      <c r="Y432" s="26">
        <v>0</v>
      </c>
      <c r="Z432" s="26">
        <v>0</v>
      </c>
    </row>
    <row r="433" spans="1:28" x14ac:dyDescent="0.25">
      <c r="A433" s="11">
        <v>437</v>
      </c>
      <c r="B433">
        <v>5675</v>
      </c>
      <c r="C433" t="s">
        <v>722</v>
      </c>
      <c r="D433" t="s">
        <v>723</v>
      </c>
      <c r="E433" t="s">
        <v>0</v>
      </c>
      <c r="G433" t="s">
        <v>724</v>
      </c>
      <c r="H433">
        <v>2015</v>
      </c>
      <c r="I433" t="s">
        <v>725</v>
      </c>
      <c r="J433">
        <v>1</v>
      </c>
      <c r="N433" s="11">
        <v>0</v>
      </c>
      <c r="P433" s="26"/>
      <c r="Q433" s="26"/>
      <c r="R433" s="26"/>
      <c r="S433" s="26"/>
      <c r="T433" s="26"/>
      <c r="U433" s="26"/>
      <c r="V433" s="26"/>
      <c r="W433" s="26">
        <v>0</v>
      </c>
      <c r="X433" s="26">
        <v>0</v>
      </c>
      <c r="Y433" s="26">
        <v>0</v>
      </c>
      <c r="Z433" s="26">
        <v>0</v>
      </c>
    </row>
    <row r="434" spans="1:28" x14ac:dyDescent="0.25">
      <c r="A434" s="11">
        <v>438</v>
      </c>
      <c r="B434">
        <v>5709</v>
      </c>
      <c r="C434" t="s">
        <v>726</v>
      </c>
      <c r="D434" t="s">
        <v>727</v>
      </c>
      <c r="E434" t="s">
        <v>0</v>
      </c>
      <c r="G434" t="s">
        <v>728</v>
      </c>
      <c r="H434">
        <v>2018</v>
      </c>
      <c r="I434" t="s">
        <v>729</v>
      </c>
      <c r="J434">
        <v>1</v>
      </c>
      <c r="N434" s="11">
        <v>0</v>
      </c>
      <c r="P434" s="26"/>
      <c r="Q434" s="26"/>
      <c r="R434" s="26"/>
      <c r="S434" s="26"/>
      <c r="T434" s="26"/>
      <c r="U434" s="26"/>
      <c r="V434" s="26"/>
      <c r="W434" s="26">
        <v>0</v>
      </c>
      <c r="X434" s="26">
        <v>0</v>
      </c>
      <c r="Y434" s="26">
        <v>0</v>
      </c>
      <c r="Z434" s="26">
        <v>0</v>
      </c>
    </row>
    <row r="435" spans="1:28" x14ac:dyDescent="0.25">
      <c r="A435" s="11">
        <v>439</v>
      </c>
      <c r="B435">
        <v>3639</v>
      </c>
      <c r="C435" t="s">
        <v>730</v>
      </c>
      <c r="D435" t="s">
        <v>2342</v>
      </c>
      <c r="E435" t="s">
        <v>0</v>
      </c>
      <c r="G435" t="s">
        <v>2343</v>
      </c>
      <c r="H435">
        <v>2012</v>
      </c>
      <c r="I435" t="s">
        <v>2344</v>
      </c>
      <c r="J435">
        <v>1</v>
      </c>
      <c r="N435" s="11">
        <v>0</v>
      </c>
      <c r="P435" s="26"/>
      <c r="Q435" s="26"/>
      <c r="R435" s="26"/>
      <c r="S435" s="26"/>
      <c r="T435" s="26"/>
      <c r="U435" s="26"/>
      <c r="V435" s="26"/>
      <c r="W435" s="26">
        <v>0</v>
      </c>
      <c r="X435" s="26">
        <v>0</v>
      </c>
      <c r="Y435" s="26">
        <v>0</v>
      </c>
      <c r="Z435" s="26">
        <v>0</v>
      </c>
    </row>
    <row r="436" spans="1:28" x14ac:dyDescent="0.25">
      <c r="A436" s="11">
        <v>440</v>
      </c>
      <c r="B436">
        <v>6084</v>
      </c>
      <c r="C436" t="s">
        <v>730</v>
      </c>
      <c r="D436" t="s">
        <v>731</v>
      </c>
      <c r="E436" t="s">
        <v>0</v>
      </c>
      <c r="G436" t="s">
        <v>732</v>
      </c>
      <c r="H436">
        <v>2015</v>
      </c>
      <c r="I436" t="s">
        <v>733</v>
      </c>
      <c r="J436">
        <v>1</v>
      </c>
      <c r="N436" s="11">
        <v>0</v>
      </c>
      <c r="P436" s="26"/>
      <c r="Q436" s="26"/>
      <c r="R436" s="26"/>
      <c r="S436" s="26"/>
      <c r="T436" s="26"/>
      <c r="U436" s="26"/>
      <c r="V436" s="26"/>
      <c r="W436" s="26">
        <v>0</v>
      </c>
      <c r="X436" s="26">
        <v>0</v>
      </c>
      <c r="Y436" s="26">
        <v>0</v>
      </c>
      <c r="Z436" s="26">
        <v>0</v>
      </c>
    </row>
    <row r="437" spans="1:28" x14ac:dyDescent="0.25">
      <c r="A437" s="11">
        <v>441</v>
      </c>
      <c r="B437">
        <v>3342</v>
      </c>
      <c r="C437" t="s">
        <v>604</v>
      </c>
      <c r="D437" s="26" t="s">
        <v>2733</v>
      </c>
      <c r="E437" t="s">
        <v>0</v>
      </c>
      <c r="G437" t="s">
        <v>2734</v>
      </c>
      <c r="H437">
        <v>2014</v>
      </c>
      <c r="I437" t="s">
        <v>2735</v>
      </c>
      <c r="J437">
        <v>1</v>
      </c>
      <c r="N437" s="11">
        <v>4</v>
      </c>
      <c r="O437" s="18" t="s">
        <v>3157</v>
      </c>
      <c r="P437" s="26" t="s">
        <v>3469</v>
      </c>
      <c r="Q437" s="26" t="s">
        <v>3204</v>
      </c>
      <c r="R437" s="26" t="s">
        <v>3237</v>
      </c>
      <c r="S437" s="26" t="s">
        <v>0</v>
      </c>
      <c r="T437" s="26" t="s">
        <v>38</v>
      </c>
      <c r="U437" s="26" t="s">
        <v>69</v>
      </c>
      <c r="V437" s="26" t="s">
        <v>3336</v>
      </c>
      <c r="W437" s="26">
        <v>4</v>
      </c>
      <c r="X437" s="26">
        <v>4</v>
      </c>
      <c r="Y437" s="26">
        <v>4</v>
      </c>
      <c r="Z437" s="26">
        <v>4</v>
      </c>
      <c r="AA437" t="s">
        <v>3315</v>
      </c>
    </row>
    <row r="438" spans="1:28" x14ac:dyDescent="0.25">
      <c r="A438" s="11">
        <v>442</v>
      </c>
      <c r="B438">
        <v>5922</v>
      </c>
      <c r="C438" t="s">
        <v>807</v>
      </c>
      <c r="D438" s="8" t="s">
        <v>808</v>
      </c>
      <c r="E438" t="s">
        <v>0</v>
      </c>
      <c r="G438" t="s">
        <v>809</v>
      </c>
      <c r="H438">
        <v>2018</v>
      </c>
      <c r="I438" t="s">
        <v>810</v>
      </c>
      <c r="J438">
        <v>1</v>
      </c>
      <c r="N438" s="11">
        <v>3</v>
      </c>
      <c r="O438" s="18" t="s">
        <v>3157</v>
      </c>
      <c r="P438" s="26" t="s">
        <v>3628</v>
      </c>
      <c r="Q438" s="26" t="s">
        <v>3258</v>
      </c>
      <c r="R438" s="26" t="s">
        <v>3257</v>
      </c>
      <c r="S438" s="26" t="s">
        <v>6</v>
      </c>
      <c r="T438" s="26" t="s">
        <v>38</v>
      </c>
      <c r="U438" s="26" t="s">
        <v>69</v>
      </c>
      <c r="V438" s="26" t="s">
        <v>3336</v>
      </c>
      <c r="W438" s="26">
        <v>3</v>
      </c>
      <c r="X438" s="26">
        <v>3</v>
      </c>
      <c r="Y438" s="26">
        <v>3</v>
      </c>
      <c r="Z438" s="26">
        <v>3</v>
      </c>
      <c r="AA438" t="s">
        <v>3315</v>
      </c>
    </row>
    <row r="439" spans="1:28" x14ac:dyDescent="0.25">
      <c r="A439" s="11">
        <v>443</v>
      </c>
      <c r="B439">
        <v>2859</v>
      </c>
      <c r="C439" t="s">
        <v>2389</v>
      </c>
      <c r="D439" s="26" t="s">
        <v>2390</v>
      </c>
      <c r="E439" t="s">
        <v>0</v>
      </c>
      <c r="G439" t="s">
        <v>2391</v>
      </c>
      <c r="H439">
        <v>2017</v>
      </c>
      <c r="I439" t="s">
        <v>2392</v>
      </c>
      <c r="J439">
        <v>1</v>
      </c>
      <c r="N439" s="11">
        <v>5</v>
      </c>
      <c r="O439" s="18" t="s">
        <v>3410</v>
      </c>
      <c r="P439" s="26" t="s">
        <v>3351</v>
      </c>
      <c r="Q439" s="26" t="s">
        <v>3210</v>
      </c>
      <c r="R439" s="26" t="s">
        <v>3243</v>
      </c>
      <c r="S439" s="26" t="s">
        <v>0</v>
      </c>
      <c r="T439" s="26" t="s">
        <v>38</v>
      </c>
      <c r="U439" s="26" t="s">
        <v>69</v>
      </c>
      <c r="V439" s="26" t="s">
        <v>3336</v>
      </c>
      <c r="W439" s="26">
        <v>5</v>
      </c>
      <c r="X439" s="26">
        <v>5</v>
      </c>
      <c r="Y439" s="26">
        <v>5</v>
      </c>
      <c r="Z439" s="26">
        <v>5</v>
      </c>
      <c r="AA439" t="s">
        <v>61</v>
      </c>
    </row>
    <row r="440" spans="1:28" x14ac:dyDescent="0.25">
      <c r="A440" s="11">
        <v>444</v>
      </c>
      <c r="B440">
        <v>2891</v>
      </c>
      <c r="C440" t="s">
        <v>2522</v>
      </c>
      <c r="D440" t="s">
        <v>2523</v>
      </c>
      <c r="E440" t="s">
        <v>0</v>
      </c>
      <c r="G440" t="s">
        <v>2524</v>
      </c>
      <c r="H440">
        <v>2017</v>
      </c>
      <c r="I440" t="s">
        <v>2525</v>
      </c>
      <c r="J440">
        <v>1</v>
      </c>
      <c r="N440" s="11">
        <v>0</v>
      </c>
      <c r="P440" s="26"/>
      <c r="Q440" s="26"/>
      <c r="R440" s="26"/>
      <c r="S440" s="26"/>
      <c r="T440" s="26"/>
      <c r="U440" s="26"/>
      <c r="V440" s="26"/>
      <c r="W440" s="26">
        <v>0</v>
      </c>
      <c r="X440" s="26">
        <v>0</v>
      </c>
      <c r="Y440" s="26">
        <v>0</v>
      </c>
      <c r="Z440" s="26">
        <v>0</v>
      </c>
    </row>
    <row r="441" spans="1:28" x14ac:dyDescent="0.25">
      <c r="A441" s="11">
        <v>445</v>
      </c>
      <c r="B441">
        <v>3067</v>
      </c>
      <c r="C441" t="s">
        <v>2244</v>
      </c>
      <c r="D441" t="s">
        <v>2245</v>
      </c>
      <c r="E441" t="s">
        <v>0</v>
      </c>
      <c r="G441" t="s">
        <v>2246</v>
      </c>
      <c r="H441">
        <v>2016</v>
      </c>
      <c r="I441" t="s">
        <v>2247</v>
      </c>
      <c r="J441">
        <v>1</v>
      </c>
      <c r="N441" s="11">
        <v>0</v>
      </c>
      <c r="P441" s="26"/>
      <c r="Q441" s="26"/>
      <c r="R441" s="26"/>
      <c r="S441" s="26"/>
      <c r="T441" s="26"/>
      <c r="U441" s="26"/>
      <c r="V441" s="26"/>
      <c r="W441" s="26">
        <v>0</v>
      </c>
      <c r="X441" s="26">
        <v>0</v>
      </c>
      <c r="Y441" s="26">
        <v>0</v>
      </c>
      <c r="Z441" s="26">
        <v>0</v>
      </c>
    </row>
    <row r="442" spans="1:28" x14ac:dyDescent="0.25">
      <c r="A442" s="11">
        <v>446</v>
      </c>
      <c r="B442">
        <v>3257</v>
      </c>
      <c r="C442" t="s">
        <v>1234</v>
      </c>
      <c r="D442" t="s">
        <v>1235</v>
      </c>
      <c r="E442" t="s">
        <v>0</v>
      </c>
      <c r="G442" t="s">
        <v>1236</v>
      </c>
      <c r="H442">
        <v>2015</v>
      </c>
      <c r="I442" t="s">
        <v>1237</v>
      </c>
      <c r="J442">
        <v>1</v>
      </c>
      <c r="N442" s="11">
        <v>0</v>
      </c>
      <c r="P442" s="26"/>
      <c r="Q442" s="26"/>
      <c r="R442" s="26"/>
      <c r="S442" s="26"/>
      <c r="T442" s="26"/>
      <c r="U442" s="26"/>
      <c r="V442" s="26"/>
      <c r="W442" s="26">
        <v>0</v>
      </c>
      <c r="X442" s="26">
        <v>0</v>
      </c>
      <c r="Y442" s="26">
        <v>0</v>
      </c>
      <c r="Z442" s="26">
        <v>0</v>
      </c>
    </row>
    <row r="443" spans="1:28" x14ac:dyDescent="0.25">
      <c r="A443" s="11">
        <v>447</v>
      </c>
      <c r="B443" s="75">
        <v>3003</v>
      </c>
      <c r="C443" s="75" t="s">
        <v>1833</v>
      </c>
      <c r="D443" s="75" t="s">
        <v>1834</v>
      </c>
      <c r="E443" s="75" t="s">
        <v>0</v>
      </c>
      <c r="F443" s="75"/>
      <c r="G443" s="75" t="s">
        <v>1835</v>
      </c>
      <c r="H443" s="75">
        <v>2016</v>
      </c>
      <c r="I443" s="75" t="s">
        <v>1836</v>
      </c>
      <c r="J443" s="75">
        <v>0</v>
      </c>
      <c r="K443" s="75">
        <v>1</v>
      </c>
      <c r="L443" s="75"/>
      <c r="M443" s="75"/>
      <c r="N443" s="75">
        <v>5</v>
      </c>
      <c r="O443" s="76" t="s">
        <v>3157</v>
      </c>
      <c r="P443" s="75" t="s">
        <v>3351</v>
      </c>
      <c r="Q443" s="75" t="s">
        <v>3258</v>
      </c>
      <c r="R443" s="75" t="s">
        <v>3243</v>
      </c>
      <c r="S443" s="75" t="s">
        <v>0</v>
      </c>
      <c r="T443" s="75" t="s">
        <v>38</v>
      </c>
      <c r="U443" s="75" t="s">
        <v>69</v>
      </c>
      <c r="V443" s="75" t="s">
        <v>3336</v>
      </c>
      <c r="W443" s="75">
        <v>5</v>
      </c>
      <c r="X443" s="75">
        <v>5</v>
      </c>
      <c r="Y443" s="75">
        <v>5</v>
      </c>
      <c r="Z443" s="75">
        <v>5</v>
      </c>
      <c r="AA443" s="75" t="s">
        <v>3424</v>
      </c>
      <c r="AB443" s="75"/>
    </row>
    <row r="444" spans="1:28" x14ac:dyDescent="0.25">
      <c r="A444" s="11">
        <v>448</v>
      </c>
      <c r="B444">
        <v>2492</v>
      </c>
      <c r="C444" t="s">
        <v>2167</v>
      </c>
      <c r="D444" t="s">
        <v>2168</v>
      </c>
      <c r="E444" t="s">
        <v>1688</v>
      </c>
      <c r="G444" t="s">
        <v>2169</v>
      </c>
      <c r="H444">
        <v>2019</v>
      </c>
      <c r="I444" t="s">
        <v>2170</v>
      </c>
      <c r="J444">
        <v>1</v>
      </c>
      <c r="N444" s="11">
        <v>0</v>
      </c>
      <c r="P444" s="26"/>
      <c r="Q444" s="26"/>
      <c r="R444" s="26"/>
      <c r="S444" s="26"/>
      <c r="T444" s="26"/>
      <c r="U444" s="26"/>
      <c r="V444" s="26"/>
      <c r="W444" s="26">
        <v>0</v>
      </c>
      <c r="X444" s="26">
        <v>0</v>
      </c>
      <c r="Y444" s="26">
        <v>0</v>
      </c>
      <c r="Z444" s="26">
        <v>0</v>
      </c>
    </row>
    <row r="445" spans="1:28" x14ac:dyDescent="0.25">
      <c r="A445" s="11">
        <v>449</v>
      </c>
      <c r="B445">
        <v>2719</v>
      </c>
      <c r="C445" t="s">
        <v>1293</v>
      </c>
      <c r="D445" t="s">
        <v>1294</v>
      </c>
      <c r="E445" t="s">
        <v>0</v>
      </c>
      <c r="G445" t="s">
        <v>1295</v>
      </c>
      <c r="H445">
        <v>2018</v>
      </c>
      <c r="I445" t="s">
        <v>1296</v>
      </c>
      <c r="J445">
        <v>1</v>
      </c>
      <c r="N445" s="11">
        <v>4</v>
      </c>
      <c r="O445" s="18" t="s">
        <v>3418</v>
      </c>
      <c r="P445" s="26" t="s">
        <v>3351</v>
      </c>
      <c r="Q445" s="26" t="s">
        <v>3204</v>
      </c>
      <c r="R445" s="26" t="s">
        <v>3257</v>
      </c>
      <c r="S445" s="26" t="s">
        <v>0</v>
      </c>
      <c r="T445" s="26" t="s">
        <v>38</v>
      </c>
      <c r="U445" s="26" t="s">
        <v>69</v>
      </c>
      <c r="V445" s="26" t="s">
        <v>3336</v>
      </c>
      <c r="W445" s="26">
        <v>5</v>
      </c>
      <c r="X445" s="26">
        <v>5</v>
      </c>
      <c r="Y445" s="26">
        <v>5</v>
      </c>
      <c r="Z445" s="26">
        <v>5</v>
      </c>
      <c r="AA445" t="s">
        <v>3419</v>
      </c>
    </row>
    <row r="446" spans="1:28" x14ac:dyDescent="0.25">
      <c r="A446" s="11">
        <v>450</v>
      </c>
      <c r="B446">
        <v>3595</v>
      </c>
      <c r="C446" t="s">
        <v>1817</v>
      </c>
      <c r="D446" t="s">
        <v>1818</v>
      </c>
      <c r="E446" t="s">
        <v>0</v>
      </c>
      <c r="G446" t="s">
        <v>1819</v>
      </c>
      <c r="H446">
        <v>2013</v>
      </c>
      <c r="I446" t="s">
        <v>1820</v>
      </c>
      <c r="J446">
        <v>1</v>
      </c>
      <c r="N446" s="11">
        <v>0</v>
      </c>
    </row>
    <row r="447" spans="1:28" x14ac:dyDescent="0.25">
      <c r="A447" s="11">
        <v>451</v>
      </c>
      <c r="B447">
        <v>3775</v>
      </c>
      <c r="C447" t="s">
        <v>2985</v>
      </c>
      <c r="D447" s="26" t="s">
        <v>2397</v>
      </c>
      <c r="E447" t="s">
        <v>3</v>
      </c>
      <c r="G447" t="s">
        <v>2986</v>
      </c>
      <c r="H447">
        <v>2019</v>
      </c>
      <c r="I447" t="s">
        <v>2987</v>
      </c>
      <c r="J447">
        <v>1</v>
      </c>
      <c r="N447" s="11">
        <v>0</v>
      </c>
      <c r="P447" s="26"/>
      <c r="Q447" s="26"/>
      <c r="R447" s="26"/>
      <c r="S447" s="26"/>
      <c r="T447" s="26"/>
      <c r="U447" s="26"/>
      <c r="V447" s="26"/>
      <c r="W447" s="26">
        <v>0</v>
      </c>
      <c r="X447" s="26">
        <v>0</v>
      </c>
      <c r="Y447" s="26">
        <v>0</v>
      </c>
      <c r="Z447" s="26">
        <v>0</v>
      </c>
    </row>
    <row r="448" spans="1:28" s="44" customFormat="1" x14ac:dyDescent="0.25">
      <c r="A448" s="44">
        <v>452</v>
      </c>
      <c r="B448" s="26">
        <v>6019</v>
      </c>
      <c r="C448" s="26" t="s">
        <v>514</v>
      </c>
      <c r="D448" s="26" t="s">
        <v>515</v>
      </c>
      <c r="E448" s="26" t="s">
        <v>0</v>
      </c>
      <c r="F448" s="26" t="s">
        <v>947</v>
      </c>
      <c r="G448" s="26" t="s">
        <v>516</v>
      </c>
      <c r="H448" s="26">
        <v>2015</v>
      </c>
      <c r="I448" s="26" t="s">
        <v>517</v>
      </c>
      <c r="J448" s="26">
        <v>1</v>
      </c>
      <c r="K448" s="26"/>
      <c r="L448" s="26"/>
      <c r="M448" s="26"/>
      <c r="N448" s="26">
        <v>5</v>
      </c>
      <c r="O448" s="18" t="s">
        <v>3370</v>
      </c>
      <c r="P448" s="26" t="s">
        <v>3351</v>
      </c>
      <c r="Q448" s="26" t="s">
        <v>3258</v>
      </c>
      <c r="R448" s="26" t="s">
        <v>3257</v>
      </c>
      <c r="S448" s="26" t="s">
        <v>0</v>
      </c>
      <c r="T448" s="26" t="s">
        <v>38</v>
      </c>
      <c r="U448" s="26" t="s">
        <v>69</v>
      </c>
      <c r="V448" s="26" t="s">
        <v>3336</v>
      </c>
      <c r="W448" s="26">
        <v>5</v>
      </c>
      <c r="X448" s="26">
        <v>5</v>
      </c>
      <c r="Y448" s="26">
        <v>5</v>
      </c>
      <c r="Z448" s="26">
        <v>5</v>
      </c>
      <c r="AA448" s="26" t="s">
        <v>3424</v>
      </c>
      <c r="AB448" s="26"/>
    </row>
    <row r="449" spans="1:28" x14ac:dyDescent="0.25">
      <c r="A449" s="11">
        <v>453</v>
      </c>
      <c r="B449">
        <v>3384</v>
      </c>
      <c r="C449" t="s">
        <v>1849</v>
      </c>
      <c r="D449" t="s">
        <v>1850</v>
      </c>
      <c r="E449" t="s">
        <v>0</v>
      </c>
      <c r="G449" t="s">
        <v>1851</v>
      </c>
      <c r="H449">
        <v>2014</v>
      </c>
      <c r="I449" t="s">
        <v>1852</v>
      </c>
      <c r="J449">
        <v>1</v>
      </c>
      <c r="N449" s="11">
        <v>0</v>
      </c>
      <c r="P449" s="26"/>
      <c r="Q449" s="26"/>
      <c r="R449" s="26"/>
      <c r="S449" s="26"/>
      <c r="T449" s="26"/>
      <c r="U449" s="26"/>
      <c r="V449" s="26"/>
      <c r="W449" s="26">
        <v>0</v>
      </c>
      <c r="X449" s="26">
        <v>0</v>
      </c>
      <c r="Y449" s="26">
        <v>0</v>
      </c>
      <c r="Z449" s="26">
        <v>0</v>
      </c>
    </row>
    <row r="450" spans="1:28" x14ac:dyDescent="0.25">
      <c r="A450" s="11">
        <v>454</v>
      </c>
      <c r="B450">
        <v>3471</v>
      </c>
      <c r="C450" t="s">
        <v>2668</v>
      </c>
      <c r="D450" t="s">
        <v>2669</v>
      </c>
      <c r="E450" t="s">
        <v>0</v>
      </c>
      <c r="G450" t="s">
        <v>2670</v>
      </c>
      <c r="H450">
        <v>2014</v>
      </c>
      <c r="I450" t="s">
        <v>2671</v>
      </c>
      <c r="J450">
        <v>1</v>
      </c>
      <c r="K450">
        <v>1</v>
      </c>
      <c r="N450" s="11">
        <v>0</v>
      </c>
      <c r="P450" s="26"/>
      <c r="Q450" s="26"/>
      <c r="R450" s="26"/>
      <c r="S450" s="26"/>
      <c r="T450" s="26"/>
      <c r="U450" s="26"/>
      <c r="V450" s="26"/>
      <c r="W450" s="26">
        <v>0</v>
      </c>
      <c r="X450" s="26">
        <v>0</v>
      </c>
      <c r="Y450" s="26">
        <v>0</v>
      </c>
      <c r="Z450" s="26">
        <v>0</v>
      </c>
    </row>
    <row r="451" spans="1:28" x14ac:dyDescent="0.25">
      <c r="A451" s="11">
        <v>455</v>
      </c>
      <c r="B451">
        <v>6325</v>
      </c>
      <c r="C451" t="s">
        <v>194</v>
      </c>
      <c r="D451" t="s">
        <v>195</v>
      </c>
      <c r="E451" t="s">
        <v>6</v>
      </c>
      <c r="F451" t="s">
        <v>355</v>
      </c>
      <c r="G451" t="s">
        <v>356</v>
      </c>
      <c r="H451">
        <v>2012</v>
      </c>
      <c r="J451">
        <v>1</v>
      </c>
      <c r="N451" s="11">
        <v>0</v>
      </c>
      <c r="P451" s="26"/>
      <c r="Q451" s="26"/>
      <c r="R451" s="26"/>
      <c r="S451" s="26"/>
      <c r="T451" s="26"/>
      <c r="U451" s="26"/>
      <c r="V451" s="26"/>
      <c r="W451" s="26">
        <v>0</v>
      </c>
      <c r="X451" s="26">
        <v>0</v>
      </c>
      <c r="Y451" s="26">
        <v>0</v>
      </c>
      <c r="Z451" s="26">
        <v>0</v>
      </c>
    </row>
    <row r="452" spans="1:28" x14ac:dyDescent="0.25">
      <c r="A452" s="11">
        <v>456</v>
      </c>
      <c r="B452">
        <v>2827</v>
      </c>
      <c r="C452" t="s">
        <v>1809</v>
      </c>
      <c r="D452" s="8" t="s">
        <v>1810</v>
      </c>
      <c r="E452" t="s">
        <v>121</v>
      </c>
      <c r="G452" t="s">
        <v>1811</v>
      </c>
      <c r="H452">
        <v>2017</v>
      </c>
      <c r="I452" t="s">
        <v>1812</v>
      </c>
      <c r="J452">
        <v>1</v>
      </c>
      <c r="N452" s="11">
        <v>4</v>
      </c>
      <c r="O452" s="18" t="s">
        <v>3385</v>
      </c>
      <c r="P452" s="26" t="s">
        <v>3351</v>
      </c>
      <c r="Q452" s="26" t="s">
        <v>3361</v>
      </c>
      <c r="R452" s="26" t="s">
        <v>3239</v>
      </c>
      <c r="S452" s="26" t="s">
        <v>0</v>
      </c>
      <c r="T452" s="26" t="s">
        <v>3622</v>
      </c>
      <c r="U452" s="26" t="s">
        <v>69</v>
      </c>
      <c r="V452" s="26" t="s">
        <v>3631</v>
      </c>
      <c r="W452" s="26">
        <v>4</v>
      </c>
      <c r="X452" s="26">
        <v>4</v>
      </c>
      <c r="Y452" s="26">
        <v>4</v>
      </c>
      <c r="Z452" s="26">
        <v>4</v>
      </c>
      <c r="AA452" t="s">
        <v>3636</v>
      </c>
    </row>
    <row r="453" spans="1:28" x14ac:dyDescent="0.25">
      <c r="A453" s="11">
        <v>458</v>
      </c>
      <c r="B453">
        <v>5761</v>
      </c>
      <c r="C453" t="s">
        <v>783</v>
      </c>
      <c r="D453" t="s">
        <v>784</v>
      </c>
      <c r="E453" t="s">
        <v>0</v>
      </c>
      <c r="G453" t="s">
        <v>785</v>
      </c>
      <c r="H453">
        <v>2016</v>
      </c>
      <c r="I453" t="s">
        <v>786</v>
      </c>
      <c r="J453">
        <v>0</v>
      </c>
      <c r="N453" s="11">
        <v>4</v>
      </c>
      <c r="O453" s="18" t="s">
        <v>3160</v>
      </c>
      <c r="P453" s="26" t="s">
        <v>3492</v>
      </c>
      <c r="Q453" s="26" t="s">
        <v>3204</v>
      </c>
      <c r="R453" s="26" t="s">
        <v>3248</v>
      </c>
      <c r="S453" s="26" t="s">
        <v>1</v>
      </c>
      <c r="T453" s="26" t="s">
        <v>41</v>
      </c>
      <c r="U453" s="26" t="s">
        <v>69</v>
      </c>
      <c r="V453" s="26" t="s">
        <v>3296</v>
      </c>
      <c r="W453" s="26">
        <v>2</v>
      </c>
      <c r="X453" s="26">
        <v>2</v>
      </c>
      <c r="Y453" s="26">
        <v>2</v>
      </c>
      <c r="Z453" s="26">
        <v>2</v>
      </c>
      <c r="AA453" s="26" t="s">
        <v>3315</v>
      </c>
      <c r="AB453" t="s">
        <v>3281</v>
      </c>
    </row>
    <row r="454" spans="1:28" x14ac:dyDescent="0.25">
      <c r="A454" s="11">
        <v>459</v>
      </c>
      <c r="B454">
        <v>3556</v>
      </c>
      <c r="C454" t="s">
        <v>2202</v>
      </c>
      <c r="D454" t="s">
        <v>2203</v>
      </c>
      <c r="E454" t="s">
        <v>0</v>
      </c>
      <c r="G454" t="s">
        <v>2204</v>
      </c>
      <c r="H454">
        <v>2013</v>
      </c>
      <c r="I454" t="s">
        <v>2205</v>
      </c>
      <c r="J454">
        <v>1</v>
      </c>
      <c r="N454" s="11">
        <v>3</v>
      </c>
      <c r="O454" s="18" t="s">
        <v>3244</v>
      </c>
      <c r="P454" s="26" t="s">
        <v>3492</v>
      </c>
      <c r="Q454" s="26" t="s">
        <v>3258</v>
      </c>
      <c r="R454" s="26" t="s">
        <v>3187</v>
      </c>
      <c r="S454" s="26" t="s">
        <v>0</v>
      </c>
      <c r="T454" s="26" t="s">
        <v>38</v>
      </c>
      <c r="U454" s="26" t="s">
        <v>69</v>
      </c>
      <c r="V454" s="26" t="s">
        <v>3336</v>
      </c>
      <c r="W454" s="26">
        <v>4</v>
      </c>
      <c r="X454" s="26">
        <v>4</v>
      </c>
      <c r="Y454" s="26">
        <v>4</v>
      </c>
      <c r="Z454" s="26">
        <v>4</v>
      </c>
      <c r="AA454" t="s">
        <v>3335</v>
      </c>
    </row>
    <row r="455" spans="1:28" x14ac:dyDescent="0.25">
      <c r="A455" s="11">
        <v>461</v>
      </c>
      <c r="B455">
        <v>2615</v>
      </c>
      <c r="C455" t="s">
        <v>1919</v>
      </c>
      <c r="D455" s="13" t="s">
        <v>1920</v>
      </c>
      <c r="E455" t="s">
        <v>0</v>
      </c>
      <c r="G455" t="s">
        <v>1921</v>
      </c>
      <c r="H455">
        <v>2018</v>
      </c>
      <c r="I455" t="s">
        <v>1922</v>
      </c>
      <c r="J455">
        <v>1</v>
      </c>
      <c r="N455" s="11">
        <v>0</v>
      </c>
      <c r="P455" s="26"/>
      <c r="Q455" s="26"/>
      <c r="R455" s="26"/>
      <c r="S455" s="26"/>
      <c r="T455" s="26"/>
      <c r="U455" s="26"/>
      <c r="V455" s="26"/>
      <c r="W455" s="26">
        <v>0</v>
      </c>
      <c r="X455" s="26">
        <v>0</v>
      </c>
      <c r="Y455" s="26">
        <v>0</v>
      </c>
      <c r="Z455" s="26">
        <v>0</v>
      </c>
    </row>
    <row r="456" spans="1:28" x14ac:dyDescent="0.25">
      <c r="A456" s="11">
        <v>462</v>
      </c>
      <c r="B456">
        <v>6260</v>
      </c>
      <c r="C456" t="s">
        <v>196</v>
      </c>
      <c r="D456" t="s">
        <v>197</v>
      </c>
      <c r="E456" t="s">
        <v>1</v>
      </c>
      <c r="F456" t="s">
        <v>357</v>
      </c>
      <c r="G456" t="s">
        <v>358</v>
      </c>
      <c r="H456" t="s">
        <v>147</v>
      </c>
      <c r="I456">
        <v>6</v>
      </c>
      <c r="J456">
        <v>1</v>
      </c>
      <c r="N456" s="11">
        <v>0</v>
      </c>
      <c r="P456" s="26"/>
      <c r="Q456" s="26"/>
      <c r="R456" s="26"/>
      <c r="S456" s="26"/>
      <c r="T456" s="26"/>
      <c r="U456" s="26"/>
      <c r="V456" s="26"/>
      <c r="W456" s="26">
        <v>0</v>
      </c>
      <c r="X456" s="26">
        <v>0</v>
      </c>
      <c r="Y456" s="26">
        <v>0</v>
      </c>
      <c r="Z456" s="26">
        <v>0</v>
      </c>
    </row>
    <row r="457" spans="1:28" x14ac:dyDescent="0.25">
      <c r="A457" s="11">
        <v>463</v>
      </c>
      <c r="B457">
        <v>5678</v>
      </c>
      <c r="C457" t="s">
        <v>738</v>
      </c>
      <c r="D457" t="s">
        <v>739</v>
      </c>
      <c r="E457" t="s">
        <v>0</v>
      </c>
      <c r="G457" t="s">
        <v>740</v>
      </c>
      <c r="H457">
        <v>2018</v>
      </c>
      <c r="I457" t="s">
        <v>741</v>
      </c>
      <c r="J457">
        <v>1</v>
      </c>
      <c r="N457" s="11">
        <v>0</v>
      </c>
      <c r="P457" s="26"/>
      <c r="Q457" s="26"/>
      <c r="R457" s="26"/>
      <c r="S457" s="26"/>
      <c r="T457" s="26"/>
      <c r="U457" s="26"/>
      <c r="V457" s="26"/>
      <c r="W457" s="26">
        <v>0</v>
      </c>
      <c r="X457" s="26">
        <v>0</v>
      </c>
      <c r="Y457" s="26">
        <v>0</v>
      </c>
      <c r="Z457" s="26">
        <v>0</v>
      </c>
    </row>
    <row r="458" spans="1:28" x14ac:dyDescent="0.25">
      <c r="A458" s="11">
        <v>464</v>
      </c>
      <c r="B458">
        <v>3391</v>
      </c>
      <c r="C458" t="s">
        <v>2755</v>
      </c>
      <c r="D458" t="s">
        <v>2756</v>
      </c>
      <c r="E458" t="s">
        <v>0</v>
      </c>
      <c r="G458" t="s">
        <v>2757</v>
      </c>
      <c r="H458">
        <v>2014</v>
      </c>
      <c r="I458" t="s">
        <v>2758</v>
      </c>
      <c r="J458">
        <v>1</v>
      </c>
      <c r="N458" s="11">
        <v>0</v>
      </c>
      <c r="P458" s="26"/>
      <c r="Q458" s="26"/>
      <c r="R458" s="26"/>
      <c r="S458" s="26"/>
      <c r="T458" s="26"/>
      <c r="U458" s="26"/>
      <c r="V458" s="26"/>
      <c r="W458" s="26">
        <v>0</v>
      </c>
      <c r="X458" s="26">
        <v>0</v>
      </c>
      <c r="Y458" s="26">
        <v>0</v>
      </c>
      <c r="Z458" s="26">
        <v>0</v>
      </c>
    </row>
    <row r="459" spans="1:28" x14ac:dyDescent="0.25">
      <c r="A459" s="11">
        <v>465</v>
      </c>
      <c r="B459">
        <v>6390</v>
      </c>
      <c r="C459" t="s">
        <v>198</v>
      </c>
      <c r="D459" s="26" t="s">
        <v>199</v>
      </c>
      <c r="E459" t="s">
        <v>6</v>
      </c>
      <c r="F459" t="s">
        <v>359</v>
      </c>
      <c r="G459" t="s">
        <v>360</v>
      </c>
      <c r="H459">
        <v>2015</v>
      </c>
      <c r="I459" t="s">
        <v>281</v>
      </c>
      <c r="J459">
        <v>1</v>
      </c>
      <c r="N459" s="11">
        <v>0</v>
      </c>
      <c r="P459" s="26"/>
      <c r="Q459" s="26"/>
      <c r="R459" s="26"/>
      <c r="S459" s="26"/>
      <c r="T459" s="26"/>
      <c r="U459" s="26"/>
      <c r="V459" s="26"/>
      <c r="W459" s="26">
        <v>0</v>
      </c>
      <c r="X459" s="26">
        <v>0</v>
      </c>
      <c r="Y459" s="26">
        <v>0</v>
      </c>
      <c r="Z459" s="26">
        <v>0</v>
      </c>
    </row>
    <row r="460" spans="1:28" x14ac:dyDescent="0.25">
      <c r="A460" s="11">
        <v>466</v>
      </c>
      <c r="B460">
        <v>2898</v>
      </c>
      <c r="C460" t="s">
        <v>2602</v>
      </c>
      <c r="D460" s="26" t="s">
        <v>2603</v>
      </c>
      <c r="E460" t="s">
        <v>0</v>
      </c>
      <c r="G460" t="s">
        <v>2604</v>
      </c>
      <c r="H460">
        <v>2017</v>
      </c>
      <c r="I460" t="s">
        <v>2605</v>
      </c>
      <c r="J460">
        <v>1</v>
      </c>
      <c r="N460" s="11">
        <v>5</v>
      </c>
      <c r="O460" s="18" t="s">
        <v>3159</v>
      </c>
      <c r="P460" s="26" t="s">
        <v>3453</v>
      </c>
      <c r="Q460" s="26" t="s">
        <v>3454</v>
      </c>
      <c r="R460" s="26" t="s">
        <v>3257</v>
      </c>
      <c r="S460" s="26" t="s">
        <v>0</v>
      </c>
      <c r="T460" s="26" t="s">
        <v>38</v>
      </c>
      <c r="U460" s="26" t="s">
        <v>69</v>
      </c>
      <c r="V460" s="26" t="s">
        <v>3280</v>
      </c>
      <c r="W460" s="26">
        <v>5</v>
      </c>
      <c r="X460" s="26">
        <v>5</v>
      </c>
      <c r="Y460" s="26">
        <v>5</v>
      </c>
      <c r="Z460" s="26">
        <v>5</v>
      </c>
      <c r="AA460" t="s">
        <v>3455</v>
      </c>
    </row>
    <row r="461" spans="1:28" x14ac:dyDescent="0.25">
      <c r="A461" s="11">
        <v>467</v>
      </c>
      <c r="B461">
        <v>2996</v>
      </c>
      <c r="C461" t="s">
        <v>1732</v>
      </c>
      <c r="D461" t="s">
        <v>1733</v>
      </c>
      <c r="E461" t="s">
        <v>1734</v>
      </c>
      <c r="G461" t="s">
        <v>1735</v>
      </c>
      <c r="H461">
        <v>2017</v>
      </c>
      <c r="I461" t="s">
        <v>1736</v>
      </c>
      <c r="J461">
        <v>1</v>
      </c>
      <c r="N461" s="11">
        <v>0</v>
      </c>
      <c r="P461" s="26"/>
      <c r="Q461" s="26"/>
      <c r="R461" s="26"/>
      <c r="S461" s="26"/>
      <c r="T461" s="26"/>
      <c r="U461" s="26"/>
      <c r="V461" s="26"/>
      <c r="W461" s="26">
        <v>0</v>
      </c>
      <c r="X461" s="26">
        <v>0</v>
      </c>
      <c r="Y461" s="26">
        <v>0</v>
      </c>
      <c r="Z461" s="26">
        <v>0</v>
      </c>
    </row>
    <row r="462" spans="1:28" x14ac:dyDescent="0.25">
      <c r="A462" s="11">
        <v>468</v>
      </c>
      <c r="B462">
        <v>2515</v>
      </c>
      <c r="C462" t="s">
        <v>2325</v>
      </c>
      <c r="D462" t="s">
        <v>2326</v>
      </c>
      <c r="E462" t="s">
        <v>22</v>
      </c>
      <c r="G462" t="s">
        <v>2327</v>
      </c>
      <c r="H462">
        <v>2019</v>
      </c>
      <c r="I462" t="s">
        <v>2328</v>
      </c>
      <c r="J462">
        <v>1</v>
      </c>
      <c r="N462" s="11">
        <v>0</v>
      </c>
      <c r="P462" s="26"/>
      <c r="Q462" s="26"/>
      <c r="R462" s="26"/>
      <c r="S462" s="26"/>
      <c r="T462" s="26"/>
      <c r="U462" s="26"/>
      <c r="V462" s="26"/>
      <c r="W462" s="26">
        <v>0</v>
      </c>
      <c r="X462" s="26">
        <v>0</v>
      </c>
      <c r="Y462" s="26">
        <v>0</v>
      </c>
      <c r="Z462" s="26">
        <v>0</v>
      </c>
    </row>
    <row r="463" spans="1:28" x14ac:dyDescent="0.25">
      <c r="A463" s="11">
        <v>469</v>
      </c>
      <c r="B463">
        <v>3112</v>
      </c>
      <c r="C463" t="s">
        <v>2537</v>
      </c>
      <c r="D463" t="s">
        <v>2538</v>
      </c>
      <c r="E463" t="s">
        <v>0</v>
      </c>
      <c r="G463" t="s">
        <v>2539</v>
      </c>
      <c r="H463">
        <v>2016</v>
      </c>
      <c r="I463" t="s">
        <v>2540</v>
      </c>
      <c r="J463">
        <v>1</v>
      </c>
      <c r="N463" s="11">
        <v>5</v>
      </c>
      <c r="O463" s="18" t="s">
        <v>3157</v>
      </c>
      <c r="P463" s="26" t="s">
        <v>3258</v>
      </c>
      <c r="Q463" s="26" t="s">
        <v>3207</v>
      </c>
      <c r="R463" s="26" t="s">
        <v>3228</v>
      </c>
      <c r="S463" s="26" t="s">
        <v>0</v>
      </c>
      <c r="T463" s="26" t="s">
        <v>38</v>
      </c>
      <c r="U463" s="26" t="s">
        <v>69</v>
      </c>
      <c r="V463" s="26" t="s">
        <v>3377</v>
      </c>
      <c r="W463" s="26">
        <v>5</v>
      </c>
      <c r="X463" s="26">
        <v>5</v>
      </c>
      <c r="Y463" s="26">
        <v>5</v>
      </c>
      <c r="Z463" s="26">
        <v>5</v>
      </c>
      <c r="AA463" t="s">
        <v>56</v>
      </c>
    </row>
    <row r="464" spans="1:28" x14ac:dyDescent="0.25">
      <c r="A464" s="11">
        <v>470</v>
      </c>
      <c r="B464">
        <v>2622</v>
      </c>
      <c r="C464" t="s">
        <v>2637</v>
      </c>
      <c r="D464" t="s">
        <v>2638</v>
      </c>
      <c r="E464" t="s">
        <v>0</v>
      </c>
      <c r="G464" t="s">
        <v>2639</v>
      </c>
      <c r="H464">
        <v>2018</v>
      </c>
      <c r="I464" t="s">
        <v>2640</v>
      </c>
      <c r="J464">
        <v>1</v>
      </c>
      <c r="N464" s="11">
        <v>0</v>
      </c>
      <c r="P464" s="26"/>
      <c r="Q464" s="26"/>
      <c r="R464" s="26"/>
      <c r="S464" s="26"/>
      <c r="T464" s="26"/>
      <c r="U464" s="26"/>
      <c r="V464" s="26"/>
      <c r="W464" s="26">
        <v>0</v>
      </c>
      <c r="X464" s="26">
        <v>0</v>
      </c>
      <c r="Y464" s="26">
        <v>0</v>
      </c>
      <c r="Z464" s="26">
        <v>0</v>
      </c>
    </row>
    <row r="465" spans="1:28" x14ac:dyDescent="0.25">
      <c r="A465" s="11">
        <v>471</v>
      </c>
      <c r="B465">
        <v>6348</v>
      </c>
      <c r="C465" t="s">
        <v>200</v>
      </c>
      <c r="D465" t="s">
        <v>201</v>
      </c>
      <c r="E465" t="s">
        <v>6</v>
      </c>
      <c r="F465" t="s">
        <v>361</v>
      </c>
      <c r="G465" t="s">
        <v>362</v>
      </c>
      <c r="H465">
        <v>2017</v>
      </c>
      <c r="I465" t="s">
        <v>282</v>
      </c>
      <c r="J465">
        <v>1</v>
      </c>
      <c r="N465" s="11">
        <v>0</v>
      </c>
      <c r="P465" s="26"/>
      <c r="Q465" s="26"/>
      <c r="R465" s="26"/>
      <c r="S465" s="26"/>
      <c r="T465" s="26"/>
      <c r="U465" s="26"/>
      <c r="V465" s="26"/>
      <c r="W465" s="26">
        <v>0</v>
      </c>
      <c r="X465" s="26">
        <v>0</v>
      </c>
      <c r="Y465" s="26">
        <v>0</v>
      </c>
      <c r="Z465" s="26">
        <v>0</v>
      </c>
    </row>
    <row r="466" spans="1:28" x14ac:dyDescent="0.25">
      <c r="A466" s="11">
        <v>472</v>
      </c>
      <c r="B466">
        <v>2858</v>
      </c>
      <c r="C466" t="s">
        <v>2000</v>
      </c>
      <c r="D466" s="26" t="s">
        <v>2001</v>
      </c>
      <c r="E466" t="s">
        <v>0</v>
      </c>
      <c r="G466" t="s">
        <v>2002</v>
      </c>
      <c r="H466">
        <v>2017</v>
      </c>
      <c r="I466" t="s">
        <v>2003</v>
      </c>
      <c r="J466">
        <v>1</v>
      </c>
      <c r="N466" s="11">
        <v>0</v>
      </c>
      <c r="P466" s="26"/>
      <c r="Q466" s="26"/>
      <c r="R466" s="26"/>
      <c r="S466" s="26"/>
      <c r="T466" s="26"/>
      <c r="U466" s="26"/>
      <c r="V466" s="26"/>
      <c r="W466" s="26">
        <v>0</v>
      </c>
      <c r="X466" s="26">
        <v>0</v>
      </c>
      <c r="Y466" s="26">
        <v>0</v>
      </c>
      <c r="Z466" s="26">
        <v>0</v>
      </c>
    </row>
    <row r="467" spans="1:28" x14ac:dyDescent="0.25">
      <c r="A467" s="11">
        <v>473</v>
      </c>
      <c r="B467">
        <v>3064</v>
      </c>
      <c r="C467" t="s">
        <v>2676</v>
      </c>
      <c r="D467" t="s">
        <v>2677</v>
      </c>
      <c r="E467" t="s">
        <v>1193</v>
      </c>
      <c r="G467" t="s">
        <v>2678</v>
      </c>
      <c r="H467">
        <v>2016</v>
      </c>
      <c r="I467" t="s">
        <v>2679</v>
      </c>
      <c r="J467">
        <v>1</v>
      </c>
      <c r="K467">
        <v>1</v>
      </c>
      <c r="L467">
        <v>1</v>
      </c>
      <c r="N467" s="11">
        <v>5</v>
      </c>
      <c r="O467" s="18" t="s">
        <v>3386</v>
      </c>
      <c r="P467" s="26" t="s">
        <v>3258</v>
      </c>
      <c r="Q467" s="26" t="s">
        <v>3454</v>
      </c>
      <c r="R467" s="26" t="s">
        <v>3587</v>
      </c>
      <c r="S467" s="26" t="s">
        <v>1</v>
      </c>
      <c r="T467" s="26" t="s">
        <v>38</v>
      </c>
      <c r="U467" s="26" t="s">
        <v>69</v>
      </c>
      <c r="V467" s="26" t="s">
        <v>3336</v>
      </c>
      <c r="W467" s="26">
        <v>5</v>
      </c>
      <c r="X467" s="26">
        <v>5</v>
      </c>
      <c r="Y467" s="26">
        <v>5</v>
      </c>
      <c r="Z467" s="26">
        <v>5</v>
      </c>
      <c r="AA467" t="s">
        <v>3588</v>
      </c>
    </row>
    <row r="468" spans="1:28" x14ac:dyDescent="0.25">
      <c r="A468" s="11">
        <v>474</v>
      </c>
      <c r="B468">
        <v>3170</v>
      </c>
      <c r="C468" t="s">
        <v>2598</v>
      </c>
      <c r="D468" t="s">
        <v>2599</v>
      </c>
      <c r="E468" t="s">
        <v>0</v>
      </c>
      <c r="G468" t="s">
        <v>2600</v>
      </c>
      <c r="H468">
        <v>2015</v>
      </c>
      <c r="I468" t="s">
        <v>2601</v>
      </c>
      <c r="J468">
        <v>1</v>
      </c>
      <c r="N468" s="11">
        <v>0</v>
      </c>
      <c r="P468" s="26"/>
      <c r="Q468" s="26"/>
      <c r="R468" s="26"/>
      <c r="S468" s="26"/>
      <c r="T468" s="26"/>
      <c r="U468" s="26"/>
      <c r="V468" s="26"/>
      <c r="W468" s="26">
        <v>0</v>
      </c>
      <c r="X468" s="26">
        <v>0</v>
      </c>
      <c r="Y468" s="26">
        <v>0</v>
      </c>
      <c r="Z468" s="26">
        <v>0</v>
      </c>
    </row>
    <row r="469" spans="1:28" x14ac:dyDescent="0.25">
      <c r="A469" s="11">
        <v>475</v>
      </c>
      <c r="B469">
        <v>4637</v>
      </c>
      <c r="C469" t="s">
        <v>1283</v>
      </c>
      <c r="D469" t="s">
        <v>2891</v>
      </c>
      <c r="E469" t="s">
        <v>2</v>
      </c>
      <c r="G469" t="s">
        <v>2892</v>
      </c>
      <c r="H469">
        <v>2012</v>
      </c>
      <c r="I469" t="s">
        <v>2893</v>
      </c>
      <c r="J469">
        <v>1</v>
      </c>
      <c r="N469" s="11">
        <v>0</v>
      </c>
      <c r="P469" s="26"/>
      <c r="Q469" s="26"/>
      <c r="R469" s="26"/>
      <c r="S469" s="26"/>
      <c r="T469" s="26"/>
      <c r="U469" s="26"/>
      <c r="V469" s="26"/>
      <c r="W469" s="26">
        <v>0</v>
      </c>
      <c r="X469" s="26">
        <v>0</v>
      </c>
      <c r="Y469" s="26">
        <v>0</v>
      </c>
      <c r="Z469" s="26">
        <v>0</v>
      </c>
    </row>
    <row r="470" spans="1:28" x14ac:dyDescent="0.25">
      <c r="A470" s="11">
        <v>476</v>
      </c>
      <c r="B470">
        <v>3456</v>
      </c>
      <c r="C470" t="s">
        <v>1427</v>
      </c>
      <c r="D470" t="s">
        <v>1428</v>
      </c>
      <c r="E470" t="s">
        <v>0</v>
      </c>
      <c r="G470" t="s">
        <v>1429</v>
      </c>
      <c r="H470">
        <v>2014</v>
      </c>
      <c r="I470" t="s">
        <v>1430</v>
      </c>
      <c r="J470">
        <v>1</v>
      </c>
      <c r="N470" s="11">
        <v>0</v>
      </c>
      <c r="P470" s="26"/>
      <c r="Q470" s="26"/>
      <c r="R470" s="26"/>
      <c r="S470" s="26"/>
      <c r="T470" s="26"/>
      <c r="U470" s="26"/>
      <c r="V470" s="26"/>
      <c r="W470" s="26">
        <v>0</v>
      </c>
      <c r="X470" s="26">
        <v>0</v>
      </c>
      <c r="Y470" s="26">
        <v>0</v>
      </c>
      <c r="Z470" s="26">
        <v>0</v>
      </c>
    </row>
    <row r="471" spans="1:28" x14ac:dyDescent="0.25">
      <c r="A471" s="11">
        <v>477</v>
      </c>
      <c r="B471">
        <v>4586</v>
      </c>
      <c r="C471" t="s">
        <v>3032</v>
      </c>
      <c r="D471" t="s">
        <v>3033</v>
      </c>
      <c r="E471" t="s">
        <v>3034</v>
      </c>
      <c r="G471" t="s">
        <v>3035</v>
      </c>
      <c r="H471">
        <v>2012</v>
      </c>
      <c r="I471" t="s">
        <v>3036</v>
      </c>
      <c r="J471">
        <v>1</v>
      </c>
      <c r="N471" s="11">
        <v>0</v>
      </c>
      <c r="P471" s="26"/>
      <c r="Q471" s="26"/>
      <c r="R471" s="26"/>
      <c r="S471" s="26"/>
      <c r="T471" s="26"/>
      <c r="U471" s="26"/>
      <c r="V471" s="26"/>
      <c r="W471" s="26">
        <v>0</v>
      </c>
      <c r="X471" s="26">
        <v>0</v>
      </c>
      <c r="Y471" s="26">
        <v>0</v>
      </c>
      <c r="Z471" s="26">
        <v>0</v>
      </c>
    </row>
    <row r="472" spans="1:28" x14ac:dyDescent="0.25">
      <c r="A472" s="11">
        <v>478</v>
      </c>
      <c r="B472">
        <v>3931</v>
      </c>
      <c r="C472" t="s">
        <v>3020</v>
      </c>
      <c r="D472" t="s">
        <v>3021</v>
      </c>
      <c r="E472" t="s">
        <v>3</v>
      </c>
      <c r="G472" t="s">
        <v>3022</v>
      </c>
      <c r="H472">
        <v>2018</v>
      </c>
      <c r="I472" t="s">
        <v>3023</v>
      </c>
      <c r="J472">
        <v>1</v>
      </c>
      <c r="N472" s="11">
        <v>0</v>
      </c>
      <c r="P472" s="26"/>
      <c r="Q472" s="26"/>
      <c r="R472" s="26"/>
      <c r="S472" s="26"/>
      <c r="T472" s="26"/>
      <c r="U472" s="26"/>
      <c r="V472" s="26"/>
      <c r="W472" s="26">
        <v>0</v>
      </c>
      <c r="X472" s="26">
        <v>0</v>
      </c>
      <c r="Y472" s="26">
        <v>0</v>
      </c>
      <c r="Z472" s="26">
        <v>0</v>
      </c>
    </row>
    <row r="473" spans="1:28" x14ac:dyDescent="0.25">
      <c r="A473" s="11">
        <v>479</v>
      </c>
      <c r="B473">
        <v>3262</v>
      </c>
      <c r="C473" t="s">
        <v>2282</v>
      </c>
      <c r="D473" t="s">
        <v>2283</v>
      </c>
      <c r="E473" t="s">
        <v>0</v>
      </c>
      <c r="G473" t="s">
        <v>2284</v>
      </c>
      <c r="H473">
        <v>2015</v>
      </c>
      <c r="I473" t="s">
        <v>2285</v>
      </c>
      <c r="J473">
        <v>1</v>
      </c>
      <c r="N473" s="11">
        <v>0</v>
      </c>
      <c r="P473" s="26"/>
      <c r="Q473" s="26"/>
      <c r="R473" s="26"/>
      <c r="S473" s="26"/>
      <c r="T473" s="26"/>
      <c r="U473" s="26"/>
      <c r="V473" s="26"/>
      <c r="W473" s="26">
        <v>0</v>
      </c>
      <c r="X473" s="26">
        <v>0</v>
      </c>
      <c r="Y473" s="26">
        <v>0</v>
      </c>
      <c r="Z473" s="26">
        <v>0</v>
      </c>
    </row>
    <row r="474" spans="1:28" x14ac:dyDescent="0.25">
      <c r="A474" s="11">
        <v>480</v>
      </c>
      <c r="B474">
        <v>4137</v>
      </c>
      <c r="C474" t="s">
        <v>2926</v>
      </c>
      <c r="D474" s="13" t="s">
        <v>2927</v>
      </c>
      <c r="E474" t="s">
        <v>2928</v>
      </c>
      <c r="G474" t="s">
        <v>2929</v>
      </c>
      <c r="H474">
        <v>2016</v>
      </c>
      <c r="I474" t="s">
        <v>2930</v>
      </c>
      <c r="J474">
        <v>1</v>
      </c>
      <c r="N474" s="11">
        <v>0</v>
      </c>
      <c r="P474" s="26"/>
      <c r="Q474" s="26"/>
      <c r="R474" s="26"/>
      <c r="S474" s="26"/>
      <c r="T474" s="26"/>
      <c r="U474" s="26"/>
      <c r="V474" s="26"/>
      <c r="W474" s="26">
        <v>0</v>
      </c>
      <c r="X474" s="26">
        <v>0</v>
      </c>
      <c r="Y474" s="26">
        <v>0</v>
      </c>
      <c r="Z474" s="26">
        <v>0</v>
      </c>
    </row>
    <row r="475" spans="1:28" x14ac:dyDescent="0.25">
      <c r="A475" s="11">
        <v>481</v>
      </c>
      <c r="B475">
        <v>6067</v>
      </c>
      <c r="C475" t="s">
        <v>742</v>
      </c>
      <c r="D475" t="s">
        <v>743</v>
      </c>
      <c r="E475" t="s">
        <v>0</v>
      </c>
      <c r="G475" t="s">
        <v>744</v>
      </c>
      <c r="H475">
        <v>2012</v>
      </c>
      <c r="I475" t="s">
        <v>745</v>
      </c>
      <c r="J475">
        <v>1</v>
      </c>
      <c r="K475">
        <v>-1</v>
      </c>
      <c r="N475" s="11">
        <v>0</v>
      </c>
      <c r="P475" s="26"/>
      <c r="Q475" s="26"/>
      <c r="R475" s="26"/>
      <c r="S475" s="26"/>
      <c r="T475" s="26"/>
      <c r="U475" s="26"/>
      <c r="V475" s="26"/>
      <c r="W475" s="26">
        <v>0</v>
      </c>
      <c r="X475" s="26">
        <v>0</v>
      </c>
      <c r="Y475" s="26">
        <v>0</v>
      </c>
      <c r="Z475" s="26">
        <v>0</v>
      </c>
    </row>
    <row r="476" spans="1:28" x14ac:dyDescent="0.25">
      <c r="A476" s="11">
        <v>482</v>
      </c>
      <c r="B476">
        <v>4626</v>
      </c>
      <c r="C476" t="s">
        <v>3112</v>
      </c>
      <c r="D476" t="s">
        <v>3128</v>
      </c>
      <c r="E476" t="s">
        <v>2</v>
      </c>
      <c r="G476" t="s">
        <v>3129</v>
      </c>
      <c r="H476">
        <v>2012</v>
      </c>
      <c r="I476" t="s">
        <v>3130</v>
      </c>
      <c r="J476">
        <v>1</v>
      </c>
      <c r="N476" s="11">
        <v>0</v>
      </c>
      <c r="P476" s="26"/>
      <c r="Q476" s="26"/>
      <c r="R476" s="26"/>
      <c r="S476" s="26"/>
      <c r="T476" s="26"/>
      <c r="U476" s="26"/>
      <c r="V476" s="26"/>
      <c r="W476" s="26">
        <v>0</v>
      </c>
      <c r="X476" s="26">
        <v>0</v>
      </c>
      <c r="Y476" s="26">
        <v>0</v>
      </c>
      <c r="Z476" s="26">
        <v>0</v>
      </c>
    </row>
    <row r="477" spans="1:28" x14ac:dyDescent="0.25">
      <c r="A477" s="11">
        <v>483</v>
      </c>
      <c r="B477">
        <v>4363</v>
      </c>
      <c r="C477" t="s">
        <v>3104</v>
      </c>
      <c r="D477" t="s">
        <v>3105</v>
      </c>
      <c r="E477" t="s">
        <v>2</v>
      </c>
      <c r="G477" t="s">
        <v>3106</v>
      </c>
      <c r="H477">
        <v>2015</v>
      </c>
      <c r="I477" t="s">
        <v>3107</v>
      </c>
      <c r="J477">
        <v>1</v>
      </c>
      <c r="N477" s="11">
        <v>0</v>
      </c>
      <c r="P477" s="26"/>
      <c r="Q477" s="26"/>
      <c r="R477" s="26"/>
      <c r="S477" s="26"/>
      <c r="T477" s="26"/>
      <c r="U477" s="26"/>
      <c r="V477" s="26"/>
      <c r="W477" s="26">
        <v>0</v>
      </c>
      <c r="X477" s="26">
        <v>0</v>
      </c>
      <c r="Y477" s="26">
        <v>0</v>
      </c>
      <c r="Z477" s="26">
        <v>0</v>
      </c>
    </row>
    <row r="478" spans="1:28" x14ac:dyDescent="0.25">
      <c r="A478" s="11">
        <v>484</v>
      </c>
      <c r="B478">
        <v>2982</v>
      </c>
      <c r="C478" t="s">
        <v>2649</v>
      </c>
      <c r="D478" t="s">
        <v>2650</v>
      </c>
      <c r="E478" t="s">
        <v>5</v>
      </c>
      <c r="G478" t="s">
        <v>2651</v>
      </c>
      <c r="H478">
        <v>2017</v>
      </c>
      <c r="I478" t="s">
        <v>2652</v>
      </c>
      <c r="J478">
        <v>1</v>
      </c>
      <c r="N478" s="11">
        <v>0</v>
      </c>
      <c r="P478" s="26"/>
      <c r="Q478" s="26"/>
      <c r="R478" s="26"/>
      <c r="S478" s="26"/>
      <c r="T478" s="26"/>
      <c r="U478" s="26"/>
      <c r="V478" s="26"/>
      <c r="W478" s="26">
        <v>0</v>
      </c>
      <c r="X478" s="26">
        <v>0</v>
      </c>
      <c r="Y478" s="26">
        <v>0</v>
      </c>
      <c r="Z478" s="26">
        <v>0</v>
      </c>
      <c r="AB478" t="s">
        <v>3589</v>
      </c>
    </row>
    <row r="479" spans="1:28" x14ac:dyDescent="0.25">
      <c r="A479" s="11">
        <v>485</v>
      </c>
      <c r="B479">
        <v>5607</v>
      </c>
      <c r="C479" t="s">
        <v>1113</v>
      </c>
      <c r="D479" t="s">
        <v>1114</v>
      </c>
      <c r="E479" t="s">
        <v>24</v>
      </c>
      <c r="G479" t="s">
        <v>1115</v>
      </c>
      <c r="H479">
        <v>2017</v>
      </c>
      <c r="I479" t="s">
        <v>1116</v>
      </c>
      <c r="J479">
        <v>1</v>
      </c>
      <c r="N479" s="11">
        <v>0</v>
      </c>
      <c r="P479" s="26"/>
      <c r="Q479" s="26"/>
      <c r="R479" s="26"/>
      <c r="S479" s="26"/>
      <c r="T479" s="26"/>
      <c r="U479" s="26"/>
      <c r="V479" s="26"/>
      <c r="W479" s="26">
        <v>0</v>
      </c>
      <c r="X479" s="26">
        <v>0</v>
      </c>
      <c r="Y479" s="26">
        <v>0</v>
      </c>
      <c r="Z479" s="26">
        <v>0</v>
      </c>
    </row>
    <row r="480" spans="1:28" x14ac:dyDescent="0.25">
      <c r="A480" s="11">
        <v>486</v>
      </c>
      <c r="B480">
        <v>2975</v>
      </c>
      <c r="C480" t="s">
        <v>2613</v>
      </c>
      <c r="D480" t="s">
        <v>2614</v>
      </c>
      <c r="E480" t="s">
        <v>122</v>
      </c>
      <c r="G480" t="s">
        <v>2615</v>
      </c>
      <c r="H480">
        <v>2017</v>
      </c>
      <c r="I480" t="s">
        <v>2616</v>
      </c>
      <c r="J480">
        <v>1</v>
      </c>
      <c r="N480" s="11">
        <v>0</v>
      </c>
      <c r="P480" s="26"/>
      <c r="Q480" s="26"/>
      <c r="R480" s="26"/>
      <c r="S480" s="26"/>
      <c r="T480" s="26"/>
      <c r="U480" s="26"/>
      <c r="V480" s="26"/>
      <c r="W480" s="26">
        <v>0</v>
      </c>
      <c r="X480" s="26">
        <v>0</v>
      </c>
      <c r="Y480" s="26">
        <v>0</v>
      </c>
      <c r="Z480" s="26">
        <v>0</v>
      </c>
    </row>
    <row r="481" spans="1:27" x14ac:dyDescent="0.25">
      <c r="A481" s="11">
        <v>487</v>
      </c>
      <c r="B481">
        <v>2611</v>
      </c>
      <c r="C481" t="s">
        <v>2874</v>
      </c>
      <c r="D481" t="s">
        <v>2875</v>
      </c>
      <c r="E481" t="s">
        <v>0</v>
      </c>
      <c r="G481" t="s">
        <v>2876</v>
      </c>
      <c r="H481">
        <v>2018</v>
      </c>
      <c r="I481" t="s">
        <v>2877</v>
      </c>
      <c r="J481">
        <v>1</v>
      </c>
      <c r="N481" s="11">
        <v>0</v>
      </c>
      <c r="P481" s="26"/>
      <c r="Q481" s="26"/>
      <c r="R481" s="26"/>
      <c r="S481" s="26"/>
      <c r="T481" s="26"/>
      <c r="U481" s="26"/>
      <c r="V481" s="26"/>
      <c r="W481" s="26">
        <v>0</v>
      </c>
      <c r="X481" s="26">
        <v>0</v>
      </c>
      <c r="Y481" s="26">
        <v>0</v>
      </c>
      <c r="Z481" s="26">
        <v>0</v>
      </c>
    </row>
    <row r="482" spans="1:27" x14ac:dyDescent="0.25">
      <c r="A482" s="11">
        <v>488</v>
      </c>
      <c r="B482">
        <v>5952</v>
      </c>
      <c r="C482" t="s">
        <v>747</v>
      </c>
      <c r="D482" s="8" t="s">
        <v>748</v>
      </c>
      <c r="E482" t="s">
        <v>0</v>
      </c>
      <c r="G482" t="s">
        <v>749</v>
      </c>
      <c r="H482">
        <v>2015</v>
      </c>
      <c r="I482" t="s">
        <v>750</v>
      </c>
      <c r="J482">
        <v>1</v>
      </c>
      <c r="N482" s="11">
        <v>0</v>
      </c>
      <c r="P482" s="26"/>
      <c r="Q482" s="26"/>
      <c r="R482" s="26"/>
      <c r="S482" s="26"/>
      <c r="T482" s="26"/>
      <c r="U482" s="26"/>
      <c r="V482" s="26"/>
      <c r="W482" s="26">
        <v>0</v>
      </c>
      <c r="X482" s="26">
        <v>0</v>
      </c>
      <c r="Y482" s="26">
        <v>0</v>
      </c>
      <c r="Z482" s="26">
        <v>0</v>
      </c>
    </row>
    <row r="483" spans="1:27" x14ac:dyDescent="0.25">
      <c r="A483" s="11">
        <v>489</v>
      </c>
      <c r="B483">
        <v>2697</v>
      </c>
      <c r="C483" t="s">
        <v>2190</v>
      </c>
      <c r="D483" s="26" t="s">
        <v>2191</v>
      </c>
      <c r="E483" t="s">
        <v>0</v>
      </c>
      <c r="G483" t="s">
        <v>2192</v>
      </c>
      <c r="H483">
        <v>2018</v>
      </c>
      <c r="I483" t="s">
        <v>2193</v>
      </c>
      <c r="J483">
        <v>1</v>
      </c>
      <c r="N483" s="11">
        <v>0</v>
      </c>
    </row>
    <row r="484" spans="1:27" x14ac:dyDescent="0.25">
      <c r="A484" s="11">
        <v>490</v>
      </c>
      <c r="B484">
        <v>2552</v>
      </c>
      <c r="C484" t="s">
        <v>2594</v>
      </c>
      <c r="D484" s="26" t="s">
        <v>2595</v>
      </c>
      <c r="E484" t="s">
        <v>5</v>
      </c>
      <c r="G484" t="s">
        <v>2596</v>
      </c>
      <c r="H484">
        <v>2019</v>
      </c>
      <c r="I484" t="s">
        <v>2597</v>
      </c>
      <c r="J484">
        <v>1</v>
      </c>
      <c r="N484" s="11">
        <v>4</v>
      </c>
      <c r="O484" s="18" t="s">
        <v>3387</v>
      </c>
      <c r="P484" s="26" t="s">
        <v>3258</v>
      </c>
      <c r="Q484" s="26" t="s">
        <v>3565</v>
      </c>
      <c r="R484" s="26" t="s">
        <v>3524</v>
      </c>
      <c r="S484" s="26" t="s">
        <v>20</v>
      </c>
      <c r="T484" s="26" t="s">
        <v>38</v>
      </c>
      <c r="U484" s="26" t="s">
        <v>69</v>
      </c>
      <c r="V484" s="26" t="s">
        <v>3336</v>
      </c>
      <c r="W484" s="26">
        <v>5</v>
      </c>
      <c r="X484" s="26">
        <v>5</v>
      </c>
      <c r="Y484" s="26">
        <v>5</v>
      </c>
      <c r="Z484" s="26">
        <v>4</v>
      </c>
      <c r="AA484" t="s">
        <v>59</v>
      </c>
    </row>
    <row r="485" spans="1:27" x14ac:dyDescent="0.25">
      <c r="A485" s="11">
        <v>491</v>
      </c>
      <c r="B485">
        <v>2695</v>
      </c>
      <c r="C485" t="s">
        <v>2017</v>
      </c>
      <c r="D485" t="s">
        <v>2018</v>
      </c>
      <c r="E485" t="s">
        <v>0</v>
      </c>
      <c r="G485" t="s">
        <v>2019</v>
      </c>
      <c r="H485">
        <v>2018</v>
      </c>
      <c r="I485" t="s">
        <v>2020</v>
      </c>
      <c r="J485">
        <v>1</v>
      </c>
      <c r="N485" s="11">
        <v>0</v>
      </c>
      <c r="P485" s="26"/>
      <c r="Q485" s="26"/>
      <c r="R485" s="26"/>
      <c r="S485" s="26"/>
      <c r="T485" s="26"/>
      <c r="U485" s="26"/>
      <c r="V485" s="26"/>
      <c r="W485" s="26">
        <v>0</v>
      </c>
      <c r="X485" s="26">
        <v>0</v>
      </c>
      <c r="Y485" s="26">
        <v>0</v>
      </c>
      <c r="Z485" s="26">
        <v>0</v>
      </c>
    </row>
    <row r="486" spans="1:27" x14ac:dyDescent="0.25">
      <c r="A486" s="11">
        <v>492</v>
      </c>
      <c r="B486">
        <v>6154</v>
      </c>
      <c r="C486" t="s">
        <v>751</v>
      </c>
      <c r="D486" t="s">
        <v>752</v>
      </c>
      <c r="E486" t="s">
        <v>0</v>
      </c>
      <c r="G486" t="s">
        <v>753</v>
      </c>
      <c r="H486">
        <v>2015</v>
      </c>
      <c r="I486" t="s">
        <v>754</v>
      </c>
      <c r="J486">
        <v>1</v>
      </c>
      <c r="N486" s="11">
        <v>0</v>
      </c>
      <c r="P486" s="26"/>
      <c r="Q486" s="26"/>
      <c r="R486" s="26"/>
      <c r="S486" s="26"/>
      <c r="T486" s="26"/>
      <c r="U486" s="26"/>
      <c r="V486" s="26"/>
      <c r="W486" s="26">
        <v>0</v>
      </c>
      <c r="X486" s="26">
        <v>0</v>
      </c>
      <c r="Y486" s="26">
        <v>0</v>
      </c>
      <c r="Z486" s="26">
        <v>0</v>
      </c>
    </row>
    <row r="487" spans="1:27" x14ac:dyDescent="0.25">
      <c r="A487" s="11">
        <v>493</v>
      </c>
      <c r="B487">
        <v>4641</v>
      </c>
      <c r="C487" t="s">
        <v>1117</v>
      </c>
      <c r="D487" t="s">
        <v>1118</v>
      </c>
      <c r="E487" t="s">
        <v>2</v>
      </c>
      <c r="G487" t="s">
        <v>2931</v>
      </c>
      <c r="H487">
        <v>2012</v>
      </c>
      <c r="I487" t="s">
        <v>2932</v>
      </c>
      <c r="J487">
        <v>1</v>
      </c>
      <c r="N487" s="11">
        <v>0</v>
      </c>
      <c r="P487" s="26"/>
      <c r="Q487" s="26"/>
      <c r="R487" s="26"/>
      <c r="S487" s="26"/>
      <c r="T487" s="26"/>
      <c r="U487" s="26"/>
      <c r="V487" s="26"/>
      <c r="W487" s="26">
        <v>0</v>
      </c>
      <c r="X487" s="26">
        <v>0</v>
      </c>
      <c r="Y487" s="26">
        <v>0</v>
      </c>
      <c r="Z487" s="26">
        <v>0</v>
      </c>
    </row>
    <row r="488" spans="1:27" x14ac:dyDescent="0.25">
      <c r="A488" s="11">
        <v>494</v>
      </c>
      <c r="B488">
        <v>6362</v>
      </c>
      <c r="C488" t="s">
        <v>202</v>
      </c>
      <c r="D488" t="s">
        <v>203</v>
      </c>
      <c r="E488" t="s">
        <v>6</v>
      </c>
      <c r="F488" t="s">
        <v>363</v>
      </c>
      <c r="G488" t="s">
        <v>364</v>
      </c>
      <c r="H488">
        <v>2013</v>
      </c>
      <c r="I488" t="s">
        <v>283</v>
      </c>
      <c r="J488">
        <v>1</v>
      </c>
      <c r="N488" s="11">
        <v>0</v>
      </c>
      <c r="P488" s="26"/>
      <c r="Q488" s="26"/>
      <c r="R488" s="26"/>
      <c r="S488" s="26"/>
      <c r="T488" s="26"/>
      <c r="U488" s="26"/>
      <c r="V488" s="26"/>
      <c r="W488" s="26">
        <v>0</v>
      </c>
      <c r="X488" s="26">
        <v>0</v>
      </c>
      <c r="Y488" s="26">
        <v>0</v>
      </c>
      <c r="Z488" s="26">
        <v>0</v>
      </c>
    </row>
    <row r="489" spans="1:27" x14ac:dyDescent="0.25">
      <c r="A489" s="11">
        <v>495</v>
      </c>
      <c r="B489">
        <v>2967</v>
      </c>
      <c r="C489" t="s">
        <v>1501</v>
      </c>
      <c r="D489" t="s">
        <v>2047</v>
      </c>
      <c r="E489" t="s">
        <v>2048</v>
      </c>
      <c r="G489" t="s">
        <v>2049</v>
      </c>
      <c r="H489">
        <v>2017</v>
      </c>
      <c r="I489" t="s">
        <v>2050</v>
      </c>
      <c r="J489">
        <v>1</v>
      </c>
      <c r="N489" s="11">
        <v>0</v>
      </c>
      <c r="P489" s="26"/>
      <c r="Q489" s="26"/>
      <c r="R489" s="26"/>
      <c r="S489" s="26"/>
      <c r="T489" s="26"/>
      <c r="U489" s="26"/>
      <c r="V489" s="26"/>
      <c r="W489" s="26">
        <v>0</v>
      </c>
      <c r="X489" s="26">
        <v>0</v>
      </c>
      <c r="Y489" s="26">
        <v>0</v>
      </c>
      <c r="Z489" s="26">
        <v>0</v>
      </c>
    </row>
    <row r="490" spans="1:27" x14ac:dyDescent="0.25">
      <c r="A490" s="11">
        <v>496</v>
      </c>
      <c r="B490">
        <v>3118</v>
      </c>
      <c r="C490" t="s">
        <v>1501</v>
      </c>
      <c r="D490" s="26" t="s">
        <v>2051</v>
      </c>
      <c r="E490" t="s">
        <v>0</v>
      </c>
      <c r="G490" t="s">
        <v>2052</v>
      </c>
      <c r="H490">
        <v>2016</v>
      </c>
      <c r="I490" t="s">
        <v>2053</v>
      </c>
      <c r="J490">
        <v>1</v>
      </c>
      <c r="N490" s="11">
        <v>0</v>
      </c>
      <c r="P490" s="26"/>
      <c r="Q490" s="26"/>
      <c r="R490" s="26"/>
      <c r="S490" s="26"/>
      <c r="T490" s="26"/>
      <c r="U490" s="26"/>
      <c r="V490" s="26"/>
      <c r="W490" s="26">
        <v>0</v>
      </c>
      <c r="X490" s="26">
        <v>0</v>
      </c>
      <c r="Y490" s="26">
        <v>0</v>
      </c>
      <c r="Z490" s="26">
        <v>0</v>
      </c>
    </row>
    <row r="491" spans="1:27" x14ac:dyDescent="0.25">
      <c r="A491" s="11">
        <v>497</v>
      </c>
      <c r="B491">
        <v>3020</v>
      </c>
      <c r="C491" t="s">
        <v>1501</v>
      </c>
      <c r="D491" t="s">
        <v>1502</v>
      </c>
      <c r="E491" t="s">
        <v>0</v>
      </c>
      <c r="G491" t="s">
        <v>1503</v>
      </c>
      <c r="H491">
        <v>2016</v>
      </c>
      <c r="I491" t="s">
        <v>1504</v>
      </c>
      <c r="J491">
        <v>1</v>
      </c>
      <c r="N491" s="11">
        <v>0</v>
      </c>
      <c r="P491" s="26"/>
      <c r="Q491" s="26"/>
      <c r="R491" s="26"/>
      <c r="S491" s="26"/>
      <c r="T491" s="26"/>
      <c r="U491" s="26"/>
      <c r="V491" s="26"/>
      <c r="W491" s="26">
        <v>0</v>
      </c>
      <c r="X491" s="26">
        <v>0</v>
      </c>
      <c r="Y491" s="26">
        <v>0</v>
      </c>
      <c r="Z491" s="26">
        <v>0</v>
      </c>
    </row>
    <row r="492" spans="1:27" x14ac:dyDescent="0.25">
      <c r="A492" s="11">
        <v>498</v>
      </c>
      <c r="B492">
        <v>5702</v>
      </c>
      <c r="C492" t="s">
        <v>755</v>
      </c>
      <c r="D492" t="s">
        <v>756</v>
      </c>
      <c r="E492" t="s">
        <v>0</v>
      </c>
      <c r="G492" t="s">
        <v>757</v>
      </c>
      <c r="H492">
        <v>2015</v>
      </c>
      <c r="I492" t="s">
        <v>758</v>
      </c>
      <c r="J492">
        <v>1</v>
      </c>
      <c r="N492" s="11">
        <v>0</v>
      </c>
      <c r="P492" s="26"/>
      <c r="Q492" s="26"/>
      <c r="R492" s="26"/>
      <c r="S492" s="26"/>
      <c r="T492" s="26"/>
      <c r="U492" s="26"/>
      <c r="V492" s="26"/>
      <c r="W492" s="26">
        <v>0</v>
      </c>
      <c r="X492" s="26">
        <v>0</v>
      </c>
      <c r="Y492" s="26">
        <v>0</v>
      </c>
      <c r="Z492" s="26">
        <v>0</v>
      </c>
    </row>
    <row r="493" spans="1:27" x14ac:dyDescent="0.25">
      <c r="A493" s="11">
        <v>499</v>
      </c>
      <c r="B493">
        <v>5941</v>
      </c>
      <c r="C493" t="s">
        <v>759</v>
      </c>
      <c r="D493" s="26" t="s">
        <v>760</v>
      </c>
      <c r="E493" t="s">
        <v>0</v>
      </c>
      <c r="G493" t="s">
        <v>761</v>
      </c>
      <c r="H493">
        <v>2013</v>
      </c>
      <c r="I493" t="s">
        <v>762</v>
      </c>
      <c r="J493">
        <v>1</v>
      </c>
      <c r="N493" s="11">
        <v>0</v>
      </c>
      <c r="P493" s="26"/>
      <c r="Q493" s="26"/>
      <c r="R493" s="26"/>
      <c r="S493" s="26"/>
      <c r="T493" s="26"/>
      <c r="U493" s="26"/>
      <c r="V493" s="26"/>
      <c r="W493" s="26">
        <v>0</v>
      </c>
      <c r="X493" s="26">
        <v>0</v>
      </c>
      <c r="Y493" s="26">
        <v>0</v>
      </c>
      <c r="Z493" s="26">
        <v>0</v>
      </c>
    </row>
    <row r="494" spans="1:27" x14ac:dyDescent="0.25">
      <c r="A494" s="11">
        <v>500</v>
      </c>
      <c r="B494">
        <v>3194</v>
      </c>
      <c r="C494" t="s">
        <v>2641</v>
      </c>
      <c r="D494" t="s">
        <v>2642</v>
      </c>
      <c r="E494" t="s">
        <v>0</v>
      </c>
      <c r="G494" t="s">
        <v>2643</v>
      </c>
      <c r="H494">
        <v>2015</v>
      </c>
      <c r="I494" t="s">
        <v>2644</v>
      </c>
      <c r="J494">
        <v>1</v>
      </c>
      <c r="N494" s="11">
        <v>0</v>
      </c>
      <c r="P494" s="26"/>
      <c r="Q494" s="26"/>
      <c r="R494" s="26"/>
      <c r="S494" s="26"/>
      <c r="T494" s="26"/>
      <c r="U494" s="26"/>
      <c r="V494" s="26"/>
      <c r="W494" s="26">
        <v>0</v>
      </c>
      <c r="X494" s="26">
        <v>0</v>
      </c>
      <c r="Y494" s="26">
        <v>0</v>
      </c>
      <c r="Z494" s="26">
        <v>0</v>
      </c>
    </row>
    <row r="495" spans="1:27" x14ac:dyDescent="0.25">
      <c r="A495" s="11">
        <v>501</v>
      </c>
      <c r="B495">
        <v>4562</v>
      </c>
      <c r="C495" t="s">
        <v>2029</v>
      </c>
      <c r="D495" t="s">
        <v>2948</v>
      </c>
      <c r="E495" t="s">
        <v>2</v>
      </c>
      <c r="G495" t="s">
        <v>2949</v>
      </c>
      <c r="H495">
        <v>2013</v>
      </c>
      <c r="I495" t="s">
        <v>2950</v>
      </c>
      <c r="J495">
        <v>1</v>
      </c>
      <c r="N495" s="11">
        <v>0</v>
      </c>
      <c r="P495" s="26"/>
      <c r="Q495" s="26"/>
      <c r="R495" s="26"/>
      <c r="S495" s="26"/>
      <c r="T495" s="26"/>
      <c r="U495" s="26"/>
      <c r="V495" s="26"/>
      <c r="W495" s="26">
        <v>0</v>
      </c>
      <c r="X495" s="26">
        <v>0</v>
      </c>
      <c r="Y495" s="26">
        <v>0</v>
      </c>
      <c r="Z495" s="26">
        <v>0</v>
      </c>
    </row>
    <row r="496" spans="1:27" x14ac:dyDescent="0.25">
      <c r="A496" s="11">
        <v>502</v>
      </c>
      <c r="B496">
        <v>3414</v>
      </c>
      <c r="C496" t="s">
        <v>2029</v>
      </c>
      <c r="D496" t="s">
        <v>2030</v>
      </c>
      <c r="E496" t="s">
        <v>0</v>
      </c>
      <c r="G496" t="s">
        <v>2031</v>
      </c>
      <c r="H496">
        <v>2014</v>
      </c>
      <c r="I496" t="s">
        <v>2032</v>
      </c>
      <c r="J496">
        <v>1</v>
      </c>
      <c r="N496" s="11">
        <v>0</v>
      </c>
      <c r="P496" s="26"/>
      <c r="Q496" s="26"/>
      <c r="R496" s="26"/>
      <c r="S496" s="26"/>
      <c r="T496" s="26"/>
      <c r="U496" s="26"/>
      <c r="V496" s="26"/>
      <c r="W496" s="26">
        <v>0</v>
      </c>
      <c r="X496" s="26">
        <v>0</v>
      </c>
      <c r="Y496" s="26">
        <v>0</v>
      </c>
      <c r="Z496" s="26">
        <v>0</v>
      </c>
    </row>
    <row r="497" spans="1:27" x14ac:dyDescent="0.25">
      <c r="A497" s="11">
        <v>503</v>
      </c>
      <c r="B497">
        <v>5760</v>
      </c>
      <c r="C497" t="s">
        <v>681</v>
      </c>
      <c r="D497" t="s">
        <v>682</v>
      </c>
      <c r="E497" t="s">
        <v>0</v>
      </c>
      <c r="G497" t="s">
        <v>683</v>
      </c>
      <c r="H497">
        <v>2012</v>
      </c>
      <c r="I497" t="s">
        <v>684</v>
      </c>
      <c r="J497">
        <v>1</v>
      </c>
      <c r="N497" s="11">
        <v>5</v>
      </c>
      <c r="O497" s="18" t="s">
        <v>3161</v>
      </c>
      <c r="P497" s="26" t="s">
        <v>3258</v>
      </c>
      <c r="Q497" s="26" t="s">
        <v>3590</v>
      </c>
      <c r="R497" s="26" t="s">
        <v>3257</v>
      </c>
      <c r="S497" s="26" t="s">
        <v>0</v>
      </c>
      <c r="T497" s="26" t="s">
        <v>38</v>
      </c>
      <c r="U497" s="26" t="s">
        <v>69</v>
      </c>
      <c r="V497" s="26" t="s">
        <v>3336</v>
      </c>
      <c r="W497" s="26">
        <v>5</v>
      </c>
      <c r="X497" s="26">
        <v>5</v>
      </c>
      <c r="Y497" s="26">
        <v>5</v>
      </c>
      <c r="Z497" s="26">
        <v>5</v>
      </c>
      <c r="AA497" t="s">
        <v>61</v>
      </c>
    </row>
    <row r="498" spans="1:27" x14ac:dyDescent="0.25">
      <c r="A498" s="11">
        <v>504</v>
      </c>
      <c r="B498">
        <v>2698</v>
      </c>
      <c r="C498" t="s">
        <v>2574</v>
      </c>
      <c r="D498" t="s">
        <v>2575</v>
      </c>
      <c r="E498" t="s">
        <v>0</v>
      </c>
      <c r="G498" t="s">
        <v>2576</v>
      </c>
      <c r="H498">
        <v>2018</v>
      </c>
      <c r="I498" t="s">
        <v>2577</v>
      </c>
      <c r="J498">
        <v>1</v>
      </c>
      <c r="N498" s="11">
        <v>0</v>
      </c>
      <c r="P498" s="26"/>
      <c r="Q498" s="26"/>
      <c r="R498" s="26"/>
      <c r="S498" s="26"/>
      <c r="T498" s="26"/>
      <c r="U498" s="26"/>
      <c r="V498" s="26"/>
      <c r="W498" s="26">
        <v>0</v>
      </c>
      <c r="X498" s="26">
        <v>0</v>
      </c>
      <c r="Y498" s="26">
        <v>0</v>
      </c>
      <c r="Z498" s="26">
        <v>0</v>
      </c>
    </row>
    <row r="499" spans="1:27" x14ac:dyDescent="0.25">
      <c r="A499" s="11">
        <v>505</v>
      </c>
      <c r="B499">
        <v>6225</v>
      </c>
      <c r="C499" t="s">
        <v>204</v>
      </c>
      <c r="D499" t="s">
        <v>205</v>
      </c>
      <c r="E499" t="s">
        <v>6</v>
      </c>
      <c r="F499" t="s">
        <v>365</v>
      </c>
      <c r="G499" t="s">
        <v>366</v>
      </c>
      <c r="H499">
        <v>2017</v>
      </c>
      <c r="I499" t="s">
        <v>284</v>
      </c>
      <c r="J499">
        <v>1</v>
      </c>
      <c r="N499" s="11">
        <v>0</v>
      </c>
      <c r="P499" s="26"/>
      <c r="Q499" s="26"/>
      <c r="R499" s="26"/>
      <c r="S499" s="26"/>
      <c r="T499" s="26"/>
      <c r="U499" s="26"/>
      <c r="V499" s="26"/>
      <c r="W499" s="26">
        <v>0</v>
      </c>
      <c r="X499" s="26">
        <v>0</v>
      </c>
      <c r="Y499" s="26">
        <v>0</v>
      </c>
      <c r="Z499" s="26">
        <v>0</v>
      </c>
    </row>
    <row r="500" spans="1:27" x14ac:dyDescent="0.25">
      <c r="A500" s="11">
        <v>506</v>
      </c>
      <c r="B500">
        <v>2544</v>
      </c>
      <c r="C500" t="s">
        <v>2286</v>
      </c>
      <c r="D500" t="s">
        <v>2287</v>
      </c>
      <c r="E500" t="s">
        <v>0</v>
      </c>
      <c r="G500" t="s">
        <v>2288</v>
      </c>
      <c r="H500">
        <v>2019</v>
      </c>
      <c r="I500" t="s">
        <v>2289</v>
      </c>
      <c r="J500">
        <v>1</v>
      </c>
      <c r="N500" s="11">
        <v>4</v>
      </c>
      <c r="O500" s="18" t="s">
        <v>3244</v>
      </c>
      <c r="P500" s="26" t="s">
        <v>3258</v>
      </c>
      <c r="Q500" s="26" t="s">
        <v>3491</v>
      </c>
      <c r="R500" s="26" t="s">
        <v>3239</v>
      </c>
      <c r="S500" s="26" t="s">
        <v>0</v>
      </c>
      <c r="T500" s="26" t="s">
        <v>38</v>
      </c>
      <c r="U500" s="26" t="s">
        <v>69</v>
      </c>
      <c r="V500" s="26" t="s">
        <v>3336</v>
      </c>
      <c r="W500" s="26">
        <v>4</v>
      </c>
      <c r="X500" s="26">
        <v>4</v>
      </c>
      <c r="Y500" s="26">
        <v>4</v>
      </c>
      <c r="Z500" s="26">
        <v>4</v>
      </c>
      <c r="AA500" t="s">
        <v>3493</v>
      </c>
    </row>
    <row r="501" spans="1:27" x14ac:dyDescent="0.25">
      <c r="A501" s="11">
        <v>507</v>
      </c>
      <c r="B501">
        <v>6238</v>
      </c>
      <c r="C501" t="s">
        <v>206</v>
      </c>
      <c r="D501" t="s">
        <v>207</v>
      </c>
      <c r="E501" t="s">
        <v>6</v>
      </c>
      <c r="F501" t="s">
        <v>367</v>
      </c>
      <c r="G501" t="s">
        <v>368</v>
      </c>
      <c r="H501">
        <v>2018</v>
      </c>
      <c r="I501" t="s">
        <v>285</v>
      </c>
      <c r="J501">
        <v>1</v>
      </c>
      <c r="N501" s="11">
        <v>0</v>
      </c>
      <c r="P501" s="26"/>
      <c r="Q501" s="26"/>
      <c r="R501" s="26"/>
      <c r="S501" s="26"/>
      <c r="T501" s="26"/>
      <c r="U501" s="26"/>
      <c r="V501" s="26"/>
      <c r="W501" s="26">
        <v>0</v>
      </c>
      <c r="X501" s="26">
        <v>0</v>
      </c>
      <c r="Y501" s="26">
        <v>0</v>
      </c>
      <c r="Z501" s="26">
        <v>0</v>
      </c>
    </row>
    <row r="502" spans="1:27" x14ac:dyDescent="0.25">
      <c r="A502" s="11">
        <v>508</v>
      </c>
      <c r="B502">
        <v>3680</v>
      </c>
      <c r="C502" t="s">
        <v>1270</v>
      </c>
      <c r="D502" t="s">
        <v>1271</v>
      </c>
      <c r="E502" t="s">
        <v>0</v>
      </c>
      <c r="G502" t="s">
        <v>1272</v>
      </c>
      <c r="H502">
        <v>2012</v>
      </c>
      <c r="I502" t="s">
        <v>1273</v>
      </c>
      <c r="J502">
        <v>1</v>
      </c>
      <c r="N502" s="11">
        <v>0</v>
      </c>
      <c r="P502" s="26"/>
      <c r="Q502" s="26"/>
      <c r="R502" s="26"/>
      <c r="S502" s="26"/>
      <c r="T502" s="26"/>
      <c r="U502" s="26"/>
      <c r="V502" s="26"/>
      <c r="W502" s="26">
        <v>0</v>
      </c>
      <c r="X502" s="26">
        <v>0</v>
      </c>
      <c r="Y502" s="26">
        <v>0</v>
      </c>
      <c r="Z502" s="26">
        <v>0</v>
      </c>
    </row>
    <row r="503" spans="1:27" x14ac:dyDescent="0.25">
      <c r="A503" s="11">
        <v>509</v>
      </c>
      <c r="B503">
        <v>2736</v>
      </c>
      <c r="C503" t="s">
        <v>1805</v>
      </c>
      <c r="D503" t="s">
        <v>1806</v>
      </c>
      <c r="E503" t="s">
        <v>1592</v>
      </c>
      <c r="G503" t="s">
        <v>1807</v>
      </c>
      <c r="H503">
        <v>2018</v>
      </c>
      <c r="I503" t="s">
        <v>1808</v>
      </c>
      <c r="J503">
        <v>1</v>
      </c>
      <c r="N503" s="11">
        <v>0</v>
      </c>
      <c r="P503" s="26"/>
      <c r="Q503" s="26"/>
      <c r="R503" s="26"/>
      <c r="S503" s="26"/>
      <c r="T503" s="26"/>
      <c r="U503" s="26"/>
      <c r="V503" s="26"/>
      <c r="W503" s="26">
        <v>0</v>
      </c>
      <c r="X503" s="26">
        <v>0</v>
      </c>
      <c r="Y503" s="26">
        <v>0</v>
      </c>
      <c r="Z503" s="26">
        <v>0</v>
      </c>
    </row>
    <row r="504" spans="1:27" x14ac:dyDescent="0.25">
      <c r="A504" s="11">
        <v>510</v>
      </c>
      <c r="B504">
        <v>2610</v>
      </c>
      <c r="C504" t="s">
        <v>1610</v>
      </c>
      <c r="D504" t="s">
        <v>1611</v>
      </c>
      <c r="E504" t="s">
        <v>0</v>
      </c>
      <c r="G504" t="s">
        <v>1612</v>
      </c>
      <c r="H504">
        <v>2018</v>
      </c>
      <c r="I504" t="s">
        <v>1613</v>
      </c>
      <c r="J504">
        <v>1</v>
      </c>
      <c r="N504" s="11">
        <v>0</v>
      </c>
      <c r="P504" s="26"/>
      <c r="Q504" s="26"/>
      <c r="R504" s="26"/>
      <c r="S504" s="26"/>
      <c r="T504" s="26"/>
      <c r="U504" s="26"/>
      <c r="V504" s="26"/>
      <c r="W504" s="26">
        <v>0</v>
      </c>
      <c r="X504" s="26">
        <v>0</v>
      </c>
      <c r="Y504" s="26">
        <v>0</v>
      </c>
      <c r="Z504" s="26">
        <v>0</v>
      </c>
    </row>
    <row r="505" spans="1:27" x14ac:dyDescent="0.25">
      <c r="A505" s="11">
        <v>511</v>
      </c>
      <c r="B505">
        <v>5901</v>
      </c>
      <c r="C505" t="s">
        <v>767</v>
      </c>
      <c r="D505" t="s">
        <v>768</v>
      </c>
      <c r="E505" t="s">
        <v>0</v>
      </c>
      <c r="G505" t="s">
        <v>769</v>
      </c>
      <c r="H505">
        <v>2018</v>
      </c>
      <c r="J505">
        <v>1</v>
      </c>
      <c r="N505" s="11">
        <v>0</v>
      </c>
      <c r="P505" s="26"/>
      <c r="Q505" s="26"/>
      <c r="R505" s="26"/>
      <c r="S505" s="26"/>
      <c r="T505" s="26"/>
      <c r="U505" s="26"/>
      <c r="V505" s="26"/>
      <c r="W505" s="26">
        <v>0</v>
      </c>
      <c r="X505" s="26">
        <v>0</v>
      </c>
      <c r="Y505" s="26">
        <v>0</v>
      </c>
      <c r="Z505" s="26">
        <v>0</v>
      </c>
    </row>
    <row r="506" spans="1:27" x14ac:dyDescent="0.25">
      <c r="A506" s="11">
        <v>512</v>
      </c>
      <c r="B506">
        <v>3913</v>
      </c>
      <c r="C506" t="s">
        <v>2894</v>
      </c>
      <c r="D506" t="s">
        <v>2895</v>
      </c>
      <c r="E506" t="s">
        <v>2</v>
      </c>
      <c r="G506" t="s">
        <v>2896</v>
      </c>
      <c r="H506">
        <v>2018</v>
      </c>
      <c r="I506" t="s">
        <v>2897</v>
      </c>
      <c r="J506">
        <v>1</v>
      </c>
      <c r="N506" s="11">
        <v>0</v>
      </c>
      <c r="P506" s="26"/>
      <c r="Q506" s="26"/>
      <c r="R506" s="26"/>
      <c r="S506" s="26"/>
      <c r="T506" s="26"/>
      <c r="U506" s="26"/>
      <c r="V506" s="26"/>
      <c r="W506" s="26">
        <v>0</v>
      </c>
      <c r="X506" s="26">
        <v>0</v>
      </c>
      <c r="Y506" s="26">
        <v>0</v>
      </c>
      <c r="Z506" s="26">
        <v>0</v>
      </c>
    </row>
    <row r="507" spans="1:27" x14ac:dyDescent="0.25">
      <c r="A507" s="11">
        <v>513</v>
      </c>
      <c r="B507">
        <v>3223</v>
      </c>
      <c r="C507" t="s">
        <v>2082</v>
      </c>
      <c r="D507" t="s">
        <v>2083</v>
      </c>
      <c r="E507" t="s">
        <v>1193</v>
      </c>
      <c r="G507" t="s">
        <v>2084</v>
      </c>
      <c r="H507">
        <v>2015</v>
      </c>
      <c r="I507" t="s">
        <v>2085</v>
      </c>
      <c r="J507">
        <v>1</v>
      </c>
      <c r="N507" s="11">
        <v>0</v>
      </c>
      <c r="P507" s="26"/>
      <c r="Q507" s="26"/>
      <c r="R507" s="26"/>
      <c r="S507" s="26"/>
      <c r="T507" s="26"/>
      <c r="U507" s="26"/>
      <c r="V507" s="26"/>
      <c r="W507" s="26">
        <v>0</v>
      </c>
      <c r="X507" s="26">
        <v>0</v>
      </c>
      <c r="Y507" s="26">
        <v>0</v>
      </c>
      <c r="Z507" s="26">
        <v>0</v>
      </c>
    </row>
    <row r="508" spans="1:27" x14ac:dyDescent="0.25">
      <c r="A508" s="11">
        <v>514</v>
      </c>
      <c r="B508">
        <v>2594</v>
      </c>
      <c r="C508" t="s">
        <v>2541</v>
      </c>
      <c r="D508" t="s">
        <v>2542</v>
      </c>
      <c r="E508" t="s">
        <v>0</v>
      </c>
      <c r="G508" t="s">
        <v>2543</v>
      </c>
      <c r="H508">
        <v>2018</v>
      </c>
      <c r="I508" t="s">
        <v>2544</v>
      </c>
      <c r="J508">
        <v>1</v>
      </c>
      <c r="N508" s="11">
        <v>0</v>
      </c>
      <c r="P508" s="26"/>
      <c r="Q508" s="26"/>
      <c r="R508" s="26"/>
      <c r="S508" s="26"/>
      <c r="T508" s="26"/>
      <c r="U508" s="26"/>
      <c r="V508" s="26"/>
      <c r="W508" s="26">
        <v>0</v>
      </c>
      <c r="X508" s="26">
        <v>0</v>
      </c>
      <c r="Y508" s="26">
        <v>0</v>
      </c>
      <c r="Z508" s="26">
        <v>0</v>
      </c>
    </row>
    <row r="509" spans="1:27" x14ac:dyDescent="0.25">
      <c r="A509" s="11">
        <v>515</v>
      </c>
      <c r="B509">
        <v>3943</v>
      </c>
      <c r="C509" t="s">
        <v>3007</v>
      </c>
      <c r="D509" t="s">
        <v>3011</v>
      </c>
      <c r="E509" t="s">
        <v>2</v>
      </c>
      <c r="G509" t="s">
        <v>3012</v>
      </c>
      <c r="H509">
        <v>2018</v>
      </c>
      <c r="I509" t="s">
        <v>3013</v>
      </c>
      <c r="J509">
        <v>1</v>
      </c>
      <c r="N509" s="11">
        <v>0</v>
      </c>
      <c r="P509" s="26"/>
      <c r="Q509" s="26"/>
      <c r="R509" s="26"/>
      <c r="S509" s="26"/>
      <c r="T509" s="26"/>
      <c r="U509" s="26"/>
      <c r="V509" s="26"/>
      <c r="W509" s="26">
        <v>0</v>
      </c>
      <c r="X509" s="26">
        <v>0</v>
      </c>
      <c r="Y509" s="26">
        <v>0</v>
      </c>
      <c r="Z509" s="26">
        <v>0</v>
      </c>
    </row>
    <row r="510" spans="1:27" x14ac:dyDescent="0.25">
      <c r="A510" s="11">
        <v>516</v>
      </c>
      <c r="B510">
        <v>3942</v>
      </c>
      <c r="C510" t="s">
        <v>3007</v>
      </c>
      <c r="D510" t="s">
        <v>3008</v>
      </c>
      <c r="E510" t="s">
        <v>2</v>
      </c>
      <c r="G510" t="s">
        <v>3009</v>
      </c>
      <c r="H510">
        <v>2018</v>
      </c>
      <c r="I510" t="s">
        <v>3010</v>
      </c>
      <c r="J510">
        <v>1</v>
      </c>
      <c r="N510" s="11">
        <v>0</v>
      </c>
      <c r="P510" s="26"/>
      <c r="Q510" s="26"/>
      <c r="R510" s="26"/>
      <c r="S510" s="26"/>
      <c r="T510" s="26"/>
      <c r="U510" s="26"/>
      <c r="V510" s="26"/>
      <c r="W510" s="26">
        <v>0</v>
      </c>
      <c r="X510" s="26">
        <v>0</v>
      </c>
      <c r="Y510" s="26">
        <v>0</v>
      </c>
      <c r="Z510" s="26">
        <v>0</v>
      </c>
    </row>
    <row r="511" spans="1:27" x14ac:dyDescent="0.25">
      <c r="A511" s="11">
        <v>517</v>
      </c>
      <c r="B511">
        <v>3402</v>
      </c>
      <c r="C511" t="s">
        <v>2309</v>
      </c>
      <c r="D511" t="s">
        <v>2310</v>
      </c>
      <c r="E511" t="s">
        <v>0</v>
      </c>
      <c r="G511" t="s">
        <v>2311</v>
      </c>
      <c r="H511">
        <v>2014</v>
      </c>
      <c r="I511" t="s">
        <v>2312</v>
      </c>
      <c r="J511">
        <v>1</v>
      </c>
      <c r="N511" s="11">
        <v>0</v>
      </c>
      <c r="P511" s="26"/>
      <c r="Q511" s="26"/>
      <c r="R511" s="26"/>
      <c r="S511" s="26"/>
      <c r="T511" s="26"/>
      <c r="U511" s="26"/>
      <c r="V511" s="26"/>
      <c r="W511" s="26">
        <v>0</v>
      </c>
      <c r="X511" s="26">
        <v>0</v>
      </c>
      <c r="Y511" s="26">
        <v>0</v>
      </c>
      <c r="Z511" s="26">
        <v>0</v>
      </c>
    </row>
    <row r="512" spans="1:27" x14ac:dyDescent="0.25">
      <c r="A512" s="11">
        <v>518</v>
      </c>
      <c r="B512">
        <v>6082</v>
      </c>
      <c r="C512" t="s">
        <v>770</v>
      </c>
      <c r="D512" t="s">
        <v>771</v>
      </c>
      <c r="E512" t="s">
        <v>0</v>
      </c>
      <c r="G512" t="s">
        <v>772</v>
      </c>
      <c r="H512">
        <v>2012</v>
      </c>
      <c r="I512" t="s">
        <v>773</v>
      </c>
      <c r="J512">
        <v>1</v>
      </c>
      <c r="N512" s="11">
        <v>0</v>
      </c>
      <c r="P512" s="26"/>
      <c r="Q512" s="26"/>
      <c r="R512" s="26"/>
      <c r="S512" s="26"/>
      <c r="T512" s="26"/>
      <c r="U512" s="26"/>
      <c r="V512" s="26"/>
      <c r="W512" s="26">
        <v>0</v>
      </c>
      <c r="X512" s="26">
        <v>0</v>
      </c>
      <c r="Y512" s="26">
        <v>0</v>
      </c>
      <c r="Z512" s="26">
        <v>0</v>
      </c>
    </row>
    <row r="513" spans="1:27" x14ac:dyDescent="0.25">
      <c r="A513" s="11">
        <v>519</v>
      </c>
      <c r="B513">
        <v>5996</v>
      </c>
      <c r="C513" t="s">
        <v>636</v>
      </c>
      <c r="D513" t="s">
        <v>637</v>
      </c>
      <c r="E513" t="s">
        <v>0</v>
      </c>
      <c r="G513" t="s">
        <v>638</v>
      </c>
      <c r="H513">
        <v>2016</v>
      </c>
      <c r="J513">
        <v>1</v>
      </c>
      <c r="N513" s="11">
        <v>4</v>
      </c>
      <c r="O513" s="18" t="s">
        <v>3244</v>
      </c>
      <c r="P513" s="26" t="s">
        <v>3551</v>
      </c>
      <c r="Q513" s="26" t="s">
        <v>3552</v>
      </c>
      <c r="R513" s="26" t="s">
        <v>3345</v>
      </c>
      <c r="S513" s="26" t="s">
        <v>0</v>
      </c>
      <c r="T513" s="26" t="s">
        <v>38</v>
      </c>
      <c r="U513" s="26" t="s">
        <v>69</v>
      </c>
      <c r="V513" s="26" t="s">
        <v>3336</v>
      </c>
      <c r="W513" s="26">
        <v>5</v>
      </c>
      <c r="X513" s="26">
        <v>5</v>
      </c>
      <c r="Y513" s="26">
        <v>5</v>
      </c>
      <c r="Z513" s="26">
        <v>5</v>
      </c>
      <c r="AA513" t="s">
        <v>3550</v>
      </c>
    </row>
    <row r="514" spans="1:27" x14ac:dyDescent="0.25">
      <c r="A514" s="11">
        <v>520</v>
      </c>
      <c r="B514">
        <v>3958</v>
      </c>
      <c r="C514" t="s">
        <v>3092</v>
      </c>
      <c r="D514" t="s">
        <v>3093</v>
      </c>
      <c r="E514" t="s">
        <v>3094</v>
      </c>
      <c r="G514" t="s">
        <v>3095</v>
      </c>
      <c r="H514">
        <v>2018</v>
      </c>
      <c r="I514" t="s">
        <v>3096</v>
      </c>
      <c r="J514">
        <v>1</v>
      </c>
      <c r="N514" s="11">
        <v>0</v>
      </c>
      <c r="P514" s="26"/>
      <c r="Q514" s="26"/>
      <c r="R514" s="26"/>
      <c r="S514" s="26"/>
      <c r="T514" s="26"/>
      <c r="U514" s="26"/>
      <c r="V514" s="26"/>
      <c r="W514" s="26">
        <v>0</v>
      </c>
      <c r="X514" s="26">
        <v>0</v>
      </c>
      <c r="Y514" s="26">
        <v>0</v>
      </c>
      <c r="Z514" s="26">
        <v>0</v>
      </c>
    </row>
    <row r="515" spans="1:27" x14ac:dyDescent="0.25">
      <c r="A515" s="11">
        <v>521</v>
      </c>
      <c r="B515">
        <v>3719</v>
      </c>
      <c r="C515" t="s">
        <v>2305</v>
      </c>
      <c r="D515" t="s">
        <v>2306</v>
      </c>
      <c r="E515" t="s">
        <v>22</v>
      </c>
      <c r="G515" t="s">
        <v>2307</v>
      </c>
      <c r="H515">
        <v>2012</v>
      </c>
      <c r="I515" t="s">
        <v>2308</v>
      </c>
      <c r="J515">
        <v>1</v>
      </c>
      <c r="N515" s="11">
        <v>0</v>
      </c>
      <c r="P515" s="26"/>
      <c r="Q515" s="26"/>
      <c r="R515" s="26"/>
      <c r="S515" s="26"/>
      <c r="T515" s="26"/>
      <c r="U515" s="26"/>
      <c r="V515" s="26"/>
      <c r="W515" s="26">
        <v>0</v>
      </c>
      <c r="X515" s="26">
        <v>0</v>
      </c>
      <c r="Y515" s="26">
        <v>0</v>
      </c>
      <c r="Z515" s="26">
        <v>0</v>
      </c>
    </row>
    <row r="516" spans="1:27" x14ac:dyDescent="0.25">
      <c r="A516" s="11">
        <v>522</v>
      </c>
      <c r="B516">
        <v>3677</v>
      </c>
      <c r="C516" t="s">
        <v>2033</v>
      </c>
      <c r="D516" t="s">
        <v>774</v>
      </c>
      <c r="E516" t="s">
        <v>0</v>
      </c>
      <c r="G516" t="s">
        <v>2034</v>
      </c>
      <c r="H516">
        <v>2012</v>
      </c>
      <c r="I516" t="s">
        <v>2035</v>
      </c>
      <c r="J516">
        <v>1</v>
      </c>
      <c r="N516" s="11">
        <v>0</v>
      </c>
      <c r="P516" s="26"/>
      <c r="Q516" s="26"/>
      <c r="R516" s="26"/>
      <c r="S516" s="26"/>
      <c r="T516" s="26"/>
      <c r="U516" s="26"/>
      <c r="V516" s="26"/>
      <c r="W516" s="26">
        <v>0</v>
      </c>
      <c r="X516" s="26">
        <v>0</v>
      </c>
      <c r="Y516" s="26">
        <v>0</v>
      </c>
      <c r="Z516" s="26">
        <v>0</v>
      </c>
    </row>
    <row r="517" spans="1:27" x14ac:dyDescent="0.25">
      <c r="A517" s="11">
        <v>523</v>
      </c>
      <c r="B517">
        <v>4630</v>
      </c>
      <c r="C517" t="s">
        <v>2557</v>
      </c>
      <c r="D517" t="s">
        <v>3000</v>
      </c>
      <c r="E517" t="s">
        <v>3</v>
      </c>
      <c r="G517" t="s">
        <v>3001</v>
      </c>
      <c r="H517">
        <v>2012</v>
      </c>
      <c r="I517" t="s">
        <v>3002</v>
      </c>
      <c r="J517">
        <v>1</v>
      </c>
      <c r="N517" s="11">
        <v>4</v>
      </c>
      <c r="O517" s="18" t="s">
        <v>3273</v>
      </c>
      <c r="P517" s="26" t="s">
        <v>3472</v>
      </c>
      <c r="Q517" s="26" t="s">
        <v>3440</v>
      </c>
      <c r="R517" s="26" t="s">
        <v>3257</v>
      </c>
      <c r="S517" s="26" t="s">
        <v>0</v>
      </c>
      <c r="T517" s="26" t="s">
        <v>38</v>
      </c>
      <c r="U517" s="26" t="s">
        <v>70</v>
      </c>
      <c r="V517" s="26" t="s">
        <v>3336</v>
      </c>
      <c r="W517" s="26">
        <v>5</v>
      </c>
      <c r="X517" s="26">
        <v>5</v>
      </c>
      <c r="Y517" s="26">
        <v>5</v>
      </c>
      <c r="Z517" s="26">
        <v>5</v>
      </c>
      <c r="AA517" t="s">
        <v>3473</v>
      </c>
    </row>
    <row r="518" spans="1:27" x14ac:dyDescent="0.25">
      <c r="A518" s="11">
        <v>524</v>
      </c>
      <c r="B518">
        <v>6087</v>
      </c>
      <c r="C518" t="s">
        <v>418</v>
      </c>
      <c r="D518" t="s">
        <v>419</v>
      </c>
      <c r="E518" t="s">
        <v>121</v>
      </c>
      <c r="F518" t="s">
        <v>924</v>
      </c>
      <c r="G518" t="s">
        <v>420</v>
      </c>
      <c r="H518">
        <v>2013</v>
      </c>
      <c r="I518" t="s">
        <v>421</v>
      </c>
      <c r="J518">
        <v>1</v>
      </c>
      <c r="N518" s="11">
        <v>5</v>
      </c>
      <c r="O518" s="18" t="s">
        <v>3282</v>
      </c>
      <c r="P518" s="26" t="s">
        <v>3287</v>
      </c>
      <c r="Q518" s="26" t="s">
        <v>3285</v>
      </c>
      <c r="R518" s="26" t="s">
        <v>3284</v>
      </c>
      <c r="S518" s="26" t="s">
        <v>6</v>
      </c>
      <c r="T518" s="26" t="s">
        <v>38</v>
      </c>
      <c r="U518" s="26" t="s">
        <v>69</v>
      </c>
      <c r="V518" s="26" t="s">
        <v>3286</v>
      </c>
      <c r="W518" s="26">
        <v>5</v>
      </c>
      <c r="X518" s="26">
        <v>5</v>
      </c>
      <c r="Y518" s="26">
        <v>5</v>
      </c>
      <c r="Z518" s="26">
        <v>5</v>
      </c>
      <c r="AA518" t="s">
        <v>3569</v>
      </c>
    </row>
    <row r="519" spans="1:27" x14ac:dyDescent="0.25">
      <c r="A519" s="11">
        <v>525</v>
      </c>
      <c r="B519">
        <v>4979</v>
      </c>
      <c r="C519" t="s">
        <v>1119</v>
      </c>
      <c r="D519" t="s">
        <v>1120</v>
      </c>
      <c r="E519" t="s">
        <v>22</v>
      </c>
      <c r="G519" t="s">
        <v>1121</v>
      </c>
      <c r="H519">
        <v>2014</v>
      </c>
      <c r="I519" t="s">
        <v>1122</v>
      </c>
      <c r="J519">
        <v>1</v>
      </c>
      <c r="N519" s="11">
        <v>0</v>
      </c>
      <c r="P519" s="26"/>
      <c r="Q519" s="26"/>
      <c r="R519" s="26"/>
      <c r="S519" s="26"/>
      <c r="T519" s="26"/>
      <c r="U519" s="26"/>
      <c r="V519" s="26"/>
      <c r="W519" s="26">
        <v>0</v>
      </c>
      <c r="X519" s="26">
        <v>0</v>
      </c>
      <c r="Y519" s="26">
        <v>0</v>
      </c>
      <c r="Z519" s="26">
        <v>0</v>
      </c>
    </row>
    <row r="520" spans="1:27" x14ac:dyDescent="0.25">
      <c r="A520" s="11">
        <v>526</v>
      </c>
      <c r="B520">
        <v>3184</v>
      </c>
      <c r="C520" t="s">
        <v>2664</v>
      </c>
      <c r="D520" t="s">
        <v>2665</v>
      </c>
      <c r="E520" t="s">
        <v>0</v>
      </c>
      <c r="G520" t="s">
        <v>2666</v>
      </c>
      <c r="H520">
        <v>2015</v>
      </c>
      <c r="I520" t="s">
        <v>2667</v>
      </c>
      <c r="J520">
        <v>1</v>
      </c>
      <c r="N520" s="11">
        <v>5</v>
      </c>
      <c r="O520" s="18" t="s">
        <v>3244</v>
      </c>
      <c r="P520" s="26" t="s">
        <v>3435</v>
      </c>
      <c r="Q520" s="26" t="s">
        <v>3437</v>
      </c>
      <c r="R520" s="26" t="s">
        <v>3239</v>
      </c>
      <c r="S520" s="26" t="s">
        <v>0</v>
      </c>
      <c r="T520" s="26" t="s">
        <v>38</v>
      </c>
      <c r="U520" s="26" t="s">
        <v>69</v>
      </c>
      <c r="V520" s="26" t="s">
        <v>3336</v>
      </c>
      <c r="W520" s="26">
        <v>5</v>
      </c>
      <c r="X520" s="26">
        <v>5</v>
      </c>
      <c r="Y520" s="26">
        <v>5</v>
      </c>
      <c r="Z520" s="26">
        <v>5</v>
      </c>
      <c r="AA520" t="s">
        <v>3438</v>
      </c>
    </row>
    <row r="521" spans="1:27" x14ac:dyDescent="0.25">
      <c r="A521" s="11">
        <v>527</v>
      </c>
      <c r="B521">
        <v>3022</v>
      </c>
      <c r="C521" t="s">
        <v>2419</v>
      </c>
      <c r="D521" t="s">
        <v>2420</v>
      </c>
      <c r="E521" t="s">
        <v>0</v>
      </c>
      <c r="G521" t="s">
        <v>2421</v>
      </c>
      <c r="H521">
        <v>2016</v>
      </c>
      <c r="I521" t="s">
        <v>2422</v>
      </c>
      <c r="J521">
        <v>1</v>
      </c>
      <c r="N521" s="11">
        <v>3</v>
      </c>
      <c r="O521" s="18" t="s">
        <v>3163</v>
      </c>
      <c r="P521" s="26" t="s">
        <v>3468</v>
      </c>
      <c r="Q521" s="26" t="s">
        <v>3253</v>
      </c>
      <c r="R521" s="26" t="s">
        <v>3229</v>
      </c>
      <c r="S521" s="26" t="s">
        <v>0</v>
      </c>
      <c r="T521" s="26" t="s">
        <v>38</v>
      </c>
      <c r="U521" s="26" t="s">
        <v>69</v>
      </c>
      <c r="V521" s="26" t="s">
        <v>3280</v>
      </c>
      <c r="W521" s="26">
        <v>3</v>
      </c>
      <c r="X521" s="26">
        <v>3</v>
      </c>
      <c r="Y521" s="26">
        <v>2</v>
      </c>
      <c r="Z521" s="26">
        <v>5</v>
      </c>
      <c r="AA521" t="s">
        <v>3349</v>
      </c>
    </row>
    <row r="522" spans="1:27" x14ac:dyDescent="0.25">
      <c r="A522" s="11">
        <v>528</v>
      </c>
      <c r="B522">
        <v>2590</v>
      </c>
      <c r="C522" t="s">
        <v>2629</v>
      </c>
      <c r="D522" t="s">
        <v>2630</v>
      </c>
      <c r="E522" t="s">
        <v>0</v>
      </c>
      <c r="G522" t="s">
        <v>2631</v>
      </c>
      <c r="H522">
        <v>2018</v>
      </c>
      <c r="I522" t="s">
        <v>2632</v>
      </c>
      <c r="J522">
        <v>1</v>
      </c>
      <c r="N522" s="11">
        <v>0</v>
      </c>
      <c r="P522" s="26"/>
      <c r="Q522" s="26"/>
      <c r="R522" s="26"/>
      <c r="S522" s="26"/>
      <c r="T522" s="26"/>
      <c r="U522" s="26"/>
      <c r="V522" s="26"/>
      <c r="W522" s="26">
        <v>0</v>
      </c>
      <c r="X522" s="26">
        <v>0</v>
      </c>
      <c r="Y522" s="26">
        <v>0</v>
      </c>
      <c r="Z522" s="26">
        <v>0</v>
      </c>
    </row>
    <row r="523" spans="1:27" x14ac:dyDescent="0.25">
      <c r="A523" s="11">
        <v>529</v>
      </c>
      <c r="B523">
        <v>3349</v>
      </c>
      <c r="C523" t="s">
        <v>2684</v>
      </c>
      <c r="D523" t="s">
        <v>2685</v>
      </c>
      <c r="E523" t="s">
        <v>5</v>
      </c>
      <c r="G523" t="s">
        <v>2686</v>
      </c>
      <c r="H523">
        <v>2014</v>
      </c>
      <c r="I523" t="s">
        <v>2687</v>
      </c>
      <c r="J523">
        <v>1</v>
      </c>
      <c r="N523" s="11">
        <v>0</v>
      </c>
      <c r="P523" s="26"/>
      <c r="Q523" s="26"/>
      <c r="R523" s="26"/>
      <c r="S523" s="26"/>
      <c r="T523" s="26"/>
      <c r="U523" s="26"/>
      <c r="V523" s="26"/>
      <c r="W523" s="26">
        <v>0</v>
      </c>
      <c r="X523" s="26">
        <v>0</v>
      </c>
      <c r="Y523" s="26">
        <v>0</v>
      </c>
      <c r="Z523" s="26">
        <v>0</v>
      </c>
    </row>
    <row r="524" spans="1:27" x14ac:dyDescent="0.25">
      <c r="A524" s="11">
        <v>530</v>
      </c>
      <c r="B524">
        <v>5187</v>
      </c>
      <c r="C524" t="s">
        <v>1123</v>
      </c>
      <c r="D524" t="s">
        <v>1124</v>
      </c>
      <c r="E524" t="s">
        <v>24</v>
      </c>
      <c r="G524" t="s">
        <v>1125</v>
      </c>
      <c r="H524">
        <v>2015</v>
      </c>
      <c r="I524" t="s">
        <v>1126</v>
      </c>
      <c r="J524">
        <v>1</v>
      </c>
      <c r="N524" s="11">
        <v>0</v>
      </c>
      <c r="P524" s="26"/>
      <c r="Q524" s="26"/>
      <c r="R524" s="26"/>
      <c r="S524" s="26"/>
      <c r="T524" s="26"/>
      <c r="U524" s="26"/>
      <c r="V524" s="26"/>
      <c r="W524" s="26">
        <v>0</v>
      </c>
      <c r="X524" s="26">
        <v>0</v>
      </c>
      <c r="Y524" s="26">
        <v>0</v>
      </c>
      <c r="Z524" s="26">
        <v>0</v>
      </c>
    </row>
    <row r="525" spans="1:27" x14ac:dyDescent="0.25">
      <c r="A525" s="11">
        <v>531</v>
      </c>
      <c r="B525">
        <v>4878</v>
      </c>
      <c r="C525" t="s">
        <v>1127</v>
      </c>
      <c r="D525" t="s">
        <v>1128</v>
      </c>
      <c r="E525" t="s">
        <v>22</v>
      </c>
      <c r="G525" t="s">
        <v>1129</v>
      </c>
      <c r="H525">
        <v>2018</v>
      </c>
      <c r="I525" t="s">
        <v>1130</v>
      </c>
      <c r="J525">
        <v>1</v>
      </c>
      <c r="N525" s="11">
        <v>0</v>
      </c>
      <c r="P525" s="26"/>
      <c r="Q525" s="26"/>
      <c r="R525" s="26"/>
      <c r="S525" s="26"/>
      <c r="T525" s="26"/>
      <c r="U525" s="26"/>
      <c r="V525" s="26"/>
      <c r="W525" s="26">
        <v>0</v>
      </c>
      <c r="X525" s="26">
        <v>0</v>
      </c>
      <c r="Y525" s="26">
        <v>0</v>
      </c>
      <c r="Z525" s="26">
        <v>0</v>
      </c>
    </row>
    <row r="526" spans="1:27" x14ac:dyDescent="0.25">
      <c r="A526" s="11">
        <v>532</v>
      </c>
      <c r="B526">
        <v>6118</v>
      </c>
      <c r="C526" t="s">
        <v>775</v>
      </c>
      <c r="D526" t="s">
        <v>776</v>
      </c>
      <c r="E526" t="s">
        <v>21</v>
      </c>
      <c r="G526" t="s">
        <v>777</v>
      </c>
      <c r="H526">
        <v>2017</v>
      </c>
      <c r="I526" t="s">
        <v>778</v>
      </c>
      <c r="J526">
        <v>1</v>
      </c>
      <c r="N526" s="11">
        <v>0</v>
      </c>
      <c r="P526" s="26"/>
      <c r="Q526" s="26"/>
      <c r="R526" s="26"/>
      <c r="S526" s="26"/>
      <c r="T526" s="26"/>
      <c r="U526" s="26"/>
      <c r="V526" s="26"/>
      <c r="W526" s="26">
        <v>0</v>
      </c>
      <c r="X526" s="26">
        <v>0</v>
      </c>
      <c r="Y526" s="26">
        <v>0</v>
      </c>
      <c r="Z526" s="26">
        <v>0</v>
      </c>
    </row>
    <row r="527" spans="1:27" x14ac:dyDescent="0.25">
      <c r="A527" s="11">
        <v>533</v>
      </c>
      <c r="B527">
        <v>2894</v>
      </c>
      <c r="C527" t="s">
        <v>2152</v>
      </c>
      <c r="D527" t="s">
        <v>208</v>
      </c>
      <c r="E527" t="s">
        <v>0</v>
      </c>
      <c r="G527" t="s">
        <v>2153</v>
      </c>
      <c r="H527">
        <v>2017</v>
      </c>
      <c r="I527" t="s">
        <v>2154</v>
      </c>
      <c r="J527">
        <v>1</v>
      </c>
      <c r="N527" s="11">
        <v>5</v>
      </c>
      <c r="O527" s="18" t="s">
        <v>3513</v>
      </c>
      <c r="P527" s="26" t="s">
        <v>3468</v>
      </c>
      <c r="Q527" s="26" t="s">
        <v>3206</v>
      </c>
      <c r="R527" s="26" t="s">
        <v>3577</v>
      </c>
      <c r="S527" s="26" t="s">
        <v>0</v>
      </c>
      <c r="T527" s="26" t="s">
        <v>38</v>
      </c>
      <c r="U527" s="26" t="s">
        <v>69</v>
      </c>
      <c r="V527" s="26" t="s">
        <v>3336</v>
      </c>
      <c r="W527" s="26">
        <v>5</v>
      </c>
      <c r="X527" s="26">
        <v>5</v>
      </c>
      <c r="Y527" s="26">
        <v>5</v>
      </c>
      <c r="Z527" s="26">
        <v>5</v>
      </c>
      <c r="AA527" t="s">
        <v>3621</v>
      </c>
    </row>
    <row r="528" spans="1:27" x14ac:dyDescent="0.25">
      <c r="A528" s="11">
        <v>534</v>
      </c>
      <c r="B528">
        <v>4462</v>
      </c>
      <c r="C528" t="s">
        <v>1872</v>
      </c>
      <c r="D528" t="s">
        <v>3024</v>
      </c>
      <c r="E528" t="s">
        <v>2</v>
      </c>
      <c r="G528" t="s">
        <v>3025</v>
      </c>
      <c r="H528">
        <v>2014</v>
      </c>
      <c r="I528" t="s">
        <v>3026</v>
      </c>
      <c r="J528">
        <v>1</v>
      </c>
      <c r="N528" s="11">
        <v>0</v>
      </c>
      <c r="P528" s="26"/>
      <c r="Q528" s="26"/>
      <c r="R528" s="26"/>
      <c r="S528" s="26"/>
      <c r="T528" s="26"/>
      <c r="U528" s="26"/>
      <c r="V528" s="26"/>
      <c r="W528" s="26">
        <v>0</v>
      </c>
      <c r="X528" s="26">
        <v>0</v>
      </c>
      <c r="Y528" s="26">
        <v>0</v>
      </c>
      <c r="Z528" s="26">
        <v>0</v>
      </c>
    </row>
    <row r="529" spans="1:27" x14ac:dyDescent="0.25">
      <c r="A529" s="11">
        <v>535</v>
      </c>
      <c r="B529">
        <v>2686</v>
      </c>
      <c r="C529" t="s">
        <v>2672</v>
      </c>
      <c r="D529" s="26" t="s">
        <v>2673</v>
      </c>
      <c r="E529" t="s">
        <v>0</v>
      </c>
      <c r="G529" t="s">
        <v>2674</v>
      </c>
      <c r="H529">
        <v>2018</v>
      </c>
      <c r="I529" t="s">
        <v>2675</v>
      </c>
      <c r="J529">
        <v>1</v>
      </c>
      <c r="N529" s="11">
        <v>5</v>
      </c>
      <c r="O529" s="18" t="s">
        <v>3244</v>
      </c>
      <c r="P529" s="26" t="s">
        <v>3474</v>
      </c>
      <c r="Q529" s="26" t="s">
        <v>3361</v>
      </c>
      <c r="R529" s="26" t="s">
        <v>3243</v>
      </c>
      <c r="S529" s="26" t="s">
        <v>0</v>
      </c>
      <c r="T529" s="26" t="s">
        <v>38</v>
      </c>
      <c r="U529" s="26" t="s">
        <v>69</v>
      </c>
      <c r="V529" s="26" t="s">
        <v>3336</v>
      </c>
      <c r="W529" s="26">
        <v>5</v>
      </c>
      <c r="X529" s="26">
        <v>5</v>
      </c>
      <c r="Y529" s="26">
        <v>5</v>
      </c>
      <c r="Z529" s="26">
        <v>5</v>
      </c>
      <c r="AA529" t="s">
        <v>3475</v>
      </c>
    </row>
    <row r="530" spans="1:27" x14ac:dyDescent="0.25">
      <c r="A530" s="11">
        <v>536</v>
      </c>
      <c r="B530">
        <v>5657</v>
      </c>
      <c r="C530" t="s">
        <v>779</v>
      </c>
      <c r="D530" t="s">
        <v>780</v>
      </c>
      <c r="E530" t="s">
        <v>0</v>
      </c>
      <c r="G530" t="s">
        <v>781</v>
      </c>
      <c r="H530">
        <v>2017</v>
      </c>
      <c r="I530" t="s">
        <v>782</v>
      </c>
      <c r="J530">
        <v>1</v>
      </c>
      <c r="N530" s="11">
        <v>0</v>
      </c>
      <c r="P530" s="26"/>
      <c r="Q530" s="26"/>
      <c r="R530" s="26"/>
      <c r="S530" s="26"/>
      <c r="T530" s="26"/>
      <c r="U530" s="26"/>
      <c r="V530" s="26"/>
      <c r="W530" s="26">
        <v>0</v>
      </c>
      <c r="X530" s="26">
        <v>0</v>
      </c>
      <c r="Y530" s="26">
        <v>0</v>
      </c>
      <c r="Z530" s="26">
        <v>0</v>
      </c>
    </row>
    <row r="531" spans="1:27" x14ac:dyDescent="0.25">
      <c r="A531" s="11">
        <v>537</v>
      </c>
      <c r="B531">
        <v>6274</v>
      </c>
      <c r="C531" t="s">
        <v>170</v>
      </c>
      <c r="D531" s="26" t="s">
        <v>171</v>
      </c>
      <c r="E531" t="s">
        <v>6</v>
      </c>
      <c r="F531" t="s">
        <v>333</v>
      </c>
      <c r="G531" t="s">
        <v>334</v>
      </c>
      <c r="H531">
        <v>2015</v>
      </c>
      <c r="I531" t="s">
        <v>272</v>
      </c>
      <c r="J531">
        <v>1</v>
      </c>
      <c r="N531" s="11">
        <v>3</v>
      </c>
      <c r="O531" s="18" t="s">
        <v>3244</v>
      </c>
      <c r="P531" s="26" t="s">
        <v>3196</v>
      </c>
      <c r="Q531" s="26" t="s">
        <v>3316</v>
      </c>
      <c r="R531" s="26" t="s">
        <v>3223</v>
      </c>
      <c r="S531" s="26" t="s">
        <v>6</v>
      </c>
      <c r="T531" s="26" t="s">
        <v>38</v>
      </c>
      <c r="U531" s="26" t="s">
        <v>69</v>
      </c>
      <c r="V531" s="26" t="s">
        <v>3340</v>
      </c>
      <c r="W531" s="26">
        <v>5</v>
      </c>
      <c r="X531" s="26">
        <v>5</v>
      </c>
      <c r="Y531" s="26">
        <v>3</v>
      </c>
      <c r="Z531" s="26">
        <v>3</v>
      </c>
      <c r="AA531" t="s">
        <v>3317</v>
      </c>
    </row>
    <row r="532" spans="1:27" x14ac:dyDescent="0.25">
      <c r="A532" s="11">
        <v>538</v>
      </c>
      <c r="B532">
        <v>3004</v>
      </c>
      <c r="C532" t="s">
        <v>2653</v>
      </c>
      <c r="D532" s="26" t="s">
        <v>2654</v>
      </c>
      <c r="E532" t="s">
        <v>0</v>
      </c>
      <c r="G532" t="s">
        <v>2655</v>
      </c>
      <c r="H532">
        <v>2016</v>
      </c>
      <c r="I532" t="s">
        <v>2656</v>
      </c>
      <c r="J532">
        <v>1</v>
      </c>
      <c r="N532" s="11">
        <v>4</v>
      </c>
      <c r="O532" s="18" t="s">
        <v>3513</v>
      </c>
      <c r="P532" s="26" t="s">
        <v>3196</v>
      </c>
      <c r="Q532" s="26" t="s">
        <v>3202</v>
      </c>
      <c r="R532" s="26" t="s">
        <v>3239</v>
      </c>
      <c r="S532" s="26" t="s">
        <v>0</v>
      </c>
      <c r="T532" s="26" t="s">
        <v>38</v>
      </c>
      <c r="U532" s="26" t="s">
        <v>3263</v>
      </c>
      <c r="V532" s="26" t="s">
        <v>3336</v>
      </c>
      <c r="W532" s="26">
        <v>4</v>
      </c>
      <c r="X532" s="26">
        <v>4</v>
      </c>
      <c r="Y532" s="26">
        <v>2</v>
      </c>
      <c r="Z532" s="26">
        <v>4</v>
      </c>
      <c r="AA532" t="s">
        <v>3335</v>
      </c>
    </row>
    <row r="533" spans="1:27" x14ac:dyDescent="0.25">
      <c r="A533" s="11">
        <v>539</v>
      </c>
      <c r="B533">
        <v>6063</v>
      </c>
      <c r="C533" t="s">
        <v>787</v>
      </c>
      <c r="D533" t="s">
        <v>788</v>
      </c>
      <c r="E533" t="s">
        <v>789</v>
      </c>
      <c r="G533" t="s">
        <v>790</v>
      </c>
      <c r="H533">
        <v>2017</v>
      </c>
      <c r="I533" t="s">
        <v>791</v>
      </c>
      <c r="J533">
        <v>1</v>
      </c>
      <c r="N533" s="11">
        <v>0</v>
      </c>
      <c r="P533" s="26"/>
      <c r="Q533" s="26"/>
      <c r="R533" s="26"/>
      <c r="S533" s="26"/>
      <c r="T533" s="26"/>
      <c r="U533" s="26"/>
      <c r="V533" s="26"/>
      <c r="W533" s="26">
        <v>0</v>
      </c>
      <c r="X533" s="26">
        <v>0</v>
      </c>
      <c r="Y533" s="26">
        <v>0</v>
      </c>
      <c r="Z533" s="26">
        <v>0</v>
      </c>
    </row>
    <row r="534" spans="1:27" x14ac:dyDescent="0.25">
      <c r="A534" s="11">
        <v>540</v>
      </c>
      <c r="B534">
        <v>2630</v>
      </c>
      <c r="C534" t="s">
        <v>2385</v>
      </c>
      <c r="D534" s="8" t="s">
        <v>2386</v>
      </c>
      <c r="E534" t="s">
        <v>0</v>
      </c>
      <c r="G534" t="s">
        <v>2387</v>
      </c>
      <c r="H534">
        <v>2018</v>
      </c>
      <c r="I534" t="s">
        <v>2388</v>
      </c>
      <c r="J534">
        <v>1</v>
      </c>
      <c r="N534" s="11">
        <v>0</v>
      </c>
      <c r="P534" s="26"/>
      <c r="Q534" s="26"/>
      <c r="R534" s="26"/>
      <c r="S534" s="26"/>
      <c r="T534" s="26"/>
      <c r="U534" s="26"/>
      <c r="V534" s="26"/>
      <c r="W534" s="26">
        <v>0</v>
      </c>
      <c r="X534" s="26">
        <v>0</v>
      </c>
      <c r="Y534" s="26">
        <v>0</v>
      </c>
      <c r="Z534" s="26">
        <v>0</v>
      </c>
    </row>
    <row r="535" spans="1:27" x14ac:dyDescent="0.25">
      <c r="A535" s="11">
        <v>541</v>
      </c>
      <c r="B535">
        <v>3404</v>
      </c>
      <c r="C535" t="s">
        <v>2115</v>
      </c>
      <c r="D535" t="s">
        <v>211</v>
      </c>
      <c r="E535" t="s">
        <v>0</v>
      </c>
      <c r="G535" t="s">
        <v>2116</v>
      </c>
      <c r="H535">
        <v>2014</v>
      </c>
      <c r="I535" t="s">
        <v>2117</v>
      </c>
      <c r="J535">
        <v>1</v>
      </c>
      <c r="N535" s="11">
        <v>0</v>
      </c>
      <c r="P535" s="26"/>
      <c r="Q535" s="26"/>
      <c r="R535" s="26"/>
      <c r="S535" s="26"/>
      <c r="T535" s="26"/>
      <c r="U535" s="26"/>
      <c r="V535" s="26"/>
      <c r="W535" s="26">
        <v>0</v>
      </c>
      <c r="X535" s="26">
        <v>0</v>
      </c>
      <c r="Y535" s="26">
        <v>0</v>
      </c>
      <c r="Z535" s="26">
        <v>0</v>
      </c>
    </row>
    <row r="536" spans="1:27" x14ac:dyDescent="0.25">
      <c r="A536" s="11">
        <v>542</v>
      </c>
      <c r="B536">
        <v>3378</v>
      </c>
      <c r="C536" t="s">
        <v>1901</v>
      </c>
      <c r="D536" s="26" t="s">
        <v>1903</v>
      </c>
      <c r="E536" t="s">
        <v>1904</v>
      </c>
      <c r="G536" t="s">
        <v>1905</v>
      </c>
      <c r="H536">
        <v>2014</v>
      </c>
      <c r="I536" t="s">
        <v>1906</v>
      </c>
      <c r="J536">
        <v>1</v>
      </c>
      <c r="N536" s="11">
        <v>5</v>
      </c>
      <c r="O536" s="18" t="s">
        <v>3157</v>
      </c>
      <c r="P536" s="26" t="s">
        <v>3462</v>
      </c>
      <c r="Q536" s="26" t="s">
        <v>3258</v>
      </c>
      <c r="R536" s="26" t="s">
        <v>3187</v>
      </c>
      <c r="S536" s="26" t="s">
        <v>0</v>
      </c>
      <c r="T536" s="26" t="s">
        <v>38</v>
      </c>
      <c r="U536" s="26" t="s">
        <v>69</v>
      </c>
      <c r="V536" s="26" t="s">
        <v>3336</v>
      </c>
      <c r="W536" s="26">
        <v>5</v>
      </c>
      <c r="X536" s="26">
        <v>5</v>
      </c>
      <c r="Y536" s="26">
        <v>5</v>
      </c>
      <c r="Z536" s="26">
        <v>5</v>
      </c>
      <c r="AA536" t="s">
        <v>3464</v>
      </c>
    </row>
    <row r="537" spans="1:27" x14ac:dyDescent="0.25">
      <c r="A537" s="11">
        <v>543</v>
      </c>
      <c r="B537">
        <v>3360</v>
      </c>
      <c r="C537" t="s">
        <v>2132</v>
      </c>
      <c r="D537" t="s">
        <v>2133</v>
      </c>
      <c r="E537" t="s">
        <v>5</v>
      </c>
      <c r="G537" t="s">
        <v>2134</v>
      </c>
      <c r="H537">
        <v>2014</v>
      </c>
      <c r="I537" t="s">
        <v>2135</v>
      </c>
      <c r="J537">
        <v>1</v>
      </c>
      <c r="N537" s="11">
        <v>0</v>
      </c>
      <c r="P537" s="26"/>
      <c r="Q537" s="26"/>
      <c r="R537" s="26"/>
      <c r="S537" s="26"/>
      <c r="T537" s="26"/>
      <c r="U537" s="26"/>
      <c r="V537" s="26"/>
      <c r="W537" s="26">
        <v>0</v>
      </c>
      <c r="X537" s="26">
        <v>0</v>
      </c>
      <c r="Y537" s="26">
        <v>0</v>
      </c>
      <c r="Z537" s="26">
        <v>0</v>
      </c>
    </row>
    <row r="538" spans="1:27" x14ac:dyDescent="0.25">
      <c r="A538" s="11">
        <v>544</v>
      </c>
      <c r="B538">
        <v>3101</v>
      </c>
      <c r="C538" t="s">
        <v>1624</v>
      </c>
      <c r="D538" s="26" t="s">
        <v>1625</v>
      </c>
      <c r="E538" t="s">
        <v>0</v>
      </c>
      <c r="G538" t="s">
        <v>1626</v>
      </c>
      <c r="H538">
        <v>2016</v>
      </c>
      <c r="I538" t="s">
        <v>1627</v>
      </c>
      <c r="J538">
        <v>1</v>
      </c>
      <c r="N538" s="11">
        <v>0</v>
      </c>
      <c r="P538" s="26"/>
      <c r="Q538" s="26"/>
      <c r="R538" s="26"/>
      <c r="S538" s="26"/>
      <c r="T538" s="26"/>
      <c r="U538" s="26"/>
      <c r="V538" s="26"/>
      <c r="W538" s="26">
        <v>0</v>
      </c>
      <c r="X538" s="26">
        <v>0</v>
      </c>
      <c r="Y538" s="26">
        <v>0</v>
      </c>
      <c r="Z538" s="26">
        <v>0</v>
      </c>
    </row>
    <row r="539" spans="1:27" x14ac:dyDescent="0.25">
      <c r="A539" s="11">
        <v>545</v>
      </c>
      <c r="B539">
        <v>2911</v>
      </c>
      <c r="C539" t="s">
        <v>1316</v>
      </c>
      <c r="D539" t="s">
        <v>1317</v>
      </c>
      <c r="E539" t="s">
        <v>1193</v>
      </c>
      <c r="G539" t="s">
        <v>1318</v>
      </c>
      <c r="H539">
        <v>2017</v>
      </c>
      <c r="I539" t="s">
        <v>1319</v>
      </c>
      <c r="J539">
        <v>1</v>
      </c>
      <c r="N539" s="11">
        <v>0</v>
      </c>
      <c r="P539" s="26"/>
      <c r="Q539" s="26"/>
      <c r="R539" s="26"/>
      <c r="S539" s="26"/>
      <c r="T539" s="26"/>
      <c r="U539" s="26"/>
      <c r="V539" s="26"/>
      <c r="W539" s="26">
        <v>0</v>
      </c>
      <c r="X539" s="26">
        <v>0</v>
      </c>
      <c r="Y539" s="26">
        <v>0</v>
      </c>
      <c r="Z539" s="26">
        <v>0</v>
      </c>
    </row>
    <row r="540" spans="1:27" x14ac:dyDescent="0.25">
      <c r="A540" s="11">
        <v>546</v>
      </c>
      <c r="B540">
        <v>4123</v>
      </c>
      <c r="C540" t="s">
        <v>3135</v>
      </c>
      <c r="D540" s="8" t="s">
        <v>3136</v>
      </c>
      <c r="E540" t="s">
        <v>3</v>
      </c>
      <c r="G540" t="s">
        <v>2481</v>
      </c>
      <c r="H540">
        <v>2017</v>
      </c>
      <c r="I540" t="s">
        <v>3137</v>
      </c>
      <c r="J540">
        <v>1</v>
      </c>
      <c r="N540" s="11">
        <v>0</v>
      </c>
      <c r="P540" s="26"/>
      <c r="Q540" s="26"/>
      <c r="R540" s="26"/>
      <c r="S540" s="26"/>
      <c r="T540" s="26"/>
      <c r="U540" s="26"/>
      <c r="V540" s="26"/>
      <c r="W540" s="26">
        <v>0</v>
      </c>
      <c r="X540" s="26">
        <v>0</v>
      </c>
      <c r="Y540" s="26">
        <v>0</v>
      </c>
      <c r="Z540" s="26">
        <v>0</v>
      </c>
    </row>
    <row r="541" spans="1:27" x14ac:dyDescent="0.25">
      <c r="A541" s="11">
        <v>547</v>
      </c>
      <c r="B541">
        <v>5655</v>
      </c>
      <c r="C541" t="s">
        <v>510</v>
      </c>
      <c r="D541" t="s">
        <v>511</v>
      </c>
      <c r="E541" t="s">
        <v>0</v>
      </c>
      <c r="F541" t="s">
        <v>946</v>
      </c>
      <c r="G541" t="s">
        <v>512</v>
      </c>
      <c r="H541">
        <v>2013</v>
      </c>
      <c r="I541" t="s">
        <v>513</v>
      </c>
      <c r="J541">
        <v>1</v>
      </c>
      <c r="N541" s="11">
        <v>3</v>
      </c>
      <c r="O541" s="18" t="s">
        <v>3168</v>
      </c>
      <c r="P541" s="26" t="s">
        <v>3423</v>
      </c>
      <c r="Q541" s="26" t="s">
        <v>3258</v>
      </c>
      <c r="R541" s="26" t="s">
        <v>3243</v>
      </c>
      <c r="S541" s="26" t="s">
        <v>0</v>
      </c>
      <c r="T541" s="26" t="s">
        <v>38</v>
      </c>
      <c r="U541" s="26" t="s">
        <v>69</v>
      </c>
      <c r="V541" s="26" t="s">
        <v>3336</v>
      </c>
      <c r="W541" s="26">
        <v>4</v>
      </c>
      <c r="X541" s="26">
        <v>4</v>
      </c>
      <c r="Y541" s="26">
        <v>4</v>
      </c>
      <c r="Z541" s="26">
        <v>4</v>
      </c>
      <c r="AA541" t="s">
        <v>54</v>
      </c>
    </row>
    <row r="542" spans="1:27" x14ac:dyDescent="0.25">
      <c r="A542" s="11">
        <v>548</v>
      </c>
      <c r="B542">
        <v>3347</v>
      </c>
      <c r="C542" t="s">
        <v>2847</v>
      </c>
      <c r="D542" t="s">
        <v>2848</v>
      </c>
      <c r="E542" t="s">
        <v>5</v>
      </c>
      <c r="G542" t="s">
        <v>2849</v>
      </c>
      <c r="H542">
        <v>2014</v>
      </c>
      <c r="I542" t="s">
        <v>2850</v>
      </c>
      <c r="J542">
        <v>1</v>
      </c>
      <c r="K542">
        <v>1</v>
      </c>
      <c r="N542" s="11">
        <v>0</v>
      </c>
      <c r="P542" s="26"/>
      <c r="Q542" s="26"/>
      <c r="R542" s="26"/>
      <c r="S542" s="26"/>
      <c r="T542" s="26"/>
      <c r="U542" s="26"/>
      <c r="V542" s="26"/>
      <c r="W542" s="26">
        <v>0</v>
      </c>
      <c r="X542" s="26">
        <v>0</v>
      </c>
      <c r="Y542" s="26">
        <v>0</v>
      </c>
      <c r="Z542" s="26">
        <v>0</v>
      </c>
    </row>
    <row r="543" spans="1:27" x14ac:dyDescent="0.25">
      <c r="A543" s="11">
        <v>549</v>
      </c>
      <c r="B543">
        <v>4110</v>
      </c>
      <c r="C543" t="s">
        <v>2617</v>
      </c>
      <c r="D543" t="s">
        <v>3074</v>
      </c>
      <c r="E543" t="s">
        <v>3</v>
      </c>
      <c r="G543" t="s">
        <v>3075</v>
      </c>
      <c r="H543">
        <v>2017</v>
      </c>
      <c r="I543" t="s">
        <v>3076</v>
      </c>
      <c r="J543">
        <v>1</v>
      </c>
      <c r="N543" s="11">
        <v>0</v>
      </c>
      <c r="P543" s="26"/>
      <c r="Q543" s="26"/>
      <c r="R543" s="26"/>
      <c r="S543" s="26"/>
      <c r="T543" s="26"/>
      <c r="U543" s="26"/>
      <c r="V543" s="26"/>
      <c r="W543" s="26">
        <v>0</v>
      </c>
      <c r="X543" s="26">
        <v>0</v>
      </c>
      <c r="Y543" s="26">
        <v>0</v>
      </c>
      <c r="Z543" s="26">
        <v>0</v>
      </c>
    </row>
    <row r="544" spans="1:27" x14ac:dyDescent="0.25">
      <c r="A544" s="11">
        <v>551</v>
      </c>
      <c r="B544">
        <v>2598</v>
      </c>
      <c r="C544" t="s">
        <v>2136</v>
      </c>
      <c r="D544" t="s">
        <v>2137</v>
      </c>
      <c r="E544" t="s">
        <v>0</v>
      </c>
      <c r="G544" t="s">
        <v>2138</v>
      </c>
      <c r="H544">
        <v>2018</v>
      </c>
      <c r="I544" t="s">
        <v>2139</v>
      </c>
      <c r="J544">
        <v>1</v>
      </c>
      <c r="N544" s="11">
        <v>0</v>
      </c>
      <c r="P544" s="26"/>
      <c r="Q544" s="26"/>
      <c r="R544" s="26"/>
      <c r="S544" s="26"/>
      <c r="T544" s="26"/>
      <c r="U544" s="26"/>
      <c r="V544" s="26"/>
      <c r="W544" s="26">
        <v>0</v>
      </c>
      <c r="X544" s="26">
        <v>0</v>
      </c>
      <c r="Y544" s="26">
        <v>0</v>
      </c>
      <c r="Z544" s="26">
        <v>0</v>
      </c>
    </row>
    <row r="545" spans="1:27" x14ac:dyDescent="0.25">
      <c r="A545" s="11">
        <v>552</v>
      </c>
      <c r="B545">
        <v>5971</v>
      </c>
      <c r="C545" t="s">
        <v>796</v>
      </c>
      <c r="D545" t="s">
        <v>797</v>
      </c>
      <c r="E545" t="s">
        <v>0</v>
      </c>
      <c r="G545" t="s">
        <v>798</v>
      </c>
      <c r="H545">
        <v>2012</v>
      </c>
      <c r="I545" t="s">
        <v>799</v>
      </c>
      <c r="J545">
        <v>1</v>
      </c>
      <c r="N545" s="11">
        <v>0</v>
      </c>
      <c r="P545" s="26"/>
      <c r="Q545" s="26"/>
      <c r="R545" s="26"/>
      <c r="S545" s="26"/>
      <c r="T545" s="26"/>
      <c r="U545" s="26"/>
      <c r="V545" s="26"/>
      <c r="W545" s="26">
        <v>0</v>
      </c>
      <c r="X545" s="26">
        <v>0</v>
      </c>
      <c r="Y545" s="26">
        <v>0</v>
      </c>
      <c r="Z545" s="26">
        <v>0</v>
      </c>
    </row>
    <row r="546" spans="1:27" x14ac:dyDescent="0.25">
      <c r="A546" s="11">
        <v>553</v>
      </c>
      <c r="B546">
        <v>3636</v>
      </c>
      <c r="C546" t="s">
        <v>2214</v>
      </c>
      <c r="D546" t="s">
        <v>2661</v>
      </c>
      <c r="E546" t="s">
        <v>0</v>
      </c>
      <c r="G546" t="s">
        <v>2662</v>
      </c>
      <c r="H546">
        <v>2012</v>
      </c>
      <c r="I546" t="s">
        <v>2663</v>
      </c>
      <c r="J546">
        <v>1</v>
      </c>
      <c r="N546" s="11">
        <v>0</v>
      </c>
      <c r="P546" s="26"/>
      <c r="Q546" s="26"/>
      <c r="R546" s="26"/>
      <c r="S546" s="26"/>
      <c r="T546" s="26"/>
      <c r="U546" s="26"/>
      <c r="V546" s="26"/>
      <c r="W546" s="26">
        <v>0</v>
      </c>
      <c r="X546" s="26">
        <v>0</v>
      </c>
      <c r="Y546" s="26">
        <v>0</v>
      </c>
      <c r="Z546" s="26">
        <v>0</v>
      </c>
    </row>
    <row r="547" spans="1:27" x14ac:dyDescent="0.25">
      <c r="A547" s="11">
        <v>554</v>
      </c>
      <c r="B547">
        <v>1</v>
      </c>
      <c r="C547" t="s">
        <v>2566</v>
      </c>
      <c r="D547" t="s">
        <v>2567</v>
      </c>
      <c r="E547" t="s">
        <v>0</v>
      </c>
      <c r="G547" t="s">
        <v>2568</v>
      </c>
      <c r="H547">
        <v>2017</v>
      </c>
      <c r="I547" t="s">
        <v>2569</v>
      </c>
      <c r="J547">
        <v>1</v>
      </c>
      <c r="N547" s="11">
        <v>0</v>
      </c>
      <c r="P547" s="26"/>
      <c r="Q547" s="26"/>
      <c r="R547" s="26"/>
      <c r="S547" s="26"/>
      <c r="T547" s="26"/>
      <c r="U547" s="26"/>
      <c r="V547" s="26"/>
      <c r="W547" s="26">
        <v>0</v>
      </c>
      <c r="X547" s="26">
        <v>0</v>
      </c>
      <c r="Y547" s="26">
        <v>0</v>
      </c>
      <c r="Z547" s="26">
        <v>0</v>
      </c>
    </row>
    <row r="548" spans="1:27" x14ac:dyDescent="0.25">
      <c r="A548" s="11">
        <v>555</v>
      </c>
      <c r="B548">
        <v>2683</v>
      </c>
      <c r="C548" t="s">
        <v>1346</v>
      </c>
      <c r="D548" t="s">
        <v>1347</v>
      </c>
      <c r="E548" t="s">
        <v>0</v>
      </c>
      <c r="G548" t="s">
        <v>1348</v>
      </c>
      <c r="H548">
        <v>2018</v>
      </c>
      <c r="I548" t="s">
        <v>1349</v>
      </c>
      <c r="J548">
        <v>1</v>
      </c>
      <c r="N548" s="11">
        <v>0</v>
      </c>
      <c r="P548" s="26"/>
      <c r="Q548" s="26"/>
      <c r="R548" s="26"/>
      <c r="S548" s="26"/>
      <c r="T548" s="26"/>
      <c r="U548" s="26"/>
      <c r="V548" s="26"/>
      <c r="W548" s="26">
        <v>0</v>
      </c>
      <c r="X548" s="26">
        <v>0</v>
      </c>
      <c r="Y548" s="26">
        <v>0</v>
      </c>
      <c r="Z548" s="26">
        <v>0</v>
      </c>
    </row>
    <row r="549" spans="1:27" x14ac:dyDescent="0.25">
      <c r="A549" s="11">
        <v>556</v>
      </c>
      <c r="B549">
        <v>3549</v>
      </c>
      <c r="C549" t="s">
        <v>2618</v>
      </c>
      <c r="D549" t="s">
        <v>2619</v>
      </c>
      <c r="E549" t="s">
        <v>0</v>
      </c>
      <c r="G549" t="s">
        <v>2620</v>
      </c>
      <c r="H549">
        <v>2013</v>
      </c>
      <c r="J549">
        <v>1</v>
      </c>
      <c r="N549" s="11">
        <v>4</v>
      </c>
      <c r="O549" s="18" t="s">
        <v>3244</v>
      </c>
      <c r="P549" s="26" t="s">
        <v>3554</v>
      </c>
      <c r="Q549" s="26" t="s">
        <v>3258</v>
      </c>
      <c r="R549" s="26" t="s">
        <v>3231</v>
      </c>
      <c r="S549" s="26" t="s">
        <v>0</v>
      </c>
      <c r="T549" s="26" t="s">
        <v>38</v>
      </c>
      <c r="U549" s="26" t="s">
        <v>69</v>
      </c>
      <c r="V549" s="26" t="s">
        <v>3336</v>
      </c>
      <c r="W549" s="26">
        <v>5</v>
      </c>
      <c r="X549" s="26">
        <v>4</v>
      </c>
      <c r="Y549" s="26">
        <v>4</v>
      </c>
      <c r="Z549" s="26">
        <v>4</v>
      </c>
      <c r="AA549" t="s">
        <v>3464</v>
      </c>
    </row>
    <row r="550" spans="1:27" x14ac:dyDescent="0.25">
      <c r="A550" s="11">
        <v>557</v>
      </c>
      <c r="B550">
        <v>3672</v>
      </c>
      <c r="C550" t="s">
        <v>2606</v>
      </c>
      <c r="D550" t="s">
        <v>2607</v>
      </c>
      <c r="E550" t="s">
        <v>22</v>
      </c>
      <c r="G550" t="s">
        <v>2608</v>
      </c>
      <c r="H550">
        <v>2012</v>
      </c>
      <c r="I550" t="s">
        <v>2609</v>
      </c>
      <c r="J550">
        <v>1</v>
      </c>
      <c r="N550" s="11">
        <v>0</v>
      </c>
      <c r="P550" s="26"/>
      <c r="Q550" s="26"/>
      <c r="R550" s="26"/>
      <c r="S550" s="26"/>
      <c r="T550" s="26"/>
      <c r="U550" s="26"/>
      <c r="V550" s="26"/>
      <c r="W550" s="26">
        <v>0</v>
      </c>
      <c r="X550" s="26">
        <v>0</v>
      </c>
      <c r="Y550" s="26">
        <v>0</v>
      </c>
      <c r="Z550" s="26">
        <v>0</v>
      </c>
    </row>
    <row r="551" spans="1:27" x14ac:dyDescent="0.25">
      <c r="A551" s="11">
        <v>558</v>
      </c>
      <c r="B551">
        <v>3619</v>
      </c>
      <c r="C551" t="s">
        <v>2725</v>
      </c>
      <c r="D551" t="s">
        <v>2726</v>
      </c>
      <c r="E551" t="s">
        <v>1193</v>
      </c>
      <c r="G551" t="s">
        <v>2727</v>
      </c>
      <c r="H551">
        <v>2013</v>
      </c>
      <c r="I551" t="s">
        <v>2728</v>
      </c>
      <c r="J551">
        <v>1</v>
      </c>
      <c r="N551" s="11">
        <v>0</v>
      </c>
      <c r="P551" s="26"/>
      <c r="Q551" s="26"/>
      <c r="R551" s="26"/>
      <c r="S551" s="26"/>
      <c r="T551" s="26"/>
      <c r="U551" s="26"/>
      <c r="V551" s="26"/>
      <c r="W551" s="26">
        <v>0</v>
      </c>
      <c r="X551" s="26">
        <v>0</v>
      </c>
      <c r="Y551" s="26">
        <v>0</v>
      </c>
      <c r="Z551" s="26">
        <v>0</v>
      </c>
    </row>
    <row r="552" spans="1:27" x14ac:dyDescent="0.25">
      <c r="A552" s="11">
        <v>559</v>
      </c>
      <c r="B552">
        <v>2965</v>
      </c>
      <c r="C552" t="s">
        <v>1825</v>
      </c>
      <c r="D552" s="8" t="s">
        <v>1826</v>
      </c>
      <c r="E552" t="s">
        <v>5</v>
      </c>
      <c r="G552" t="s">
        <v>1827</v>
      </c>
      <c r="H552">
        <v>2017</v>
      </c>
      <c r="I552" t="s">
        <v>1828</v>
      </c>
      <c r="J552">
        <v>1</v>
      </c>
      <c r="N552" s="11">
        <v>0</v>
      </c>
      <c r="P552" s="26"/>
      <c r="Q552" s="26"/>
      <c r="R552" s="26"/>
      <c r="S552" s="26"/>
      <c r="T552" s="26"/>
      <c r="U552" s="26"/>
      <c r="V552" s="26"/>
      <c r="W552" s="26">
        <v>0</v>
      </c>
      <c r="X552" s="26">
        <v>0</v>
      </c>
      <c r="Y552" s="26">
        <v>0</v>
      </c>
      <c r="Z552" s="26">
        <v>0</v>
      </c>
    </row>
    <row r="553" spans="1:27" x14ac:dyDescent="0.25">
      <c r="A553" s="11">
        <v>560</v>
      </c>
      <c r="B553">
        <v>6215</v>
      </c>
      <c r="C553" t="s">
        <v>212</v>
      </c>
      <c r="D553" t="s">
        <v>213</v>
      </c>
      <c r="E553" t="s">
        <v>6</v>
      </c>
      <c r="F553" t="s">
        <v>371</v>
      </c>
      <c r="G553" t="s">
        <v>372</v>
      </c>
      <c r="H553">
        <v>2012</v>
      </c>
      <c r="J553">
        <v>1</v>
      </c>
      <c r="N553" s="11">
        <v>0</v>
      </c>
      <c r="P553" s="26"/>
      <c r="Q553" s="26"/>
      <c r="R553" s="26"/>
      <c r="S553" s="26"/>
      <c r="T553" s="26"/>
      <c r="U553" s="26"/>
      <c r="V553" s="26"/>
      <c r="W553" s="26">
        <v>0</v>
      </c>
      <c r="X553" s="26">
        <v>0</v>
      </c>
      <c r="Y553" s="26">
        <v>0</v>
      </c>
      <c r="Z553" s="26">
        <v>0</v>
      </c>
    </row>
    <row r="554" spans="1:27" x14ac:dyDescent="0.25">
      <c r="A554" s="11">
        <v>561</v>
      </c>
      <c r="B554">
        <v>2959</v>
      </c>
      <c r="C554" t="s">
        <v>800</v>
      </c>
      <c r="D554" t="s">
        <v>1948</v>
      </c>
      <c r="E554" t="s">
        <v>0</v>
      </c>
      <c r="G554" t="s">
        <v>1949</v>
      </c>
      <c r="H554">
        <v>2017</v>
      </c>
      <c r="I554" t="s">
        <v>1950</v>
      </c>
      <c r="J554">
        <v>1</v>
      </c>
      <c r="N554" s="11">
        <v>0</v>
      </c>
      <c r="P554" s="26"/>
      <c r="Q554" s="26"/>
      <c r="R554" s="26"/>
      <c r="S554" s="26"/>
      <c r="T554" s="26"/>
      <c r="U554" s="26"/>
      <c r="V554" s="26"/>
      <c r="W554" s="26">
        <v>0</v>
      </c>
      <c r="X554" s="26">
        <v>0</v>
      </c>
      <c r="Y554" s="26">
        <v>0</v>
      </c>
      <c r="Z554" s="26">
        <v>0</v>
      </c>
    </row>
    <row r="555" spans="1:27" x14ac:dyDescent="0.25">
      <c r="A555" s="11">
        <v>563</v>
      </c>
      <c r="B555">
        <v>4352</v>
      </c>
      <c r="C555" t="s">
        <v>1716</v>
      </c>
      <c r="D555" t="s">
        <v>2898</v>
      </c>
      <c r="E555" t="s">
        <v>2</v>
      </c>
      <c r="G555" t="s">
        <v>2899</v>
      </c>
      <c r="H555">
        <v>2015</v>
      </c>
      <c r="I555" t="s">
        <v>2900</v>
      </c>
      <c r="J555">
        <v>1</v>
      </c>
      <c r="N555" s="11">
        <v>0</v>
      </c>
      <c r="P555" s="26"/>
      <c r="Q555" s="26"/>
      <c r="R555" s="26"/>
      <c r="S555" s="26"/>
      <c r="T555" s="26"/>
      <c r="U555" s="26"/>
      <c r="V555" s="26"/>
      <c r="W555" s="26">
        <v>0</v>
      </c>
      <c r="X555" s="26">
        <v>0</v>
      </c>
      <c r="Y555" s="26">
        <v>0</v>
      </c>
      <c r="Z555" s="26">
        <v>0</v>
      </c>
    </row>
    <row r="556" spans="1:27" x14ac:dyDescent="0.25">
      <c r="A556" s="11">
        <v>564</v>
      </c>
      <c r="B556">
        <v>3234</v>
      </c>
      <c r="C556" t="s">
        <v>1881</v>
      </c>
      <c r="D556" t="s">
        <v>1882</v>
      </c>
      <c r="E556" t="s">
        <v>0</v>
      </c>
      <c r="G556" t="s">
        <v>1883</v>
      </c>
      <c r="H556">
        <v>2015</v>
      </c>
      <c r="I556" t="s">
        <v>1884</v>
      </c>
      <c r="J556">
        <v>1</v>
      </c>
      <c r="N556" s="11">
        <v>0</v>
      </c>
      <c r="P556" s="26"/>
      <c r="Q556" s="26"/>
      <c r="R556" s="26"/>
      <c r="S556" s="26"/>
      <c r="T556" s="26"/>
      <c r="U556" s="26"/>
      <c r="V556" s="26"/>
      <c r="W556" s="26">
        <v>0</v>
      </c>
      <c r="X556" s="26">
        <v>0</v>
      </c>
      <c r="Y556" s="26">
        <v>0</v>
      </c>
      <c r="Z556" s="26">
        <v>0</v>
      </c>
    </row>
    <row r="557" spans="1:27" x14ac:dyDescent="0.25">
      <c r="A557" s="11">
        <v>565</v>
      </c>
      <c r="B557">
        <v>6079</v>
      </c>
      <c r="C557" t="s">
        <v>801</v>
      </c>
      <c r="D557" t="s">
        <v>802</v>
      </c>
      <c r="E557" t="s">
        <v>0</v>
      </c>
      <c r="G557" t="s">
        <v>803</v>
      </c>
      <c r="H557">
        <v>2012</v>
      </c>
      <c r="I557" t="s">
        <v>804</v>
      </c>
      <c r="J557">
        <v>1</v>
      </c>
      <c r="N557" s="11">
        <v>0</v>
      </c>
      <c r="P557" s="26"/>
      <c r="Q557" s="26"/>
      <c r="R557" s="26"/>
      <c r="S557" s="26"/>
      <c r="T557" s="26"/>
      <c r="U557" s="26"/>
      <c r="V557" s="26"/>
      <c r="W557" s="26">
        <v>0</v>
      </c>
      <c r="X557" s="26">
        <v>0</v>
      </c>
      <c r="Y557" s="26">
        <v>0</v>
      </c>
      <c r="Z557" s="26">
        <v>0</v>
      </c>
    </row>
    <row r="558" spans="1:27" x14ac:dyDescent="0.25">
      <c r="A558" s="11">
        <v>566</v>
      </c>
      <c r="B558">
        <v>2595</v>
      </c>
      <c r="C558" t="s">
        <v>2427</v>
      </c>
      <c r="D558" s="26" t="s">
        <v>2428</v>
      </c>
      <c r="E558" t="s">
        <v>0</v>
      </c>
      <c r="G558" t="s">
        <v>2429</v>
      </c>
      <c r="H558">
        <v>2018</v>
      </c>
      <c r="I558" t="s">
        <v>2430</v>
      </c>
      <c r="J558">
        <v>1</v>
      </c>
      <c r="N558" s="11">
        <v>5</v>
      </c>
      <c r="O558" s="18" t="s">
        <v>3385</v>
      </c>
      <c r="P558" s="26" t="s">
        <v>3425</v>
      </c>
      <c r="Q558" s="26" t="s">
        <v>3258</v>
      </c>
      <c r="R558" s="26" t="s">
        <v>3243</v>
      </c>
      <c r="S558" s="26" t="s">
        <v>0</v>
      </c>
      <c r="T558" s="26" t="s">
        <v>38</v>
      </c>
      <c r="U558" s="26" t="s">
        <v>69</v>
      </c>
      <c r="V558" s="26" t="s">
        <v>3336</v>
      </c>
      <c r="W558" s="26">
        <v>5</v>
      </c>
      <c r="X558" s="26">
        <v>5</v>
      </c>
      <c r="Y558" s="26">
        <v>5</v>
      </c>
      <c r="Z558" s="26">
        <v>5</v>
      </c>
      <c r="AA558" s="26" t="s">
        <v>53</v>
      </c>
    </row>
    <row r="559" spans="1:27" x14ac:dyDescent="0.25">
      <c r="A559" s="11">
        <v>567</v>
      </c>
      <c r="B559">
        <v>2510</v>
      </c>
      <c r="C559" t="s">
        <v>805</v>
      </c>
      <c r="D559" t="s">
        <v>806</v>
      </c>
      <c r="E559" t="s">
        <v>0</v>
      </c>
      <c r="G559" t="s">
        <v>2799</v>
      </c>
      <c r="H559">
        <v>2019</v>
      </c>
      <c r="I559" t="s">
        <v>2800</v>
      </c>
      <c r="J559">
        <v>1</v>
      </c>
      <c r="N559" s="11">
        <v>0</v>
      </c>
      <c r="P559" s="26"/>
      <c r="Q559" s="26"/>
      <c r="R559" s="26"/>
      <c r="S559" s="26"/>
      <c r="T559" s="26"/>
      <c r="U559" s="26"/>
      <c r="V559" s="26"/>
      <c r="W559" s="26">
        <v>0</v>
      </c>
      <c r="X559" s="26">
        <v>0</v>
      </c>
      <c r="Y559" s="26">
        <v>0</v>
      </c>
      <c r="Z559" s="26">
        <v>0</v>
      </c>
    </row>
    <row r="560" spans="1:27" x14ac:dyDescent="0.25">
      <c r="A560" s="11">
        <v>568</v>
      </c>
      <c r="B560">
        <v>4908</v>
      </c>
      <c r="C560" t="s">
        <v>1031</v>
      </c>
      <c r="D560" s="26" t="s">
        <v>1032</v>
      </c>
      <c r="E560" t="s">
        <v>24</v>
      </c>
      <c r="G560" t="s">
        <v>1033</v>
      </c>
      <c r="H560">
        <v>2018</v>
      </c>
      <c r="I560" t="s">
        <v>1034</v>
      </c>
      <c r="J560">
        <v>1</v>
      </c>
      <c r="N560" s="11">
        <v>5</v>
      </c>
      <c r="O560" s="18" t="s">
        <v>3385</v>
      </c>
      <c r="P560" s="26" t="s">
        <v>3425</v>
      </c>
      <c r="Q560" s="26" t="s">
        <v>3427</v>
      </c>
      <c r="R560" s="26" t="s">
        <v>3243</v>
      </c>
      <c r="S560" s="26" t="s">
        <v>1</v>
      </c>
      <c r="T560" s="26" t="s">
        <v>38</v>
      </c>
      <c r="U560" s="26" t="s">
        <v>69</v>
      </c>
      <c r="V560" s="26" t="s">
        <v>3336</v>
      </c>
      <c r="W560" s="26">
        <v>5</v>
      </c>
      <c r="X560" s="26">
        <v>5</v>
      </c>
      <c r="Y560" s="26">
        <v>5</v>
      </c>
      <c r="Z560" s="26">
        <v>5</v>
      </c>
      <c r="AA560" t="s">
        <v>3428</v>
      </c>
    </row>
    <row r="561" spans="1:27" x14ac:dyDescent="0.25">
      <c r="A561" s="11">
        <v>569</v>
      </c>
      <c r="B561">
        <v>3776</v>
      </c>
      <c r="C561" t="s">
        <v>1385</v>
      </c>
      <c r="D561" s="8" t="s">
        <v>1386</v>
      </c>
      <c r="E561" t="s">
        <v>3</v>
      </c>
      <c r="G561" t="s">
        <v>2901</v>
      </c>
      <c r="H561">
        <v>2019</v>
      </c>
      <c r="I561" t="s">
        <v>2902</v>
      </c>
      <c r="J561">
        <v>1</v>
      </c>
      <c r="N561" s="11">
        <v>0</v>
      </c>
      <c r="P561" s="26"/>
      <c r="Q561" s="26"/>
      <c r="R561" s="26"/>
      <c r="S561" s="26"/>
      <c r="T561" s="26"/>
      <c r="U561" s="26"/>
      <c r="V561" s="26"/>
      <c r="W561" s="26">
        <v>0</v>
      </c>
      <c r="X561" s="26">
        <v>0</v>
      </c>
      <c r="Y561" s="26">
        <v>0</v>
      </c>
      <c r="Z561" s="26">
        <v>0</v>
      </c>
    </row>
    <row r="562" spans="1:27" x14ac:dyDescent="0.25">
      <c r="A562" s="11">
        <v>570</v>
      </c>
      <c r="B562">
        <v>2889</v>
      </c>
      <c r="C562" t="s">
        <v>2449</v>
      </c>
      <c r="D562" s="26" t="s">
        <v>2450</v>
      </c>
      <c r="E562" t="s">
        <v>0</v>
      </c>
      <c r="G562" t="s">
        <v>2451</v>
      </c>
      <c r="H562">
        <v>2017</v>
      </c>
      <c r="I562" t="s">
        <v>2452</v>
      </c>
      <c r="J562">
        <v>1</v>
      </c>
      <c r="N562" s="11">
        <v>0</v>
      </c>
      <c r="P562" s="26"/>
      <c r="Q562" s="26"/>
      <c r="R562" s="26"/>
      <c r="S562" s="26"/>
      <c r="T562" s="26"/>
      <c r="U562" s="26"/>
      <c r="V562" s="26"/>
      <c r="W562" s="26">
        <v>0</v>
      </c>
      <c r="X562" s="26">
        <v>0</v>
      </c>
      <c r="Y562" s="26">
        <v>0</v>
      </c>
      <c r="Z562" s="26">
        <v>0</v>
      </c>
    </row>
    <row r="563" spans="1:27" x14ac:dyDescent="0.25">
      <c r="A563" s="11">
        <v>571</v>
      </c>
      <c r="B563">
        <v>6257</v>
      </c>
      <c r="C563" t="s">
        <v>214</v>
      </c>
      <c r="D563" t="s">
        <v>215</v>
      </c>
      <c r="E563" t="s">
        <v>6</v>
      </c>
      <c r="F563" t="s">
        <v>373</v>
      </c>
      <c r="G563" t="s">
        <v>374</v>
      </c>
      <c r="H563">
        <v>2017</v>
      </c>
      <c r="I563" t="s">
        <v>287</v>
      </c>
      <c r="J563">
        <v>1</v>
      </c>
      <c r="N563" s="11">
        <v>0</v>
      </c>
      <c r="P563" s="26"/>
      <c r="Q563" s="26"/>
      <c r="R563" s="26"/>
      <c r="S563" s="26"/>
      <c r="T563" s="26"/>
      <c r="U563" s="26"/>
      <c r="V563" s="26"/>
      <c r="W563" s="26">
        <v>0</v>
      </c>
      <c r="X563" s="26">
        <v>0</v>
      </c>
      <c r="Y563" s="26">
        <v>0</v>
      </c>
      <c r="Z563" s="26">
        <v>0</v>
      </c>
    </row>
    <row r="564" spans="1:27" x14ac:dyDescent="0.25">
      <c r="A564" s="11">
        <v>572</v>
      </c>
      <c r="B564">
        <v>2672</v>
      </c>
      <c r="C564" t="s">
        <v>1266</v>
      </c>
      <c r="D564" s="26" t="s">
        <v>1267</v>
      </c>
      <c r="E564" t="s">
        <v>0</v>
      </c>
      <c r="G564" t="s">
        <v>1268</v>
      </c>
      <c r="H564">
        <v>2018</v>
      </c>
      <c r="I564" t="s">
        <v>1269</v>
      </c>
      <c r="J564">
        <v>1</v>
      </c>
      <c r="N564" s="11">
        <v>4</v>
      </c>
      <c r="O564" s="18" t="s">
        <v>3385</v>
      </c>
      <c r="P564" s="26" t="s">
        <v>3425</v>
      </c>
      <c r="Q564" s="26" t="s">
        <v>3258</v>
      </c>
      <c r="R564" s="26" t="s">
        <v>3243</v>
      </c>
      <c r="S564" s="26" t="s">
        <v>0</v>
      </c>
      <c r="T564" s="26" t="s">
        <v>38</v>
      </c>
      <c r="U564" s="26" t="s">
        <v>69</v>
      </c>
      <c r="V564" s="26" t="s">
        <v>3336</v>
      </c>
      <c r="W564" s="26">
        <v>5</v>
      </c>
      <c r="X564" s="26">
        <v>4</v>
      </c>
      <c r="Y564" s="26">
        <v>4</v>
      </c>
      <c r="Z564" s="26">
        <v>5</v>
      </c>
      <c r="AA564" t="s">
        <v>3448</v>
      </c>
    </row>
    <row r="565" spans="1:27" x14ac:dyDescent="0.25">
      <c r="A565" s="11">
        <v>573</v>
      </c>
      <c r="B565">
        <v>2769</v>
      </c>
      <c r="C565" t="s">
        <v>2486</v>
      </c>
      <c r="D565" s="26" t="s">
        <v>2487</v>
      </c>
      <c r="E565" t="s">
        <v>5</v>
      </c>
      <c r="G565" t="s">
        <v>2488</v>
      </c>
      <c r="H565">
        <v>2018</v>
      </c>
      <c r="I565" t="s">
        <v>2489</v>
      </c>
      <c r="J565">
        <v>1</v>
      </c>
      <c r="N565" s="11">
        <v>5</v>
      </c>
      <c r="O565" s="18" t="s">
        <v>3244</v>
      </c>
      <c r="P565" s="26" t="s">
        <v>3425</v>
      </c>
      <c r="Q565" s="26" t="s">
        <v>3258</v>
      </c>
      <c r="R565" s="26" t="s">
        <v>3243</v>
      </c>
      <c r="S565" s="26" t="s">
        <v>20</v>
      </c>
      <c r="T565" s="26" t="s">
        <v>38</v>
      </c>
      <c r="U565" s="26" t="s">
        <v>69</v>
      </c>
      <c r="V565" s="26" t="s">
        <v>3471</v>
      </c>
      <c r="W565" s="26">
        <v>5</v>
      </c>
      <c r="X565" s="26">
        <v>5</v>
      </c>
      <c r="Y565" s="26">
        <v>5</v>
      </c>
      <c r="Z565" s="26">
        <v>5</v>
      </c>
      <c r="AA565" t="s">
        <v>63</v>
      </c>
    </row>
    <row r="566" spans="1:27" x14ac:dyDescent="0.25">
      <c r="A566" s="11">
        <v>574</v>
      </c>
      <c r="B566">
        <v>3203</v>
      </c>
      <c r="C566" t="s">
        <v>1307</v>
      </c>
      <c r="D566" t="s">
        <v>1308</v>
      </c>
      <c r="E566" t="s">
        <v>0</v>
      </c>
      <c r="G566" t="s">
        <v>1309</v>
      </c>
      <c r="H566">
        <v>2015</v>
      </c>
      <c r="I566" t="s">
        <v>1310</v>
      </c>
      <c r="J566">
        <v>1</v>
      </c>
      <c r="N566" s="11">
        <v>0</v>
      </c>
      <c r="P566" s="26"/>
      <c r="Q566" s="26"/>
      <c r="R566" s="26"/>
      <c r="S566" s="26"/>
      <c r="T566" s="26"/>
      <c r="U566" s="26"/>
      <c r="V566" s="26"/>
      <c r="W566" s="26">
        <v>0</v>
      </c>
      <c r="X566" s="26">
        <v>0</v>
      </c>
      <c r="Y566" s="26">
        <v>0</v>
      </c>
      <c r="Z566" s="26">
        <v>0</v>
      </c>
    </row>
    <row r="567" spans="1:27" x14ac:dyDescent="0.25">
      <c r="A567" s="11">
        <v>575</v>
      </c>
      <c r="B567">
        <v>3225</v>
      </c>
      <c r="C567" t="s">
        <v>1377</v>
      </c>
      <c r="D567" t="s">
        <v>1378</v>
      </c>
      <c r="E567" t="s">
        <v>0</v>
      </c>
      <c r="G567" t="s">
        <v>1379</v>
      </c>
      <c r="H567">
        <v>2015</v>
      </c>
      <c r="I567" t="s">
        <v>1380</v>
      </c>
      <c r="J567">
        <v>1</v>
      </c>
      <c r="N567" s="11">
        <v>0</v>
      </c>
      <c r="P567" s="26"/>
      <c r="Q567" s="26"/>
      <c r="R567" s="26"/>
      <c r="S567" s="26"/>
      <c r="T567" s="26"/>
      <c r="U567" s="26"/>
      <c r="V567" s="26"/>
      <c r="W567" s="26">
        <v>0</v>
      </c>
      <c r="X567" s="26">
        <v>0</v>
      </c>
      <c r="Y567" s="26">
        <v>0</v>
      </c>
      <c r="Z567" s="26">
        <v>0</v>
      </c>
    </row>
    <row r="568" spans="1:27" x14ac:dyDescent="0.25">
      <c r="A568" s="11">
        <v>576</v>
      </c>
      <c r="B568">
        <v>3100</v>
      </c>
      <c r="C568" t="s">
        <v>1373</v>
      </c>
      <c r="D568" s="8" t="s">
        <v>1374</v>
      </c>
      <c r="E568" t="s">
        <v>0</v>
      </c>
      <c r="G568" t="s">
        <v>1375</v>
      </c>
      <c r="H568">
        <v>2016</v>
      </c>
      <c r="I568" t="s">
        <v>1376</v>
      </c>
      <c r="J568">
        <v>1</v>
      </c>
      <c r="N568" s="11">
        <v>0</v>
      </c>
    </row>
    <row r="569" spans="1:27" ht="120" x14ac:dyDescent="0.25">
      <c r="A569" s="11">
        <v>577</v>
      </c>
      <c r="B569">
        <v>2797</v>
      </c>
      <c r="C569" t="s">
        <v>2855</v>
      </c>
      <c r="D569" s="26" t="s">
        <v>2856</v>
      </c>
      <c r="E569" t="s">
        <v>0</v>
      </c>
      <c r="F569" s="5" t="s">
        <v>3298</v>
      </c>
      <c r="G569" t="s">
        <v>2857</v>
      </c>
      <c r="H569">
        <v>2017</v>
      </c>
      <c r="I569" t="s">
        <v>2858</v>
      </c>
      <c r="J569">
        <v>1</v>
      </c>
      <c r="N569" s="11">
        <v>3</v>
      </c>
      <c r="O569" s="18" t="s">
        <v>3157</v>
      </c>
      <c r="P569" s="26" t="s">
        <v>3301</v>
      </c>
      <c r="Q569" s="26" t="s">
        <v>3300</v>
      </c>
      <c r="R569" s="26" t="s">
        <v>3237</v>
      </c>
      <c r="S569" s="26" t="s">
        <v>0</v>
      </c>
      <c r="T569" s="26" t="s">
        <v>38</v>
      </c>
      <c r="U569" s="26" t="s">
        <v>69</v>
      </c>
      <c r="V569" s="26"/>
      <c r="W569" s="26">
        <v>5</v>
      </c>
      <c r="X569" s="26">
        <v>5</v>
      </c>
      <c r="Y569" s="26">
        <v>5</v>
      </c>
      <c r="Z569" s="26">
        <v>5</v>
      </c>
      <c r="AA569" t="s">
        <v>3302</v>
      </c>
    </row>
    <row r="570" spans="1:27" x14ac:dyDescent="0.25">
      <c r="A570" s="11">
        <v>578</v>
      </c>
      <c r="B570">
        <v>3583</v>
      </c>
      <c r="C570" t="s">
        <v>1399</v>
      </c>
      <c r="D570" t="s">
        <v>1400</v>
      </c>
      <c r="E570" t="s">
        <v>22</v>
      </c>
      <c r="G570" t="s">
        <v>1401</v>
      </c>
      <c r="H570">
        <v>2013</v>
      </c>
      <c r="I570" t="s">
        <v>1402</v>
      </c>
      <c r="J570">
        <v>1</v>
      </c>
      <c r="N570" s="11">
        <v>0</v>
      </c>
      <c r="P570" s="26"/>
      <c r="Q570" s="26"/>
      <c r="R570" s="26"/>
      <c r="S570" s="26"/>
      <c r="T570" s="26"/>
      <c r="U570" s="26"/>
      <c r="V570" s="26"/>
      <c r="W570" s="26">
        <v>0</v>
      </c>
      <c r="X570" s="26">
        <v>0</v>
      </c>
      <c r="Y570" s="26">
        <v>0</v>
      </c>
      <c r="Z570" s="26">
        <v>0</v>
      </c>
    </row>
    <row r="571" spans="1:27" x14ac:dyDescent="0.25">
      <c r="A571" s="11">
        <v>579</v>
      </c>
      <c r="B571">
        <v>3593</v>
      </c>
      <c r="C571" t="s">
        <v>1754</v>
      </c>
      <c r="D571" t="s">
        <v>1755</v>
      </c>
      <c r="E571" t="s">
        <v>0</v>
      </c>
      <c r="G571" t="s">
        <v>1756</v>
      </c>
      <c r="H571">
        <v>2013</v>
      </c>
      <c r="I571" t="s">
        <v>1757</v>
      </c>
      <c r="J571">
        <v>1</v>
      </c>
      <c r="N571" s="11">
        <v>0</v>
      </c>
      <c r="P571" s="26"/>
      <c r="Q571" s="26"/>
      <c r="R571" s="26"/>
      <c r="S571" s="26"/>
      <c r="T571" s="26"/>
      <c r="U571" s="26"/>
      <c r="V571" s="26"/>
      <c r="W571" s="26">
        <v>0</v>
      </c>
      <c r="X571" s="26">
        <v>0</v>
      </c>
      <c r="Y571" s="26">
        <v>0</v>
      </c>
      <c r="Z571" s="26">
        <v>0</v>
      </c>
    </row>
    <row r="572" spans="1:27" x14ac:dyDescent="0.25">
      <c r="A572" s="11">
        <v>580</v>
      </c>
      <c r="B572">
        <v>3839</v>
      </c>
      <c r="C572" t="s">
        <v>3027</v>
      </c>
      <c r="D572" s="8" t="s">
        <v>3028</v>
      </c>
      <c r="E572" t="s">
        <v>3029</v>
      </c>
      <c r="G572" t="s">
        <v>3030</v>
      </c>
      <c r="H572">
        <v>2018</v>
      </c>
      <c r="I572" t="s">
        <v>3031</v>
      </c>
      <c r="J572">
        <v>1</v>
      </c>
      <c r="N572" s="11">
        <v>0</v>
      </c>
      <c r="P572" s="26"/>
      <c r="Q572" s="26"/>
      <c r="R572" s="26"/>
      <c r="S572" s="26"/>
      <c r="T572" s="26"/>
      <c r="U572" s="26"/>
      <c r="V572" s="26"/>
      <c r="W572" s="26">
        <v>0</v>
      </c>
      <c r="X572" s="26">
        <v>0</v>
      </c>
      <c r="Y572" s="26">
        <v>0</v>
      </c>
      <c r="Z572" s="26">
        <v>0</v>
      </c>
    </row>
    <row r="573" spans="1:27" x14ac:dyDescent="0.25">
      <c r="A573" s="11">
        <v>581</v>
      </c>
      <c r="B573">
        <v>5662</v>
      </c>
      <c r="C573" t="s">
        <v>465</v>
      </c>
      <c r="D573" s="26" t="s">
        <v>466</v>
      </c>
      <c r="E573" t="s">
        <v>0</v>
      </c>
      <c r="F573" t="s">
        <v>935</v>
      </c>
      <c r="G573" t="s">
        <v>467</v>
      </c>
      <c r="H573">
        <v>2017</v>
      </c>
      <c r="I573" t="s">
        <v>468</v>
      </c>
      <c r="J573">
        <v>1</v>
      </c>
      <c r="N573" s="11">
        <v>3</v>
      </c>
      <c r="O573" s="18" t="s">
        <v>3244</v>
      </c>
      <c r="P573" s="26" t="s">
        <v>3378</v>
      </c>
      <c r="Q573" s="26" t="s">
        <v>3209</v>
      </c>
      <c r="R573" s="26" t="s">
        <v>3187</v>
      </c>
      <c r="S573" s="26" t="s">
        <v>0</v>
      </c>
      <c r="T573" s="26" t="s">
        <v>39</v>
      </c>
      <c r="U573" s="26" t="s">
        <v>69</v>
      </c>
      <c r="V573" s="26" t="s">
        <v>3336</v>
      </c>
      <c r="W573" s="26">
        <v>5</v>
      </c>
      <c r="X573" s="26">
        <v>5</v>
      </c>
      <c r="Y573" s="26">
        <v>2</v>
      </c>
      <c r="Z573" s="26">
        <v>5</v>
      </c>
      <c r="AA573" t="s">
        <v>3379</v>
      </c>
    </row>
    <row r="574" spans="1:27" x14ac:dyDescent="0.25">
      <c r="A574" s="11">
        <v>582</v>
      </c>
      <c r="B574">
        <v>5398</v>
      </c>
      <c r="C574" t="s">
        <v>1139</v>
      </c>
      <c r="D574" s="13" t="s">
        <v>1140</v>
      </c>
      <c r="E574" t="s">
        <v>24</v>
      </c>
      <c r="G574" t="s">
        <v>1141</v>
      </c>
      <c r="H574">
        <v>2019</v>
      </c>
      <c r="I574" t="s">
        <v>1142</v>
      </c>
      <c r="J574">
        <v>1</v>
      </c>
      <c r="N574" s="11">
        <v>0</v>
      </c>
      <c r="P574" s="26"/>
      <c r="Q574" s="26"/>
      <c r="R574" s="26"/>
      <c r="S574" s="26"/>
      <c r="T574" s="26"/>
      <c r="U574" s="26"/>
      <c r="V574" s="26"/>
      <c r="W574" s="26">
        <v>0</v>
      </c>
      <c r="X574" s="26">
        <v>0</v>
      </c>
      <c r="Y574" s="26">
        <v>0</v>
      </c>
      <c r="Z574" s="26">
        <v>0</v>
      </c>
    </row>
    <row r="575" spans="1:27" x14ac:dyDescent="0.25">
      <c r="A575" s="11">
        <v>583</v>
      </c>
      <c r="B575">
        <v>3685</v>
      </c>
      <c r="C575" t="s">
        <v>1554</v>
      </c>
      <c r="D575" t="s">
        <v>1555</v>
      </c>
      <c r="E575" t="s">
        <v>0</v>
      </c>
      <c r="G575" t="s">
        <v>1556</v>
      </c>
      <c r="H575">
        <v>2012</v>
      </c>
      <c r="I575" t="s">
        <v>1557</v>
      </c>
      <c r="J575">
        <v>1</v>
      </c>
      <c r="N575" s="11">
        <v>0</v>
      </c>
      <c r="P575" s="26"/>
      <c r="Q575" s="26"/>
      <c r="R575" s="26"/>
      <c r="S575" s="26"/>
      <c r="T575" s="26"/>
      <c r="U575" s="26"/>
      <c r="V575" s="26"/>
      <c r="W575" s="26">
        <v>0</v>
      </c>
      <c r="X575" s="26">
        <v>0</v>
      </c>
      <c r="Y575" s="26">
        <v>0</v>
      </c>
      <c r="Z575" s="26">
        <v>0</v>
      </c>
    </row>
    <row r="576" spans="1:27" x14ac:dyDescent="0.25">
      <c r="A576" s="11">
        <v>584</v>
      </c>
      <c r="B576">
        <v>2872</v>
      </c>
      <c r="C576" t="s">
        <v>1516</v>
      </c>
      <c r="D576" s="26" t="s">
        <v>1517</v>
      </c>
      <c r="E576" t="s">
        <v>24</v>
      </c>
      <c r="G576" t="s">
        <v>1518</v>
      </c>
      <c r="H576">
        <v>2017</v>
      </c>
      <c r="I576" t="s">
        <v>1519</v>
      </c>
      <c r="J576">
        <v>1</v>
      </c>
      <c r="N576" s="11">
        <v>5</v>
      </c>
      <c r="O576" s="18" t="s">
        <v>3244</v>
      </c>
      <c r="P576" s="26" t="s">
        <v>3378</v>
      </c>
      <c r="Q576" s="26" t="s">
        <v>3258</v>
      </c>
      <c r="R576" s="26" t="s">
        <v>3187</v>
      </c>
      <c r="S576" s="26" t="s">
        <v>1</v>
      </c>
      <c r="T576" s="26" t="s">
        <v>38</v>
      </c>
      <c r="U576" s="26" t="s">
        <v>69</v>
      </c>
      <c r="V576" s="26" t="s">
        <v>3336</v>
      </c>
      <c r="W576" s="26">
        <v>5</v>
      </c>
      <c r="X576" s="26">
        <v>5</v>
      </c>
      <c r="Y576" s="26">
        <v>5</v>
      </c>
      <c r="Z576" s="26">
        <v>5</v>
      </c>
      <c r="AA576" t="s">
        <v>3458</v>
      </c>
    </row>
    <row r="577" spans="1:26" x14ac:dyDescent="0.25">
      <c r="A577" s="11">
        <v>585</v>
      </c>
      <c r="B577">
        <v>3247</v>
      </c>
      <c r="C577" t="s">
        <v>1465</v>
      </c>
      <c r="D577" s="13" t="s">
        <v>1466</v>
      </c>
      <c r="E577" t="s">
        <v>5</v>
      </c>
      <c r="G577" t="s">
        <v>1467</v>
      </c>
      <c r="H577">
        <v>2015</v>
      </c>
      <c r="I577" t="s">
        <v>1468</v>
      </c>
      <c r="J577">
        <v>1</v>
      </c>
      <c r="N577" s="11">
        <v>1</v>
      </c>
      <c r="P577" s="26"/>
      <c r="Q577" s="26"/>
      <c r="R577" s="26"/>
      <c r="S577" s="26"/>
      <c r="T577" s="26"/>
      <c r="U577" s="26"/>
      <c r="V577" s="26"/>
      <c r="W577" s="26">
        <v>0</v>
      </c>
      <c r="X577" s="26">
        <v>0</v>
      </c>
      <c r="Y577" s="26">
        <v>0</v>
      </c>
      <c r="Z577" s="26">
        <v>0</v>
      </c>
    </row>
    <row r="578" spans="1:26" x14ac:dyDescent="0.25">
      <c r="A578" s="11">
        <v>586</v>
      </c>
      <c r="B578">
        <v>2609</v>
      </c>
      <c r="C578" t="s">
        <v>2442</v>
      </c>
      <c r="D578" s="13" t="s">
        <v>218</v>
      </c>
      <c r="E578" t="s">
        <v>0</v>
      </c>
      <c r="G578" t="s">
        <v>2443</v>
      </c>
      <c r="H578">
        <v>2018</v>
      </c>
      <c r="I578" t="s">
        <v>2444</v>
      </c>
      <c r="J578">
        <v>1</v>
      </c>
      <c r="N578" s="11">
        <v>0</v>
      </c>
      <c r="P578" s="26"/>
      <c r="Q578" s="26"/>
      <c r="R578" s="26"/>
      <c r="S578" s="26"/>
      <c r="T578" s="26"/>
      <c r="U578" s="26"/>
      <c r="V578" s="26"/>
      <c r="W578" s="26">
        <v>0</v>
      </c>
      <c r="X578" s="26">
        <v>0</v>
      </c>
      <c r="Y578" s="26">
        <v>0</v>
      </c>
      <c r="Z578" s="26">
        <v>0</v>
      </c>
    </row>
    <row r="579" spans="1:26" x14ac:dyDescent="0.25">
      <c r="A579" s="11">
        <v>587</v>
      </c>
      <c r="B579">
        <v>5714</v>
      </c>
      <c r="C579" t="s">
        <v>811</v>
      </c>
      <c r="D579" t="s">
        <v>812</v>
      </c>
      <c r="E579" t="s">
        <v>0</v>
      </c>
      <c r="G579" t="s">
        <v>813</v>
      </c>
      <c r="H579">
        <v>2015</v>
      </c>
      <c r="I579" t="s">
        <v>814</v>
      </c>
      <c r="J579">
        <v>1</v>
      </c>
      <c r="N579" s="11">
        <v>0</v>
      </c>
      <c r="P579" s="26"/>
      <c r="Q579" s="26"/>
      <c r="R579" s="26"/>
      <c r="S579" s="26"/>
      <c r="T579" s="26"/>
      <c r="U579" s="26"/>
      <c r="V579" s="26"/>
      <c r="W579" s="26">
        <v>0</v>
      </c>
      <c r="X579" s="26">
        <v>0</v>
      </c>
      <c r="Y579" s="26">
        <v>0</v>
      </c>
      <c r="Z579" s="26">
        <v>0</v>
      </c>
    </row>
    <row r="580" spans="1:26" x14ac:dyDescent="0.25">
      <c r="A580" s="11">
        <v>588</v>
      </c>
      <c r="B580">
        <v>5648</v>
      </c>
      <c r="C580" t="s">
        <v>815</v>
      </c>
      <c r="D580" s="26" t="s">
        <v>816</v>
      </c>
      <c r="E580" t="s">
        <v>0</v>
      </c>
      <c r="G580" t="s">
        <v>817</v>
      </c>
      <c r="H580">
        <v>2018</v>
      </c>
      <c r="J580">
        <v>1</v>
      </c>
      <c r="N580" s="11">
        <v>0</v>
      </c>
      <c r="P580" s="26"/>
      <c r="Q580" s="26"/>
      <c r="R580" s="26"/>
      <c r="S580" s="26"/>
      <c r="T580" s="26"/>
      <c r="U580" s="26"/>
      <c r="V580" s="26"/>
      <c r="W580" s="26">
        <v>0</v>
      </c>
      <c r="X580" s="26">
        <v>0</v>
      </c>
      <c r="Y580" s="26">
        <v>0</v>
      </c>
      <c r="Z580" s="26">
        <v>0</v>
      </c>
    </row>
    <row r="581" spans="1:26" x14ac:dyDescent="0.25">
      <c r="A581" s="11">
        <v>589</v>
      </c>
      <c r="B581">
        <v>4423</v>
      </c>
      <c r="C581" t="s">
        <v>2903</v>
      </c>
      <c r="D581" s="26" t="s">
        <v>2904</v>
      </c>
      <c r="E581" t="s">
        <v>1206</v>
      </c>
      <c r="G581" t="s">
        <v>2905</v>
      </c>
      <c r="H581">
        <v>2014</v>
      </c>
      <c r="I581" t="s">
        <v>2906</v>
      </c>
      <c r="J581">
        <v>1</v>
      </c>
      <c r="N581" s="11">
        <v>0</v>
      </c>
      <c r="P581" s="26"/>
      <c r="Q581" s="26"/>
      <c r="R581" s="26"/>
      <c r="S581" s="26"/>
      <c r="T581" s="26"/>
      <c r="U581" s="26"/>
      <c r="V581" s="26"/>
      <c r="W581" s="26">
        <v>0</v>
      </c>
      <c r="X581" s="26">
        <v>0</v>
      </c>
      <c r="Y581" s="26">
        <v>0</v>
      </c>
      <c r="Z581" s="26">
        <v>0</v>
      </c>
    </row>
    <row r="582" spans="1:26" x14ac:dyDescent="0.25">
      <c r="A582" s="11">
        <v>590</v>
      </c>
      <c r="B582">
        <v>3428</v>
      </c>
      <c r="C582" t="s">
        <v>1717</v>
      </c>
      <c r="D582" t="s">
        <v>1718</v>
      </c>
      <c r="E582" t="s">
        <v>0</v>
      </c>
      <c r="G582" t="s">
        <v>1719</v>
      </c>
      <c r="H582">
        <v>2014</v>
      </c>
      <c r="I582" t="s">
        <v>1720</v>
      </c>
      <c r="J582">
        <v>1</v>
      </c>
      <c r="N582" s="11">
        <v>0</v>
      </c>
      <c r="P582" s="26"/>
      <c r="Q582" s="26"/>
      <c r="R582" s="26"/>
      <c r="S582" s="26"/>
      <c r="T582" s="26"/>
      <c r="U582" s="26"/>
      <c r="V582" s="26"/>
      <c r="W582" s="26">
        <v>0</v>
      </c>
      <c r="X582" s="26">
        <v>0</v>
      </c>
      <c r="Y582" s="26">
        <v>0</v>
      </c>
      <c r="Z582" s="26">
        <v>0</v>
      </c>
    </row>
    <row r="583" spans="1:26" x14ac:dyDescent="0.25">
      <c r="A583" s="11">
        <v>591</v>
      </c>
      <c r="B583">
        <v>3176</v>
      </c>
      <c r="C583" t="s">
        <v>1717</v>
      </c>
      <c r="D583" t="s">
        <v>1721</v>
      </c>
      <c r="E583" t="s">
        <v>0</v>
      </c>
      <c r="G583" t="s">
        <v>1722</v>
      </c>
      <c r="H583">
        <v>2015</v>
      </c>
      <c r="I583" t="s">
        <v>1723</v>
      </c>
      <c r="J583">
        <v>1</v>
      </c>
      <c r="N583" s="11">
        <v>0</v>
      </c>
      <c r="P583" s="26"/>
      <c r="Q583" s="26"/>
      <c r="R583" s="26"/>
      <c r="S583" s="26"/>
      <c r="T583" s="26"/>
      <c r="U583" s="26"/>
      <c r="V583" s="26"/>
      <c r="W583" s="26">
        <v>0</v>
      </c>
      <c r="X583" s="26">
        <v>0</v>
      </c>
      <c r="Y583" s="26">
        <v>0</v>
      </c>
      <c r="Z583" s="26">
        <v>0</v>
      </c>
    </row>
    <row r="584" spans="1:26" x14ac:dyDescent="0.25">
      <c r="A584" s="11">
        <v>592</v>
      </c>
      <c r="B584">
        <v>4333</v>
      </c>
      <c r="C584" t="s">
        <v>2944</v>
      </c>
      <c r="D584" s="8" t="s">
        <v>1800</v>
      </c>
      <c r="E584" t="s">
        <v>2</v>
      </c>
      <c r="G584" t="s">
        <v>2945</v>
      </c>
      <c r="H584">
        <v>2015</v>
      </c>
      <c r="I584" t="s">
        <v>2946</v>
      </c>
      <c r="J584">
        <v>1</v>
      </c>
      <c r="N584" s="11">
        <v>0</v>
      </c>
      <c r="P584" s="26"/>
      <c r="Q584" s="26"/>
      <c r="R584" s="26"/>
      <c r="S584" s="26"/>
      <c r="T584" s="26"/>
      <c r="U584" s="26"/>
      <c r="V584" s="26"/>
      <c r="W584" s="26">
        <v>0</v>
      </c>
      <c r="X584" s="26">
        <v>0</v>
      </c>
      <c r="Y584" s="26">
        <v>0</v>
      </c>
      <c r="Z584" s="26">
        <v>0</v>
      </c>
    </row>
    <row r="585" spans="1:26" x14ac:dyDescent="0.25">
      <c r="A585" s="11">
        <v>593</v>
      </c>
      <c r="B585">
        <v>6363</v>
      </c>
      <c r="C585" t="s">
        <v>219</v>
      </c>
      <c r="D585" t="s">
        <v>220</v>
      </c>
      <c r="E585" t="s">
        <v>6</v>
      </c>
      <c r="F585" t="s">
        <v>377</v>
      </c>
      <c r="G585" t="s">
        <v>378</v>
      </c>
      <c r="H585">
        <v>2018</v>
      </c>
      <c r="I585" t="s">
        <v>289</v>
      </c>
      <c r="J585">
        <v>1</v>
      </c>
      <c r="N585" s="11">
        <v>0</v>
      </c>
      <c r="P585" s="26"/>
      <c r="Q585" s="26"/>
      <c r="R585" s="26"/>
      <c r="S585" s="26"/>
      <c r="T585" s="26"/>
      <c r="U585" s="26"/>
      <c r="V585" s="26"/>
      <c r="W585" s="26">
        <v>0</v>
      </c>
      <c r="X585" s="26">
        <v>0</v>
      </c>
      <c r="Y585" s="26">
        <v>0</v>
      </c>
      <c r="Z585" s="26">
        <v>0</v>
      </c>
    </row>
    <row r="586" spans="1:26" x14ac:dyDescent="0.25">
      <c r="A586" s="11">
        <v>594</v>
      </c>
      <c r="B586">
        <v>4236</v>
      </c>
      <c r="C586" t="s">
        <v>3108</v>
      </c>
      <c r="D586" t="s">
        <v>3109</v>
      </c>
      <c r="E586" t="s">
        <v>2</v>
      </c>
      <c r="G586" t="s">
        <v>3110</v>
      </c>
      <c r="H586">
        <v>2016</v>
      </c>
      <c r="I586" t="s">
        <v>3111</v>
      </c>
      <c r="J586">
        <v>1</v>
      </c>
      <c r="N586" s="11">
        <v>0</v>
      </c>
      <c r="P586" s="26"/>
      <c r="Q586" s="26"/>
      <c r="R586" s="26"/>
      <c r="S586" s="26"/>
      <c r="T586" s="26"/>
      <c r="U586" s="26"/>
      <c r="V586" s="26"/>
      <c r="W586" s="26">
        <v>0</v>
      </c>
      <c r="X586" s="26">
        <v>0</v>
      </c>
      <c r="Y586" s="26">
        <v>0</v>
      </c>
      <c r="Z586" s="26">
        <v>0</v>
      </c>
    </row>
    <row r="587" spans="1:26" x14ac:dyDescent="0.25">
      <c r="A587" s="11">
        <v>595</v>
      </c>
      <c r="B587">
        <v>5973</v>
      </c>
      <c r="C587" t="s">
        <v>818</v>
      </c>
      <c r="D587" t="s">
        <v>822</v>
      </c>
      <c r="E587" t="s">
        <v>0</v>
      </c>
      <c r="G587" t="s">
        <v>823</v>
      </c>
      <c r="H587">
        <v>2012</v>
      </c>
      <c r="I587" t="s">
        <v>824</v>
      </c>
      <c r="J587">
        <v>1</v>
      </c>
      <c r="N587" s="11">
        <v>0</v>
      </c>
      <c r="P587" s="26"/>
      <c r="Q587" s="26"/>
      <c r="R587" s="26"/>
      <c r="S587" s="26"/>
      <c r="T587" s="26"/>
      <c r="U587" s="26"/>
      <c r="V587" s="26"/>
      <c r="W587" s="26">
        <v>0</v>
      </c>
      <c r="X587" s="26">
        <v>0</v>
      </c>
      <c r="Y587" s="26">
        <v>0</v>
      </c>
      <c r="Z587" s="26">
        <v>0</v>
      </c>
    </row>
    <row r="588" spans="1:26" x14ac:dyDescent="0.25">
      <c r="A588" s="11">
        <v>596</v>
      </c>
      <c r="B588">
        <v>5903</v>
      </c>
      <c r="C588" t="s">
        <v>818</v>
      </c>
      <c r="D588" s="8" t="s">
        <v>819</v>
      </c>
      <c r="E588" t="s">
        <v>0</v>
      </c>
      <c r="G588" t="s">
        <v>820</v>
      </c>
      <c r="H588">
        <v>2012</v>
      </c>
      <c r="I588" t="s">
        <v>821</v>
      </c>
      <c r="J588">
        <v>1</v>
      </c>
      <c r="N588" s="11">
        <v>0</v>
      </c>
      <c r="P588" s="26"/>
      <c r="Q588" s="26"/>
      <c r="R588" s="26"/>
      <c r="S588" s="26"/>
      <c r="T588" s="26"/>
      <c r="U588" s="26"/>
      <c r="V588" s="26"/>
      <c r="W588" s="26">
        <v>0</v>
      </c>
      <c r="X588" s="26">
        <v>0</v>
      </c>
      <c r="Y588" s="26">
        <v>0</v>
      </c>
      <c r="Z588" s="26">
        <v>0</v>
      </c>
    </row>
    <row r="589" spans="1:26" x14ac:dyDescent="0.25">
      <c r="A589" s="11">
        <v>597</v>
      </c>
      <c r="B589">
        <v>3541</v>
      </c>
      <c r="C589" t="s">
        <v>818</v>
      </c>
      <c r="D589" s="8" t="s">
        <v>1570</v>
      </c>
      <c r="E589" t="s">
        <v>0</v>
      </c>
      <c r="G589" t="s">
        <v>1571</v>
      </c>
      <c r="H589">
        <v>2013</v>
      </c>
      <c r="I589" t="s">
        <v>1572</v>
      </c>
      <c r="J589">
        <v>1</v>
      </c>
      <c r="N589" s="11">
        <v>0</v>
      </c>
      <c r="P589" s="26"/>
      <c r="Q589" s="26"/>
      <c r="R589" s="26"/>
      <c r="S589" s="26"/>
      <c r="T589" s="26"/>
      <c r="U589" s="26"/>
      <c r="V589" s="26"/>
      <c r="W589" s="26">
        <v>0</v>
      </c>
      <c r="X589" s="26">
        <v>0</v>
      </c>
      <c r="Y589" s="26">
        <v>0</v>
      </c>
      <c r="Z589" s="26">
        <v>0</v>
      </c>
    </row>
    <row r="590" spans="1:26" x14ac:dyDescent="0.25">
      <c r="A590" s="11">
        <v>598</v>
      </c>
      <c r="B590">
        <v>3429</v>
      </c>
      <c r="C590" t="s">
        <v>1697</v>
      </c>
      <c r="D590" t="s">
        <v>221</v>
      </c>
      <c r="E590" t="s">
        <v>0</v>
      </c>
      <c r="G590" t="s">
        <v>1698</v>
      </c>
      <c r="H590">
        <v>2014</v>
      </c>
      <c r="I590" t="s">
        <v>1699</v>
      </c>
      <c r="J590">
        <v>1</v>
      </c>
      <c r="N590" s="11">
        <v>0</v>
      </c>
      <c r="P590" s="26"/>
      <c r="Q590" s="26"/>
      <c r="R590" s="26"/>
      <c r="S590" s="26"/>
      <c r="T590" s="26"/>
      <c r="U590" s="26"/>
      <c r="V590" s="26"/>
      <c r="W590" s="26">
        <v>0</v>
      </c>
      <c r="X590" s="26">
        <v>0</v>
      </c>
      <c r="Y590" s="26">
        <v>0</v>
      </c>
      <c r="Z590" s="26">
        <v>0</v>
      </c>
    </row>
    <row r="591" spans="1:26" x14ac:dyDescent="0.25">
      <c r="A591" s="11">
        <v>599</v>
      </c>
      <c r="B591">
        <v>3191</v>
      </c>
      <c r="C591" t="s">
        <v>2163</v>
      </c>
      <c r="D591" t="s">
        <v>2164</v>
      </c>
      <c r="E591" t="s">
        <v>0</v>
      </c>
      <c r="G591" t="s">
        <v>2165</v>
      </c>
      <c r="H591">
        <v>2015</v>
      </c>
      <c r="I591" t="s">
        <v>2166</v>
      </c>
      <c r="J591">
        <v>1</v>
      </c>
      <c r="N591" s="11">
        <v>0</v>
      </c>
      <c r="P591" s="26"/>
      <c r="Q591" s="26"/>
      <c r="R591" s="26"/>
      <c r="S591" s="26"/>
      <c r="T591" s="26"/>
      <c r="U591" s="26"/>
      <c r="V591" s="26"/>
      <c r="W591" s="26">
        <v>0</v>
      </c>
      <c r="X591" s="26">
        <v>0</v>
      </c>
      <c r="Y591" s="26">
        <v>0</v>
      </c>
      <c r="Z591" s="26">
        <v>0</v>
      </c>
    </row>
    <row r="592" spans="1:26" x14ac:dyDescent="0.25">
      <c r="A592" s="11">
        <v>600</v>
      </c>
      <c r="B592">
        <v>5942</v>
      </c>
      <c r="C592" t="s">
        <v>825</v>
      </c>
      <c r="D592" t="s">
        <v>826</v>
      </c>
      <c r="E592" t="s">
        <v>0</v>
      </c>
      <c r="G592" t="s">
        <v>827</v>
      </c>
      <c r="H592">
        <v>2013</v>
      </c>
      <c r="I592" t="s">
        <v>828</v>
      </c>
      <c r="J592">
        <v>1</v>
      </c>
      <c r="N592" s="11">
        <v>0</v>
      </c>
      <c r="P592" s="26"/>
      <c r="Q592" s="26"/>
      <c r="R592" s="26"/>
      <c r="S592" s="26"/>
      <c r="T592" s="26"/>
      <c r="U592" s="26"/>
      <c r="V592" s="26"/>
      <c r="W592" s="26">
        <v>0</v>
      </c>
      <c r="X592" s="26">
        <v>0</v>
      </c>
      <c r="Y592" s="26">
        <v>0</v>
      </c>
      <c r="Z592" s="26">
        <v>0</v>
      </c>
    </row>
    <row r="593" spans="1:26" x14ac:dyDescent="0.25">
      <c r="A593" s="11">
        <v>601</v>
      </c>
      <c r="B593">
        <v>4185</v>
      </c>
      <c r="C593" t="s">
        <v>3084</v>
      </c>
      <c r="D593" t="s">
        <v>3085</v>
      </c>
      <c r="E593" t="s">
        <v>22</v>
      </c>
      <c r="G593" t="s">
        <v>3086</v>
      </c>
      <c r="H593">
        <v>2016</v>
      </c>
      <c r="I593" t="s">
        <v>3087</v>
      </c>
      <c r="J593">
        <v>1</v>
      </c>
      <c r="N593" s="11">
        <v>0</v>
      </c>
      <c r="P593" s="26"/>
      <c r="Q593" s="26"/>
      <c r="R593" s="26"/>
      <c r="S593" s="26"/>
      <c r="T593" s="26"/>
      <c r="U593" s="26"/>
      <c r="V593" s="26"/>
      <c r="W593" s="26">
        <v>0</v>
      </c>
      <c r="X593" s="26">
        <v>0</v>
      </c>
      <c r="Y593" s="26">
        <v>0</v>
      </c>
      <c r="Z593" s="26">
        <v>0</v>
      </c>
    </row>
    <row r="594" spans="1:26" x14ac:dyDescent="0.25">
      <c r="A594" s="11">
        <v>602</v>
      </c>
      <c r="B594">
        <v>5165</v>
      </c>
      <c r="C594" t="s">
        <v>1143</v>
      </c>
      <c r="D594" t="s">
        <v>1144</v>
      </c>
      <c r="E594" t="s">
        <v>24</v>
      </c>
      <c r="G594" t="s">
        <v>1145</v>
      </c>
      <c r="H594">
        <v>2013</v>
      </c>
      <c r="I594" t="s">
        <v>1146</v>
      </c>
      <c r="J594">
        <v>1</v>
      </c>
      <c r="N594" s="11">
        <v>0</v>
      </c>
      <c r="P594" s="26"/>
      <c r="Q594" s="26"/>
      <c r="R594" s="26"/>
      <c r="S594" s="26"/>
      <c r="T594" s="26"/>
      <c r="U594" s="26"/>
      <c r="V594" s="26"/>
      <c r="W594" s="26">
        <v>0</v>
      </c>
      <c r="X594" s="26">
        <v>0</v>
      </c>
      <c r="Y594" s="26">
        <v>0</v>
      </c>
      <c r="Z594" s="26">
        <v>0</v>
      </c>
    </row>
    <row r="595" spans="1:26" x14ac:dyDescent="0.25">
      <c r="A595" s="11">
        <v>603</v>
      </c>
      <c r="B595">
        <v>4151</v>
      </c>
      <c r="C595" t="s">
        <v>2988</v>
      </c>
      <c r="D595" t="s">
        <v>2989</v>
      </c>
      <c r="E595" t="s">
        <v>2928</v>
      </c>
      <c r="G595" t="s">
        <v>2990</v>
      </c>
      <c r="H595">
        <v>2016</v>
      </c>
      <c r="I595" t="s">
        <v>2991</v>
      </c>
      <c r="J595">
        <v>1</v>
      </c>
      <c r="N595" s="11">
        <v>0</v>
      </c>
      <c r="P595" s="26"/>
      <c r="Q595" s="26"/>
      <c r="R595" s="26"/>
      <c r="S595" s="26"/>
      <c r="T595" s="26"/>
      <c r="U595" s="26"/>
      <c r="V595" s="26"/>
      <c r="W595" s="26">
        <v>0</v>
      </c>
      <c r="X595" s="26">
        <v>0</v>
      </c>
      <c r="Y595" s="26">
        <v>0</v>
      </c>
      <c r="Z595" s="26">
        <v>0</v>
      </c>
    </row>
    <row r="596" spans="1:26" x14ac:dyDescent="0.25">
      <c r="A596" s="11">
        <v>604</v>
      </c>
      <c r="B596">
        <v>3584</v>
      </c>
      <c r="C596" t="s">
        <v>1226</v>
      </c>
      <c r="D596" t="s">
        <v>1227</v>
      </c>
      <c r="E596" t="s">
        <v>0</v>
      </c>
      <c r="G596" t="s">
        <v>1228</v>
      </c>
      <c r="H596">
        <v>2013</v>
      </c>
      <c r="I596" t="s">
        <v>1229</v>
      </c>
      <c r="J596">
        <v>1</v>
      </c>
      <c r="N596" s="11">
        <v>0</v>
      </c>
      <c r="P596" s="26"/>
      <c r="Q596" s="26"/>
      <c r="R596" s="26"/>
      <c r="S596" s="26"/>
      <c r="T596" s="26"/>
      <c r="U596" s="26"/>
      <c r="V596" s="26"/>
      <c r="W596" s="26">
        <v>0</v>
      </c>
      <c r="X596" s="26">
        <v>0</v>
      </c>
      <c r="Y596" s="26">
        <v>0</v>
      </c>
      <c r="Z596" s="26">
        <v>0</v>
      </c>
    </row>
    <row r="597" spans="1:26" x14ac:dyDescent="0.25">
      <c r="A597" s="11">
        <v>605</v>
      </c>
      <c r="B597">
        <v>2733</v>
      </c>
      <c r="C597" t="s">
        <v>1606</v>
      </c>
      <c r="D597" s="8" t="s">
        <v>1607</v>
      </c>
      <c r="E597" t="s">
        <v>0</v>
      </c>
      <c r="G597" t="s">
        <v>1608</v>
      </c>
      <c r="H597">
        <v>2018</v>
      </c>
      <c r="I597" t="s">
        <v>1609</v>
      </c>
      <c r="J597">
        <v>1</v>
      </c>
      <c r="N597" s="11">
        <v>0</v>
      </c>
      <c r="P597" s="26"/>
      <c r="Q597" s="26"/>
      <c r="R597" s="26"/>
      <c r="S597" s="26"/>
      <c r="T597" s="26"/>
      <c r="U597" s="26"/>
      <c r="V597" s="26"/>
      <c r="W597" s="26">
        <v>0</v>
      </c>
      <c r="X597" s="26">
        <v>0</v>
      </c>
      <c r="Y597" s="26">
        <v>0</v>
      </c>
      <c r="Z597" s="26">
        <v>0</v>
      </c>
    </row>
    <row r="598" spans="1:26" x14ac:dyDescent="0.25">
      <c r="A598" s="11">
        <v>606</v>
      </c>
      <c r="B598">
        <v>5914</v>
      </c>
      <c r="C598" t="s">
        <v>829</v>
      </c>
      <c r="D598" t="s">
        <v>830</v>
      </c>
      <c r="E598" t="s">
        <v>0</v>
      </c>
      <c r="G598" t="s">
        <v>831</v>
      </c>
      <c r="H598">
        <v>2017</v>
      </c>
      <c r="I598" s="26" t="s">
        <v>832</v>
      </c>
      <c r="J598">
        <v>1</v>
      </c>
      <c r="N598" s="11">
        <v>0</v>
      </c>
      <c r="P598" s="26"/>
      <c r="Q598" s="26"/>
      <c r="R598" s="26"/>
      <c r="S598" s="26"/>
      <c r="T598" s="26"/>
      <c r="U598" s="26"/>
      <c r="V598" s="26"/>
      <c r="W598" s="26">
        <v>0</v>
      </c>
      <c r="X598" s="26">
        <v>0</v>
      </c>
      <c r="Y598" s="26">
        <v>0</v>
      </c>
      <c r="Z598" s="26">
        <v>0</v>
      </c>
    </row>
    <row r="599" spans="1:26" x14ac:dyDescent="0.25">
      <c r="A599" s="11">
        <v>607</v>
      </c>
      <c r="B599">
        <v>3318</v>
      </c>
      <c r="C599" t="s">
        <v>2740</v>
      </c>
      <c r="D599" t="s">
        <v>2741</v>
      </c>
      <c r="E599" t="s">
        <v>0</v>
      </c>
      <c r="G599" t="s">
        <v>2742</v>
      </c>
      <c r="H599">
        <v>2014</v>
      </c>
      <c r="I599" t="s">
        <v>2743</v>
      </c>
      <c r="J599">
        <v>1</v>
      </c>
      <c r="N599" s="11">
        <v>0</v>
      </c>
      <c r="P599" s="26"/>
      <c r="Q599" s="26"/>
      <c r="R599" s="26"/>
      <c r="S599" s="26"/>
      <c r="T599" s="26"/>
      <c r="U599" s="26"/>
      <c r="V599" s="26"/>
      <c r="W599" s="26">
        <v>0</v>
      </c>
      <c r="X599" s="26">
        <v>0</v>
      </c>
      <c r="Y599" s="26">
        <v>0</v>
      </c>
      <c r="Z599" s="26">
        <v>0</v>
      </c>
    </row>
    <row r="600" spans="1:26" x14ac:dyDescent="0.25">
      <c r="A600" s="11">
        <v>608</v>
      </c>
      <c r="B600">
        <v>3111</v>
      </c>
      <c r="C600" t="s">
        <v>1951</v>
      </c>
      <c r="D600" t="s">
        <v>1952</v>
      </c>
      <c r="E600" t="s">
        <v>1953</v>
      </c>
      <c r="G600" t="s">
        <v>1954</v>
      </c>
      <c r="H600">
        <v>2016</v>
      </c>
      <c r="I600" t="s">
        <v>1955</v>
      </c>
      <c r="J600">
        <v>1</v>
      </c>
      <c r="N600" s="11">
        <v>0</v>
      </c>
      <c r="P600" s="26"/>
      <c r="Q600" s="26"/>
      <c r="R600" s="26"/>
      <c r="S600" s="26"/>
      <c r="T600" s="26"/>
      <c r="U600" s="26"/>
      <c r="V600" s="26"/>
      <c r="W600" s="26">
        <v>0</v>
      </c>
      <c r="X600" s="26">
        <v>0</v>
      </c>
      <c r="Y600" s="26">
        <v>0</v>
      </c>
      <c r="Z600" s="26">
        <v>0</v>
      </c>
    </row>
    <row r="601" spans="1:26" x14ac:dyDescent="0.25">
      <c r="A601" s="11">
        <v>609</v>
      </c>
      <c r="B601">
        <v>3172</v>
      </c>
      <c r="C601" t="s">
        <v>2357</v>
      </c>
      <c r="D601" t="s">
        <v>2358</v>
      </c>
      <c r="E601" t="s">
        <v>24</v>
      </c>
      <c r="G601" t="s">
        <v>2359</v>
      </c>
      <c r="H601">
        <v>2015</v>
      </c>
      <c r="I601" t="s">
        <v>2360</v>
      </c>
      <c r="J601">
        <v>1</v>
      </c>
      <c r="N601" s="11">
        <v>0</v>
      </c>
      <c r="P601" s="26"/>
      <c r="Q601" s="26"/>
      <c r="R601" s="26"/>
      <c r="S601" s="26"/>
      <c r="T601" s="26"/>
      <c r="U601" s="26"/>
      <c r="V601" s="26"/>
      <c r="W601" s="26">
        <v>0</v>
      </c>
      <c r="X601" s="26">
        <v>0</v>
      </c>
      <c r="Y601" s="26">
        <v>0</v>
      </c>
      <c r="Z601" s="26">
        <v>0</v>
      </c>
    </row>
    <row r="602" spans="1:26" x14ac:dyDescent="0.25">
      <c r="A602" s="11">
        <v>610</v>
      </c>
      <c r="B602">
        <v>2659</v>
      </c>
      <c r="C602" t="s">
        <v>2231</v>
      </c>
      <c r="D602" s="8" t="s">
        <v>2232</v>
      </c>
      <c r="E602" t="s">
        <v>1637</v>
      </c>
      <c r="G602" t="s">
        <v>2233</v>
      </c>
      <c r="H602">
        <v>2018</v>
      </c>
      <c r="I602" t="s">
        <v>2234</v>
      </c>
      <c r="J602">
        <v>1</v>
      </c>
      <c r="N602" s="11">
        <v>0</v>
      </c>
      <c r="P602" s="26"/>
      <c r="Q602" s="26"/>
      <c r="R602" s="26"/>
      <c r="S602" s="26"/>
      <c r="T602" s="26"/>
      <c r="U602" s="26"/>
      <c r="V602" s="26"/>
      <c r="W602" s="26">
        <v>0</v>
      </c>
      <c r="X602" s="26">
        <v>0</v>
      </c>
      <c r="Y602" s="26">
        <v>0</v>
      </c>
      <c r="Z602" s="26">
        <v>0</v>
      </c>
    </row>
    <row r="603" spans="1:26" x14ac:dyDescent="0.25">
      <c r="A603" s="11">
        <v>611</v>
      </c>
      <c r="B603">
        <v>3051</v>
      </c>
      <c r="C603" t="s">
        <v>2369</v>
      </c>
      <c r="D603" s="13" t="s">
        <v>2370</v>
      </c>
      <c r="E603" t="s">
        <v>0</v>
      </c>
      <c r="G603" t="s">
        <v>2371</v>
      </c>
      <c r="H603">
        <v>2016</v>
      </c>
      <c r="I603" t="s">
        <v>2372</v>
      </c>
      <c r="J603">
        <v>1</v>
      </c>
      <c r="K603">
        <v>1</v>
      </c>
      <c r="L603">
        <v>1</v>
      </c>
      <c r="N603" s="11">
        <v>1</v>
      </c>
      <c r="P603" s="26"/>
      <c r="Q603" s="26"/>
      <c r="R603" s="26"/>
      <c r="S603" s="26"/>
      <c r="T603" s="26"/>
      <c r="U603" s="26"/>
      <c r="V603" s="26"/>
      <c r="W603" s="26">
        <v>0</v>
      </c>
      <c r="X603" s="26">
        <v>0</v>
      </c>
      <c r="Y603" s="26">
        <v>0</v>
      </c>
      <c r="Z603" s="26">
        <v>0</v>
      </c>
    </row>
    <row r="604" spans="1:26" x14ac:dyDescent="0.25">
      <c r="A604" s="11">
        <v>612</v>
      </c>
      <c r="B604">
        <v>3036</v>
      </c>
      <c r="C604" t="s">
        <v>2625</v>
      </c>
      <c r="D604" s="8" t="s">
        <v>2626</v>
      </c>
      <c r="E604" t="s">
        <v>0</v>
      </c>
      <c r="G604" t="s">
        <v>2627</v>
      </c>
      <c r="H604">
        <v>2016</v>
      </c>
      <c r="I604" t="s">
        <v>2628</v>
      </c>
      <c r="J604">
        <v>1</v>
      </c>
      <c r="N604" s="11">
        <v>0</v>
      </c>
      <c r="P604" s="26"/>
      <c r="Q604" s="26"/>
      <c r="R604" s="26"/>
      <c r="S604" s="26"/>
      <c r="T604" s="26"/>
      <c r="U604" s="26"/>
      <c r="V604" s="26"/>
      <c r="W604" s="26">
        <v>0</v>
      </c>
      <c r="X604" s="26">
        <v>0</v>
      </c>
      <c r="Y604" s="26">
        <v>0</v>
      </c>
      <c r="Z604" s="26">
        <v>0</v>
      </c>
    </row>
    <row r="605" spans="1:26" x14ac:dyDescent="0.25">
      <c r="A605" s="11">
        <v>613</v>
      </c>
      <c r="B605">
        <v>2938</v>
      </c>
      <c r="C605" t="s">
        <v>1873</v>
      </c>
      <c r="D605" s="8" t="s">
        <v>1874</v>
      </c>
      <c r="E605" t="s">
        <v>24</v>
      </c>
      <c r="G605" t="s">
        <v>1875</v>
      </c>
      <c r="H605">
        <v>2017</v>
      </c>
      <c r="I605" t="s">
        <v>1876</v>
      </c>
      <c r="J605">
        <v>1</v>
      </c>
      <c r="N605" s="11">
        <v>0</v>
      </c>
      <c r="P605" s="26"/>
      <c r="Q605" s="26"/>
      <c r="R605" s="26"/>
      <c r="S605" s="26"/>
      <c r="T605" s="26"/>
      <c r="U605" s="26"/>
      <c r="V605" s="26"/>
      <c r="W605" s="26">
        <v>0</v>
      </c>
      <c r="X605" s="26">
        <v>0</v>
      </c>
      <c r="Y605" s="26">
        <v>0</v>
      </c>
      <c r="Z605" s="26">
        <v>0</v>
      </c>
    </row>
    <row r="606" spans="1:26" x14ac:dyDescent="0.25">
      <c r="A606" s="11">
        <v>614</v>
      </c>
      <c r="B606">
        <v>3282</v>
      </c>
      <c r="C606" t="s">
        <v>1934</v>
      </c>
      <c r="D606" t="s">
        <v>1935</v>
      </c>
      <c r="E606" t="s">
        <v>0</v>
      </c>
      <c r="G606" t="s">
        <v>1936</v>
      </c>
      <c r="H606">
        <v>2015</v>
      </c>
      <c r="I606" t="s">
        <v>1937</v>
      </c>
      <c r="J606">
        <v>1</v>
      </c>
      <c r="N606" s="11">
        <v>0</v>
      </c>
      <c r="P606" s="26"/>
      <c r="Q606" s="26"/>
      <c r="R606" s="26"/>
      <c r="S606" s="26"/>
      <c r="T606" s="26"/>
      <c r="U606" s="26"/>
      <c r="V606" s="26"/>
      <c r="W606" s="26">
        <v>0</v>
      </c>
      <c r="X606" s="26">
        <v>0</v>
      </c>
      <c r="Y606" s="26">
        <v>0</v>
      </c>
      <c r="Z606" s="26">
        <v>0</v>
      </c>
    </row>
    <row r="607" spans="1:26" x14ac:dyDescent="0.25">
      <c r="A607" s="11">
        <v>615</v>
      </c>
      <c r="B607">
        <v>6269</v>
      </c>
      <c r="C607" t="s">
        <v>222</v>
      </c>
      <c r="D607" t="s">
        <v>223</v>
      </c>
      <c r="E607" t="s">
        <v>6</v>
      </c>
      <c r="F607" t="s">
        <v>379</v>
      </c>
      <c r="G607" t="s">
        <v>380</v>
      </c>
      <c r="H607">
        <v>2015</v>
      </c>
      <c r="I607" t="s">
        <v>290</v>
      </c>
      <c r="J607">
        <v>1</v>
      </c>
      <c r="N607" s="11">
        <v>0</v>
      </c>
      <c r="P607" s="26"/>
      <c r="Q607" s="26"/>
      <c r="R607" s="26"/>
      <c r="S607" s="26"/>
      <c r="T607" s="26"/>
      <c r="U607" s="26"/>
      <c r="V607" s="26"/>
      <c r="W607" s="26">
        <v>0</v>
      </c>
      <c r="X607" s="26">
        <v>0</v>
      </c>
      <c r="Y607" s="26">
        <v>0</v>
      </c>
      <c r="Z607" s="26">
        <v>0</v>
      </c>
    </row>
    <row r="608" spans="1:26" x14ac:dyDescent="0.25">
      <c r="A608" s="11">
        <v>616</v>
      </c>
      <c r="B608">
        <v>2841</v>
      </c>
      <c r="C608" t="s">
        <v>1877</v>
      </c>
      <c r="D608" s="8" t="s">
        <v>1878</v>
      </c>
      <c r="E608" t="s">
        <v>0</v>
      </c>
      <c r="G608" t="s">
        <v>1879</v>
      </c>
      <c r="H608">
        <v>2017</v>
      </c>
      <c r="I608" t="s">
        <v>1880</v>
      </c>
      <c r="J608">
        <v>1</v>
      </c>
      <c r="K608">
        <v>1</v>
      </c>
      <c r="N608" s="11">
        <v>0</v>
      </c>
      <c r="P608" s="26"/>
      <c r="Q608" s="26"/>
      <c r="R608" s="26"/>
      <c r="S608" s="26"/>
      <c r="T608" s="26"/>
      <c r="U608" s="26"/>
      <c r="V608" s="26"/>
      <c r="W608" s="26">
        <v>0</v>
      </c>
      <c r="X608" s="26">
        <v>0</v>
      </c>
      <c r="Y608" s="26">
        <v>0</v>
      </c>
      <c r="Z608" s="26">
        <v>0</v>
      </c>
    </row>
    <row r="609" spans="1:26" x14ac:dyDescent="0.25">
      <c r="A609" s="11">
        <v>617</v>
      </c>
      <c r="B609">
        <v>4368</v>
      </c>
      <c r="C609" t="s">
        <v>1441</v>
      </c>
      <c r="D609" t="s">
        <v>2907</v>
      </c>
      <c r="E609" t="s">
        <v>3</v>
      </c>
      <c r="G609" t="s">
        <v>2908</v>
      </c>
      <c r="H609">
        <v>2015</v>
      </c>
      <c r="I609" t="s">
        <v>2909</v>
      </c>
      <c r="J609">
        <v>1</v>
      </c>
      <c r="N609" s="11">
        <v>0</v>
      </c>
      <c r="P609" s="26"/>
      <c r="Q609" s="26"/>
      <c r="R609" s="26"/>
      <c r="S609" s="26"/>
      <c r="T609" s="26"/>
      <c r="U609" s="26"/>
      <c r="V609" s="26"/>
      <c r="W609" s="26">
        <v>0</v>
      </c>
      <c r="X609" s="26">
        <v>0</v>
      </c>
      <c r="Y609" s="26">
        <v>0</v>
      </c>
      <c r="Z609" s="26">
        <v>0</v>
      </c>
    </row>
    <row r="610" spans="1:26" x14ac:dyDescent="0.25">
      <c r="A610" s="11">
        <v>618</v>
      </c>
      <c r="B610">
        <v>3295</v>
      </c>
      <c r="C610" t="s">
        <v>1457</v>
      </c>
      <c r="D610" t="s">
        <v>1458</v>
      </c>
      <c r="E610" t="s">
        <v>1300</v>
      </c>
      <c r="G610" t="s">
        <v>1459</v>
      </c>
      <c r="H610">
        <v>2015</v>
      </c>
      <c r="I610" t="s">
        <v>1460</v>
      </c>
      <c r="J610">
        <v>1</v>
      </c>
      <c r="N610" s="11">
        <v>0</v>
      </c>
      <c r="P610" s="26"/>
      <c r="Q610" s="26"/>
      <c r="R610" s="26"/>
      <c r="S610" s="26"/>
      <c r="T610" s="26"/>
      <c r="U610" s="26"/>
      <c r="V610" s="26"/>
      <c r="W610" s="26">
        <v>0</v>
      </c>
      <c r="X610" s="26">
        <v>0</v>
      </c>
      <c r="Y610" s="26">
        <v>0</v>
      </c>
      <c r="Z610" s="26">
        <v>0</v>
      </c>
    </row>
    <row r="611" spans="1:26" x14ac:dyDescent="0.25">
      <c r="A611" s="11">
        <v>619</v>
      </c>
      <c r="B611">
        <v>3135</v>
      </c>
      <c r="C611" t="s">
        <v>1661</v>
      </c>
      <c r="D611" s="13" t="s">
        <v>1662</v>
      </c>
      <c r="E611" t="s">
        <v>1265</v>
      </c>
      <c r="G611" t="s">
        <v>1663</v>
      </c>
      <c r="H611">
        <v>2016</v>
      </c>
      <c r="I611" t="s">
        <v>1664</v>
      </c>
      <c r="J611">
        <v>1</v>
      </c>
      <c r="N611" s="11">
        <v>1</v>
      </c>
      <c r="P611" s="26"/>
      <c r="Q611" s="26"/>
      <c r="R611" s="26"/>
      <c r="S611" s="26"/>
      <c r="T611" s="26"/>
      <c r="U611" s="26"/>
      <c r="V611" s="26"/>
      <c r="W611" s="26">
        <v>0</v>
      </c>
      <c r="X611" s="26">
        <v>0</v>
      </c>
      <c r="Y611" s="26">
        <v>0</v>
      </c>
      <c r="Z611" s="26">
        <v>0</v>
      </c>
    </row>
    <row r="612" spans="1:26" x14ac:dyDescent="0.25">
      <c r="A612" s="11">
        <v>620</v>
      </c>
      <c r="B612">
        <v>6398</v>
      </c>
      <c r="C612" t="s">
        <v>224</v>
      </c>
      <c r="D612" t="s">
        <v>225</v>
      </c>
      <c r="E612" t="s">
        <v>6</v>
      </c>
      <c r="F612" t="s">
        <v>381</v>
      </c>
      <c r="G612" t="s">
        <v>382</v>
      </c>
      <c r="H612">
        <v>2013</v>
      </c>
      <c r="I612" t="s">
        <v>291</v>
      </c>
      <c r="J612">
        <v>1</v>
      </c>
      <c r="N612" s="11">
        <v>0</v>
      </c>
      <c r="P612" s="26"/>
      <c r="Q612" s="26"/>
      <c r="R612" s="26"/>
      <c r="S612" s="26"/>
      <c r="T612" s="26"/>
      <c r="U612" s="26"/>
      <c r="V612" s="26"/>
      <c r="W612" s="26">
        <v>0</v>
      </c>
      <c r="X612" s="26">
        <v>0</v>
      </c>
      <c r="Y612" s="26">
        <v>0</v>
      </c>
      <c r="Z612" s="26">
        <v>0</v>
      </c>
    </row>
    <row r="613" spans="1:26" x14ac:dyDescent="0.25">
      <c r="A613" s="11">
        <v>621</v>
      </c>
      <c r="B613">
        <v>4329</v>
      </c>
      <c r="C613" t="s">
        <v>2996</v>
      </c>
      <c r="D613" s="56" t="s">
        <v>2997</v>
      </c>
      <c r="E613" t="s">
        <v>3</v>
      </c>
      <c r="G613" t="s">
        <v>2998</v>
      </c>
      <c r="H613">
        <v>2015</v>
      </c>
      <c r="I613" t="s">
        <v>2999</v>
      </c>
      <c r="J613">
        <v>1</v>
      </c>
      <c r="N613" s="11">
        <v>0</v>
      </c>
      <c r="P613" s="26"/>
      <c r="Q613" s="26"/>
      <c r="R613" s="26"/>
      <c r="S613" s="26"/>
      <c r="T613" s="26"/>
      <c r="U613" s="26"/>
      <c r="V613" s="26"/>
      <c r="W613" s="26">
        <v>0</v>
      </c>
      <c r="X613" s="26">
        <v>0</v>
      </c>
      <c r="Y613" s="26">
        <v>0</v>
      </c>
      <c r="Z613" s="26">
        <v>0</v>
      </c>
    </row>
    <row r="614" spans="1:26" x14ac:dyDescent="0.25">
      <c r="A614" s="11">
        <v>622</v>
      </c>
      <c r="B614">
        <v>2952</v>
      </c>
      <c r="C614" t="s">
        <v>1964</v>
      </c>
      <c r="D614" t="s">
        <v>1965</v>
      </c>
      <c r="E614" t="s">
        <v>1966</v>
      </c>
      <c r="G614" t="s">
        <v>1967</v>
      </c>
      <c r="H614">
        <v>2017</v>
      </c>
      <c r="I614" t="s">
        <v>1968</v>
      </c>
      <c r="J614">
        <v>1</v>
      </c>
      <c r="N614" s="11">
        <v>0</v>
      </c>
      <c r="P614" s="26"/>
      <c r="Q614" s="26"/>
      <c r="R614" s="26"/>
      <c r="S614" s="26"/>
      <c r="T614" s="26"/>
      <c r="U614" s="26"/>
      <c r="V614" s="26"/>
      <c r="W614" s="26">
        <v>0</v>
      </c>
      <c r="X614" s="26">
        <v>0</v>
      </c>
      <c r="Y614" s="26">
        <v>0</v>
      </c>
      <c r="Z614" s="26">
        <v>0</v>
      </c>
    </row>
    <row r="615" spans="1:26" x14ac:dyDescent="0.25">
      <c r="A615" s="11">
        <v>623</v>
      </c>
      <c r="B615">
        <v>3023</v>
      </c>
      <c r="C615" t="s">
        <v>2562</v>
      </c>
      <c r="D615" s="13" t="s">
        <v>2563</v>
      </c>
      <c r="E615" t="s">
        <v>1193</v>
      </c>
      <c r="G615" t="s">
        <v>2564</v>
      </c>
      <c r="H615">
        <v>2016</v>
      </c>
      <c r="I615" t="s">
        <v>2565</v>
      </c>
      <c r="J615">
        <v>1</v>
      </c>
      <c r="K615">
        <v>1</v>
      </c>
      <c r="L615">
        <v>1</v>
      </c>
      <c r="M615">
        <v>1</v>
      </c>
      <c r="N615" s="11">
        <v>1</v>
      </c>
      <c r="P615" s="26"/>
      <c r="Q615" s="26"/>
      <c r="R615" s="26"/>
      <c r="S615" s="26"/>
      <c r="T615" s="26"/>
      <c r="U615" s="26"/>
      <c r="V615" s="26"/>
      <c r="W615" s="26">
        <v>0</v>
      </c>
      <c r="X615" s="26">
        <v>0</v>
      </c>
      <c r="Y615" s="26">
        <v>0</v>
      </c>
      <c r="Z615" s="26">
        <v>0</v>
      </c>
    </row>
    <row r="616" spans="1:26" x14ac:dyDescent="0.25">
      <c r="A616" s="11">
        <v>624</v>
      </c>
      <c r="B616">
        <v>3705</v>
      </c>
      <c r="C616" t="s">
        <v>2752</v>
      </c>
      <c r="D616" t="s">
        <v>2753</v>
      </c>
      <c r="E616" t="s">
        <v>0</v>
      </c>
      <c r="G616" t="s">
        <v>2754</v>
      </c>
      <c r="H616">
        <v>2012</v>
      </c>
      <c r="J616">
        <v>1</v>
      </c>
      <c r="N616" s="11">
        <v>0</v>
      </c>
      <c r="P616" s="26"/>
      <c r="Q616" s="26"/>
      <c r="R616" s="26"/>
      <c r="S616" s="26"/>
      <c r="T616" s="26"/>
      <c r="U616" s="26"/>
      <c r="V616" s="26"/>
      <c r="W616" s="26">
        <v>0</v>
      </c>
      <c r="X616" s="26">
        <v>0</v>
      </c>
      <c r="Y616" s="26">
        <v>0</v>
      </c>
      <c r="Z616" s="26">
        <v>0</v>
      </c>
    </row>
    <row r="617" spans="1:26" x14ac:dyDescent="0.25">
      <c r="A617" s="11">
        <v>625</v>
      </c>
      <c r="B617">
        <v>6261</v>
      </c>
      <c r="C617" t="s">
        <v>226</v>
      </c>
      <c r="D617" s="8" t="s">
        <v>227</v>
      </c>
      <c r="E617" t="s">
        <v>6</v>
      </c>
      <c r="F617" t="s">
        <v>383</v>
      </c>
      <c r="G617" t="s">
        <v>384</v>
      </c>
      <c r="H617">
        <v>2019</v>
      </c>
      <c r="I617" t="s">
        <v>292</v>
      </c>
      <c r="J617">
        <v>1</v>
      </c>
      <c r="N617" s="11">
        <v>0</v>
      </c>
      <c r="P617" s="26"/>
      <c r="Q617" s="26"/>
      <c r="R617" s="26"/>
      <c r="S617" s="26"/>
      <c r="T617" s="26"/>
      <c r="U617" s="26"/>
      <c r="V617" s="26"/>
      <c r="W617" s="26">
        <v>0</v>
      </c>
      <c r="X617" s="26">
        <v>0</v>
      </c>
      <c r="Y617" s="26">
        <v>0</v>
      </c>
      <c r="Z617" s="26">
        <v>0</v>
      </c>
    </row>
    <row r="618" spans="1:26" x14ac:dyDescent="0.25">
      <c r="A618" s="11">
        <v>626</v>
      </c>
      <c r="B618">
        <v>3472</v>
      </c>
      <c r="C618" t="s">
        <v>1841</v>
      </c>
      <c r="D618" t="s">
        <v>1842</v>
      </c>
      <c r="E618" t="s">
        <v>0</v>
      </c>
      <c r="G618" t="s">
        <v>1843</v>
      </c>
      <c r="H618">
        <v>2014</v>
      </c>
      <c r="I618" t="s">
        <v>1844</v>
      </c>
      <c r="J618">
        <v>1</v>
      </c>
      <c r="N618" s="11">
        <v>0</v>
      </c>
      <c r="P618" s="26"/>
      <c r="Q618" s="26"/>
      <c r="R618" s="26"/>
      <c r="S618" s="26"/>
      <c r="T618" s="26"/>
      <c r="U618" s="26"/>
      <c r="V618" s="26"/>
      <c r="W618" s="26">
        <v>0</v>
      </c>
      <c r="X618" s="26">
        <v>0</v>
      </c>
      <c r="Y618" s="26">
        <v>0</v>
      </c>
      <c r="Z618" s="26">
        <v>0</v>
      </c>
    </row>
    <row r="619" spans="1:26" x14ac:dyDescent="0.25">
      <c r="A619" s="11">
        <v>628</v>
      </c>
      <c r="B619">
        <v>6071</v>
      </c>
      <c r="C619" t="s">
        <v>495</v>
      </c>
      <c r="D619" s="13" t="s">
        <v>496</v>
      </c>
      <c r="E619" t="s">
        <v>0</v>
      </c>
      <c r="F619" t="s">
        <v>942</v>
      </c>
      <c r="G619" t="s">
        <v>497</v>
      </c>
      <c r="H619">
        <v>2013</v>
      </c>
      <c r="I619" t="s">
        <v>498</v>
      </c>
      <c r="J619">
        <v>1</v>
      </c>
      <c r="L619">
        <v>1</v>
      </c>
      <c r="N619" s="11">
        <v>1</v>
      </c>
      <c r="P619" s="26"/>
      <c r="Q619" s="26"/>
      <c r="R619" s="26"/>
      <c r="S619" s="26"/>
      <c r="T619" s="26"/>
      <c r="U619" s="26"/>
      <c r="V619" s="26"/>
      <c r="W619" s="26">
        <v>0</v>
      </c>
      <c r="X619" s="26">
        <v>0</v>
      </c>
      <c r="Y619" s="26">
        <v>0</v>
      </c>
      <c r="Z619" s="26">
        <v>0</v>
      </c>
    </row>
    <row r="620" spans="1:26" x14ac:dyDescent="0.25">
      <c r="A620" s="11">
        <v>629</v>
      </c>
      <c r="B620">
        <v>3713</v>
      </c>
      <c r="C620" t="s">
        <v>2423</v>
      </c>
      <c r="D620" s="8" t="s">
        <v>2424</v>
      </c>
      <c r="E620" t="s">
        <v>0</v>
      </c>
      <c r="G620" t="s">
        <v>2425</v>
      </c>
      <c r="H620">
        <v>2012</v>
      </c>
      <c r="I620" t="s">
        <v>2426</v>
      </c>
      <c r="J620">
        <v>1</v>
      </c>
      <c r="N620" s="11">
        <v>0</v>
      </c>
      <c r="P620" s="26"/>
      <c r="Q620" s="26"/>
      <c r="R620" s="26"/>
      <c r="S620" s="26"/>
      <c r="T620" s="26"/>
      <c r="U620" s="26"/>
      <c r="V620" s="26"/>
      <c r="W620" s="26">
        <v>0</v>
      </c>
      <c r="X620" s="26">
        <v>0</v>
      </c>
      <c r="Y620" s="26">
        <v>0</v>
      </c>
      <c r="Z620" s="26">
        <v>0</v>
      </c>
    </row>
    <row r="621" spans="1:26" x14ac:dyDescent="0.25">
      <c r="A621" s="11">
        <v>630</v>
      </c>
      <c r="B621">
        <v>3464</v>
      </c>
      <c r="C621" t="s">
        <v>1298</v>
      </c>
      <c r="D621" t="s">
        <v>1299</v>
      </c>
      <c r="E621" t="s">
        <v>1300</v>
      </c>
      <c r="G621" t="s">
        <v>1301</v>
      </c>
      <c r="H621">
        <v>2014</v>
      </c>
      <c r="I621" t="s">
        <v>1302</v>
      </c>
      <c r="J621">
        <v>1</v>
      </c>
      <c r="N621" s="11">
        <v>0</v>
      </c>
      <c r="P621" s="26"/>
      <c r="Q621" s="26"/>
      <c r="R621" s="26"/>
      <c r="S621" s="26"/>
      <c r="T621" s="26"/>
      <c r="U621" s="26"/>
      <c r="V621" s="26"/>
      <c r="W621" s="26">
        <v>0</v>
      </c>
      <c r="X621" s="26">
        <v>0</v>
      </c>
      <c r="Y621" s="26">
        <v>0</v>
      </c>
      <c r="Z621" s="26">
        <v>0</v>
      </c>
    </row>
    <row r="622" spans="1:26" x14ac:dyDescent="0.25">
      <c r="A622" s="11">
        <v>631</v>
      </c>
      <c r="B622">
        <v>5770</v>
      </c>
      <c r="C622" t="s">
        <v>833</v>
      </c>
      <c r="D622" t="s">
        <v>834</v>
      </c>
      <c r="E622" t="s">
        <v>0</v>
      </c>
      <c r="G622" t="s">
        <v>835</v>
      </c>
      <c r="H622">
        <v>2012</v>
      </c>
      <c r="I622" t="s">
        <v>836</v>
      </c>
      <c r="J622">
        <v>1</v>
      </c>
      <c r="N622" s="11">
        <v>0</v>
      </c>
      <c r="P622" s="26"/>
      <c r="Q622" s="26"/>
      <c r="R622" s="26"/>
      <c r="S622" s="26"/>
      <c r="T622" s="26"/>
      <c r="U622" s="26"/>
      <c r="V622" s="26"/>
      <c r="W622" s="26">
        <v>0</v>
      </c>
      <c r="X622" s="26">
        <v>0</v>
      </c>
      <c r="Y622" s="26">
        <v>0</v>
      </c>
      <c r="Z622" s="26">
        <v>0</v>
      </c>
    </row>
    <row r="623" spans="1:26" x14ac:dyDescent="0.25">
      <c r="A623" s="11">
        <v>632</v>
      </c>
      <c r="B623">
        <v>4098</v>
      </c>
      <c r="C623" t="s">
        <v>2912</v>
      </c>
      <c r="D623" t="s">
        <v>2913</v>
      </c>
      <c r="E623" t="s">
        <v>2</v>
      </c>
      <c r="G623" t="s">
        <v>2914</v>
      </c>
      <c r="H623">
        <v>2017</v>
      </c>
      <c r="I623" t="s">
        <v>2915</v>
      </c>
      <c r="J623">
        <v>1</v>
      </c>
      <c r="N623" s="11">
        <v>0</v>
      </c>
      <c r="P623" s="26"/>
      <c r="Q623" s="26"/>
      <c r="R623" s="26"/>
      <c r="S623" s="26"/>
      <c r="T623" s="26"/>
      <c r="U623" s="26"/>
      <c r="V623" s="26"/>
      <c r="W623" s="26">
        <v>0</v>
      </c>
      <c r="X623" s="26">
        <v>0</v>
      </c>
      <c r="Y623" s="26">
        <v>0</v>
      </c>
      <c r="Z623" s="26">
        <v>0</v>
      </c>
    </row>
    <row r="624" spans="1:26" x14ac:dyDescent="0.25">
      <c r="A624" s="11">
        <v>633</v>
      </c>
      <c r="B624">
        <v>3356</v>
      </c>
      <c r="C624" t="s">
        <v>2851</v>
      </c>
      <c r="D624" t="s">
        <v>2852</v>
      </c>
      <c r="E624" t="s">
        <v>2</v>
      </c>
      <c r="G624" t="s">
        <v>2853</v>
      </c>
      <c r="H624">
        <v>2014</v>
      </c>
      <c r="I624" t="s">
        <v>2854</v>
      </c>
      <c r="J624">
        <v>1</v>
      </c>
      <c r="N624" s="11">
        <v>0</v>
      </c>
      <c r="P624" s="26"/>
      <c r="Q624" s="26"/>
      <c r="R624" s="26"/>
      <c r="S624" s="26"/>
      <c r="T624" s="26"/>
      <c r="U624" s="26"/>
      <c r="V624" s="26"/>
      <c r="W624" s="26">
        <v>0</v>
      </c>
      <c r="X624" s="26">
        <v>0</v>
      </c>
      <c r="Y624" s="26">
        <v>0</v>
      </c>
      <c r="Z624" s="26">
        <v>0</v>
      </c>
    </row>
    <row r="625" spans="1:26" x14ac:dyDescent="0.25">
      <c r="A625" s="11">
        <v>634</v>
      </c>
      <c r="B625">
        <v>3092</v>
      </c>
      <c r="C625" t="s">
        <v>2335</v>
      </c>
      <c r="D625" s="13" t="s">
        <v>125</v>
      </c>
      <c r="E625" t="s">
        <v>0</v>
      </c>
      <c r="G625" t="s">
        <v>2336</v>
      </c>
      <c r="H625">
        <v>2016</v>
      </c>
      <c r="I625" t="s">
        <v>2337</v>
      </c>
      <c r="J625">
        <v>1</v>
      </c>
      <c r="K625">
        <v>1</v>
      </c>
      <c r="L625">
        <v>1</v>
      </c>
      <c r="M625">
        <v>1</v>
      </c>
      <c r="N625" s="11">
        <v>1</v>
      </c>
      <c r="P625" s="26"/>
      <c r="Q625" s="26"/>
      <c r="R625" s="26"/>
      <c r="S625" s="26"/>
      <c r="T625" s="26"/>
      <c r="U625" s="26"/>
      <c r="V625" s="26"/>
      <c r="W625" s="26">
        <v>0</v>
      </c>
      <c r="X625" s="26">
        <v>0</v>
      </c>
      <c r="Y625" s="26">
        <v>0</v>
      </c>
      <c r="Z625" s="26">
        <v>0</v>
      </c>
    </row>
    <row r="626" spans="1:26" x14ac:dyDescent="0.25">
      <c r="A626" s="11">
        <v>635</v>
      </c>
      <c r="B626">
        <v>3365</v>
      </c>
      <c r="C626" t="s">
        <v>2736</v>
      </c>
      <c r="D626" s="57" t="s">
        <v>2737</v>
      </c>
      <c r="E626" t="s">
        <v>0</v>
      </c>
      <c r="G626" t="s">
        <v>2738</v>
      </c>
      <c r="H626">
        <v>2014</v>
      </c>
      <c r="I626" t="s">
        <v>2739</v>
      </c>
      <c r="J626">
        <v>1</v>
      </c>
      <c r="K626">
        <v>1</v>
      </c>
      <c r="L626">
        <v>1</v>
      </c>
      <c r="N626" s="11">
        <v>0</v>
      </c>
      <c r="P626" s="26"/>
      <c r="Q626" s="26"/>
      <c r="R626" s="26"/>
      <c r="S626" s="26"/>
      <c r="T626" s="26"/>
      <c r="U626" s="26"/>
      <c r="V626" s="26"/>
      <c r="W626" s="26">
        <v>0</v>
      </c>
      <c r="X626" s="26">
        <v>0</v>
      </c>
      <c r="Y626" s="26">
        <v>0</v>
      </c>
      <c r="Z626" s="26">
        <v>0</v>
      </c>
    </row>
    <row r="627" spans="1:26" x14ac:dyDescent="0.25">
      <c r="A627" s="11">
        <v>636</v>
      </c>
      <c r="B627">
        <v>2885</v>
      </c>
      <c r="C627" t="s">
        <v>1614</v>
      </c>
      <c r="D627" s="57" t="s">
        <v>1615</v>
      </c>
      <c r="E627" t="s">
        <v>0</v>
      </c>
      <c r="G627" t="s">
        <v>1616</v>
      </c>
      <c r="H627">
        <v>2017</v>
      </c>
      <c r="I627" t="s">
        <v>1617</v>
      </c>
      <c r="J627">
        <v>1</v>
      </c>
      <c r="N627" s="11">
        <v>0</v>
      </c>
      <c r="P627" s="26"/>
      <c r="Q627" s="26"/>
      <c r="R627" s="26"/>
      <c r="S627" s="26"/>
      <c r="T627" s="26"/>
      <c r="U627" s="26"/>
      <c r="V627" s="26"/>
      <c r="W627" s="26">
        <v>0</v>
      </c>
      <c r="X627" s="26">
        <v>0</v>
      </c>
      <c r="Y627" s="26">
        <v>0</v>
      </c>
      <c r="Z627" s="26">
        <v>0</v>
      </c>
    </row>
    <row r="628" spans="1:26" x14ac:dyDescent="0.25">
      <c r="A628" s="11">
        <v>637</v>
      </c>
      <c r="B628">
        <v>3573</v>
      </c>
      <c r="C628" t="s">
        <v>2843</v>
      </c>
      <c r="D628" t="s">
        <v>2844</v>
      </c>
      <c r="E628" t="s">
        <v>0</v>
      </c>
      <c r="G628" t="s">
        <v>2845</v>
      </c>
      <c r="H628">
        <v>2013</v>
      </c>
      <c r="I628" t="s">
        <v>2846</v>
      </c>
      <c r="J628">
        <v>1</v>
      </c>
      <c r="N628" s="11">
        <v>0</v>
      </c>
      <c r="P628" s="26"/>
      <c r="Q628" s="26"/>
      <c r="R628" s="26"/>
      <c r="S628" s="26"/>
      <c r="T628" s="26"/>
      <c r="U628" s="26"/>
      <c r="V628" s="26"/>
      <c r="W628" s="26">
        <v>0</v>
      </c>
      <c r="X628" s="26">
        <v>0</v>
      </c>
      <c r="Y628" s="26">
        <v>0</v>
      </c>
      <c r="Z628" s="26">
        <v>0</v>
      </c>
    </row>
    <row r="629" spans="1:26" x14ac:dyDescent="0.25">
      <c r="A629" s="11">
        <v>638</v>
      </c>
      <c r="B629">
        <v>5924</v>
      </c>
      <c r="C629" t="s">
        <v>837</v>
      </c>
      <c r="D629" t="s">
        <v>838</v>
      </c>
      <c r="E629" t="s">
        <v>0</v>
      </c>
      <c r="G629" t="s">
        <v>839</v>
      </c>
      <c r="H629">
        <v>2016</v>
      </c>
      <c r="I629" t="s">
        <v>840</v>
      </c>
      <c r="J629">
        <v>1</v>
      </c>
      <c r="K629">
        <v>-1</v>
      </c>
      <c r="N629" s="11">
        <v>0</v>
      </c>
      <c r="P629" s="26"/>
      <c r="Q629" s="26"/>
      <c r="R629" s="26"/>
      <c r="S629" s="26"/>
      <c r="T629" s="26"/>
      <c r="U629" s="26"/>
      <c r="V629" s="26"/>
      <c r="W629" s="26">
        <v>0</v>
      </c>
      <c r="X629" s="26">
        <v>0</v>
      </c>
      <c r="Y629" s="26">
        <v>0</v>
      </c>
      <c r="Z629" s="26">
        <v>0</v>
      </c>
    </row>
    <row r="630" spans="1:26" x14ac:dyDescent="0.25">
      <c r="A630" s="11">
        <v>639</v>
      </c>
      <c r="B630">
        <v>3076</v>
      </c>
      <c r="C630" t="s">
        <v>2859</v>
      </c>
      <c r="D630" t="s">
        <v>228</v>
      </c>
      <c r="E630" t="s">
        <v>0</v>
      </c>
      <c r="G630" t="s">
        <v>2860</v>
      </c>
      <c r="H630">
        <v>2016</v>
      </c>
      <c r="I630" t="s">
        <v>2861</v>
      </c>
      <c r="J630">
        <v>1</v>
      </c>
      <c r="N630" s="11">
        <v>0</v>
      </c>
      <c r="P630" s="26"/>
      <c r="Q630" s="26"/>
      <c r="R630" s="26"/>
      <c r="S630" s="26"/>
      <c r="T630" s="26"/>
      <c r="U630" s="26"/>
      <c r="V630" s="26"/>
      <c r="W630" s="26">
        <v>0</v>
      </c>
      <c r="X630" s="26">
        <v>0</v>
      </c>
      <c r="Y630" s="26">
        <v>0</v>
      </c>
      <c r="Z630" s="26">
        <v>0</v>
      </c>
    </row>
    <row r="631" spans="1:26" x14ac:dyDescent="0.25">
      <c r="A631" s="11">
        <v>640</v>
      </c>
      <c r="B631">
        <v>5042</v>
      </c>
      <c r="C631" t="s">
        <v>1151</v>
      </c>
      <c r="D631" s="8" t="s">
        <v>1152</v>
      </c>
      <c r="E631" t="s">
        <v>22</v>
      </c>
      <c r="G631" t="s">
        <v>1153</v>
      </c>
      <c r="H631">
        <v>2018</v>
      </c>
      <c r="I631" t="s">
        <v>1154</v>
      </c>
      <c r="J631">
        <v>1</v>
      </c>
      <c r="N631" s="11">
        <v>0</v>
      </c>
      <c r="P631" s="26"/>
      <c r="Q631" s="26"/>
      <c r="R631" s="26"/>
      <c r="S631" s="26"/>
      <c r="T631" s="26"/>
      <c r="U631" s="26"/>
      <c r="V631" s="26"/>
      <c r="W631" s="26">
        <v>0</v>
      </c>
      <c r="X631" s="26">
        <v>0</v>
      </c>
      <c r="Y631" s="26">
        <v>0</v>
      </c>
      <c r="Z631" s="26">
        <v>0</v>
      </c>
    </row>
    <row r="632" spans="1:26" x14ac:dyDescent="0.25">
      <c r="A632" s="11">
        <v>641</v>
      </c>
      <c r="B632">
        <v>5975</v>
      </c>
      <c r="C632" t="s">
        <v>841</v>
      </c>
      <c r="D632" s="8" t="s">
        <v>842</v>
      </c>
      <c r="E632" t="s">
        <v>0</v>
      </c>
      <c r="G632" t="s">
        <v>843</v>
      </c>
      <c r="H632">
        <v>2018</v>
      </c>
      <c r="I632" t="s">
        <v>844</v>
      </c>
      <c r="J632">
        <v>1</v>
      </c>
      <c r="N632" s="11">
        <v>0</v>
      </c>
      <c r="P632" s="26"/>
      <c r="Q632" s="26"/>
      <c r="R632" s="26"/>
      <c r="S632" s="26"/>
      <c r="T632" s="26"/>
      <c r="U632" s="26"/>
      <c r="V632" s="26"/>
      <c r="W632" s="26">
        <v>0</v>
      </c>
      <c r="X632" s="26">
        <v>0</v>
      </c>
      <c r="Y632" s="26">
        <v>0</v>
      </c>
      <c r="Z632" s="26">
        <v>0</v>
      </c>
    </row>
    <row r="633" spans="1:26" x14ac:dyDescent="0.25">
      <c r="A633" s="11">
        <v>642</v>
      </c>
      <c r="B633">
        <v>3044</v>
      </c>
      <c r="C633" t="s">
        <v>2718</v>
      </c>
      <c r="D633" t="s">
        <v>2719</v>
      </c>
      <c r="E633" t="s">
        <v>0</v>
      </c>
      <c r="G633" t="s">
        <v>2720</v>
      </c>
      <c r="H633">
        <v>2016</v>
      </c>
      <c r="I633" t="s">
        <v>2721</v>
      </c>
      <c r="J633">
        <v>1</v>
      </c>
      <c r="N633" s="11">
        <v>0</v>
      </c>
      <c r="P633" s="26"/>
      <c r="Q633" s="26"/>
      <c r="R633" s="26"/>
      <c r="S633" s="26"/>
      <c r="T633" s="26"/>
      <c r="U633" s="26"/>
      <c r="V633" s="26"/>
      <c r="W633" s="26">
        <v>0</v>
      </c>
      <c r="X633" s="26">
        <v>0</v>
      </c>
      <c r="Y633" s="26">
        <v>0</v>
      </c>
      <c r="Z633" s="26">
        <v>0</v>
      </c>
    </row>
    <row r="634" spans="1:26" x14ac:dyDescent="0.25">
      <c r="A634" s="11">
        <v>643</v>
      </c>
      <c r="B634">
        <v>3524</v>
      </c>
      <c r="C634" t="s">
        <v>1479</v>
      </c>
      <c r="D634" s="26" t="s">
        <v>2290</v>
      </c>
      <c r="E634" t="s">
        <v>0</v>
      </c>
      <c r="G634" t="s">
        <v>2291</v>
      </c>
      <c r="H634">
        <v>2013</v>
      </c>
      <c r="I634" t="s">
        <v>2292</v>
      </c>
      <c r="J634">
        <v>0</v>
      </c>
      <c r="K634">
        <v>1</v>
      </c>
      <c r="L634">
        <v>1</v>
      </c>
      <c r="N634" s="11">
        <v>5</v>
      </c>
      <c r="P634" s="26"/>
      <c r="Q634" s="26"/>
      <c r="R634" s="26"/>
      <c r="S634" s="26"/>
      <c r="T634" s="26"/>
      <c r="U634" s="26"/>
      <c r="V634" s="26"/>
      <c r="W634" s="26">
        <v>0</v>
      </c>
      <c r="X634" s="26">
        <v>0</v>
      </c>
      <c r="Y634" s="26">
        <v>0</v>
      </c>
      <c r="Z634" s="26">
        <v>0</v>
      </c>
    </row>
    <row r="635" spans="1:26" x14ac:dyDescent="0.25">
      <c r="A635" s="11">
        <v>644</v>
      </c>
      <c r="B635">
        <v>3594</v>
      </c>
      <c r="C635" t="s">
        <v>1479</v>
      </c>
      <c r="D635" s="26" t="s">
        <v>2610</v>
      </c>
      <c r="E635" t="s">
        <v>0</v>
      </c>
      <c r="G635" t="s">
        <v>2611</v>
      </c>
      <c r="H635">
        <v>2013</v>
      </c>
      <c r="I635" t="s">
        <v>2612</v>
      </c>
      <c r="J635">
        <v>1</v>
      </c>
      <c r="N635" s="11">
        <v>5</v>
      </c>
      <c r="P635" s="26"/>
      <c r="Q635" s="26"/>
      <c r="R635" s="26"/>
      <c r="S635" s="26"/>
      <c r="T635" s="26"/>
      <c r="U635" s="26"/>
      <c r="V635" s="26"/>
      <c r="W635" s="26">
        <v>0</v>
      </c>
      <c r="X635" s="26">
        <v>0</v>
      </c>
      <c r="Y635" s="26">
        <v>0</v>
      </c>
      <c r="Z635" s="26">
        <v>0</v>
      </c>
    </row>
    <row r="636" spans="1:26" x14ac:dyDescent="0.25">
      <c r="A636" s="11">
        <v>645</v>
      </c>
      <c r="B636">
        <v>3048</v>
      </c>
      <c r="C636" t="s">
        <v>1821</v>
      </c>
      <c r="D636" t="s">
        <v>1822</v>
      </c>
      <c r="E636" t="s">
        <v>0</v>
      </c>
      <c r="G636" t="s">
        <v>1823</v>
      </c>
      <c r="H636">
        <v>2016</v>
      </c>
      <c r="I636" t="s">
        <v>1824</v>
      </c>
      <c r="J636">
        <v>1</v>
      </c>
      <c r="N636" s="11">
        <v>0</v>
      </c>
      <c r="P636" s="26"/>
      <c r="Q636" s="26"/>
      <c r="R636" s="26"/>
      <c r="S636" s="26"/>
      <c r="T636" s="26"/>
      <c r="U636" s="26"/>
      <c r="V636" s="26"/>
      <c r="W636" s="26">
        <v>0</v>
      </c>
      <c r="X636" s="26">
        <v>0</v>
      </c>
      <c r="Y636" s="26">
        <v>0</v>
      </c>
      <c r="Z636" s="26">
        <v>0</v>
      </c>
    </row>
    <row r="637" spans="1:26" x14ac:dyDescent="0.25">
      <c r="A637" s="11">
        <v>646</v>
      </c>
      <c r="B637">
        <v>5123</v>
      </c>
      <c r="C637" t="s">
        <v>1155</v>
      </c>
      <c r="D637" t="s">
        <v>1156</v>
      </c>
      <c r="E637" t="s">
        <v>7</v>
      </c>
      <c r="G637" t="s">
        <v>1157</v>
      </c>
      <c r="H637">
        <v>2017</v>
      </c>
      <c r="I637" t="s">
        <v>1158</v>
      </c>
      <c r="J637">
        <v>1</v>
      </c>
      <c r="N637" s="11">
        <v>0</v>
      </c>
      <c r="P637" s="26"/>
      <c r="Q637" s="26"/>
      <c r="R637" s="26"/>
      <c r="S637" s="26"/>
      <c r="T637" s="26"/>
      <c r="U637" s="26"/>
      <c r="V637" s="26"/>
      <c r="W637" s="26">
        <v>0</v>
      </c>
      <c r="X637" s="26">
        <v>0</v>
      </c>
      <c r="Y637" s="26">
        <v>0</v>
      </c>
      <c r="Z637" s="26">
        <v>0</v>
      </c>
    </row>
    <row r="638" spans="1:26" x14ac:dyDescent="0.25">
      <c r="A638" s="11">
        <v>647</v>
      </c>
      <c r="B638">
        <v>2647</v>
      </c>
      <c r="C638" t="s">
        <v>2144</v>
      </c>
      <c r="D638" s="8" t="s">
        <v>2145</v>
      </c>
      <c r="E638" t="s">
        <v>121</v>
      </c>
      <c r="G638" t="s">
        <v>2146</v>
      </c>
      <c r="H638">
        <v>2018</v>
      </c>
      <c r="I638" t="s">
        <v>2147</v>
      </c>
      <c r="J638">
        <v>1</v>
      </c>
      <c r="N638" s="11">
        <v>0</v>
      </c>
      <c r="P638" s="26"/>
      <c r="Q638" s="26"/>
      <c r="R638" s="26"/>
      <c r="S638" s="26"/>
      <c r="T638" s="26"/>
      <c r="U638" s="26"/>
      <c r="V638" s="26"/>
      <c r="W638" s="26">
        <v>0</v>
      </c>
      <c r="X638" s="26">
        <v>0</v>
      </c>
      <c r="Y638" s="26">
        <v>0</v>
      </c>
      <c r="Z638" s="26">
        <v>0</v>
      </c>
    </row>
    <row r="639" spans="1:26" x14ac:dyDescent="0.25">
      <c r="A639" s="11">
        <v>648</v>
      </c>
      <c r="B639">
        <v>6337</v>
      </c>
      <c r="C639" t="s">
        <v>229</v>
      </c>
      <c r="D639" t="s">
        <v>231</v>
      </c>
      <c r="E639" t="s">
        <v>6</v>
      </c>
      <c r="F639" t="s">
        <v>387</v>
      </c>
      <c r="G639" t="s">
        <v>388</v>
      </c>
      <c r="H639">
        <v>2018</v>
      </c>
      <c r="J639">
        <v>1</v>
      </c>
      <c r="N639" s="11">
        <v>0</v>
      </c>
      <c r="P639" s="26"/>
      <c r="Q639" s="26"/>
      <c r="R639" s="26"/>
      <c r="S639" s="26"/>
      <c r="T639" s="26"/>
      <c r="U639" s="26"/>
      <c r="V639" s="26"/>
      <c r="W639" s="26">
        <v>0</v>
      </c>
      <c r="X639" s="26">
        <v>0</v>
      </c>
      <c r="Y639" s="26">
        <v>0</v>
      </c>
      <c r="Z639" s="26">
        <v>0</v>
      </c>
    </row>
    <row r="640" spans="1:26" x14ac:dyDescent="0.25">
      <c r="A640" s="11">
        <v>649</v>
      </c>
      <c r="B640">
        <v>6358</v>
      </c>
      <c r="C640" t="s">
        <v>229</v>
      </c>
      <c r="D640" t="s">
        <v>230</v>
      </c>
      <c r="E640" t="s">
        <v>6</v>
      </c>
      <c r="F640" t="s">
        <v>385</v>
      </c>
      <c r="G640" t="s">
        <v>386</v>
      </c>
      <c r="H640">
        <v>2017</v>
      </c>
      <c r="J640">
        <v>1</v>
      </c>
      <c r="N640" s="11">
        <v>0</v>
      </c>
      <c r="P640" s="26"/>
      <c r="Q640" s="26"/>
      <c r="R640" s="26"/>
      <c r="S640" s="26"/>
      <c r="T640" s="26"/>
      <c r="U640" s="26"/>
      <c r="V640" s="26"/>
      <c r="W640" s="26">
        <v>0</v>
      </c>
      <c r="X640" s="26">
        <v>0</v>
      </c>
      <c r="Y640" s="26">
        <v>0</v>
      </c>
      <c r="Z640" s="26">
        <v>0</v>
      </c>
    </row>
    <row r="641" spans="1:26" x14ac:dyDescent="0.25">
      <c r="A641" s="11">
        <v>650</v>
      </c>
      <c r="B641">
        <v>3286</v>
      </c>
      <c r="C641" t="s">
        <v>1675</v>
      </c>
      <c r="D641" t="s">
        <v>1159</v>
      </c>
      <c r="E641" t="s">
        <v>953</v>
      </c>
      <c r="G641" t="s">
        <v>1676</v>
      </c>
      <c r="H641">
        <v>2015</v>
      </c>
      <c r="I641" t="s">
        <v>1677</v>
      </c>
      <c r="J641">
        <v>1</v>
      </c>
      <c r="N641" s="11">
        <v>0</v>
      </c>
      <c r="P641" s="26"/>
      <c r="Q641" s="26"/>
      <c r="R641" s="26"/>
      <c r="S641" s="26"/>
      <c r="T641" s="26"/>
      <c r="U641" s="26"/>
      <c r="V641" s="26"/>
      <c r="W641" s="26">
        <v>0</v>
      </c>
      <c r="X641" s="26">
        <v>0</v>
      </c>
      <c r="Y641" s="26">
        <v>0</v>
      </c>
      <c r="Z641" s="26">
        <v>0</v>
      </c>
    </row>
    <row r="642" spans="1:26" x14ac:dyDescent="0.25">
      <c r="A642" s="11">
        <v>651</v>
      </c>
      <c r="B642">
        <v>3479</v>
      </c>
      <c r="C642" t="s">
        <v>1497</v>
      </c>
      <c r="D642" t="s">
        <v>1498</v>
      </c>
      <c r="E642" t="s">
        <v>953</v>
      </c>
      <c r="G642" t="s">
        <v>1499</v>
      </c>
      <c r="H642">
        <v>2014</v>
      </c>
      <c r="I642" t="s">
        <v>1500</v>
      </c>
      <c r="J642">
        <v>1</v>
      </c>
      <c r="N642" s="11">
        <v>0</v>
      </c>
      <c r="P642" s="26"/>
      <c r="Q642" s="26"/>
      <c r="R642" s="26"/>
      <c r="S642" s="26"/>
      <c r="T642" s="26"/>
      <c r="U642" s="26"/>
      <c r="V642" s="26"/>
      <c r="W642" s="26">
        <v>0</v>
      </c>
      <c r="X642" s="26">
        <v>0</v>
      </c>
      <c r="Y642" s="26">
        <v>0</v>
      </c>
      <c r="Z642" s="26">
        <v>0</v>
      </c>
    </row>
    <row r="643" spans="1:26" x14ac:dyDescent="0.25">
      <c r="A643" s="11">
        <v>652</v>
      </c>
      <c r="B643">
        <v>4960</v>
      </c>
      <c r="C643" t="s">
        <v>1160</v>
      </c>
      <c r="D643" t="s">
        <v>1161</v>
      </c>
      <c r="E643" t="s">
        <v>22</v>
      </c>
      <c r="G643" t="s">
        <v>1162</v>
      </c>
      <c r="H643">
        <v>2018</v>
      </c>
      <c r="I643" t="s">
        <v>1163</v>
      </c>
      <c r="J643">
        <v>1</v>
      </c>
      <c r="N643" s="11">
        <v>0</v>
      </c>
      <c r="P643" s="26"/>
      <c r="Q643" s="26"/>
      <c r="R643" s="26"/>
      <c r="S643" s="26"/>
      <c r="T643" s="26"/>
      <c r="U643" s="26"/>
      <c r="V643" s="26"/>
      <c r="W643" s="26">
        <v>0</v>
      </c>
      <c r="X643" s="26">
        <v>0</v>
      </c>
      <c r="Y643" s="26">
        <v>0</v>
      </c>
      <c r="Z643" s="26">
        <v>0</v>
      </c>
    </row>
    <row r="644" spans="1:26" x14ac:dyDescent="0.25">
      <c r="A644" s="11">
        <v>653</v>
      </c>
      <c r="B644">
        <v>5820</v>
      </c>
      <c r="C644" t="s">
        <v>845</v>
      </c>
      <c r="D644" t="s">
        <v>846</v>
      </c>
      <c r="E644" t="s">
        <v>0</v>
      </c>
      <c r="G644" t="s">
        <v>847</v>
      </c>
      <c r="H644">
        <v>2015</v>
      </c>
      <c r="I644" t="s">
        <v>848</v>
      </c>
      <c r="J644">
        <v>1</v>
      </c>
      <c r="N644" s="11">
        <v>0</v>
      </c>
      <c r="P644" s="26"/>
      <c r="Q644" s="26"/>
      <c r="R644" s="26"/>
      <c r="S644" s="26"/>
      <c r="T644" s="26"/>
      <c r="U644" s="26"/>
      <c r="V644" s="26"/>
      <c r="W644" s="26">
        <v>0</v>
      </c>
      <c r="X644" s="26">
        <v>0</v>
      </c>
      <c r="Y644" s="26">
        <v>0</v>
      </c>
      <c r="Z644" s="26">
        <v>0</v>
      </c>
    </row>
    <row r="645" spans="1:26" x14ac:dyDescent="0.25">
      <c r="A645" s="11">
        <v>654</v>
      </c>
      <c r="B645">
        <v>6316</v>
      </c>
      <c r="C645" t="s">
        <v>232</v>
      </c>
      <c r="D645" s="8" t="s">
        <v>233</v>
      </c>
      <c r="E645" t="s">
        <v>6</v>
      </c>
      <c r="F645" t="s">
        <v>389</v>
      </c>
      <c r="G645" t="s">
        <v>390</v>
      </c>
      <c r="H645">
        <v>2014</v>
      </c>
      <c r="J645">
        <v>1</v>
      </c>
      <c r="N645" s="11">
        <v>0</v>
      </c>
      <c r="P645" s="26"/>
      <c r="Q645" s="26"/>
      <c r="R645" s="26"/>
      <c r="S645" s="26"/>
      <c r="T645" s="26"/>
      <c r="U645" s="26"/>
      <c r="V645" s="26"/>
      <c r="W645" s="26">
        <v>0</v>
      </c>
      <c r="X645" s="26">
        <v>0</v>
      </c>
      <c r="Y645" s="26">
        <v>0</v>
      </c>
      <c r="Z645" s="26">
        <v>0</v>
      </c>
    </row>
    <row r="646" spans="1:26" x14ac:dyDescent="0.25">
      <c r="A646" s="11">
        <v>655</v>
      </c>
      <c r="B646">
        <v>2915</v>
      </c>
      <c r="C646" t="s">
        <v>2349</v>
      </c>
      <c r="D646" t="s">
        <v>2350</v>
      </c>
      <c r="E646" t="s">
        <v>1193</v>
      </c>
      <c r="G646" t="s">
        <v>2351</v>
      </c>
      <c r="H646">
        <v>2017</v>
      </c>
      <c r="I646" t="s">
        <v>2352</v>
      </c>
      <c r="J646">
        <v>1</v>
      </c>
      <c r="N646" s="11">
        <v>0</v>
      </c>
      <c r="P646" s="26"/>
      <c r="Q646" s="26"/>
      <c r="R646" s="26"/>
      <c r="S646" s="26"/>
      <c r="T646" s="26"/>
      <c r="U646" s="26"/>
      <c r="V646" s="26"/>
      <c r="W646" s="26">
        <v>0</v>
      </c>
      <c r="X646" s="26">
        <v>0</v>
      </c>
      <c r="Y646" s="26">
        <v>0</v>
      </c>
      <c r="Z646" s="26">
        <v>0</v>
      </c>
    </row>
    <row r="647" spans="1:26" x14ac:dyDescent="0.25">
      <c r="A647" s="11">
        <v>656</v>
      </c>
      <c r="B647">
        <v>6081</v>
      </c>
      <c r="C647" t="s">
        <v>849</v>
      </c>
      <c r="D647" t="s">
        <v>850</v>
      </c>
      <c r="E647" t="s">
        <v>0</v>
      </c>
      <c r="G647" t="s">
        <v>851</v>
      </c>
      <c r="H647">
        <v>2015</v>
      </c>
      <c r="I647" t="s">
        <v>852</v>
      </c>
      <c r="J647">
        <v>1</v>
      </c>
      <c r="N647" s="11">
        <v>0</v>
      </c>
      <c r="P647" s="26"/>
      <c r="Q647" s="26"/>
      <c r="R647" s="26"/>
      <c r="S647" s="26"/>
      <c r="T647" s="26"/>
      <c r="U647" s="26"/>
      <c r="V647" s="26"/>
      <c r="W647" s="26">
        <v>0</v>
      </c>
      <c r="X647" s="26">
        <v>0</v>
      </c>
      <c r="Y647" s="26">
        <v>0</v>
      </c>
      <c r="Z647" s="26">
        <v>0</v>
      </c>
    </row>
    <row r="648" spans="1:26" x14ac:dyDescent="0.25">
      <c r="A648" s="11">
        <v>657</v>
      </c>
      <c r="B648">
        <v>4544</v>
      </c>
      <c r="C648" t="s">
        <v>3120</v>
      </c>
      <c r="D648" t="s">
        <v>3121</v>
      </c>
      <c r="E648" t="s">
        <v>2</v>
      </c>
      <c r="G648" t="s">
        <v>3122</v>
      </c>
      <c r="H648">
        <v>2013</v>
      </c>
      <c r="I648" t="s">
        <v>3123</v>
      </c>
      <c r="J648">
        <v>1</v>
      </c>
      <c r="N648" s="11">
        <v>0</v>
      </c>
      <c r="P648" s="26"/>
      <c r="Q648" s="26"/>
      <c r="R648" s="26"/>
      <c r="S648" s="26"/>
      <c r="T648" s="26"/>
      <c r="U648" s="26"/>
      <c r="V648" s="26"/>
      <c r="W648" s="26">
        <v>0</v>
      </c>
      <c r="X648" s="26">
        <v>0</v>
      </c>
      <c r="Y648" s="26">
        <v>0</v>
      </c>
      <c r="Z648" s="26">
        <v>0</v>
      </c>
    </row>
    <row r="649" spans="1:26" x14ac:dyDescent="0.25">
      <c r="A649" s="11">
        <v>658</v>
      </c>
      <c r="B649">
        <v>3505</v>
      </c>
      <c r="C649" t="s">
        <v>2461</v>
      </c>
      <c r="D649" t="s">
        <v>2462</v>
      </c>
      <c r="E649" t="s">
        <v>0</v>
      </c>
      <c r="G649" t="s">
        <v>2463</v>
      </c>
      <c r="H649">
        <v>2013</v>
      </c>
      <c r="I649" t="s">
        <v>2464</v>
      </c>
      <c r="J649">
        <v>1</v>
      </c>
      <c r="N649" s="11">
        <v>0</v>
      </c>
      <c r="P649" s="26"/>
      <c r="Q649" s="26"/>
      <c r="R649" s="26"/>
      <c r="S649" s="26"/>
      <c r="T649" s="26"/>
      <c r="U649" s="26"/>
      <c r="V649" s="26"/>
      <c r="W649" s="26">
        <v>0</v>
      </c>
      <c r="X649" s="26">
        <v>0</v>
      </c>
      <c r="Y649" s="26">
        <v>0</v>
      </c>
      <c r="Z649" s="26">
        <v>0</v>
      </c>
    </row>
    <row r="650" spans="1:26" x14ac:dyDescent="0.25">
      <c r="A650" s="11">
        <v>659</v>
      </c>
      <c r="B650">
        <v>3179</v>
      </c>
      <c r="C650" t="s">
        <v>1488</v>
      </c>
      <c r="D650" s="26" t="s">
        <v>1489</v>
      </c>
      <c r="E650" t="s">
        <v>2</v>
      </c>
      <c r="G650" t="s">
        <v>1490</v>
      </c>
      <c r="H650">
        <v>2015</v>
      </c>
      <c r="I650" t="s">
        <v>1491</v>
      </c>
      <c r="J650">
        <v>1</v>
      </c>
      <c r="N650" s="11">
        <v>5</v>
      </c>
      <c r="P650" s="26"/>
      <c r="Q650" s="26"/>
      <c r="R650" s="26"/>
      <c r="S650" s="26"/>
      <c r="T650" s="26"/>
      <c r="U650" s="26"/>
      <c r="V650" s="26"/>
      <c r="W650" s="26">
        <v>0</v>
      </c>
      <c r="X650" s="26">
        <v>0</v>
      </c>
      <c r="Y650" s="26">
        <v>0</v>
      </c>
      <c r="Z650" s="26">
        <v>0</v>
      </c>
    </row>
    <row r="651" spans="1:26" x14ac:dyDescent="0.25">
      <c r="A651" s="11">
        <v>660</v>
      </c>
      <c r="B651">
        <v>6042</v>
      </c>
      <c r="C651" t="s">
        <v>853</v>
      </c>
      <c r="D651" t="s">
        <v>854</v>
      </c>
      <c r="E651" t="s">
        <v>0</v>
      </c>
      <c r="G651" t="s">
        <v>855</v>
      </c>
      <c r="H651">
        <v>2012</v>
      </c>
      <c r="I651" t="s">
        <v>856</v>
      </c>
      <c r="J651">
        <v>1</v>
      </c>
      <c r="N651" s="11">
        <v>0</v>
      </c>
      <c r="P651" s="26"/>
      <c r="Q651" s="26"/>
      <c r="R651" s="26"/>
      <c r="S651" s="26"/>
      <c r="T651" s="26"/>
      <c r="U651" s="26"/>
      <c r="V651" s="26"/>
      <c r="W651" s="26">
        <v>0</v>
      </c>
      <c r="X651" s="26">
        <v>0</v>
      </c>
      <c r="Y651" s="26">
        <v>0</v>
      </c>
      <c r="Z651" s="26">
        <v>0</v>
      </c>
    </row>
    <row r="652" spans="1:26" x14ac:dyDescent="0.25">
      <c r="A652" s="11">
        <v>661</v>
      </c>
      <c r="B652">
        <v>5699</v>
      </c>
      <c r="C652" t="s">
        <v>857</v>
      </c>
      <c r="D652" s="8" t="s">
        <v>858</v>
      </c>
      <c r="E652" t="s">
        <v>0</v>
      </c>
      <c r="G652" t="s">
        <v>859</v>
      </c>
      <c r="H652">
        <v>2016</v>
      </c>
      <c r="I652" t="s">
        <v>860</v>
      </c>
      <c r="J652">
        <v>1</v>
      </c>
      <c r="N652" s="11">
        <v>0</v>
      </c>
      <c r="P652" s="26"/>
      <c r="Q652" s="26"/>
      <c r="R652" s="26"/>
      <c r="S652" s="26"/>
      <c r="T652" s="26"/>
      <c r="U652" s="26"/>
      <c r="V652" s="26"/>
      <c r="W652" s="26">
        <v>0</v>
      </c>
      <c r="X652" s="26">
        <v>0</v>
      </c>
      <c r="Y652" s="26">
        <v>0</v>
      </c>
      <c r="Z652" s="26">
        <v>0</v>
      </c>
    </row>
    <row r="653" spans="1:26" x14ac:dyDescent="0.25">
      <c r="A653" s="11">
        <v>662</v>
      </c>
      <c r="B653">
        <v>5654</v>
      </c>
      <c r="C653" t="s">
        <v>861</v>
      </c>
      <c r="D653" s="8" t="s">
        <v>862</v>
      </c>
      <c r="E653" t="s">
        <v>0</v>
      </c>
      <c r="G653" t="s">
        <v>863</v>
      </c>
      <c r="H653">
        <v>2015</v>
      </c>
      <c r="I653" t="s">
        <v>864</v>
      </c>
      <c r="J653">
        <v>1</v>
      </c>
      <c r="N653" s="11">
        <v>0</v>
      </c>
      <c r="P653" s="26"/>
      <c r="Q653" s="26"/>
      <c r="R653" s="26"/>
      <c r="S653" s="26"/>
      <c r="T653" s="26"/>
      <c r="U653" s="26"/>
      <c r="V653" s="26"/>
      <c r="W653" s="26">
        <v>0</v>
      </c>
      <c r="X653" s="26">
        <v>0</v>
      </c>
      <c r="Y653" s="26">
        <v>0</v>
      </c>
      <c r="Z653" s="26">
        <v>0</v>
      </c>
    </row>
    <row r="654" spans="1:26" x14ac:dyDescent="0.25">
      <c r="A654" s="11">
        <v>663</v>
      </c>
      <c r="B654">
        <v>2509</v>
      </c>
      <c r="C654" t="s">
        <v>2194</v>
      </c>
      <c r="D654" s="8" t="s">
        <v>2195</v>
      </c>
      <c r="E654" t="s">
        <v>0</v>
      </c>
      <c r="G654" t="s">
        <v>2196</v>
      </c>
      <c r="H654">
        <v>2019</v>
      </c>
      <c r="I654" t="s">
        <v>2197</v>
      </c>
      <c r="J654">
        <v>1</v>
      </c>
      <c r="N654" s="11">
        <v>0</v>
      </c>
      <c r="P654" s="26"/>
      <c r="Q654" s="26"/>
      <c r="R654" s="26"/>
      <c r="S654" s="26"/>
      <c r="T654" s="26"/>
      <c r="U654" s="26"/>
      <c r="V654" s="26"/>
      <c r="W654" s="26">
        <v>0</v>
      </c>
      <c r="X654" s="26">
        <v>0</v>
      </c>
      <c r="Y654" s="26">
        <v>0</v>
      </c>
      <c r="Z654" s="26">
        <v>0</v>
      </c>
    </row>
    <row r="655" spans="1:26" x14ac:dyDescent="0.25">
      <c r="A655" s="11">
        <v>664</v>
      </c>
      <c r="B655">
        <v>4328</v>
      </c>
      <c r="C655" t="s">
        <v>2923</v>
      </c>
      <c r="D655" t="s">
        <v>1435</v>
      </c>
      <c r="E655" t="s">
        <v>3</v>
      </c>
      <c r="G655" t="s">
        <v>2924</v>
      </c>
      <c r="H655">
        <v>2015</v>
      </c>
      <c r="I655" t="s">
        <v>2925</v>
      </c>
      <c r="J655">
        <v>1</v>
      </c>
      <c r="N655" s="11">
        <v>0</v>
      </c>
      <c r="P655" s="26"/>
      <c r="Q655" s="26"/>
      <c r="R655" s="26"/>
      <c r="S655" s="26"/>
      <c r="T655" s="26"/>
      <c r="U655" s="26"/>
      <c r="V655" s="26"/>
      <c r="W655" s="26">
        <v>0</v>
      </c>
      <c r="X655" s="26">
        <v>0</v>
      </c>
      <c r="Y655" s="26">
        <v>0</v>
      </c>
      <c r="Z655" s="26">
        <v>0</v>
      </c>
    </row>
    <row r="656" spans="1:26" x14ac:dyDescent="0.25">
      <c r="A656" s="11">
        <v>665</v>
      </c>
      <c r="B656">
        <v>3531</v>
      </c>
      <c r="C656" t="s">
        <v>1927</v>
      </c>
      <c r="D656" t="s">
        <v>865</v>
      </c>
      <c r="E656" t="s">
        <v>0</v>
      </c>
      <c r="G656" t="s">
        <v>1928</v>
      </c>
      <c r="H656">
        <v>2013</v>
      </c>
      <c r="I656" t="s">
        <v>1929</v>
      </c>
      <c r="J656">
        <v>1</v>
      </c>
      <c r="N656" s="11">
        <v>0</v>
      </c>
      <c r="P656" s="26"/>
      <c r="Q656" s="26"/>
      <c r="R656" s="26"/>
      <c r="S656" s="26"/>
      <c r="T656" s="26"/>
      <c r="U656" s="26"/>
      <c r="V656" s="26"/>
      <c r="W656" s="26">
        <v>0</v>
      </c>
      <c r="X656" s="26">
        <v>0</v>
      </c>
      <c r="Y656" s="26">
        <v>0</v>
      </c>
      <c r="Z656" s="26">
        <v>0</v>
      </c>
    </row>
    <row r="657" spans="1:28" x14ac:dyDescent="0.25">
      <c r="A657" s="11">
        <v>666</v>
      </c>
      <c r="B657">
        <v>4008</v>
      </c>
      <c r="C657" t="s">
        <v>3061</v>
      </c>
      <c r="D657" t="s">
        <v>3062</v>
      </c>
      <c r="E657" t="s">
        <v>1206</v>
      </c>
      <c r="G657" t="s">
        <v>3063</v>
      </c>
      <c r="H657">
        <v>2017</v>
      </c>
      <c r="I657" t="s">
        <v>3064</v>
      </c>
      <c r="J657">
        <v>1</v>
      </c>
      <c r="N657" s="11">
        <v>0</v>
      </c>
      <c r="P657" s="26"/>
      <c r="Q657" s="26"/>
      <c r="R657" s="26"/>
      <c r="S657" s="26"/>
      <c r="T657" s="26"/>
      <c r="U657" s="26"/>
      <c r="V657" s="26"/>
      <c r="W657" s="26">
        <v>0</v>
      </c>
      <c r="X657" s="26">
        <v>0</v>
      </c>
      <c r="Y657" s="26">
        <v>0</v>
      </c>
      <c r="Z657" s="26">
        <v>0</v>
      </c>
    </row>
    <row r="658" spans="1:28" x14ac:dyDescent="0.25">
      <c r="A658" s="11">
        <v>667</v>
      </c>
      <c r="B658">
        <v>5154</v>
      </c>
      <c r="C658" t="s">
        <v>1039</v>
      </c>
      <c r="D658" s="13" t="s">
        <v>1040</v>
      </c>
      <c r="E658" t="s">
        <v>24</v>
      </c>
      <c r="G658" t="s">
        <v>1041</v>
      </c>
      <c r="H658">
        <v>2017</v>
      </c>
      <c r="I658" t="s">
        <v>1042</v>
      </c>
      <c r="J658">
        <v>1</v>
      </c>
      <c r="N658" s="11">
        <v>1</v>
      </c>
      <c r="P658" s="26"/>
      <c r="Q658" s="26"/>
      <c r="R658" s="26"/>
      <c r="S658" s="26"/>
      <c r="T658" s="26"/>
      <c r="U658" s="26"/>
      <c r="V658" s="26"/>
      <c r="W658" s="26">
        <v>0</v>
      </c>
      <c r="X658" s="26">
        <v>0</v>
      </c>
      <c r="Y658" s="26">
        <v>0</v>
      </c>
      <c r="Z658" s="26">
        <v>0</v>
      </c>
    </row>
    <row r="659" spans="1:28" x14ac:dyDescent="0.25">
      <c r="A659" s="11">
        <v>668</v>
      </c>
      <c r="B659">
        <v>5994</v>
      </c>
      <c r="C659" t="s">
        <v>866</v>
      </c>
      <c r="D659" s="8" t="s">
        <v>867</v>
      </c>
      <c r="E659" t="s">
        <v>0</v>
      </c>
      <c r="G659" t="s">
        <v>868</v>
      </c>
      <c r="H659">
        <v>2012</v>
      </c>
      <c r="I659" t="s">
        <v>869</v>
      </c>
      <c r="J659">
        <v>1</v>
      </c>
      <c r="N659" s="11">
        <v>0</v>
      </c>
      <c r="P659" s="26"/>
      <c r="Q659" s="26"/>
      <c r="R659" s="26"/>
      <c r="S659" s="26"/>
      <c r="T659" s="26"/>
      <c r="U659" s="26"/>
      <c r="V659" s="26"/>
      <c r="W659" s="26">
        <v>0</v>
      </c>
      <c r="X659" s="26">
        <v>0</v>
      </c>
      <c r="Y659" s="26">
        <v>0</v>
      </c>
      <c r="Z659" s="26">
        <v>0</v>
      </c>
    </row>
    <row r="660" spans="1:28" x14ac:dyDescent="0.25">
      <c r="A660" s="11">
        <v>669</v>
      </c>
      <c r="B660">
        <v>6380</v>
      </c>
      <c r="C660" t="s">
        <v>236</v>
      </c>
      <c r="D660" t="s">
        <v>237</v>
      </c>
      <c r="E660" t="s">
        <v>6</v>
      </c>
      <c r="F660" t="s">
        <v>393</v>
      </c>
      <c r="G660" t="s">
        <v>394</v>
      </c>
      <c r="H660">
        <v>2018</v>
      </c>
      <c r="J660">
        <v>1</v>
      </c>
      <c r="N660" s="11">
        <v>0</v>
      </c>
      <c r="P660" s="26"/>
      <c r="Q660" s="26"/>
      <c r="R660" s="26"/>
      <c r="S660" s="26"/>
      <c r="T660" s="26"/>
      <c r="U660" s="26"/>
      <c r="V660" s="26"/>
      <c r="W660" s="26">
        <v>0</v>
      </c>
      <c r="X660" s="26">
        <v>0</v>
      </c>
      <c r="Y660" s="26">
        <v>0</v>
      </c>
      <c r="Z660" s="26">
        <v>0</v>
      </c>
    </row>
    <row r="661" spans="1:28" x14ac:dyDescent="0.25">
      <c r="A661" s="11">
        <v>670</v>
      </c>
      <c r="B661">
        <v>3238</v>
      </c>
      <c r="C661" t="s">
        <v>2118</v>
      </c>
      <c r="D661" s="8" t="s">
        <v>2119</v>
      </c>
      <c r="E661" t="s">
        <v>0</v>
      </c>
      <c r="G661" t="s">
        <v>2120</v>
      </c>
      <c r="H661">
        <v>2015</v>
      </c>
      <c r="I661" t="s">
        <v>2121</v>
      </c>
      <c r="J661">
        <v>1</v>
      </c>
      <c r="N661" s="11">
        <v>0</v>
      </c>
      <c r="P661" s="26"/>
      <c r="Q661" s="26"/>
      <c r="R661" s="26"/>
      <c r="S661" s="26"/>
      <c r="T661" s="26"/>
      <c r="U661" s="26"/>
      <c r="V661" s="26"/>
      <c r="W661" s="26">
        <v>0</v>
      </c>
      <c r="X661" s="26">
        <v>0</v>
      </c>
      <c r="Y661" s="26">
        <v>0</v>
      </c>
      <c r="Z661" s="26">
        <v>0</v>
      </c>
      <c r="AB661" t="s">
        <v>3589</v>
      </c>
    </row>
    <row r="662" spans="1:28" x14ac:dyDescent="0.25">
      <c r="A662" s="11">
        <v>671</v>
      </c>
      <c r="B662">
        <v>3510</v>
      </c>
      <c r="C662" t="s">
        <v>2494</v>
      </c>
      <c r="D662" t="s">
        <v>2495</v>
      </c>
      <c r="E662" t="s">
        <v>0</v>
      </c>
      <c r="G662" t="s">
        <v>2496</v>
      </c>
      <c r="H662">
        <v>2013</v>
      </c>
      <c r="I662" t="s">
        <v>2497</v>
      </c>
      <c r="J662">
        <v>1</v>
      </c>
      <c r="K662">
        <v>1</v>
      </c>
      <c r="N662" s="11">
        <v>0</v>
      </c>
      <c r="P662" s="26"/>
      <c r="Q662" s="26"/>
      <c r="R662" s="26"/>
      <c r="S662" s="26"/>
      <c r="T662" s="26"/>
      <c r="U662" s="26"/>
      <c r="V662" s="26"/>
      <c r="W662" s="26">
        <v>0</v>
      </c>
      <c r="X662" s="26">
        <v>0</v>
      </c>
      <c r="Y662" s="26">
        <v>0</v>
      </c>
      <c r="Z662" s="26">
        <v>0</v>
      </c>
    </row>
    <row r="663" spans="1:28" x14ac:dyDescent="0.25">
      <c r="A663" s="11">
        <v>672</v>
      </c>
      <c r="B663">
        <v>3213</v>
      </c>
      <c r="C663" t="s">
        <v>2431</v>
      </c>
      <c r="D663" t="s">
        <v>2432</v>
      </c>
      <c r="E663" t="s">
        <v>0</v>
      </c>
      <c r="G663" t="s">
        <v>2433</v>
      </c>
      <c r="H663">
        <v>2015</v>
      </c>
      <c r="I663" t="s">
        <v>2434</v>
      </c>
      <c r="J663">
        <v>1</v>
      </c>
      <c r="N663" s="11">
        <v>0</v>
      </c>
      <c r="P663" s="26"/>
      <c r="Q663" s="26"/>
      <c r="R663" s="26"/>
      <c r="S663" s="26"/>
      <c r="T663" s="26"/>
      <c r="U663" s="26"/>
      <c r="V663" s="26"/>
      <c r="W663" s="26">
        <v>0</v>
      </c>
      <c r="X663" s="26">
        <v>0</v>
      </c>
      <c r="Y663" s="26">
        <v>0</v>
      </c>
      <c r="Z663" s="26">
        <v>0</v>
      </c>
    </row>
    <row r="664" spans="1:28" x14ac:dyDescent="0.25">
      <c r="A664" s="11">
        <v>673</v>
      </c>
      <c r="B664">
        <v>3659</v>
      </c>
      <c r="C664" t="s">
        <v>1857</v>
      </c>
      <c r="D664" t="s">
        <v>1858</v>
      </c>
      <c r="E664" t="s">
        <v>1859</v>
      </c>
      <c r="G664" t="s">
        <v>1860</v>
      </c>
      <c r="H664">
        <v>2012</v>
      </c>
      <c r="I664" t="s">
        <v>1861</v>
      </c>
      <c r="J664">
        <v>1</v>
      </c>
      <c r="N664" s="11">
        <v>0</v>
      </c>
      <c r="P664" s="26"/>
      <c r="Q664" s="26"/>
      <c r="R664" s="26"/>
      <c r="S664" s="26"/>
      <c r="T664" s="26"/>
      <c r="U664" s="26"/>
      <c r="V664" s="26"/>
      <c r="W664" s="26">
        <v>0</v>
      </c>
      <c r="X664" s="26">
        <v>0</v>
      </c>
      <c r="Y664" s="26">
        <v>0</v>
      </c>
      <c r="Z664" s="26">
        <v>0</v>
      </c>
    </row>
    <row r="665" spans="1:28" x14ac:dyDescent="0.25">
      <c r="A665" s="11">
        <v>674</v>
      </c>
      <c r="B665">
        <v>3263</v>
      </c>
      <c r="C665" t="s">
        <v>870</v>
      </c>
      <c r="D665" s="8" t="s">
        <v>2435</v>
      </c>
      <c r="E665" t="s">
        <v>0</v>
      </c>
      <c r="G665" t="s">
        <v>2436</v>
      </c>
      <c r="H665">
        <v>2015</v>
      </c>
      <c r="I665" t="s">
        <v>2437</v>
      </c>
      <c r="J665">
        <v>1</v>
      </c>
      <c r="N665" s="11">
        <v>0</v>
      </c>
      <c r="P665" s="26"/>
      <c r="Q665" s="26"/>
      <c r="R665" s="26"/>
      <c r="S665" s="26"/>
      <c r="T665" s="26"/>
      <c r="U665" s="26"/>
      <c r="V665" s="26"/>
      <c r="W665" s="26">
        <v>0</v>
      </c>
      <c r="X665" s="26">
        <v>0</v>
      </c>
      <c r="Y665" s="26">
        <v>0</v>
      </c>
      <c r="Z665" s="26">
        <v>0</v>
      </c>
    </row>
    <row r="666" spans="1:28" x14ac:dyDescent="0.25">
      <c r="A666" s="11">
        <v>675</v>
      </c>
      <c r="B666">
        <v>3489</v>
      </c>
      <c r="C666" t="s">
        <v>1930</v>
      </c>
      <c r="D666" s="13" t="s">
        <v>1931</v>
      </c>
      <c r="E666" t="s">
        <v>0</v>
      </c>
      <c r="G666" t="s">
        <v>1932</v>
      </c>
      <c r="H666">
        <v>2013</v>
      </c>
      <c r="I666" t="s">
        <v>1933</v>
      </c>
      <c r="J666">
        <v>1</v>
      </c>
      <c r="N666" s="11">
        <v>1</v>
      </c>
      <c r="P666" s="26"/>
      <c r="Q666" s="26"/>
      <c r="R666" s="26"/>
      <c r="S666" s="26"/>
      <c r="T666" s="26"/>
      <c r="U666" s="26"/>
      <c r="V666" s="26"/>
      <c r="W666" s="26">
        <v>0</v>
      </c>
      <c r="X666" s="26">
        <v>0</v>
      </c>
      <c r="Y666" s="26">
        <v>0</v>
      </c>
      <c r="Z666" s="26">
        <v>0</v>
      </c>
    </row>
    <row r="667" spans="1:28" x14ac:dyDescent="0.25">
      <c r="A667" s="11">
        <v>677</v>
      </c>
      <c r="B667">
        <v>3843</v>
      </c>
      <c r="C667" t="s">
        <v>2960</v>
      </c>
      <c r="D667" s="13" t="s">
        <v>2961</v>
      </c>
      <c r="E667" t="s">
        <v>2130</v>
      </c>
      <c r="G667" t="s">
        <v>2962</v>
      </c>
      <c r="H667">
        <v>2018</v>
      </c>
      <c r="I667" t="s">
        <v>2963</v>
      </c>
      <c r="J667">
        <v>1</v>
      </c>
      <c r="N667" s="11">
        <v>1</v>
      </c>
      <c r="P667" s="26"/>
      <c r="Q667" s="26"/>
      <c r="R667" s="26"/>
      <c r="S667" s="26"/>
      <c r="T667" s="26"/>
      <c r="U667" s="26"/>
      <c r="V667" s="26"/>
      <c r="W667" s="26">
        <v>0</v>
      </c>
      <c r="X667" s="26">
        <v>0</v>
      </c>
      <c r="Y667" s="26">
        <v>0</v>
      </c>
      <c r="Z667" s="26">
        <v>0</v>
      </c>
    </row>
    <row r="668" spans="1:28" x14ac:dyDescent="0.25">
      <c r="A668" s="11">
        <v>678</v>
      </c>
      <c r="B668">
        <v>6428</v>
      </c>
      <c r="C668" t="s">
        <v>238</v>
      </c>
      <c r="D668" s="13" t="s">
        <v>239</v>
      </c>
      <c r="E668" t="s">
        <v>6</v>
      </c>
      <c r="F668" t="s">
        <v>395</v>
      </c>
      <c r="G668" t="s">
        <v>396</v>
      </c>
      <c r="H668">
        <v>2018</v>
      </c>
      <c r="J668">
        <v>1</v>
      </c>
      <c r="N668" s="11">
        <v>0</v>
      </c>
      <c r="P668" s="26"/>
      <c r="Q668" s="26"/>
      <c r="R668" s="26"/>
      <c r="S668" s="26"/>
      <c r="T668" s="26"/>
      <c r="U668" s="26"/>
      <c r="V668" s="26"/>
      <c r="W668" s="26">
        <v>0</v>
      </c>
      <c r="X668" s="26">
        <v>0</v>
      </c>
      <c r="Y668" s="26">
        <v>0</v>
      </c>
      <c r="Z668" s="26">
        <v>0</v>
      </c>
    </row>
    <row r="669" spans="1:28" x14ac:dyDescent="0.25">
      <c r="A669" s="11">
        <v>679</v>
      </c>
      <c r="B669" s="26">
        <v>2770</v>
      </c>
      <c r="C669" s="26" t="s">
        <v>1774</v>
      </c>
      <c r="D669" s="26" t="s">
        <v>1775</v>
      </c>
      <c r="E669" s="26" t="s">
        <v>5</v>
      </c>
      <c r="F669" s="26"/>
      <c r="G669" s="26" t="s">
        <v>1776</v>
      </c>
      <c r="H669" s="26">
        <v>2018</v>
      </c>
      <c r="I669" s="26" t="s">
        <v>1777</v>
      </c>
      <c r="J669" s="26">
        <v>1</v>
      </c>
      <c r="K669" s="26"/>
      <c r="L669" s="26"/>
      <c r="M669" s="26"/>
      <c r="N669" s="26">
        <v>0</v>
      </c>
      <c r="P669" s="26"/>
      <c r="Q669" s="26"/>
      <c r="R669" s="26"/>
      <c r="S669" s="26"/>
      <c r="T669" s="26"/>
      <c r="U669" s="26"/>
      <c r="V669" s="26"/>
      <c r="W669" s="26">
        <v>0</v>
      </c>
      <c r="X669" s="26">
        <v>0</v>
      </c>
      <c r="Y669" s="26">
        <v>0</v>
      </c>
      <c r="Z669" s="26">
        <v>0</v>
      </c>
      <c r="AA669" s="26"/>
      <c r="AB669" s="26"/>
    </row>
    <row r="670" spans="1:28" x14ac:dyDescent="0.25">
      <c r="A670" s="11">
        <v>680</v>
      </c>
      <c r="B670">
        <v>3640</v>
      </c>
      <c r="C670" t="s">
        <v>1762</v>
      </c>
      <c r="D670" s="8" t="s">
        <v>1763</v>
      </c>
      <c r="E670" t="s">
        <v>0</v>
      </c>
      <c r="G670" t="s">
        <v>1764</v>
      </c>
      <c r="H670">
        <v>2012</v>
      </c>
      <c r="I670" t="s">
        <v>1765</v>
      </c>
      <c r="J670">
        <v>1</v>
      </c>
      <c r="N670" s="11">
        <v>0</v>
      </c>
      <c r="P670" s="26"/>
      <c r="Q670" s="26"/>
      <c r="R670" s="26"/>
      <c r="S670" s="26"/>
      <c r="T670" s="26"/>
      <c r="U670" s="26"/>
      <c r="V670" s="26"/>
      <c r="W670" s="26">
        <v>0</v>
      </c>
      <c r="X670" s="26">
        <v>0</v>
      </c>
      <c r="Y670" s="26">
        <v>0</v>
      </c>
      <c r="Z670" s="26">
        <v>0</v>
      </c>
    </row>
    <row r="671" spans="1:28" x14ac:dyDescent="0.25">
      <c r="A671" s="11">
        <v>681</v>
      </c>
      <c r="B671">
        <v>3393</v>
      </c>
      <c r="C671" t="s">
        <v>1648</v>
      </c>
      <c r="D671" t="s">
        <v>1649</v>
      </c>
      <c r="E671" t="s">
        <v>0</v>
      </c>
      <c r="G671" t="s">
        <v>1650</v>
      </c>
      <c r="H671">
        <v>2014</v>
      </c>
      <c r="I671" t="s">
        <v>1651</v>
      </c>
      <c r="J671">
        <v>1</v>
      </c>
      <c r="N671" s="11">
        <v>0</v>
      </c>
      <c r="P671" s="26"/>
      <c r="Q671" s="26"/>
      <c r="R671" s="26"/>
      <c r="S671" s="26"/>
      <c r="T671" s="26"/>
      <c r="U671" s="26"/>
      <c r="V671" s="26"/>
      <c r="W671" s="26">
        <v>0</v>
      </c>
      <c r="X671" s="26">
        <v>0</v>
      </c>
      <c r="Y671" s="26">
        <v>0</v>
      </c>
      <c r="Z671" s="26">
        <v>0</v>
      </c>
    </row>
    <row r="672" spans="1:28" x14ac:dyDescent="0.25">
      <c r="A672" s="11">
        <v>682</v>
      </c>
      <c r="B672">
        <v>2607</v>
      </c>
      <c r="C672" t="s">
        <v>2266</v>
      </c>
      <c r="D672" s="8" t="s">
        <v>2696</v>
      </c>
      <c r="E672" t="s">
        <v>1258</v>
      </c>
      <c r="G672" t="s">
        <v>2697</v>
      </c>
      <c r="H672">
        <v>2018</v>
      </c>
      <c r="I672" t="s">
        <v>2698</v>
      </c>
      <c r="J672">
        <v>1</v>
      </c>
      <c r="K672">
        <v>1</v>
      </c>
      <c r="L672">
        <v>1</v>
      </c>
      <c r="N672" s="11">
        <v>0</v>
      </c>
      <c r="P672" s="26"/>
      <c r="Q672" s="26"/>
      <c r="R672" s="26"/>
      <c r="S672" s="26"/>
      <c r="T672" s="26"/>
      <c r="U672" s="26"/>
      <c r="V672" s="26"/>
      <c r="W672" s="26">
        <v>0</v>
      </c>
      <c r="X672" s="26">
        <v>0</v>
      </c>
      <c r="Y672" s="26">
        <v>0</v>
      </c>
      <c r="Z672" s="26">
        <v>0</v>
      </c>
    </row>
    <row r="673" spans="1:26" x14ac:dyDescent="0.25">
      <c r="A673" s="11">
        <v>683</v>
      </c>
      <c r="B673">
        <v>2529</v>
      </c>
      <c r="C673" t="s">
        <v>2266</v>
      </c>
      <c r="D673" s="8" t="s">
        <v>2267</v>
      </c>
      <c r="E673" t="s">
        <v>1258</v>
      </c>
      <c r="G673" t="s">
        <v>2268</v>
      </c>
      <c r="H673">
        <v>2019</v>
      </c>
      <c r="I673" t="s">
        <v>2269</v>
      </c>
      <c r="J673">
        <v>1</v>
      </c>
      <c r="K673">
        <v>1</v>
      </c>
      <c r="N673" s="11">
        <v>0</v>
      </c>
      <c r="P673" s="26"/>
      <c r="Q673" s="26"/>
      <c r="R673" s="26"/>
      <c r="S673" s="26"/>
      <c r="T673" s="26"/>
      <c r="U673" s="26"/>
      <c r="V673" s="26"/>
      <c r="W673" s="26">
        <v>0</v>
      </c>
      <c r="X673" s="26">
        <v>0</v>
      </c>
      <c r="Y673" s="26">
        <v>0</v>
      </c>
      <c r="Z673" s="26">
        <v>0</v>
      </c>
    </row>
    <row r="674" spans="1:26" x14ac:dyDescent="0.25">
      <c r="A674" s="11">
        <v>684</v>
      </c>
      <c r="B674">
        <v>5776</v>
      </c>
      <c r="C674" t="s">
        <v>878</v>
      </c>
      <c r="D674" t="s">
        <v>879</v>
      </c>
      <c r="E674" t="s">
        <v>0</v>
      </c>
      <c r="G674" t="s">
        <v>880</v>
      </c>
      <c r="H674">
        <v>2016</v>
      </c>
      <c r="I674" t="s">
        <v>881</v>
      </c>
      <c r="J674">
        <v>1</v>
      </c>
      <c r="N674" s="11">
        <v>0</v>
      </c>
      <c r="P674" s="26"/>
      <c r="Q674" s="26"/>
      <c r="R674" s="26"/>
      <c r="S674" s="26"/>
      <c r="T674" s="26"/>
      <c r="U674" s="26"/>
      <c r="V674" s="26"/>
      <c r="W674" s="26">
        <v>0</v>
      </c>
      <c r="X674" s="26">
        <v>0</v>
      </c>
      <c r="Y674" s="26">
        <v>0</v>
      </c>
      <c r="Z674" s="26">
        <v>0</v>
      </c>
    </row>
    <row r="675" spans="1:26" x14ac:dyDescent="0.25">
      <c r="A675" s="11">
        <v>685</v>
      </c>
      <c r="B675">
        <v>4369</v>
      </c>
      <c r="C675" t="s">
        <v>3053</v>
      </c>
      <c r="D675" t="s">
        <v>3054</v>
      </c>
      <c r="E675" t="s">
        <v>3</v>
      </c>
      <c r="G675" t="s">
        <v>3055</v>
      </c>
      <c r="H675">
        <v>2015</v>
      </c>
      <c r="I675" t="s">
        <v>3056</v>
      </c>
      <c r="J675">
        <v>1</v>
      </c>
      <c r="N675" s="11">
        <v>0</v>
      </c>
      <c r="P675" s="26"/>
      <c r="Q675" s="26"/>
      <c r="R675" s="26"/>
      <c r="S675" s="26"/>
      <c r="T675" s="26"/>
      <c r="U675" s="26"/>
      <c r="V675" s="26"/>
      <c r="W675" s="26">
        <v>0</v>
      </c>
      <c r="X675" s="26">
        <v>0</v>
      </c>
      <c r="Y675" s="26">
        <v>0</v>
      </c>
      <c r="Z675" s="26">
        <v>0</v>
      </c>
    </row>
    <row r="676" spans="1:26" x14ac:dyDescent="0.25">
      <c r="A676" s="11">
        <v>686</v>
      </c>
      <c r="B676">
        <v>3270</v>
      </c>
      <c r="C676" t="s">
        <v>1862</v>
      </c>
      <c r="D676" s="8" t="s">
        <v>882</v>
      </c>
      <c r="E676" t="s">
        <v>0</v>
      </c>
      <c r="G676" t="s">
        <v>1863</v>
      </c>
      <c r="H676">
        <v>2015</v>
      </c>
      <c r="I676" t="s">
        <v>1864</v>
      </c>
      <c r="J676">
        <v>1</v>
      </c>
      <c r="N676" s="11">
        <v>0</v>
      </c>
      <c r="P676" s="26"/>
      <c r="Q676" s="26"/>
      <c r="R676" s="26"/>
      <c r="S676" s="26"/>
      <c r="T676" s="26"/>
      <c r="U676" s="26"/>
      <c r="V676" s="26"/>
      <c r="W676" s="26">
        <v>0</v>
      </c>
      <c r="X676" s="26">
        <v>0</v>
      </c>
      <c r="Y676" s="26">
        <v>0</v>
      </c>
      <c r="Z676" s="26">
        <v>0</v>
      </c>
    </row>
    <row r="677" spans="1:26" x14ac:dyDescent="0.25">
      <c r="A677" s="11">
        <v>687</v>
      </c>
      <c r="B677">
        <v>3299</v>
      </c>
      <c r="C677" t="s">
        <v>1938</v>
      </c>
      <c r="D677" s="8" t="s">
        <v>1939</v>
      </c>
      <c r="E677" t="s">
        <v>0</v>
      </c>
      <c r="G677" t="s">
        <v>1940</v>
      </c>
      <c r="H677">
        <v>2015</v>
      </c>
      <c r="I677" t="s">
        <v>1941</v>
      </c>
      <c r="J677">
        <v>1</v>
      </c>
      <c r="N677" s="11">
        <v>0</v>
      </c>
      <c r="P677" s="26"/>
      <c r="Q677" s="26"/>
      <c r="R677" s="26"/>
      <c r="S677" s="26"/>
      <c r="T677" s="26"/>
      <c r="U677" s="26"/>
      <c r="V677" s="26"/>
      <c r="W677" s="26">
        <v>0</v>
      </c>
      <c r="X677" s="26">
        <v>0</v>
      </c>
      <c r="Y677" s="26">
        <v>0</v>
      </c>
      <c r="Z677" s="26">
        <v>0</v>
      </c>
    </row>
    <row r="678" spans="1:26" x14ac:dyDescent="0.25">
      <c r="A678" s="11">
        <v>688</v>
      </c>
      <c r="B678">
        <v>6417</v>
      </c>
      <c r="C678" t="s">
        <v>240</v>
      </c>
      <c r="D678" s="8" t="s">
        <v>241</v>
      </c>
      <c r="E678" t="s">
        <v>6</v>
      </c>
      <c r="F678" t="s">
        <v>397</v>
      </c>
      <c r="G678" t="s">
        <v>398</v>
      </c>
      <c r="H678">
        <v>2016</v>
      </c>
      <c r="J678">
        <v>1</v>
      </c>
      <c r="N678" s="11">
        <v>0</v>
      </c>
      <c r="P678" s="26"/>
      <c r="Q678" s="26"/>
      <c r="R678" s="26"/>
      <c r="S678" s="26"/>
      <c r="T678" s="26"/>
      <c r="U678" s="26"/>
      <c r="V678" s="26"/>
      <c r="W678" s="26">
        <v>0</v>
      </c>
      <c r="X678" s="26">
        <v>0</v>
      </c>
      <c r="Y678" s="26">
        <v>0</v>
      </c>
      <c r="Z678" s="26">
        <v>0</v>
      </c>
    </row>
    <row r="679" spans="1:26" x14ac:dyDescent="0.25">
      <c r="A679" s="11">
        <v>689</v>
      </c>
      <c r="B679">
        <v>3024</v>
      </c>
      <c r="C679" t="s">
        <v>1801</v>
      </c>
      <c r="D679" s="13" t="s">
        <v>1802</v>
      </c>
      <c r="E679" t="s">
        <v>1193</v>
      </c>
      <c r="G679" t="s">
        <v>1803</v>
      </c>
      <c r="H679">
        <v>2016</v>
      </c>
      <c r="I679" t="s">
        <v>1804</v>
      </c>
      <c r="J679">
        <v>1</v>
      </c>
      <c r="K679">
        <v>1</v>
      </c>
      <c r="N679" s="11">
        <v>1</v>
      </c>
      <c r="P679" s="26"/>
      <c r="Q679" s="26"/>
      <c r="R679" s="26"/>
      <c r="S679" s="26"/>
      <c r="T679" s="26"/>
      <c r="U679" s="26"/>
      <c r="V679" s="26"/>
      <c r="W679" s="26">
        <v>0</v>
      </c>
      <c r="X679" s="26">
        <v>0</v>
      </c>
      <c r="Y679" s="26">
        <v>0</v>
      </c>
      <c r="Z679" s="26">
        <v>0</v>
      </c>
    </row>
    <row r="680" spans="1:26" x14ac:dyDescent="0.25">
      <c r="A680" s="11">
        <v>690</v>
      </c>
      <c r="B680">
        <v>3481</v>
      </c>
      <c r="C680" t="s">
        <v>2477</v>
      </c>
      <c r="D680" t="s">
        <v>2478</v>
      </c>
      <c r="E680" t="s">
        <v>0</v>
      </c>
      <c r="G680" t="s">
        <v>2479</v>
      </c>
      <c r="H680">
        <v>2014</v>
      </c>
      <c r="I680" t="s">
        <v>2480</v>
      </c>
      <c r="J680">
        <v>1</v>
      </c>
      <c r="N680" s="11">
        <v>0</v>
      </c>
      <c r="P680" s="26"/>
      <c r="Q680" s="26"/>
      <c r="R680" s="26"/>
      <c r="S680" s="26"/>
      <c r="T680" s="26"/>
      <c r="U680" s="26"/>
      <c r="V680" s="26"/>
      <c r="W680" s="26">
        <v>0</v>
      </c>
      <c r="X680" s="26">
        <v>0</v>
      </c>
      <c r="Y680" s="26">
        <v>0</v>
      </c>
      <c r="Z680" s="26">
        <v>0</v>
      </c>
    </row>
    <row r="681" spans="1:26" x14ac:dyDescent="0.25">
      <c r="A681" s="11">
        <v>691</v>
      </c>
      <c r="B681">
        <v>3366</v>
      </c>
      <c r="C681" t="s">
        <v>1450</v>
      </c>
      <c r="D681" s="13" t="s">
        <v>163</v>
      </c>
      <c r="E681" t="s">
        <v>0</v>
      </c>
      <c r="G681" t="s">
        <v>1451</v>
      </c>
      <c r="H681">
        <v>2014</v>
      </c>
      <c r="I681" t="s">
        <v>1452</v>
      </c>
      <c r="J681">
        <v>1</v>
      </c>
      <c r="N681" s="11">
        <v>1</v>
      </c>
      <c r="P681" s="26"/>
      <c r="Q681" s="26"/>
      <c r="R681" s="26"/>
      <c r="S681" s="26"/>
      <c r="T681" s="26"/>
      <c r="U681" s="26"/>
      <c r="V681" s="26"/>
      <c r="W681" s="26">
        <v>0</v>
      </c>
      <c r="X681" s="26">
        <v>0</v>
      </c>
      <c r="Y681" s="26">
        <v>0</v>
      </c>
      <c r="Z681" s="26">
        <v>0</v>
      </c>
    </row>
    <row r="682" spans="1:26" x14ac:dyDescent="0.25">
      <c r="A682" s="11">
        <v>692</v>
      </c>
      <c r="B682">
        <v>6222</v>
      </c>
      <c r="C682" t="s">
        <v>192</v>
      </c>
      <c r="D682" s="8" t="s">
        <v>193</v>
      </c>
      <c r="E682" t="s">
        <v>6</v>
      </c>
      <c r="F682" t="s">
        <v>353</v>
      </c>
      <c r="G682" t="s">
        <v>354</v>
      </c>
      <c r="H682">
        <v>2016</v>
      </c>
      <c r="I682" t="s">
        <v>280</v>
      </c>
      <c r="J682">
        <v>1</v>
      </c>
      <c r="N682" s="11">
        <v>1</v>
      </c>
      <c r="P682" s="26"/>
      <c r="Q682" s="26"/>
      <c r="R682" s="26"/>
      <c r="S682" s="26"/>
      <c r="T682" s="26"/>
      <c r="U682" s="26"/>
      <c r="V682" s="26"/>
      <c r="W682" s="26">
        <v>0</v>
      </c>
      <c r="X682" s="26">
        <v>0</v>
      </c>
      <c r="Y682" s="26">
        <v>0</v>
      </c>
      <c r="Z682" s="26">
        <v>0</v>
      </c>
    </row>
    <row r="683" spans="1:26" x14ac:dyDescent="0.25">
      <c r="A683" s="11">
        <v>693</v>
      </c>
      <c r="B683">
        <v>2644</v>
      </c>
      <c r="C683" t="s">
        <v>1311</v>
      </c>
      <c r="D683" s="26" t="s">
        <v>1312</v>
      </c>
      <c r="E683" t="s">
        <v>22</v>
      </c>
      <c r="G683" t="s">
        <v>1313</v>
      </c>
      <c r="H683">
        <v>2018</v>
      </c>
      <c r="I683" t="s">
        <v>1314</v>
      </c>
      <c r="J683">
        <v>1</v>
      </c>
      <c r="N683" s="11">
        <v>0</v>
      </c>
      <c r="P683" s="26"/>
      <c r="Q683" s="26"/>
      <c r="R683" s="26"/>
      <c r="S683" s="26"/>
      <c r="T683" s="26"/>
      <c r="U683" s="26"/>
      <c r="V683" s="26"/>
      <c r="W683" s="26">
        <v>0</v>
      </c>
      <c r="X683" s="26">
        <v>0</v>
      </c>
      <c r="Y683" s="26">
        <v>0</v>
      </c>
      <c r="Z683" s="26">
        <v>0</v>
      </c>
    </row>
    <row r="684" spans="1:26" x14ac:dyDescent="0.25">
      <c r="A684" s="11">
        <v>694</v>
      </c>
      <c r="B684">
        <v>2685</v>
      </c>
      <c r="C684" t="s">
        <v>1996</v>
      </c>
      <c r="D684" s="49" t="s">
        <v>1997</v>
      </c>
      <c r="E684" t="s">
        <v>0</v>
      </c>
      <c r="G684" t="s">
        <v>1998</v>
      </c>
      <c r="H684">
        <v>2018</v>
      </c>
      <c r="I684" t="s">
        <v>1999</v>
      </c>
      <c r="J684">
        <v>1</v>
      </c>
      <c r="N684" s="11">
        <v>0</v>
      </c>
      <c r="P684" s="26"/>
      <c r="Q684" s="26"/>
      <c r="R684" s="26"/>
      <c r="S684" s="26"/>
      <c r="T684" s="26"/>
      <c r="U684" s="26"/>
      <c r="V684" s="26"/>
      <c r="W684" s="26">
        <v>0</v>
      </c>
      <c r="X684" s="26">
        <v>0</v>
      </c>
      <c r="Y684" s="26">
        <v>0</v>
      </c>
      <c r="Z684" s="26">
        <v>0</v>
      </c>
    </row>
    <row r="685" spans="1:26" x14ac:dyDescent="0.25">
      <c r="A685" s="11">
        <v>695</v>
      </c>
      <c r="B685">
        <v>3866</v>
      </c>
      <c r="C685" t="s">
        <v>3050</v>
      </c>
      <c r="D685" s="8" t="s">
        <v>1213</v>
      </c>
      <c r="E685" t="s">
        <v>1212</v>
      </c>
      <c r="G685" t="s">
        <v>3051</v>
      </c>
      <c r="H685">
        <v>2018</v>
      </c>
      <c r="I685" t="s">
        <v>3052</v>
      </c>
      <c r="J685">
        <v>1</v>
      </c>
      <c r="K685">
        <v>-1</v>
      </c>
      <c r="N685" s="11">
        <v>0</v>
      </c>
      <c r="P685" s="26"/>
      <c r="Q685" s="26"/>
      <c r="R685" s="26"/>
      <c r="S685" s="26"/>
      <c r="T685" s="26"/>
      <c r="U685" s="26"/>
      <c r="V685" s="26"/>
      <c r="W685" s="26">
        <v>0</v>
      </c>
      <c r="X685" s="26">
        <v>0</v>
      </c>
      <c r="Y685" s="26">
        <v>0</v>
      </c>
      <c r="Z685" s="26">
        <v>0</v>
      </c>
    </row>
    <row r="686" spans="1:26" x14ac:dyDescent="0.25">
      <c r="A686" s="11">
        <v>696</v>
      </c>
      <c r="B686">
        <v>2677</v>
      </c>
      <c r="C686" t="s">
        <v>2062</v>
      </c>
      <c r="D686" s="8" t="s">
        <v>2063</v>
      </c>
      <c r="E686" t="s">
        <v>0</v>
      </c>
      <c r="G686" t="s">
        <v>2064</v>
      </c>
      <c r="H686">
        <v>2018</v>
      </c>
      <c r="I686" t="s">
        <v>2065</v>
      </c>
      <c r="J686">
        <v>1</v>
      </c>
      <c r="N686" s="11">
        <v>0</v>
      </c>
      <c r="P686" s="26"/>
      <c r="Q686" s="26"/>
      <c r="R686" s="26"/>
      <c r="S686" s="26"/>
      <c r="T686" s="26"/>
      <c r="U686" s="26"/>
      <c r="V686" s="26"/>
      <c r="W686" s="26">
        <v>0</v>
      </c>
      <c r="X686" s="26">
        <v>0</v>
      </c>
      <c r="Y686" s="26">
        <v>0</v>
      </c>
      <c r="Z686" s="26">
        <v>0</v>
      </c>
    </row>
    <row r="687" spans="1:26" x14ac:dyDescent="0.25">
      <c r="A687" s="11">
        <v>697</v>
      </c>
      <c r="B687">
        <v>3302</v>
      </c>
      <c r="C687" t="s">
        <v>1325</v>
      </c>
      <c r="D687" t="s">
        <v>1326</v>
      </c>
      <c r="E687" t="s">
        <v>1327</v>
      </c>
      <c r="G687" t="s">
        <v>1328</v>
      </c>
      <c r="H687">
        <v>2015</v>
      </c>
      <c r="I687" t="s">
        <v>1329</v>
      </c>
      <c r="J687">
        <v>1</v>
      </c>
      <c r="N687" s="11">
        <v>0</v>
      </c>
      <c r="P687" s="26"/>
      <c r="Q687" s="26"/>
      <c r="R687" s="26"/>
      <c r="S687" s="26"/>
      <c r="T687" s="26"/>
      <c r="U687" s="26"/>
      <c r="V687" s="26"/>
      <c r="W687" s="26">
        <v>0</v>
      </c>
      <c r="X687" s="26">
        <v>0</v>
      </c>
      <c r="Y687" s="26">
        <v>0</v>
      </c>
      <c r="Z687" s="26">
        <v>0</v>
      </c>
    </row>
    <row r="688" spans="1:26" x14ac:dyDescent="0.25">
      <c r="A688" s="11">
        <v>698</v>
      </c>
      <c r="B688">
        <v>6078</v>
      </c>
      <c r="C688" t="s">
        <v>887</v>
      </c>
      <c r="D688" t="s">
        <v>888</v>
      </c>
      <c r="E688" t="s">
        <v>0</v>
      </c>
      <c r="G688" t="s">
        <v>889</v>
      </c>
      <c r="H688">
        <v>2012</v>
      </c>
      <c r="I688" t="s">
        <v>890</v>
      </c>
      <c r="J688">
        <v>1</v>
      </c>
      <c r="N688" s="11">
        <v>0</v>
      </c>
      <c r="P688" s="26"/>
      <c r="Q688" s="26"/>
      <c r="R688" s="26"/>
      <c r="S688" s="26"/>
      <c r="T688" s="26"/>
      <c r="U688" s="26"/>
      <c r="V688" s="26"/>
      <c r="W688" s="26">
        <v>0</v>
      </c>
      <c r="X688" s="26">
        <v>0</v>
      </c>
      <c r="Y688" s="26">
        <v>0</v>
      </c>
      <c r="Z688" s="26">
        <v>0</v>
      </c>
    </row>
    <row r="689" spans="1:26" x14ac:dyDescent="0.25">
      <c r="A689" s="11">
        <v>699</v>
      </c>
      <c r="B689">
        <v>2875</v>
      </c>
      <c r="C689" t="s">
        <v>1520</v>
      </c>
      <c r="D689" t="s">
        <v>1521</v>
      </c>
      <c r="E689" t="s">
        <v>1522</v>
      </c>
      <c r="G689" t="s">
        <v>1523</v>
      </c>
      <c r="H689">
        <v>2017</v>
      </c>
      <c r="I689" t="s">
        <v>1524</v>
      </c>
      <c r="J689">
        <v>1</v>
      </c>
      <c r="N689" s="11">
        <v>0</v>
      </c>
      <c r="P689" s="26"/>
      <c r="Q689" s="26"/>
      <c r="R689" s="26"/>
      <c r="S689" s="26"/>
      <c r="T689" s="26"/>
      <c r="U689" s="26"/>
      <c r="V689" s="26"/>
      <c r="W689" s="26">
        <v>0</v>
      </c>
      <c r="X689" s="26">
        <v>0</v>
      </c>
      <c r="Y689" s="26">
        <v>0</v>
      </c>
      <c r="Z689" s="26">
        <v>0</v>
      </c>
    </row>
    <row r="690" spans="1:26" x14ac:dyDescent="0.25">
      <c r="A690" s="11">
        <v>700</v>
      </c>
      <c r="B690">
        <v>2754</v>
      </c>
      <c r="C690" t="s">
        <v>2490</v>
      </c>
      <c r="D690" s="13" t="s">
        <v>2491</v>
      </c>
      <c r="E690" t="s">
        <v>5</v>
      </c>
      <c r="G690" t="s">
        <v>2492</v>
      </c>
      <c r="H690">
        <v>2018</v>
      </c>
      <c r="I690" t="s">
        <v>2493</v>
      </c>
      <c r="J690">
        <v>1</v>
      </c>
      <c r="K690">
        <v>1</v>
      </c>
      <c r="L690">
        <v>1</v>
      </c>
      <c r="M690">
        <v>1</v>
      </c>
      <c r="N690" s="11">
        <v>1</v>
      </c>
      <c r="P690" s="26"/>
      <c r="Q690" s="26"/>
      <c r="R690" s="26"/>
      <c r="S690" s="26"/>
      <c r="T690" s="26"/>
      <c r="U690" s="26"/>
      <c r="V690" s="26"/>
      <c r="W690" s="26">
        <v>0</v>
      </c>
      <c r="X690" s="26">
        <v>0</v>
      </c>
      <c r="Y690" s="26">
        <v>0</v>
      </c>
      <c r="Z690" s="26">
        <v>0</v>
      </c>
    </row>
    <row r="691" spans="1:26" x14ac:dyDescent="0.25">
      <c r="A691" s="11">
        <v>701</v>
      </c>
      <c r="B691">
        <v>3578</v>
      </c>
      <c r="C691" t="s">
        <v>2715</v>
      </c>
      <c r="D691" t="s">
        <v>242</v>
      </c>
      <c r="E691" t="s">
        <v>0</v>
      </c>
      <c r="G691" t="s">
        <v>2716</v>
      </c>
      <c r="H691">
        <v>2013</v>
      </c>
      <c r="I691" t="s">
        <v>2717</v>
      </c>
      <c r="J691">
        <v>1</v>
      </c>
      <c r="N691" s="11">
        <v>0</v>
      </c>
      <c r="P691" s="26"/>
      <c r="Q691" s="26"/>
      <c r="R691" s="26"/>
      <c r="S691" s="26"/>
      <c r="T691" s="26"/>
      <c r="U691" s="26"/>
      <c r="V691" s="26"/>
      <c r="W691" s="26">
        <v>0</v>
      </c>
      <c r="X691" s="26">
        <v>0</v>
      </c>
      <c r="Y691" s="26">
        <v>0</v>
      </c>
      <c r="Z691" s="26">
        <v>0</v>
      </c>
    </row>
    <row r="692" spans="1:26" x14ac:dyDescent="0.25">
      <c r="A692" s="11">
        <v>702</v>
      </c>
      <c r="B692">
        <v>3097</v>
      </c>
      <c r="C692" t="s">
        <v>2235</v>
      </c>
      <c r="D692" s="8" t="s">
        <v>2236</v>
      </c>
      <c r="E692" t="s">
        <v>2237</v>
      </c>
      <c r="G692" t="s">
        <v>2238</v>
      </c>
      <c r="H692">
        <v>2016</v>
      </c>
      <c r="I692" t="s">
        <v>2239</v>
      </c>
      <c r="J692">
        <v>1</v>
      </c>
      <c r="N692" s="11">
        <v>0</v>
      </c>
      <c r="P692" s="26"/>
      <c r="Q692" s="26"/>
      <c r="R692" s="26"/>
      <c r="S692" s="26"/>
      <c r="T692" s="26"/>
      <c r="U692" s="26"/>
      <c r="V692" s="26"/>
      <c r="W692" s="26">
        <v>0</v>
      </c>
      <c r="X692" s="26">
        <v>0</v>
      </c>
      <c r="Y692" s="26">
        <v>0</v>
      </c>
      <c r="Z692" s="26">
        <v>0</v>
      </c>
    </row>
    <row r="693" spans="1:26" x14ac:dyDescent="0.25">
      <c r="A693" s="11">
        <v>703</v>
      </c>
      <c r="B693">
        <v>3410</v>
      </c>
      <c r="C693" t="s">
        <v>2198</v>
      </c>
      <c r="D693" s="8" t="s">
        <v>2199</v>
      </c>
      <c r="E693" t="s">
        <v>0</v>
      </c>
      <c r="G693" t="s">
        <v>2200</v>
      </c>
      <c r="H693">
        <v>2014</v>
      </c>
      <c r="I693" t="s">
        <v>2201</v>
      </c>
      <c r="J693">
        <v>1</v>
      </c>
      <c r="N693" s="11">
        <v>0</v>
      </c>
      <c r="P693" s="26"/>
      <c r="Q693" s="26"/>
      <c r="R693" s="26"/>
      <c r="S693" s="26"/>
      <c r="T693" s="26"/>
      <c r="U693" s="26"/>
      <c r="V693" s="26"/>
      <c r="W693" s="26">
        <v>0</v>
      </c>
      <c r="X693" s="26">
        <v>0</v>
      </c>
      <c r="Y693" s="26">
        <v>0</v>
      </c>
      <c r="Z693" s="26">
        <v>0</v>
      </c>
    </row>
    <row r="694" spans="1:26" x14ac:dyDescent="0.25">
      <c r="A694" s="11">
        <v>704</v>
      </c>
      <c r="B694">
        <v>3344</v>
      </c>
      <c r="C694" t="s">
        <v>2025</v>
      </c>
      <c r="D694" s="8" t="s">
        <v>2026</v>
      </c>
      <c r="E694" t="s">
        <v>0</v>
      </c>
      <c r="G694" t="s">
        <v>2027</v>
      </c>
      <c r="H694">
        <v>2014</v>
      </c>
      <c r="I694" t="s">
        <v>2028</v>
      </c>
      <c r="J694">
        <v>1</v>
      </c>
      <c r="N694" s="11">
        <v>0</v>
      </c>
      <c r="P694" s="26"/>
      <c r="Q694" s="26"/>
      <c r="R694" s="26"/>
      <c r="S694" s="26"/>
      <c r="T694" s="26"/>
      <c r="U694" s="26"/>
      <c r="V694" s="26"/>
      <c r="W694" s="26">
        <v>0</v>
      </c>
      <c r="X694" s="26">
        <v>0</v>
      </c>
      <c r="Y694" s="26">
        <v>0</v>
      </c>
      <c r="Z694" s="26">
        <v>0</v>
      </c>
    </row>
    <row r="695" spans="1:26" x14ac:dyDescent="0.25">
      <c r="A695" s="11">
        <v>705</v>
      </c>
      <c r="B695">
        <v>6263</v>
      </c>
      <c r="C695" t="s">
        <v>243</v>
      </c>
      <c r="D695" t="s">
        <v>244</v>
      </c>
      <c r="E695" t="s">
        <v>6</v>
      </c>
      <c r="F695" t="s">
        <v>399</v>
      </c>
      <c r="G695" t="s">
        <v>400</v>
      </c>
      <c r="H695">
        <v>2016</v>
      </c>
      <c r="J695">
        <v>1</v>
      </c>
      <c r="N695" s="11">
        <v>0</v>
      </c>
      <c r="P695" s="26"/>
      <c r="Q695" s="26"/>
      <c r="R695" s="26"/>
      <c r="S695" s="26"/>
      <c r="T695" s="26"/>
      <c r="U695" s="26"/>
      <c r="V695" s="26"/>
      <c r="W695" s="26">
        <v>0</v>
      </c>
      <c r="X695" s="26">
        <v>0</v>
      </c>
      <c r="Y695" s="26">
        <v>0</v>
      </c>
      <c r="Z695" s="26">
        <v>0</v>
      </c>
    </row>
    <row r="696" spans="1:26" x14ac:dyDescent="0.25">
      <c r="A696" s="11">
        <v>706</v>
      </c>
      <c r="B696">
        <v>3143</v>
      </c>
      <c r="C696" t="s">
        <v>1593</v>
      </c>
      <c r="D696" s="13" t="s">
        <v>1594</v>
      </c>
      <c r="E696" t="s">
        <v>1595</v>
      </c>
      <c r="G696" t="s">
        <v>1596</v>
      </c>
      <c r="H696">
        <v>2015</v>
      </c>
      <c r="I696" t="s">
        <v>1597</v>
      </c>
      <c r="J696">
        <v>1</v>
      </c>
      <c r="N696" s="11">
        <v>1</v>
      </c>
      <c r="P696" s="26"/>
      <c r="Q696" s="26"/>
      <c r="R696" s="26"/>
      <c r="S696" s="26"/>
      <c r="T696" s="26"/>
      <c r="U696" s="26"/>
      <c r="V696" s="26"/>
      <c r="W696" s="26">
        <v>0</v>
      </c>
      <c r="X696" s="26">
        <v>0</v>
      </c>
      <c r="Y696" s="26">
        <v>0</v>
      </c>
      <c r="Z696" s="26">
        <v>0</v>
      </c>
    </row>
    <row r="697" spans="1:26" x14ac:dyDescent="0.25">
      <c r="A697" s="11">
        <v>707</v>
      </c>
      <c r="B697">
        <v>3618</v>
      </c>
      <c r="C697" t="s">
        <v>1889</v>
      </c>
      <c r="D697" s="8" t="s">
        <v>1890</v>
      </c>
      <c r="E697" t="s">
        <v>0</v>
      </c>
      <c r="G697" t="s">
        <v>1891</v>
      </c>
      <c r="H697">
        <v>2013</v>
      </c>
      <c r="I697" t="s">
        <v>1892</v>
      </c>
      <c r="J697">
        <v>1</v>
      </c>
      <c r="N697" s="11">
        <v>0</v>
      </c>
      <c r="P697" s="26"/>
      <c r="Q697" s="26"/>
      <c r="R697" s="26"/>
      <c r="S697" s="26"/>
      <c r="T697" s="26"/>
      <c r="U697" s="26"/>
      <c r="V697" s="26"/>
      <c r="W697" s="26">
        <v>0</v>
      </c>
      <c r="X697" s="26">
        <v>0</v>
      </c>
      <c r="Y697" s="26">
        <v>0</v>
      </c>
      <c r="Z697" s="26">
        <v>0</v>
      </c>
    </row>
    <row r="698" spans="1:26" x14ac:dyDescent="0.25">
      <c r="A698" s="11">
        <v>708</v>
      </c>
      <c r="B698">
        <v>2707</v>
      </c>
      <c r="C698" t="s">
        <v>1778</v>
      </c>
      <c r="D698" s="8" t="s">
        <v>1779</v>
      </c>
      <c r="E698" t="s">
        <v>0</v>
      </c>
      <c r="G698" t="s">
        <v>1780</v>
      </c>
      <c r="H698">
        <v>2018</v>
      </c>
      <c r="I698" t="s">
        <v>1781</v>
      </c>
      <c r="J698">
        <v>1</v>
      </c>
      <c r="N698" s="11">
        <v>0</v>
      </c>
      <c r="P698" s="26"/>
      <c r="Q698" s="26"/>
      <c r="R698" s="26"/>
      <c r="S698" s="26"/>
      <c r="T698" s="26"/>
      <c r="U698" s="26"/>
      <c r="V698" s="26"/>
      <c r="W698" s="26">
        <v>0</v>
      </c>
      <c r="X698" s="26">
        <v>0</v>
      </c>
      <c r="Y698" s="26">
        <v>0</v>
      </c>
      <c r="Z698" s="26">
        <v>0</v>
      </c>
    </row>
    <row r="699" spans="1:26" x14ac:dyDescent="0.25">
      <c r="A699" s="11">
        <v>709</v>
      </c>
      <c r="B699">
        <v>3200</v>
      </c>
      <c r="C699" t="s">
        <v>2744</v>
      </c>
      <c r="D699" t="s">
        <v>2745</v>
      </c>
      <c r="E699" t="s">
        <v>0</v>
      </c>
      <c r="G699" t="s">
        <v>2746</v>
      </c>
      <c r="H699">
        <v>2015</v>
      </c>
      <c r="I699" t="s">
        <v>2747</v>
      </c>
      <c r="J699">
        <v>1</v>
      </c>
      <c r="N699" s="11">
        <v>0</v>
      </c>
      <c r="P699" s="26"/>
      <c r="Q699" s="26"/>
      <c r="R699" s="26"/>
      <c r="S699" s="26"/>
      <c r="T699" s="26"/>
      <c r="U699" s="26"/>
      <c r="V699" s="26"/>
      <c r="W699" s="26">
        <v>0</v>
      </c>
      <c r="X699" s="26">
        <v>0</v>
      </c>
      <c r="Y699" s="26">
        <v>0</v>
      </c>
      <c r="Z699" s="26">
        <v>0</v>
      </c>
    </row>
    <row r="700" spans="1:26" x14ac:dyDescent="0.25">
      <c r="A700" s="11">
        <v>710</v>
      </c>
      <c r="B700">
        <v>3532</v>
      </c>
      <c r="C700" t="s">
        <v>2621</v>
      </c>
      <c r="D700" t="s">
        <v>2622</v>
      </c>
      <c r="E700" t="s">
        <v>0</v>
      </c>
      <c r="G700" t="s">
        <v>2623</v>
      </c>
      <c r="H700">
        <v>2013</v>
      </c>
      <c r="I700" t="s">
        <v>2624</v>
      </c>
      <c r="J700">
        <v>1</v>
      </c>
      <c r="N700" s="11">
        <v>0</v>
      </c>
      <c r="P700" s="26"/>
      <c r="Q700" s="26"/>
      <c r="R700" s="26"/>
      <c r="S700" s="26"/>
      <c r="T700" s="26"/>
      <c r="U700" s="26"/>
      <c r="V700" s="26"/>
      <c r="W700" s="26">
        <v>0</v>
      </c>
      <c r="X700" s="26">
        <v>0</v>
      </c>
      <c r="Y700" s="26">
        <v>0</v>
      </c>
      <c r="Z700" s="26">
        <v>0</v>
      </c>
    </row>
    <row r="701" spans="1:26" x14ac:dyDescent="0.25">
      <c r="A701" s="11">
        <v>711</v>
      </c>
      <c r="B701">
        <v>5681</v>
      </c>
      <c r="C701" t="s">
        <v>891</v>
      </c>
      <c r="D701" t="s">
        <v>892</v>
      </c>
      <c r="E701" t="s">
        <v>0</v>
      </c>
      <c r="G701" t="s">
        <v>893</v>
      </c>
      <c r="H701">
        <v>2018</v>
      </c>
      <c r="I701" t="s">
        <v>894</v>
      </c>
      <c r="J701">
        <v>1</v>
      </c>
      <c r="N701" s="11">
        <v>0</v>
      </c>
      <c r="P701" s="26"/>
      <c r="Q701" s="26"/>
      <c r="R701" s="26"/>
      <c r="S701" s="26"/>
      <c r="T701" s="26"/>
      <c r="U701" s="26"/>
      <c r="V701" s="26"/>
      <c r="W701" s="26">
        <v>0</v>
      </c>
      <c r="X701" s="26">
        <v>0</v>
      </c>
      <c r="Y701" s="26">
        <v>0</v>
      </c>
      <c r="Z701" s="26">
        <v>0</v>
      </c>
    </row>
    <row r="702" spans="1:26" x14ac:dyDescent="0.25">
      <c r="A702" s="11">
        <v>712</v>
      </c>
      <c r="B702">
        <v>6143</v>
      </c>
      <c r="C702" t="s">
        <v>895</v>
      </c>
      <c r="D702" t="s">
        <v>896</v>
      </c>
      <c r="E702" t="s">
        <v>0</v>
      </c>
      <c r="G702" t="s">
        <v>897</v>
      </c>
      <c r="H702">
        <v>2015</v>
      </c>
      <c r="I702" t="s">
        <v>898</v>
      </c>
      <c r="J702">
        <v>1</v>
      </c>
      <c r="N702" s="11">
        <v>0</v>
      </c>
      <c r="P702" s="26"/>
      <c r="Q702" s="26"/>
      <c r="R702" s="26"/>
      <c r="S702" s="26"/>
      <c r="T702" s="26"/>
      <c r="U702" s="26"/>
      <c r="V702" s="26"/>
      <c r="W702" s="26">
        <v>0</v>
      </c>
      <c r="X702" s="26">
        <v>0</v>
      </c>
      <c r="Y702" s="26">
        <v>0</v>
      </c>
      <c r="Z702" s="26">
        <v>0</v>
      </c>
    </row>
    <row r="703" spans="1:26" x14ac:dyDescent="0.25">
      <c r="A703" s="11">
        <v>713</v>
      </c>
      <c r="B703">
        <v>3250</v>
      </c>
      <c r="C703" t="s">
        <v>2176</v>
      </c>
      <c r="D703" t="s">
        <v>2177</v>
      </c>
      <c r="E703" t="s">
        <v>2178</v>
      </c>
      <c r="G703" t="s">
        <v>2179</v>
      </c>
      <c r="H703">
        <v>2015</v>
      </c>
      <c r="I703" t="s">
        <v>2180</v>
      </c>
      <c r="J703">
        <v>1</v>
      </c>
      <c r="N703" s="11">
        <v>0</v>
      </c>
      <c r="P703" s="26"/>
      <c r="Q703" s="26"/>
      <c r="R703" s="26"/>
      <c r="S703" s="26"/>
      <c r="T703" s="26"/>
      <c r="U703" s="26"/>
      <c r="V703" s="26"/>
      <c r="W703" s="26">
        <v>0</v>
      </c>
      <c r="X703" s="26">
        <v>0</v>
      </c>
      <c r="Y703" s="26">
        <v>0</v>
      </c>
      <c r="Z703" s="26">
        <v>0</v>
      </c>
    </row>
    <row r="704" spans="1:26" x14ac:dyDescent="0.25">
      <c r="A704" s="11">
        <v>714</v>
      </c>
      <c r="B704">
        <v>3710</v>
      </c>
      <c r="C704" t="s">
        <v>1264</v>
      </c>
      <c r="D704" t="s">
        <v>1387</v>
      </c>
      <c r="E704" t="s">
        <v>1388</v>
      </c>
      <c r="G704" t="s">
        <v>1389</v>
      </c>
      <c r="H704">
        <v>2012</v>
      </c>
      <c r="I704" t="s">
        <v>1390</v>
      </c>
      <c r="J704">
        <v>1</v>
      </c>
      <c r="N704" s="11">
        <v>0</v>
      </c>
      <c r="P704" s="26"/>
      <c r="Q704" s="26"/>
      <c r="R704" s="26"/>
      <c r="S704" s="26"/>
      <c r="T704" s="26"/>
      <c r="U704" s="26"/>
      <c r="V704" s="26"/>
      <c r="W704" s="26">
        <v>0</v>
      </c>
      <c r="X704" s="26">
        <v>0</v>
      </c>
      <c r="Y704" s="26">
        <v>0</v>
      </c>
      <c r="Z704" s="26">
        <v>0</v>
      </c>
    </row>
    <row r="705" spans="1:26" x14ac:dyDescent="0.25">
      <c r="A705" s="11">
        <v>715</v>
      </c>
      <c r="B705">
        <v>3216</v>
      </c>
      <c r="C705" t="s">
        <v>1423</v>
      </c>
      <c r="D705" s="8" t="s">
        <v>1424</v>
      </c>
      <c r="E705" t="s">
        <v>0</v>
      </c>
      <c r="G705" t="s">
        <v>1425</v>
      </c>
      <c r="H705">
        <v>2015</v>
      </c>
      <c r="I705" t="s">
        <v>1426</v>
      </c>
      <c r="J705">
        <v>1</v>
      </c>
      <c r="N705" s="11">
        <v>0</v>
      </c>
      <c r="P705" s="26"/>
      <c r="Q705" s="26"/>
      <c r="R705" s="26"/>
      <c r="S705" s="26"/>
      <c r="T705" s="26"/>
      <c r="U705" s="26"/>
      <c r="V705" s="26"/>
      <c r="W705" s="26">
        <v>0</v>
      </c>
      <c r="X705" s="26">
        <v>0</v>
      </c>
      <c r="Y705" s="26">
        <v>0</v>
      </c>
      <c r="Z705" s="26">
        <v>0</v>
      </c>
    </row>
    <row r="706" spans="1:26" x14ac:dyDescent="0.25">
      <c r="A706" s="11">
        <v>716</v>
      </c>
      <c r="B706">
        <v>3485</v>
      </c>
      <c r="C706" t="s">
        <v>2263</v>
      </c>
      <c r="D706" t="s">
        <v>247</v>
      </c>
      <c r="E706" t="s">
        <v>0</v>
      </c>
      <c r="G706" t="s">
        <v>2264</v>
      </c>
      <c r="H706">
        <v>2013</v>
      </c>
      <c r="I706" t="s">
        <v>2265</v>
      </c>
      <c r="J706">
        <v>1</v>
      </c>
      <c r="N706" s="11">
        <v>0</v>
      </c>
      <c r="P706" s="26"/>
      <c r="Q706" s="26"/>
      <c r="R706" s="26"/>
      <c r="S706" s="26"/>
      <c r="T706" s="26"/>
      <c r="U706" s="26"/>
      <c r="V706" s="26"/>
      <c r="W706" s="26">
        <v>0</v>
      </c>
      <c r="X706" s="26">
        <v>0</v>
      </c>
      <c r="Y706" s="26">
        <v>0</v>
      </c>
      <c r="Z706" s="26">
        <v>0</v>
      </c>
    </row>
    <row r="707" spans="1:26" x14ac:dyDescent="0.25">
      <c r="A707" s="11">
        <v>717</v>
      </c>
      <c r="B707">
        <v>4980</v>
      </c>
      <c r="C707" t="s">
        <v>1164</v>
      </c>
      <c r="D707" s="8" t="s">
        <v>1165</v>
      </c>
      <c r="E707" t="s">
        <v>24</v>
      </c>
      <c r="G707" t="s">
        <v>1166</v>
      </c>
      <c r="H707">
        <v>2016</v>
      </c>
      <c r="I707" t="s">
        <v>1167</v>
      </c>
      <c r="J707">
        <v>1</v>
      </c>
      <c r="N707" s="11">
        <v>0</v>
      </c>
      <c r="P707" s="26"/>
      <c r="Q707" s="26"/>
      <c r="R707" s="26"/>
      <c r="S707" s="26"/>
      <c r="T707" s="26"/>
      <c r="U707" s="26"/>
      <c r="V707" s="26"/>
      <c r="W707" s="26">
        <v>0</v>
      </c>
      <c r="X707" s="26">
        <v>0</v>
      </c>
      <c r="Y707" s="26">
        <v>0</v>
      </c>
      <c r="Z707" s="26">
        <v>0</v>
      </c>
    </row>
    <row r="708" spans="1:26" x14ac:dyDescent="0.25">
      <c r="A708" s="11">
        <v>718</v>
      </c>
      <c r="B708">
        <v>2724</v>
      </c>
      <c r="C708" t="s">
        <v>2353</v>
      </c>
      <c r="D708" t="s">
        <v>2354</v>
      </c>
      <c r="E708" t="s">
        <v>1193</v>
      </c>
      <c r="G708" t="s">
        <v>2355</v>
      </c>
      <c r="H708">
        <v>2018</v>
      </c>
      <c r="I708" t="s">
        <v>2356</v>
      </c>
      <c r="J708">
        <v>1</v>
      </c>
      <c r="N708" s="11">
        <v>0</v>
      </c>
      <c r="P708" s="26"/>
      <c r="Q708" s="26"/>
      <c r="R708" s="26"/>
      <c r="S708" s="26"/>
      <c r="T708" s="26"/>
      <c r="U708" s="26"/>
      <c r="V708" s="26"/>
      <c r="W708" s="26">
        <v>0</v>
      </c>
      <c r="X708" s="26">
        <v>0</v>
      </c>
      <c r="Y708" s="26">
        <v>0</v>
      </c>
      <c r="Z708" s="26">
        <v>0</v>
      </c>
    </row>
    <row r="709" spans="1:26" x14ac:dyDescent="0.25">
      <c r="A709" s="11">
        <v>719</v>
      </c>
      <c r="B709">
        <v>3015</v>
      </c>
      <c r="C709" t="s">
        <v>2227</v>
      </c>
      <c r="D709" t="s">
        <v>2228</v>
      </c>
      <c r="E709" t="s">
        <v>27</v>
      </c>
      <c r="G709" t="s">
        <v>2229</v>
      </c>
      <c r="H709">
        <v>2016</v>
      </c>
      <c r="I709" t="s">
        <v>2230</v>
      </c>
      <c r="J709">
        <v>1</v>
      </c>
      <c r="N709" s="11">
        <v>0</v>
      </c>
      <c r="P709" s="26"/>
      <c r="Q709" s="26"/>
      <c r="R709" s="26"/>
      <c r="S709" s="26"/>
      <c r="T709" s="26"/>
      <c r="U709" s="26"/>
      <c r="V709" s="26"/>
      <c r="W709" s="26">
        <v>0</v>
      </c>
      <c r="X709" s="26">
        <v>0</v>
      </c>
      <c r="Y709" s="26">
        <v>0</v>
      </c>
      <c r="Z709" s="26">
        <v>0</v>
      </c>
    </row>
    <row r="710" spans="1:26" x14ac:dyDescent="0.25">
      <c r="A710" s="11">
        <v>720</v>
      </c>
      <c r="B710">
        <v>4922</v>
      </c>
      <c r="C710" t="s">
        <v>1168</v>
      </c>
      <c r="D710" t="s">
        <v>1169</v>
      </c>
      <c r="E710" t="s">
        <v>24</v>
      </c>
      <c r="G710" t="s">
        <v>1170</v>
      </c>
      <c r="H710">
        <v>2014</v>
      </c>
      <c r="I710" t="s">
        <v>1171</v>
      </c>
      <c r="J710">
        <v>1</v>
      </c>
      <c r="N710" s="11">
        <v>0</v>
      </c>
      <c r="P710" s="26"/>
      <c r="Q710" s="26"/>
      <c r="R710" s="26"/>
      <c r="S710" s="26"/>
      <c r="T710" s="26"/>
      <c r="U710" s="26"/>
      <c r="V710" s="26"/>
      <c r="W710" s="26">
        <v>0</v>
      </c>
      <c r="X710" s="26">
        <v>0</v>
      </c>
      <c r="Y710" s="26">
        <v>0</v>
      </c>
      <c r="Z710" s="26">
        <v>0</v>
      </c>
    </row>
    <row r="711" spans="1:26" x14ac:dyDescent="0.25">
      <c r="A711" s="11">
        <v>721</v>
      </c>
      <c r="B711">
        <v>2623</v>
      </c>
      <c r="C711" t="s">
        <v>1796</v>
      </c>
      <c r="D711" s="8" t="s">
        <v>1797</v>
      </c>
      <c r="E711" t="s">
        <v>0</v>
      </c>
      <c r="G711" t="s">
        <v>1798</v>
      </c>
      <c r="H711">
        <v>2018</v>
      </c>
      <c r="I711" t="s">
        <v>1799</v>
      </c>
      <c r="J711">
        <v>1</v>
      </c>
      <c r="N711" s="11">
        <v>0</v>
      </c>
      <c r="P711" s="26"/>
      <c r="Q711" s="26"/>
      <c r="R711" s="26"/>
      <c r="S711" s="26"/>
      <c r="T711" s="26"/>
      <c r="U711" s="26"/>
      <c r="V711" s="26"/>
      <c r="W711" s="26">
        <v>0</v>
      </c>
      <c r="X711" s="26">
        <v>0</v>
      </c>
      <c r="Y711" s="26">
        <v>0</v>
      </c>
      <c r="Z711" s="26">
        <v>0</v>
      </c>
    </row>
    <row r="712" spans="1:26" x14ac:dyDescent="0.25">
      <c r="A712" s="11">
        <v>722</v>
      </c>
      <c r="B712">
        <v>2567</v>
      </c>
      <c r="C712" t="s">
        <v>2586</v>
      </c>
      <c r="D712" s="13" t="s">
        <v>2587</v>
      </c>
      <c r="E712" t="s">
        <v>1193</v>
      </c>
      <c r="G712" t="s">
        <v>2588</v>
      </c>
      <c r="H712">
        <v>2019</v>
      </c>
      <c r="I712" t="s">
        <v>2589</v>
      </c>
      <c r="J712">
        <v>1</v>
      </c>
      <c r="N712" s="11">
        <v>0</v>
      </c>
      <c r="P712" s="26"/>
      <c r="Q712" s="26"/>
      <c r="R712" s="26"/>
      <c r="S712" s="26"/>
      <c r="T712" s="26"/>
      <c r="U712" s="26"/>
      <c r="V712" s="26"/>
      <c r="W712" s="26">
        <v>0</v>
      </c>
      <c r="X712" s="26">
        <v>0</v>
      </c>
      <c r="Y712" s="26">
        <v>0</v>
      </c>
      <c r="Z712" s="26">
        <v>0</v>
      </c>
    </row>
    <row r="713" spans="1:26" x14ac:dyDescent="0.25">
      <c r="A713" s="11">
        <v>723</v>
      </c>
      <c r="B713">
        <v>2928</v>
      </c>
      <c r="C713" t="s">
        <v>1242</v>
      </c>
      <c r="D713" s="8" t="s">
        <v>1243</v>
      </c>
      <c r="E713" t="s">
        <v>121</v>
      </c>
      <c r="G713" t="s">
        <v>1244</v>
      </c>
      <c r="H713">
        <v>2017</v>
      </c>
      <c r="I713" t="s">
        <v>1245</v>
      </c>
      <c r="J713">
        <v>1</v>
      </c>
      <c r="N713" s="11">
        <v>0</v>
      </c>
      <c r="P713" s="26"/>
      <c r="Q713" s="26"/>
      <c r="R713" s="26"/>
      <c r="S713" s="26"/>
      <c r="T713" s="26"/>
      <c r="U713" s="26"/>
      <c r="V713" s="26"/>
      <c r="W713" s="26">
        <v>0</v>
      </c>
      <c r="X713" s="26">
        <v>0</v>
      </c>
      <c r="Y713" s="26">
        <v>0</v>
      </c>
      <c r="Z713" s="26">
        <v>0</v>
      </c>
    </row>
    <row r="714" spans="1:26" x14ac:dyDescent="0.25">
      <c r="A714" s="11">
        <v>724</v>
      </c>
      <c r="B714">
        <v>3522</v>
      </c>
      <c r="C714" t="s">
        <v>1442</v>
      </c>
      <c r="D714" s="8" t="s">
        <v>1443</v>
      </c>
      <c r="E714" t="s">
        <v>0</v>
      </c>
      <c r="F714" s="26"/>
      <c r="G714" t="s">
        <v>1444</v>
      </c>
      <c r="H714">
        <v>2013</v>
      </c>
      <c r="I714" t="s">
        <v>1445</v>
      </c>
      <c r="J714">
        <v>1</v>
      </c>
      <c r="N714" s="11">
        <v>0</v>
      </c>
      <c r="P714" s="26"/>
      <c r="Q714" s="26"/>
      <c r="R714" s="26"/>
      <c r="S714" s="26"/>
      <c r="T714" s="26"/>
      <c r="U714" s="26"/>
      <c r="V714" s="26"/>
      <c r="W714" s="26">
        <v>0</v>
      </c>
      <c r="X714" s="26">
        <v>0</v>
      </c>
      <c r="Y714" s="26">
        <v>0</v>
      </c>
      <c r="Z714" s="26">
        <v>0</v>
      </c>
    </row>
    <row r="715" spans="1:26" x14ac:dyDescent="0.25">
      <c r="A715" s="11">
        <v>725</v>
      </c>
      <c r="B715">
        <v>5161</v>
      </c>
      <c r="C715" t="s">
        <v>1172</v>
      </c>
      <c r="D715" t="s">
        <v>1173</v>
      </c>
      <c r="E715" t="s">
        <v>22</v>
      </c>
      <c r="G715" t="s">
        <v>1174</v>
      </c>
      <c r="H715">
        <v>2017</v>
      </c>
      <c r="I715" t="s">
        <v>1175</v>
      </c>
      <c r="J715">
        <v>1</v>
      </c>
      <c r="N715" s="11">
        <v>0</v>
      </c>
      <c r="P715" s="26"/>
      <c r="Q715" s="26"/>
      <c r="R715" s="26"/>
      <c r="S715" s="26"/>
      <c r="T715" s="26"/>
      <c r="U715" s="26"/>
      <c r="V715" s="26"/>
      <c r="W715" s="26">
        <v>0</v>
      </c>
      <c r="X715" s="26">
        <v>0</v>
      </c>
      <c r="Y715" s="26">
        <v>0</v>
      </c>
      <c r="Z715" s="26">
        <v>0</v>
      </c>
    </row>
    <row r="716" spans="1:26" x14ac:dyDescent="0.25">
      <c r="A716" s="11">
        <v>726</v>
      </c>
      <c r="B716">
        <v>4889</v>
      </c>
      <c r="C716" t="s">
        <v>1176</v>
      </c>
      <c r="D716" s="13" t="s">
        <v>1177</v>
      </c>
      <c r="E716" t="s">
        <v>24</v>
      </c>
      <c r="G716" t="s">
        <v>1178</v>
      </c>
      <c r="H716">
        <v>2019</v>
      </c>
      <c r="I716" t="s">
        <v>1179</v>
      </c>
      <c r="J716">
        <v>1</v>
      </c>
      <c r="N716" s="11">
        <v>0</v>
      </c>
      <c r="P716" s="26"/>
      <c r="Q716" s="26"/>
      <c r="R716" s="26"/>
      <c r="S716" s="26"/>
      <c r="T716" s="26"/>
      <c r="U716" s="26"/>
      <c r="V716" s="26"/>
      <c r="W716" s="26">
        <v>0</v>
      </c>
      <c r="X716" s="26">
        <v>0</v>
      </c>
      <c r="Y716" s="26">
        <v>0</v>
      </c>
      <c r="Z716" s="26">
        <v>0</v>
      </c>
    </row>
    <row r="717" spans="1:26" x14ac:dyDescent="0.25">
      <c r="A717" s="11">
        <v>727</v>
      </c>
      <c r="B717">
        <v>6259</v>
      </c>
      <c r="C717" t="s">
        <v>248</v>
      </c>
      <c r="D717" t="s">
        <v>249</v>
      </c>
      <c r="E717" t="s">
        <v>6</v>
      </c>
      <c r="F717" t="s">
        <v>403</v>
      </c>
      <c r="G717" t="s">
        <v>404</v>
      </c>
      <c r="H717">
        <v>2015</v>
      </c>
      <c r="J717">
        <v>1</v>
      </c>
      <c r="N717" s="11">
        <v>0</v>
      </c>
      <c r="P717" s="26"/>
      <c r="Q717" s="26"/>
      <c r="R717" s="26"/>
      <c r="S717" s="26"/>
      <c r="T717" s="26"/>
      <c r="U717" s="26"/>
      <c r="V717" s="26"/>
      <c r="W717" s="26">
        <v>0</v>
      </c>
      <c r="X717" s="26">
        <v>0</v>
      </c>
      <c r="Y717" s="26">
        <v>0</v>
      </c>
      <c r="Z717" s="26">
        <v>0</v>
      </c>
    </row>
    <row r="718" spans="1:26" x14ac:dyDescent="0.25">
      <c r="A718" s="11">
        <v>728</v>
      </c>
      <c r="B718">
        <v>3417</v>
      </c>
      <c r="C718" t="s">
        <v>1897</v>
      </c>
      <c r="D718" s="8" t="s">
        <v>1898</v>
      </c>
      <c r="E718" t="s">
        <v>1522</v>
      </c>
      <c r="G718" t="s">
        <v>1899</v>
      </c>
      <c r="H718">
        <v>2014</v>
      </c>
      <c r="I718" t="s">
        <v>1900</v>
      </c>
      <c r="J718">
        <v>1</v>
      </c>
      <c r="N718" s="11">
        <v>0</v>
      </c>
      <c r="P718" s="26"/>
      <c r="Q718" s="26"/>
      <c r="R718" s="26"/>
      <c r="S718" s="26"/>
      <c r="T718" s="26"/>
      <c r="U718" s="26"/>
      <c r="V718" s="26"/>
      <c r="W718" s="26">
        <v>0</v>
      </c>
      <c r="X718" s="26">
        <v>0</v>
      </c>
      <c r="Y718" s="26">
        <v>0</v>
      </c>
      <c r="Z718" s="26">
        <v>0</v>
      </c>
    </row>
    <row r="719" spans="1:26" x14ac:dyDescent="0.25">
      <c r="A719" s="11">
        <v>729</v>
      </c>
      <c r="B719">
        <v>3616</v>
      </c>
      <c r="C719" t="s">
        <v>1562</v>
      </c>
      <c r="D719" t="s">
        <v>1563</v>
      </c>
      <c r="E719" t="s">
        <v>0</v>
      </c>
      <c r="G719" t="s">
        <v>1564</v>
      </c>
      <c r="H719">
        <v>2013</v>
      </c>
      <c r="I719" t="s">
        <v>1565</v>
      </c>
      <c r="J719">
        <v>1</v>
      </c>
      <c r="N719" s="11">
        <v>0</v>
      </c>
      <c r="P719" s="26"/>
      <c r="Q719" s="26"/>
      <c r="R719" s="26"/>
      <c r="S719" s="26"/>
      <c r="T719" s="26"/>
      <c r="U719" s="26"/>
      <c r="V719" s="26"/>
      <c r="W719" s="26">
        <v>0</v>
      </c>
      <c r="X719" s="26">
        <v>0</v>
      </c>
      <c r="Y719" s="26">
        <v>0</v>
      </c>
      <c r="Z719" s="26">
        <v>0</v>
      </c>
    </row>
    <row r="720" spans="1:26" x14ac:dyDescent="0.25">
      <c r="A720" s="11">
        <v>730</v>
      </c>
      <c r="B720">
        <v>6038</v>
      </c>
      <c r="C720" t="s">
        <v>899</v>
      </c>
      <c r="D720" s="8" t="s">
        <v>900</v>
      </c>
      <c r="E720" t="s">
        <v>0</v>
      </c>
      <c r="G720" t="s">
        <v>901</v>
      </c>
      <c r="H720">
        <v>2018</v>
      </c>
      <c r="I720" t="s">
        <v>902</v>
      </c>
      <c r="J720">
        <v>1</v>
      </c>
      <c r="N720" s="11">
        <v>0</v>
      </c>
      <c r="P720" s="26"/>
      <c r="Q720" s="26"/>
      <c r="R720" s="26"/>
      <c r="S720" s="26"/>
      <c r="T720" s="26"/>
      <c r="U720" s="26"/>
      <c r="V720" s="26"/>
      <c r="W720" s="26">
        <v>0</v>
      </c>
      <c r="X720" s="26">
        <v>0</v>
      </c>
      <c r="Y720" s="26">
        <v>0</v>
      </c>
      <c r="Z720" s="26">
        <v>0</v>
      </c>
    </row>
    <row r="721" spans="1:26" x14ac:dyDescent="0.25">
      <c r="A721" s="11">
        <v>731</v>
      </c>
      <c r="B721">
        <v>6167</v>
      </c>
      <c r="C721" t="s">
        <v>903</v>
      </c>
      <c r="D721" s="8" t="s">
        <v>904</v>
      </c>
      <c r="E721" t="s">
        <v>0</v>
      </c>
      <c r="G721" t="s">
        <v>905</v>
      </c>
      <c r="H721">
        <v>2014</v>
      </c>
      <c r="I721" t="s">
        <v>906</v>
      </c>
      <c r="J721">
        <v>1</v>
      </c>
      <c r="N721" s="11">
        <v>0</v>
      </c>
      <c r="P721" s="26"/>
      <c r="Q721" s="26"/>
      <c r="R721" s="26"/>
      <c r="S721" s="26"/>
      <c r="T721" s="26"/>
      <c r="U721" s="26"/>
      <c r="V721" s="26"/>
      <c r="W721" s="26">
        <v>0</v>
      </c>
      <c r="X721" s="26">
        <v>0</v>
      </c>
      <c r="Y721" s="26">
        <v>0</v>
      </c>
      <c r="Z721" s="26">
        <v>0</v>
      </c>
    </row>
    <row r="722" spans="1:26" x14ac:dyDescent="0.25">
      <c r="A722" s="11">
        <v>732</v>
      </c>
      <c r="B722">
        <v>4124</v>
      </c>
      <c r="C722" t="s">
        <v>2992</v>
      </c>
      <c r="D722" t="s">
        <v>2993</v>
      </c>
      <c r="E722" t="s">
        <v>2</v>
      </c>
      <c r="G722" t="s">
        <v>2994</v>
      </c>
      <c r="H722">
        <v>2017</v>
      </c>
      <c r="I722" t="s">
        <v>2995</v>
      </c>
      <c r="J722">
        <v>1</v>
      </c>
      <c r="N722" s="11">
        <v>0</v>
      </c>
      <c r="P722" s="26"/>
      <c r="Q722" s="26"/>
      <c r="R722" s="26"/>
      <c r="S722" s="26"/>
      <c r="T722" s="26"/>
      <c r="U722" s="26"/>
      <c r="V722" s="26"/>
      <c r="W722" s="26">
        <v>0</v>
      </c>
      <c r="X722" s="26">
        <v>0</v>
      </c>
      <c r="Y722" s="26">
        <v>0</v>
      </c>
      <c r="Z722" s="26">
        <v>0</v>
      </c>
    </row>
    <row r="723" spans="1:26" x14ac:dyDescent="0.25">
      <c r="A723" s="11">
        <v>733</v>
      </c>
      <c r="B723">
        <v>3777</v>
      </c>
      <c r="C723" t="s">
        <v>2910</v>
      </c>
      <c r="D723" s="8" t="s">
        <v>907</v>
      </c>
      <c r="E723" t="s">
        <v>3</v>
      </c>
      <c r="G723" t="s">
        <v>908</v>
      </c>
      <c r="H723">
        <v>2019</v>
      </c>
      <c r="I723" t="s">
        <v>2911</v>
      </c>
      <c r="J723">
        <v>1</v>
      </c>
      <c r="N723" s="11">
        <v>0</v>
      </c>
      <c r="P723" s="26"/>
      <c r="Q723" s="26"/>
      <c r="R723" s="26"/>
      <c r="S723" s="26"/>
      <c r="T723" s="26"/>
      <c r="U723" s="26"/>
      <c r="V723" s="26"/>
      <c r="W723" s="26">
        <v>0</v>
      </c>
      <c r="X723" s="26">
        <v>0</v>
      </c>
      <c r="Y723" s="26">
        <v>0</v>
      </c>
      <c r="Z723" s="26">
        <v>0</v>
      </c>
    </row>
    <row r="724" spans="1:26" x14ac:dyDescent="0.25">
      <c r="A724" s="11">
        <v>734</v>
      </c>
      <c r="B724">
        <v>5293</v>
      </c>
      <c r="C724" t="s">
        <v>1180</v>
      </c>
      <c r="D724" s="8" t="s">
        <v>1181</v>
      </c>
      <c r="E724" t="s">
        <v>24</v>
      </c>
      <c r="G724" t="s">
        <v>1182</v>
      </c>
      <c r="H724">
        <v>2017</v>
      </c>
      <c r="I724" t="s">
        <v>1183</v>
      </c>
      <c r="J724">
        <v>1</v>
      </c>
      <c r="N724" s="11">
        <v>0</v>
      </c>
      <c r="P724" s="26"/>
      <c r="Q724" s="26"/>
      <c r="R724" s="26"/>
      <c r="S724" s="26"/>
      <c r="T724" s="26"/>
      <c r="U724" s="26"/>
      <c r="V724" s="26"/>
      <c r="W724" s="26">
        <v>0</v>
      </c>
      <c r="X724" s="26">
        <v>0</v>
      </c>
      <c r="Y724" s="26">
        <v>0</v>
      </c>
      <c r="Z724" s="26">
        <v>0</v>
      </c>
    </row>
    <row r="725" spans="1:26" s="13" customFormat="1" x14ac:dyDescent="0.25">
      <c r="A725" s="13">
        <v>735</v>
      </c>
      <c r="B725" s="13">
        <v>5962</v>
      </c>
      <c r="C725" s="13" t="s">
        <v>909</v>
      </c>
      <c r="D725" s="13" t="s">
        <v>910</v>
      </c>
      <c r="E725" s="13" t="s">
        <v>0</v>
      </c>
      <c r="G725" s="13" t="s">
        <v>911</v>
      </c>
      <c r="H725" s="13">
        <v>2012</v>
      </c>
      <c r="I725" s="13" t="s">
        <v>912</v>
      </c>
      <c r="J725" s="13">
        <v>1</v>
      </c>
      <c r="N725" s="13">
        <v>0</v>
      </c>
      <c r="O725" s="37"/>
      <c r="W725" s="13">
        <v>0</v>
      </c>
      <c r="X725" s="13">
        <v>0</v>
      </c>
      <c r="Y725" s="13">
        <v>0</v>
      </c>
      <c r="Z725" s="13">
        <v>0</v>
      </c>
    </row>
    <row r="726" spans="1:26" x14ac:dyDescent="0.25">
      <c r="A726" s="11">
        <v>736</v>
      </c>
      <c r="B726">
        <v>3645</v>
      </c>
      <c r="C726" t="s">
        <v>1446</v>
      </c>
      <c r="D726" t="s">
        <v>1447</v>
      </c>
      <c r="E726" t="s">
        <v>0</v>
      </c>
      <c r="G726" t="s">
        <v>1448</v>
      </c>
      <c r="H726">
        <v>2012</v>
      </c>
      <c r="I726" t="s">
        <v>1449</v>
      </c>
      <c r="J726">
        <v>1</v>
      </c>
      <c r="N726" s="11">
        <v>0</v>
      </c>
      <c r="P726" s="26"/>
      <c r="Q726" s="26"/>
      <c r="R726" s="26"/>
      <c r="S726" s="26"/>
      <c r="T726" s="26"/>
      <c r="U726" s="26"/>
      <c r="V726" s="26"/>
      <c r="W726" s="26">
        <v>0</v>
      </c>
      <c r="X726" s="26">
        <v>0</v>
      </c>
      <c r="Y726" s="26">
        <v>0</v>
      </c>
      <c r="Z726" s="26">
        <v>0</v>
      </c>
    </row>
    <row r="727" spans="1:26" x14ac:dyDescent="0.25">
      <c r="A727" s="11">
        <v>737</v>
      </c>
      <c r="B727">
        <v>3380</v>
      </c>
      <c r="C727" t="s">
        <v>2415</v>
      </c>
      <c r="D727" t="s">
        <v>2416</v>
      </c>
      <c r="E727" t="s">
        <v>0</v>
      </c>
      <c r="G727" t="s">
        <v>2417</v>
      </c>
      <c r="H727">
        <v>2014</v>
      </c>
      <c r="I727" t="s">
        <v>2418</v>
      </c>
      <c r="J727">
        <v>1</v>
      </c>
      <c r="N727" s="11">
        <v>0</v>
      </c>
      <c r="P727" s="26"/>
      <c r="Q727" s="26"/>
      <c r="R727" s="26"/>
      <c r="S727" s="26"/>
      <c r="T727" s="26"/>
      <c r="U727" s="26"/>
      <c r="V727" s="26"/>
      <c r="W727" s="26">
        <v>0</v>
      </c>
      <c r="X727" s="26">
        <v>0</v>
      </c>
      <c r="Y727" s="26">
        <v>0</v>
      </c>
      <c r="Z727" s="26">
        <v>0</v>
      </c>
    </row>
    <row r="728" spans="1:26" x14ac:dyDescent="0.25">
      <c r="A728" s="11">
        <v>738</v>
      </c>
      <c r="B728">
        <v>2883</v>
      </c>
      <c r="C728" t="s">
        <v>2839</v>
      </c>
      <c r="D728" s="8" t="s">
        <v>2840</v>
      </c>
      <c r="E728" t="s">
        <v>0</v>
      </c>
      <c r="G728" t="s">
        <v>2841</v>
      </c>
      <c r="H728">
        <v>2017</v>
      </c>
      <c r="I728" t="s">
        <v>2842</v>
      </c>
      <c r="J728">
        <v>1</v>
      </c>
      <c r="N728" s="11">
        <v>0</v>
      </c>
      <c r="P728" s="26"/>
      <c r="Q728" s="26"/>
      <c r="R728" s="26"/>
      <c r="S728" s="26"/>
      <c r="T728" s="26"/>
      <c r="U728" s="26"/>
      <c r="V728" s="26"/>
      <c r="W728" s="26">
        <v>0</v>
      </c>
      <c r="X728" s="26">
        <v>0</v>
      </c>
      <c r="Y728" s="26">
        <v>0</v>
      </c>
      <c r="Z728" s="26">
        <v>0</v>
      </c>
    </row>
    <row r="729" spans="1:26" x14ac:dyDescent="0.25">
      <c r="A729" s="11">
        <v>739</v>
      </c>
      <c r="B729">
        <v>5960</v>
      </c>
      <c r="C729" t="s">
        <v>913</v>
      </c>
      <c r="D729" s="8" t="s">
        <v>914</v>
      </c>
      <c r="E729" t="s">
        <v>0</v>
      </c>
      <c r="G729" t="s">
        <v>915</v>
      </c>
      <c r="H729">
        <v>2014</v>
      </c>
      <c r="I729" t="s">
        <v>916</v>
      </c>
      <c r="J729">
        <v>1</v>
      </c>
      <c r="N729" s="11">
        <v>0</v>
      </c>
      <c r="P729" s="26"/>
      <c r="Q729" s="26"/>
      <c r="R729" s="26"/>
      <c r="S729" s="26"/>
      <c r="T729" s="26"/>
      <c r="U729" s="26"/>
      <c r="V729" s="26"/>
      <c r="W729" s="26">
        <v>0</v>
      </c>
      <c r="X729" s="26">
        <v>0</v>
      </c>
      <c r="Y729" s="26">
        <v>0</v>
      </c>
      <c r="Z729" s="26">
        <v>0</v>
      </c>
    </row>
    <row r="730" spans="1:26" x14ac:dyDescent="0.25">
      <c r="A730" s="11">
        <v>740</v>
      </c>
      <c r="B730">
        <v>2913</v>
      </c>
      <c r="C730" t="s">
        <v>1350</v>
      </c>
      <c r="D730" s="8" t="s">
        <v>1351</v>
      </c>
      <c r="E730" t="s">
        <v>1193</v>
      </c>
      <c r="G730" t="s">
        <v>1352</v>
      </c>
      <c r="H730">
        <v>2017</v>
      </c>
      <c r="I730" t="s">
        <v>1353</v>
      </c>
      <c r="J730">
        <v>1</v>
      </c>
      <c r="N730" s="11">
        <v>0</v>
      </c>
      <c r="P730" s="26"/>
      <c r="Q730" s="26"/>
      <c r="R730" s="26"/>
      <c r="S730" s="26"/>
      <c r="T730" s="26"/>
      <c r="U730" s="26"/>
      <c r="V730" s="26"/>
      <c r="W730" s="26">
        <v>0</v>
      </c>
      <c r="X730" s="26">
        <v>0</v>
      </c>
      <c r="Y730" s="26">
        <v>0</v>
      </c>
      <c r="Z730" s="26">
        <v>0</v>
      </c>
    </row>
    <row r="731" spans="1:26" x14ac:dyDescent="0.25">
      <c r="A731" s="11">
        <v>741</v>
      </c>
      <c r="B731">
        <v>2546</v>
      </c>
      <c r="C731" t="s">
        <v>1370</v>
      </c>
      <c r="D731" t="s">
        <v>250</v>
      </c>
      <c r="E731" t="s">
        <v>0</v>
      </c>
      <c r="G731" t="s">
        <v>1371</v>
      </c>
      <c r="H731">
        <v>2019</v>
      </c>
      <c r="I731" t="s">
        <v>1372</v>
      </c>
      <c r="J731">
        <v>1</v>
      </c>
      <c r="N731" s="11">
        <v>0</v>
      </c>
      <c r="P731" s="26"/>
      <c r="Q731" s="26"/>
      <c r="R731" s="26"/>
      <c r="S731" s="26"/>
      <c r="T731" s="26"/>
      <c r="U731" s="26"/>
      <c r="V731" s="26"/>
      <c r="W731" s="26">
        <v>0</v>
      </c>
      <c r="X731" s="26">
        <v>0</v>
      </c>
      <c r="Y731" s="26">
        <v>0</v>
      </c>
      <c r="Z731" s="26">
        <v>0</v>
      </c>
    </row>
    <row r="732" spans="1:26" s="13" customFormat="1" x14ac:dyDescent="0.25">
      <c r="A732" s="13">
        <v>742</v>
      </c>
      <c r="B732" s="13">
        <v>4897</v>
      </c>
      <c r="C732" s="13" t="s">
        <v>1184</v>
      </c>
      <c r="D732" s="13" t="s">
        <v>1185</v>
      </c>
      <c r="E732" s="13" t="s">
        <v>7</v>
      </c>
      <c r="G732" s="13" t="s">
        <v>1186</v>
      </c>
      <c r="H732" s="13">
        <v>2018</v>
      </c>
      <c r="I732" s="13" t="s">
        <v>1187</v>
      </c>
      <c r="J732" s="13">
        <v>1</v>
      </c>
      <c r="N732" s="13">
        <v>1</v>
      </c>
      <c r="O732" s="37"/>
      <c r="W732" s="13">
        <v>0</v>
      </c>
      <c r="X732" s="13">
        <v>0</v>
      </c>
      <c r="Y732" s="13">
        <v>0</v>
      </c>
      <c r="Z732" s="13">
        <v>0</v>
      </c>
    </row>
    <row r="733" spans="1:26" x14ac:dyDescent="0.25">
      <c r="A733" s="11">
        <v>743</v>
      </c>
      <c r="B733">
        <v>4854</v>
      </c>
      <c r="C733" t="s">
        <v>1188</v>
      </c>
      <c r="D733" s="8" t="s">
        <v>1189</v>
      </c>
      <c r="E733" t="s">
        <v>24</v>
      </c>
      <c r="G733" t="s">
        <v>1190</v>
      </c>
      <c r="H733">
        <v>2017</v>
      </c>
      <c r="I733" t="s">
        <v>1191</v>
      </c>
      <c r="J733">
        <v>1</v>
      </c>
      <c r="N733" s="11">
        <v>0</v>
      </c>
      <c r="P733" s="26"/>
      <c r="Q733" s="26"/>
      <c r="R733" s="26"/>
      <c r="S733" s="26"/>
      <c r="T733" s="26"/>
      <c r="U733" s="26"/>
      <c r="V733" s="26"/>
      <c r="W733" s="26">
        <v>0</v>
      </c>
      <c r="X733" s="26">
        <v>0</v>
      </c>
      <c r="Y733" s="26">
        <v>0</v>
      </c>
      <c r="Z733" s="26">
        <v>0</v>
      </c>
    </row>
  </sheetData>
  <dataValidations count="4">
    <dataValidation showInputMessage="1" showErrorMessage="1" promptTitle="Information Extract" sqref="O1" xr:uid="{123C75CD-5FEC-4164-A285-B13CC918B47C}"/>
    <dataValidation type="list" allowBlank="1" showInputMessage="1" showErrorMessage="1" sqref="N1" xr:uid="{E04D412B-C6D8-44CF-8455-EE058168256C}">
      <formula1>Scale</formula1>
    </dataValidation>
    <dataValidation type="list" showInputMessage="1" showErrorMessage="1" sqref="W2:Z60 W62:Z62 N2:N62 W64:Z67 W69:Z81 N64:N81 W83:Z201 W203:Z232 W234:Z281 W283:Z445 N83:N445 W447:Z482 N447:N733 W484:Z567 W569:Z733" xr:uid="{0D013771-BBE1-4E75-A959-F03AB0E58128}">
      <formula1>Scale</formula1>
    </dataValidation>
    <dataValidation type="list" allowBlank="1" showInputMessage="1" showErrorMessage="1" sqref="V1" xr:uid="{DFD9A916-5434-4DA1-B662-0CED50E65A10}">
      <formula1>Language</formula1>
    </dataValidation>
  </dataValidations>
  <hyperlinks>
    <hyperlink ref="I7" r:id="rId1" xr:uid="{49518A07-2DCE-420D-8C41-A376D3DBC6CB}"/>
  </hyperlinks>
  <pageMargins left="0.7" right="0.7" top="0.75" bottom="0.75" header="0.3" footer="0.3"/>
  <pageSetup orientation="portrait" r:id="rId2"/>
  <tableParts count="1">
    <tablePart r:id="rId3"/>
  </tableParts>
  <extLst>
    <ext xmlns:x14="http://schemas.microsoft.com/office/spreadsheetml/2009/9/main" uri="{CCE6A557-97BC-4b89-ADB6-D9C93CAAB3DF}">
      <x14:dataValidations xmlns:xm="http://schemas.microsoft.com/office/excel/2006/main" count="32">
        <x14:dataValidation type="list" allowBlank="1" showInputMessage="1" showErrorMessage="1" xr:uid="{37292277-3A28-40B6-A65A-DC857E1B0725}">
          <x14:formula1>
            <xm:f>Categories!$F$2:$F$8</xm:f>
          </x14:formula1>
          <xm:sqref>S2:S5 S7:S19</xm:sqref>
        </x14:dataValidation>
        <x14:dataValidation type="list" allowBlank="1" showInputMessage="1" showErrorMessage="1" xr:uid="{2864A4CA-BAC8-47A6-9ED8-CAB476171FC8}">
          <x14:formula1>
            <xm:f>Categories!$E$2:$E$7</xm:f>
          </x14:formula1>
          <xm:sqref>T2:T5 T7:T19</xm:sqref>
        </x14:dataValidation>
        <x14:dataValidation type="list" allowBlank="1" showInputMessage="1" showErrorMessage="1" xr:uid="{76A7C39E-DA96-470A-A851-2BC9E19FC298}">
          <x14:formula1>
            <xm:f>Categories!$G$2:$G$4</xm:f>
          </x14:formula1>
          <xm:sqref>U7:U19 U2:U4</xm:sqref>
        </x14:dataValidation>
        <x14:dataValidation type="list" allowBlank="1" showInputMessage="1" showErrorMessage="1" xr:uid="{12C423C1-2155-4571-9255-87B5408E947E}">
          <x14:formula1>
            <xm:f>Categories!$C$2:$C$46</xm:f>
          </x14:formula1>
          <xm:sqref>Q2:Q54 Q56:Q57</xm:sqref>
        </x14:dataValidation>
        <x14:dataValidation type="list" allowBlank="1" showInputMessage="1" showErrorMessage="1" xr:uid="{DF4BD8F6-4FF7-4309-9847-686556404CBA}">
          <x14:formula1>
            <xm:f>Categories!$H$1:$H$24</xm:f>
          </x14:formula1>
          <xm:sqref>V2:V54 V56:V57</xm:sqref>
        </x14:dataValidation>
        <x14:dataValidation type="list" allowBlank="1" showInputMessage="1" showErrorMessage="1" xr:uid="{8C26F661-1731-4444-A62F-335B7F20CA84}">
          <x14:formula1>
            <xm:f>Categories!$F$2:$F$9</xm:f>
          </x14:formula1>
          <xm:sqref>S6 S20:S60 S62 S64:S67 S69:S81 S83:S201 S203:S232 S234:S281 S283:S445 S447:S482 S484:S567 S569:S733</xm:sqref>
        </x14:dataValidation>
        <x14:dataValidation type="list" allowBlank="1" showInputMessage="1" showErrorMessage="1" xr:uid="{FD11EA40-1DEB-4AF5-93D3-E94FACD88A86}">
          <x14:formula1>
            <xm:f>Categories!$E$2:$E$8</xm:f>
          </x14:formula1>
          <xm:sqref>T6 T20:T60 T62 T64:T67 T69:T81 T83:T201 T203:T232 T234:T281 T283:T445 T447:T482 T484:T567 T569:T733</xm:sqref>
        </x14:dataValidation>
        <x14:dataValidation type="list" allowBlank="1" showInputMessage="1" showErrorMessage="1" xr:uid="{16EB3114-DCB6-4452-9A35-A8288A621826}">
          <x14:formula1>
            <xm:f>Categories!$G$2:$G$8</xm:f>
          </x14:formula1>
          <xm:sqref>U6</xm:sqref>
        </x14:dataValidation>
        <x14:dataValidation type="list" allowBlank="1" showInputMessage="1" showErrorMessage="1" xr:uid="{156A5100-BBF7-4C9D-A0A3-6FBE8BC90825}">
          <x14:formula1>
            <xm:f>Categories!$D$2:$D$37</xm:f>
          </x14:formula1>
          <xm:sqref>R2:R29 R31 R33:R35 R37:R44 R56:R57 R46:R52 R54 R375</xm:sqref>
        </x14:dataValidation>
        <x14:dataValidation type="list" allowBlank="1" showInputMessage="1" showErrorMessage="1" xr:uid="{83A9F75D-6A02-466C-9409-3B8AC12BAA6F}">
          <x14:formula1>
            <xm:f>Categories!$G$2:$G$5</xm:f>
          </x14:formula1>
          <xm:sqref>U5</xm:sqref>
        </x14:dataValidation>
        <x14:dataValidation type="list" allowBlank="1" showInputMessage="1" showErrorMessage="1" xr:uid="{90771F5C-CEBD-4BE1-9678-1FA6FB7EE046}">
          <x14:formula1>
            <xm:f>Categories!$C$2:$C$56</xm:f>
          </x14:formula1>
          <xm:sqref>Q55 Q234:Q253 Q58:Q60 Q62 Q64:Q67 Q69:Q81 Q83:Q201 Q203:Q232</xm:sqref>
        </x14:dataValidation>
        <x14:dataValidation type="list" allowBlank="1" showInputMessage="1" showErrorMessage="1" xr:uid="{FDF3D630-545A-4A67-9017-8F7C26D70D05}">
          <x14:formula1>
            <xm:f>Categories!$H$1:$H$34</xm:f>
          </x14:formula1>
          <xm:sqref>V55 V58:V60 V62 V64:V67 V69:V81 V83:V201 V203:V226</xm:sqref>
        </x14:dataValidation>
        <x14:dataValidation type="list" showInputMessage="1" showErrorMessage="1" xr:uid="{5F42C13A-BBD4-4F6C-8C7E-CEB170DB8BD8}">
          <x14:formula1>
            <xm:f>Categories!$A$2:$A$46</xm:f>
          </x14:formula1>
          <xm:sqref>O2:O60 O62 O64:O67 O69:O81 O83:O198</xm:sqref>
        </x14:dataValidation>
        <x14:dataValidation type="list" allowBlank="1" showInputMessage="1" showErrorMessage="1" xr:uid="{D5EE975A-F1AC-4062-B526-ADBDE47FE111}">
          <x14:formula1>
            <xm:f>Categories!$G$2:$G$6</xm:f>
          </x14:formula1>
          <xm:sqref>U20:U60 U62 U64:U67 U69:U81 U83:U201 U203:U232 U234:U281 U283:U445 U447:U482 U484:U567 U569:U733</xm:sqref>
        </x14:dataValidation>
        <x14:dataValidation type="list" allowBlank="1" showInputMessage="1" showErrorMessage="1" xr:uid="{4375EE34-7FB4-4093-BF8F-68B415E41CE3}">
          <x14:formula1>
            <xm:f>Categories!$B$2:$B$46</xm:f>
          </x14:formula1>
          <xm:sqref>P2:P26 P28:P30 P56:P57 P54 P39:P52 P32:P37</xm:sqref>
        </x14:dataValidation>
        <x14:dataValidation type="list" allowBlank="1" showInputMessage="1" showErrorMessage="1" xr:uid="{FD4E2E49-FE7E-425C-9CDA-A397F623ACC2}">
          <x14:formula1>
            <xm:f>Categories!$B$2:$B$50</xm:f>
          </x14:formula1>
          <xm:sqref>P27</xm:sqref>
        </x14:dataValidation>
        <x14:dataValidation type="list" allowBlank="1" showInputMessage="1" showErrorMessage="1" xr:uid="{44DD015A-264D-4134-A3F6-0320A826C882}">
          <x14:formula1>
            <xm:f>Categories!$D$2:$D$47</xm:f>
          </x14:formula1>
          <xm:sqref>R30 R53 R58 R45 R32 R36</xm:sqref>
        </x14:dataValidation>
        <x14:dataValidation type="list" allowBlank="1" showInputMessage="1" showErrorMessage="1" xr:uid="{BBE89366-C91D-4412-B893-F87CB275D15D}">
          <x14:formula1>
            <xm:f>Categories!$B$2:$B$55</xm:f>
          </x14:formula1>
          <xm:sqref>P31</xm:sqref>
        </x14:dataValidation>
        <x14:dataValidation type="list" allowBlank="1" showInputMessage="1" showErrorMessage="1" xr:uid="{1A940761-F5F9-42F9-A3EE-F9EFC6FC76D0}">
          <x14:formula1>
            <xm:f>Categories!$B$2:$B$56</xm:f>
          </x14:formula1>
          <xm:sqref>P38 P53</xm:sqref>
        </x14:dataValidation>
        <x14:dataValidation type="list" allowBlank="1" showInputMessage="1" showErrorMessage="1" xr:uid="{70593805-5DAC-4873-A06F-67C85C24F2B0}">
          <x14:formula1>
            <xm:f>Categories!$B$2:$B$66</xm:f>
          </x14:formula1>
          <xm:sqref>P55 P64:P67 P62 P58:P60 P69:P75 P77:P81 P83:P187</xm:sqref>
        </x14:dataValidation>
        <x14:dataValidation type="list" allowBlank="1" showInputMessage="1" showErrorMessage="1" xr:uid="{21A32ED1-8F8F-4540-BF96-06DC3B948D14}">
          <x14:formula1>
            <xm:f>Categories!$D$2:$D$57</xm:f>
          </x14:formula1>
          <xm:sqref>R55 R64:R67 R62 R59:R60 R69:R81 R83:R201 R203:R232 R234:R281 R283:R374 R376:R445 R447:R482 R484:R557 R559 R562:R563 R566:R567 R570:R571 R575 R579:R583 R585:R587 R590:R596 R598:R601 R606:R607 R609:R610 R612 R614 R616 R618 R621:R624 R628:R630 R633 R636:R637 R639:R644 R646:R649 R651 R655:R657 R660 R662:R664 R669 R671 R674:R675 R680 R683 R687:R689 R691 R695 R699:R704 R706 R709:R710 R715 R717 R719 R722 R727 R731</xm:sqref>
        </x14:dataValidation>
        <x14:dataValidation type="list" allowBlank="1" showInputMessage="1" showErrorMessage="1" xr:uid="{217C5DCE-472F-4B39-B4D8-246EE0234448}">
          <x14:formula1>
            <xm:f>Categories!$B$2:$B$86</xm:f>
          </x14:formula1>
          <xm:sqref>P188:P201 P203:P232 P234:P269</xm:sqref>
        </x14:dataValidation>
        <x14:dataValidation type="list" showInputMessage="1" showErrorMessage="1" xr:uid="{24EAB343-9EF0-47A7-92BF-C2934078B380}">
          <x14:formula1>
            <xm:f>Categories!$A$2:$A$66</xm:f>
          </x14:formula1>
          <xm:sqref>O199:O201 O203:O232 O234:O281 O283:O445 O447:O482 O484:O567 O569:O610 O612:O733</xm:sqref>
        </x14:dataValidation>
        <x14:dataValidation type="list" allowBlank="1" showInputMessage="1" showErrorMessage="1" xr:uid="{434B6091-14BD-439E-A8E4-5305F7DEA157}">
          <x14:formula1>
            <xm:f>Categories!$H$1:$H$44</xm:f>
          </x14:formula1>
          <xm:sqref>V227:V232 V234:V281 V283:V445 V447:V482 V484:V567 V569:V733</xm:sqref>
        </x14:dataValidation>
        <x14:dataValidation type="list" allowBlank="1" showInputMessage="1" showErrorMessage="1" xr:uid="{09D411D6-320B-42D2-B15C-DFDF08E2C9B9}">
          <x14:formula1>
            <xm:f>Categories!$C$2:$C$76</xm:f>
          </x14:formula1>
          <xm:sqref>Q254:Q281 Q283:Q361 Q363:Q445 Q447:Q482 Q484:Q520 Q522:Q567 Q569:Q572 Q575 Q579:Q583 Q585:Q587 Q590:Q596 Q598:Q601 Q606:Q607 Q609:Q610 Q612 Q614 Q616 Q618 Q621:Q624 Q628:Q630 Q633 Q636:Q637 Q639:Q644 Q646:Q649 Q651 Q655:Q657 Q660 Q662:Q664 Q669 Q671 Q674:Q675 Q680 Q683 Q687:Q689 Q691 Q695 Q699:Q704 Q706 Q709:Q710 Q715 Q717 Q719 Q722 Q727 Q731</xm:sqref>
        </x14:dataValidation>
        <x14:dataValidation type="list" allowBlank="1" showInputMessage="1" showErrorMessage="1" xr:uid="{6E1364CE-8623-425B-9608-1CC9FC0CE53E}">
          <x14:formula1>
            <xm:f>Categories!$B$2:$B$106</xm:f>
          </x14:formula1>
          <xm:sqref>P270:P281 P283:P393</xm:sqref>
        </x14:dataValidation>
        <x14:dataValidation type="list" allowBlank="1" showInputMessage="1" showErrorMessage="1" xr:uid="{0C268859-2C7C-45F2-B425-89E3B5D5BE8F}">
          <x14:formula1>
            <xm:f>Categories!$C$2:$C$96</xm:f>
          </x14:formula1>
          <xm:sqref>Q362 Q573:Q574 Q576:Q578 Q584 Q588:Q589 Q597 Q602:Q605 Q608 Q611 Q613 Q615 Q617 Q619:Q620 Q625:Q627 Q631:Q632 Q634:Q635 Q638 Q645 Q650 Q652:Q654 Q658:Q659 Q661 Q665:Q668 Q670 Q672:Q673 Q676:Q679 Q732:Q733 Q684:Q686 Q690 Q692:Q694 Q696:Q698 Q705 Q707:Q708 Q711:Q714 Q716 Q718 Q720:Q721 Q723:Q726 Q728:Q730 Q681 Q682</xm:sqref>
        </x14:dataValidation>
        <x14:dataValidation type="list" allowBlank="1" showInputMessage="1" showErrorMessage="1" xr:uid="{B54A1E3C-D56C-42A5-9298-8235A19462D7}">
          <x14:formula1>
            <xm:f>Categories!$B$2:$B$136</xm:f>
          </x14:formula1>
          <xm:sqref>P394:P445 P447:P482 P484:P567 P569:P733</xm:sqref>
        </x14:dataValidation>
        <x14:dataValidation type="list" allowBlank="1" showInputMessage="1" showErrorMessage="1" xr:uid="{71C90E64-295E-4540-BCDB-9AC6DD55449E}">
          <x14:formula1>
            <xm:f>Categories!$C$2:$C$130</xm:f>
          </x14:formula1>
          <xm:sqref>Q521</xm:sqref>
        </x14:dataValidation>
        <x14:dataValidation type="list" allowBlank="1" showInputMessage="1" showErrorMessage="1" xr:uid="{8ADA8938-88F4-4D21-A0C3-BF8868E30E34}">
          <x14:formula1>
            <xm:f>Categories!$D$2:$D$67</xm:f>
          </x14:formula1>
          <xm:sqref>R558 R560:R561 R564:R565 R572:R574 R576:R578 R584 R588:R589 R597 R602:R605 R608 R611 R613 R615 R617 R619:R620 R625:R627 R631:R632 R634:R635 R638 R645 R650 R652:R654 R658:R659 R661 R665:R668 R670 R672:R673 R676:R679 R681:R682 R684:R686 R690 R692:R694 R696:R698 R705 R707:R708 R711:R714 R716 R718 R720:R721 R723:R726 R728:R730 R732:R733 R569</xm:sqref>
        </x14:dataValidation>
        <x14:dataValidation type="list" showInputMessage="1" showErrorMessage="1" xr:uid="{B5055E9B-3DC6-45F7-9974-8F7FC8A6C55D}">
          <x14:formula1>
            <xm:f>Categories!$A$2:$A$74</xm:f>
          </x14:formula1>
          <xm:sqref>O611</xm:sqref>
        </x14:dataValidation>
        <x14:dataValidation type="list" allowBlank="1" showInputMessage="1" showErrorMessage="1" xr:uid="{FC8FF0B9-BD9E-4742-ABD7-B685C9CF1111}">
          <x14:formula1>
            <xm:f>Categories!#REF!</xm:f>
          </x14:formula1>
          <xm:sqref>AA2:AA10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10"/>
  <dimension ref="A1:D28"/>
  <sheetViews>
    <sheetView workbookViewId="0">
      <selection activeCell="A28" sqref="A28"/>
    </sheetView>
  </sheetViews>
  <sheetFormatPr baseColWidth="10" defaultRowHeight="15" x14ac:dyDescent="0.25"/>
  <cols>
    <col min="1" max="1" width="12.5703125" bestFit="1" customWidth="1"/>
    <col min="4" max="4" width="11.85546875" bestFit="1" customWidth="1"/>
  </cols>
  <sheetData>
    <row r="1" spans="1:4" x14ac:dyDescent="0.25">
      <c r="A1" s="7">
        <v>10.571428571428571</v>
      </c>
    </row>
    <row r="2" spans="1:4" x14ac:dyDescent="0.25">
      <c r="A2" s="7">
        <v>3.25</v>
      </c>
    </row>
    <row r="3" spans="1:4" x14ac:dyDescent="0.25">
      <c r="A3" s="7">
        <v>4</v>
      </c>
    </row>
    <row r="4" spans="1:4" x14ac:dyDescent="0.25">
      <c r="A4" s="7">
        <v>2.8571428571428572</v>
      </c>
      <c r="C4">
        <v>1</v>
      </c>
      <c r="D4">
        <f>QUARTILE(A1:A28,C4)</f>
        <v>0.46875</v>
      </c>
    </row>
    <row r="5" spans="1:4" x14ac:dyDescent="0.25">
      <c r="A5" s="7">
        <v>3.8</v>
      </c>
      <c r="C5">
        <v>2</v>
      </c>
      <c r="D5">
        <f>QUARTILE(A2:A29,C5)</f>
        <v>1</v>
      </c>
    </row>
    <row r="6" spans="1:4" x14ac:dyDescent="0.25">
      <c r="A6" s="7">
        <v>2</v>
      </c>
      <c r="C6">
        <v>3</v>
      </c>
      <c r="D6">
        <f>QUARTILE(A3:A30,C6)</f>
        <v>1.875</v>
      </c>
    </row>
    <row r="7" spans="1:4" x14ac:dyDescent="0.25">
      <c r="A7" s="7">
        <v>4</v>
      </c>
      <c r="C7">
        <v>4</v>
      </c>
      <c r="D7">
        <f>QUARTILE(A4:A31,C7)</f>
        <v>4</v>
      </c>
    </row>
    <row r="8" spans="1:4" x14ac:dyDescent="0.25">
      <c r="A8" s="7">
        <v>1.5</v>
      </c>
    </row>
    <row r="9" spans="1:4" x14ac:dyDescent="0.25">
      <c r="A9" s="7">
        <v>1.1111111111111112</v>
      </c>
    </row>
    <row r="10" spans="1:4" x14ac:dyDescent="0.25">
      <c r="A10" s="7">
        <v>1.3333333333333333</v>
      </c>
    </row>
    <row r="11" spans="1:4" x14ac:dyDescent="0.25">
      <c r="A11" s="7">
        <v>2</v>
      </c>
    </row>
    <row r="12" spans="1:4" x14ac:dyDescent="0.25">
      <c r="A12" s="7">
        <v>2</v>
      </c>
    </row>
    <row r="13" spans="1:4" x14ac:dyDescent="0.25">
      <c r="A13" s="7">
        <v>1.5</v>
      </c>
    </row>
    <row r="14" spans="1:4" x14ac:dyDescent="0.25">
      <c r="A14" s="7">
        <v>1</v>
      </c>
    </row>
    <row r="15" spans="1:4" x14ac:dyDescent="0.25">
      <c r="A15" s="7">
        <v>0.66666666666666663</v>
      </c>
    </row>
    <row r="16" spans="1:4" x14ac:dyDescent="0.25">
      <c r="A16" s="7">
        <v>1.3333333333333333</v>
      </c>
    </row>
    <row r="17" spans="1:1" x14ac:dyDescent="0.25">
      <c r="A17" s="7">
        <v>0.6</v>
      </c>
    </row>
    <row r="18" spans="1:1" x14ac:dyDescent="0.25">
      <c r="A18" s="7">
        <v>0.375</v>
      </c>
    </row>
    <row r="19" spans="1:1" x14ac:dyDescent="0.25">
      <c r="A19" s="7">
        <v>0.33333333333333331</v>
      </c>
    </row>
    <row r="20" spans="1:1" x14ac:dyDescent="0.25">
      <c r="A20" s="7">
        <v>0.66666666666666663</v>
      </c>
    </row>
    <row r="21" spans="1:1" x14ac:dyDescent="0.25">
      <c r="A21" s="7">
        <v>0.66666666666666663</v>
      </c>
    </row>
    <row r="22" spans="1:1" x14ac:dyDescent="0.25">
      <c r="A22" s="7">
        <v>1</v>
      </c>
    </row>
    <row r="23" spans="1:1" x14ac:dyDescent="0.25">
      <c r="A23" s="7">
        <v>0.2</v>
      </c>
    </row>
    <row r="24" spans="1:1" x14ac:dyDescent="0.25">
      <c r="A24" s="7">
        <v>0.16666666666666666</v>
      </c>
    </row>
    <row r="25" spans="1:1" x14ac:dyDescent="0.25">
      <c r="A25" s="7">
        <v>0.25</v>
      </c>
    </row>
    <row r="26" spans="1:1" x14ac:dyDescent="0.25">
      <c r="A26" s="7">
        <v>0.25</v>
      </c>
    </row>
    <row r="27" spans="1:1" x14ac:dyDescent="0.25">
      <c r="A27" s="7">
        <v>0.5</v>
      </c>
    </row>
    <row r="28" spans="1:1" x14ac:dyDescent="0.25">
      <c r="A28" s="7">
        <v>0.16666666666666666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8496-40D3-472B-9E38-0DFB6FC7D10D}">
  <sheetPr codeName="Hoja1"/>
  <dimension ref="A1:G276"/>
  <sheetViews>
    <sheetView workbookViewId="0">
      <selection activeCell="C97" sqref="C97"/>
    </sheetView>
  </sheetViews>
  <sheetFormatPr baseColWidth="10" defaultRowHeight="15" x14ac:dyDescent="0.25"/>
  <cols>
    <col min="1" max="1" width="35.7109375" customWidth="1"/>
    <col min="3" max="3" width="59.28515625" bestFit="1" customWidth="1"/>
    <col min="5" max="5" width="95.85546875" bestFit="1" customWidth="1"/>
    <col min="7" max="7" width="30.5703125" bestFit="1" customWidth="1"/>
  </cols>
  <sheetData>
    <row r="1" spans="1:7" x14ac:dyDescent="0.25">
      <c r="A1" s="60" t="s">
        <v>3262</v>
      </c>
      <c r="C1" s="55" t="s">
        <v>3152</v>
      </c>
      <c r="E1" s="55" t="s">
        <v>3149</v>
      </c>
      <c r="G1" s="55" t="s">
        <v>47</v>
      </c>
    </row>
    <row r="2" spans="1:7" x14ac:dyDescent="0.25">
      <c r="A2" s="51" t="s">
        <v>3157</v>
      </c>
      <c r="C2" s="51" t="s">
        <v>3187</v>
      </c>
      <c r="E2" s="51" t="s">
        <v>3254</v>
      </c>
      <c r="G2" s="51" t="s">
        <v>3248</v>
      </c>
    </row>
    <row r="3" spans="1:7" x14ac:dyDescent="0.25">
      <c r="A3" s="52" t="s">
        <v>3244</v>
      </c>
      <c r="C3" s="52" t="s">
        <v>3265</v>
      </c>
      <c r="E3" s="52" t="s">
        <v>3210</v>
      </c>
      <c r="G3" s="52" t="s">
        <v>3243</v>
      </c>
    </row>
    <row r="4" spans="1:7" x14ac:dyDescent="0.25">
      <c r="A4" s="51" t="s">
        <v>3268</v>
      </c>
      <c r="C4" s="51" t="s">
        <v>3269</v>
      </c>
      <c r="E4" s="51" t="s">
        <v>3266</v>
      </c>
      <c r="G4" s="51" t="s">
        <v>3256</v>
      </c>
    </row>
    <row r="5" spans="1:7" x14ac:dyDescent="0.25">
      <c r="A5" s="52" t="s">
        <v>3157</v>
      </c>
      <c r="C5" s="52" t="s">
        <v>3173</v>
      </c>
      <c r="E5" s="52" t="s">
        <v>3203</v>
      </c>
      <c r="G5" s="51" t="s">
        <v>3277</v>
      </c>
    </row>
    <row r="6" spans="1:7" x14ac:dyDescent="0.25">
      <c r="A6" s="51" t="s">
        <v>3157</v>
      </c>
      <c r="C6" s="51" t="s">
        <v>3183</v>
      </c>
      <c r="E6" s="52" t="s">
        <v>3404</v>
      </c>
      <c r="G6" s="52" t="s">
        <v>3274</v>
      </c>
    </row>
    <row r="7" spans="1:7" x14ac:dyDescent="0.25">
      <c r="A7" s="52" t="s">
        <v>3273</v>
      </c>
      <c r="C7" s="52" t="s">
        <v>3275</v>
      </c>
      <c r="E7" s="51" t="s">
        <v>3285</v>
      </c>
      <c r="G7" s="51" t="s">
        <v>3284</v>
      </c>
    </row>
    <row r="8" spans="1:7" x14ac:dyDescent="0.25">
      <c r="A8" s="51" t="s">
        <v>3282</v>
      </c>
      <c r="C8" s="51" t="s">
        <v>3287</v>
      </c>
      <c r="E8" s="52" t="s">
        <v>3209</v>
      </c>
      <c r="G8" s="52" t="s">
        <v>3236</v>
      </c>
    </row>
    <row r="9" spans="1:7" x14ac:dyDescent="0.25">
      <c r="A9" s="52" t="s">
        <v>3288</v>
      </c>
      <c r="C9" s="52" t="s">
        <v>3289</v>
      </c>
      <c r="E9" s="51" t="s">
        <v>3291</v>
      </c>
      <c r="G9" s="51" t="s">
        <v>3228</v>
      </c>
    </row>
    <row r="10" spans="1:7" x14ac:dyDescent="0.25">
      <c r="A10" s="51" t="s">
        <v>3244</v>
      </c>
      <c r="C10" s="52" t="s">
        <v>3295</v>
      </c>
      <c r="E10" s="52" t="s">
        <v>3294</v>
      </c>
      <c r="G10" s="51" t="s">
        <v>3237</v>
      </c>
    </row>
    <row r="11" spans="1:7" x14ac:dyDescent="0.25">
      <c r="A11" s="52" t="s">
        <v>3282</v>
      </c>
      <c r="C11" s="51" t="s">
        <v>3301</v>
      </c>
      <c r="E11" s="51" t="s">
        <v>3300</v>
      </c>
      <c r="G11" s="52" t="s">
        <v>3257</v>
      </c>
    </row>
    <row r="12" spans="1:7" x14ac:dyDescent="0.25">
      <c r="A12" s="51" t="s">
        <v>3157</v>
      </c>
      <c r="C12" s="52" t="s">
        <v>3305</v>
      </c>
      <c r="E12" s="52" t="s">
        <v>3303</v>
      </c>
      <c r="G12" s="51"/>
    </row>
    <row r="13" spans="1:7" x14ac:dyDescent="0.25">
      <c r="A13" s="52" t="s">
        <v>3244</v>
      </c>
      <c r="C13" s="51"/>
      <c r="E13" s="51"/>
      <c r="G13" s="52" t="s">
        <v>3232</v>
      </c>
    </row>
    <row r="14" spans="1:7" x14ac:dyDescent="0.25">
      <c r="A14" s="51"/>
      <c r="C14" s="52" t="s">
        <v>3198</v>
      </c>
      <c r="E14" s="52" t="s">
        <v>3308</v>
      </c>
      <c r="G14" s="52" t="s">
        <v>3318</v>
      </c>
    </row>
    <row r="15" spans="1:7" x14ac:dyDescent="0.25">
      <c r="A15" s="52" t="s">
        <v>3306</v>
      </c>
      <c r="C15" s="51" t="s">
        <v>3184</v>
      </c>
      <c r="E15" s="51" t="s">
        <v>3310</v>
      </c>
      <c r="G15" s="51" t="s">
        <v>3322</v>
      </c>
    </row>
    <row r="16" spans="1:7" x14ac:dyDescent="0.25">
      <c r="A16" s="51" t="s">
        <v>3311</v>
      </c>
      <c r="C16" s="52" t="s">
        <v>3313</v>
      </c>
      <c r="E16" s="52" t="s">
        <v>3314</v>
      </c>
      <c r="G16" s="52" t="s">
        <v>3327</v>
      </c>
    </row>
    <row r="17" spans="1:7" x14ac:dyDescent="0.25">
      <c r="A17" s="52" t="s">
        <v>3157</v>
      </c>
      <c r="C17" s="51" t="s">
        <v>3199</v>
      </c>
      <c r="E17" s="51" t="s">
        <v>3207</v>
      </c>
      <c r="G17" s="51" t="s">
        <v>3332</v>
      </c>
    </row>
    <row r="18" spans="1:7" x14ac:dyDescent="0.25">
      <c r="A18" s="51" t="s">
        <v>3283</v>
      </c>
      <c r="C18" s="52" t="s">
        <v>3181</v>
      </c>
      <c r="E18" s="52" t="s">
        <v>3204</v>
      </c>
      <c r="G18" s="52" t="s">
        <v>3265</v>
      </c>
    </row>
    <row r="19" spans="1:7" x14ac:dyDescent="0.25">
      <c r="A19" s="52" t="s">
        <v>3244</v>
      </c>
      <c r="C19" s="51" t="s">
        <v>3324</v>
      </c>
      <c r="E19" s="52" t="s">
        <v>3258</v>
      </c>
      <c r="G19" s="51" t="s">
        <v>3229</v>
      </c>
    </row>
    <row r="20" spans="1:7" x14ac:dyDescent="0.25">
      <c r="A20" s="51" t="s">
        <v>3325</v>
      </c>
      <c r="C20" s="52" t="s">
        <v>3329</v>
      </c>
      <c r="E20" s="51" t="s">
        <v>3202</v>
      </c>
      <c r="G20" s="51" t="s">
        <v>3341</v>
      </c>
    </row>
    <row r="21" spans="1:7" x14ac:dyDescent="0.25">
      <c r="A21" s="52" t="s">
        <v>3328</v>
      </c>
      <c r="C21" s="52" t="s">
        <v>3334</v>
      </c>
      <c r="E21" s="52" t="s">
        <v>3337</v>
      </c>
      <c r="G21" s="52" t="s">
        <v>3312</v>
      </c>
    </row>
    <row r="22" spans="1:7" x14ac:dyDescent="0.25">
      <c r="A22" s="51" t="s">
        <v>3331</v>
      </c>
      <c r="C22" s="51" t="s">
        <v>3174</v>
      </c>
      <c r="E22" s="52" t="s">
        <v>3343</v>
      </c>
      <c r="G22" s="51" t="s">
        <v>3227</v>
      </c>
    </row>
    <row r="23" spans="1:7" x14ac:dyDescent="0.25">
      <c r="A23" s="52" t="s">
        <v>3244</v>
      </c>
      <c r="C23" s="51" t="s">
        <v>3190</v>
      </c>
      <c r="E23" s="52" t="s">
        <v>3350</v>
      </c>
      <c r="G23" s="51" t="s">
        <v>3239</v>
      </c>
    </row>
    <row r="24" spans="1:7" x14ac:dyDescent="0.25">
      <c r="A24" s="51" t="s">
        <v>3264</v>
      </c>
      <c r="C24" s="51" t="s">
        <v>3191</v>
      </c>
      <c r="E24" s="52" t="s">
        <v>3253</v>
      </c>
      <c r="G24" s="51" t="s">
        <v>3238</v>
      </c>
    </row>
    <row r="25" spans="1:7" x14ac:dyDescent="0.25">
      <c r="A25" s="52" t="s">
        <v>3157</v>
      </c>
      <c r="C25" s="52" t="s">
        <v>3342</v>
      </c>
      <c r="E25" s="51" t="s">
        <v>3357</v>
      </c>
      <c r="G25" s="52" t="s">
        <v>3356</v>
      </c>
    </row>
    <row r="26" spans="1:7" x14ac:dyDescent="0.25">
      <c r="A26" s="51" t="s">
        <v>3157</v>
      </c>
      <c r="C26" s="52" t="s">
        <v>3201</v>
      </c>
      <c r="E26" s="52" t="s">
        <v>3360</v>
      </c>
      <c r="G26" s="51" t="s">
        <v>3231</v>
      </c>
    </row>
    <row r="27" spans="1:7" x14ac:dyDescent="0.25">
      <c r="A27" s="52"/>
      <c r="C27" s="51" t="s">
        <v>3353</v>
      </c>
      <c r="E27" s="51" t="s">
        <v>3361</v>
      </c>
      <c r="G27" s="52" t="s">
        <v>3374</v>
      </c>
    </row>
    <row r="28" spans="1:7" x14ac:dyDescent="0.25">
      <c r="A28" s="51" t="s">
        <v>3157</v>
      </c>
      <c r="C28" s="52" t="s">
        <v>3267</v>
      </c>
      <c r="E28" s="51" t="s">
        <v>3364</v>
      </c>
      <c r="G28" s="52" t="s">
        <v>3187</v>
      </c>
    </row>
    <row r="29" spans="1:7" x14ac:dyDescent="0.25">
      <c r="A29" s="52" t="s">
        <v>3168</v>
      </c>
      <c r="C29" s="51" t="s">
        <v>3256</v>
      </c>
      <c r="E29" s="52" t="s">
        <v>3366</v>
      </c>
      <c r="G29" s="52" t="s">
        <v>3395</v>
      </c>
    </row>
    <row r="30" spans="1:7" x14ac:dyDescent="0.25">
      <c r="A30" s="51" t="s">
        <v>3157</v>
      </c>
      <c r="C30" s="51" t="s">
        <v>3362</v>
      </c>
      <c r="E30" s="52" t="s">
        <v>3369</v>
      </c>
      <c r="G30" s="52" t="s">
        <v>3235</v>
      </c>
    </row>
    <row r="31" spans="1:7" x14ac:dyDescent="0.25">
      <c r="A31" s="52" t="s">
        <v>3273</v>
      </c>
      <c r="C31" s="51" t="s">
        <v>3372</v>
      </c>
      <c r="E31" s="51" t="s">
        <v>3373</v>
      </c>
      <c r="G31" s="51" t="s">
        <v>3447</v>
      </c>
    </row>
    <row r="32" spans="1:7" x14ac:dyDescent="0.25">
      <c r="A32" s="51" t="s">
        <v>3348</v>
      </c>
      <c r="C32" s="51" t="s">
        <v>3258</v>
      </c>
      <c r="E32" s="51" t="s">
        <v>3316</v>
      </c>
      <c r="G32" s="52" t="s">
        <v>3481</v>
      </c>
    </row>
    <row r="33" spans="1:7" x14ac:dyDescent="0.25">
      <c r="A33" s="52" t="s">
        <v>3348</v>
      </c>
      <c r="C33" s="52" t="s">
        <v>3378</v>
      </c>
      <c r="E33" s="52" t="s">
        <v>3389</v>
      </c>
      <c r="G33" s="52" t="s">
        <v>3221</v>
      </c>
    </row>
    <row r="34" spans="1:7" x14ac:dyDescent="0.25">
      <c r="A34" s="51" t="s">
        <v>3352</v>
      </c>
      <c r="C34" s="51" t="s">
        <v>3380</v>
      </c>
      <c r="E34" s="51" t="s">
        <v>3393</v>
      </c>
      <c r="G34" s="52" t="s">
        <v>3504</v>
      </c>
    </row>
    <row r="35" spans="1:7" x14ac:dyDescent="0.25">
      <c r="A35" s="52" t="s">
        <v>3244</v>
      </c>
      <c r="C35" s="52" t="s">
        <v>3384</v>
      </c>
      <c r="E35" s="51" t="s">
        <v>3411</v>
      </c>
      <c r="G35" s="52" t="s">
        <v>3524</v>
      </c>
    </row>
    <row r="36" spans="1:7" x14ac:dyDescent="0.25">
      <c r="A36" s="51" t="s">
        <v>3288</v>
      </c>
      <c r="C36" s="52" t="s">
        <v>3388</v>
      </c>
      <c r="E36" s="51" t="s">
        <v>3421</v>
      </c>
      <c r="G36" s="51" t="s">
        <v>3528</v>
      </c>
    </row>
    <row r="37" spans="1:7" x14ac:dyDescent="0.25">
      <c r="A37" s="52" t="s">
        <v>3157</v>
      </c>
      <c r="C37" s="52" t="s">
        <v>3391</v>
      </c>
      <c r="E37" s="51" t="s">
        <v>3427</v>
      </c>
      <c r="G37" s="52" t="s">
        <v>3223</v>
      </c>
    </row>
    <row r="38" spans="1:7" x14ac:dyDescent="0.25">
      <c r="A38" s="51" t="s">
        <v>3328</v>
      </c>
      <c r="C38" s="51" t="s">
        <v>3394</v>
      </c>
      <c r="E38" s="52" t="s">
        <v>3429</v>
      </c>
      <c r="G38" s="51" t="s">
        <v>3345</v>
      </c>
    </row>
    <row r="39" spans="1:7" x14ac:dyDescent="0.25">
      <c r="A39" s="52" t="s">
        <v>3157</v>
      </c>
      <c r="C39" s="52" t="s">
        <v>3278</v>
      </c>
      <c r="E39" s="52" t="s">
        <v>3437</v>
      </c>
      <c r="G39" s="52" t="s">
        <v>3577</v>
      </c>
    </row>
    <row r="40" spans="1:7" x14ac:dyDescent="0.25">
      <c r="A40" s="51" t="s">
        <v>3158</v>
      </c>
      <c r="C40" s="51" t="s">
        <v>3398</v>
      </c>
      <c r="E40" s="52" t="s">
        <v>3440</v>
      </c>
      <c r="G40" s="52" t="s">
        <v>3580</v>
      </c>
    </row>
    <row r="41" spans="1:7" x14ac:dyDescent="0.25">
      <c r="A41" s="52" t="s">
        <v>3244</v>
      </c>
      <c r="C41" s="51" t="s">
        <v>3171</v>
      </c>
      <c r="E41" s="52" t="s">
        <v>3245</v>
      </c>
      <c r="G41" s="52" t="s">
        <v>3586</v>
      </c>
    </row>
    <row r="42" spans="1:7" x14ac:dyDescent="0.25">
      <c r="A42" s="51" t="s">
        <v>3157</v>
      </c>
      <c r="C42" s="52" t="s">
        <v>3182</v>
      </c>
      <c r="E42" s="51" t="s">
        <v>3452</v>
      </c>
      <c r="G42" s="52" t="s">
        <v>3587</v>
      </c>
    </row>
    <row r="43" spans="1:7" x14ac:dyDescent="0.25">
      <c r="A43" s="52" t="s">
        <v>3244</v>
      </c>
      <c r="C43" s="52" t="s">
        <v>3407</v>
      </c>
      <c r="E43" s="52" t="s">
        <v>3454</v>
      </c>
      <c r="G43" s="51" t="s">
        <v>3367</v>
      </c>
    </row>
    <row r="44" spans="1:7" x14ac:dyDescent="0.25">
      <c r="A44" s="51" t="s">
        <v>3368</v>
      </c>
      <c r="C44" s="52" t="s">
        <v>3351</v>
      </c>
      <c r="E44" s="51" t="s">
        <v>3466</v>
      </c>
      <c r="G44" s="52" t="s">
        <v>3608</v>
      </c>
    </row>
    <row r="45" spans="1:7" x14ac:dyDescent="0.25">
      <c r="A45" s="52" t="s">
        <v>3368</v>
      </c>
      <c r="C45" s="52" t="s">
        <v>3420</v>
      </c>
      <c r="E45" s="52" t="s">
        <v>3476</v>
      </c>
      <c r="G45" s="51" t="s">
        <v>3214</v>
      </c>
    </row>
    <row r="46" spans="1:7" x14ac:dyDescent="0.25">
      <c r="A46" s="51" t="s">
        <v>3371</v>
      </c>
      <c r="C46" s="51" t="s">
        <v>3176</v>
      </c>
      <c r="E46" s="51" t="s">
        <v>3478</v>
      </c>
      <c r="G46" s="52" t="s">
        <v>3215</v>
      </c>
    </row>
    <row r="47" spans="1:7" x14ac:dyDescent="0.25">
      <c r="A47" s="52" t="s">
        <v>3244</v>
      </c>
      <c r="C47" s="51" t="s">
        <v>3423</v>
      </c>
      <c r="E47" s="52" t="s">
        <v>3479</v>
      </c>
      <c r="G47" s="52" t="s">
        <v>3623</v>
      </c>
    </row>
    <row r="48" spans="1:7" x14ac:dyDescent="0.25">
      <c r="A48" s="51" t="s">
        <v>3244</v>
      </c>
      <c r="C48" s="51" t="s">
        <v>3425</v>
      </c>
      <c r="E48" s="52" t="s">
        <v>3485</v>
      </c>
      <c r="G48" s="51" t="s">
        <v>3234</v>
      </c>
    </row>
    <row r="49" spans="1:7" x14ac:dyDescent="0.25">
      <c r="A49" s="52" t="s">
        <v>3376</v>
      </c>
      <c r="C49" s="52" t="s">
        <v>3432</v>
      </c>
      <c r="E49" s="51" t="s">
        <v>3491</v>
      </c>
      <c r="G49" s="51" t="s">
        <v>3626</v>
      </c>
    </row>
    <row r="50" spans="1:7" x14ac:dyDescent="0.25">
      <c r="A50" s="51" t="s">
        <v>3157</v>
      </c>
      <c r="C50" s="52" t="s">
        <v>3435</v>
      </c>
      <c r="E50" s="51" t="s">
        <v>3498</v>
      </c>
    </row>
    <row r="51" spans="1:7" x14ac:dyDescent="0.25">
      <c r="A51" s="52" t="s">
        <v>3157</v>
      </c>
      <c r="C51" s="52" t="s">
        <v>3441</v>
      </c>
      <c r="E51" s="52" t="s">
        <v>3500</v>
      </c>
    </row>
    <row r="52" spans="1:7" x14ac:dyDescent="0.25">
      <c r="A52" s="51" t="s">
        <v>3157</v>
      </c>
      <c r="C52" s="51" t="s">
        <v>3189</v>
      </c>
      <c r="E52" s="52" t="s">
        <v>3505</v>
      </c>
    </row>
    <row r="53" spans="1:7" x14ac:dyDescent="0.25">
      <c r="A53" s="52" t="s">
        <v>3244</v>
      </c>
      <c r="C53" s="52" t="s">
        <v>3442</v>
      </c>
      <c r="E53" s="51" t="s">
        <v>3507</v>
      </c>
    </row>
    <row r="54" spans="1:7" x14ac:dyDescent="0.25">
      <c r="A54" s="51" t="s">
        <v>3157</v>
      </c>
      <c r="C54" s="51" t="s">
        <v>3439</v>
      </c>
      <c r="E54" s="52" t="s">
        <v>3510</v>
      </c>
    </row>
    <row r="55" spans="1:7" x14ac:dyDescent="0.25">
      <c r="A55" s="52" t="s">
        <v>3383</v>
      </c>
      <c r="C55" s="52" t="s">
        <v>3453</v>
      </c>
      <c r="E55" s="52" t="s">
        <v>3514</v>
      </c>
    </row>
    <row r="56" spans="1:7" x14ac:dyDescent="0.25">
      <c r="A56" s="51"/>
      <c r="C56" s="51" t="s">
        <v>3460</v>
      </c>
      <c r="E56" s="52" t="s">
        <v>3518</v>
      </c>
    </row>
    <row r="57" spans="1:7" x14ac:dyDescent="0.25">
      <c r="A57" s="52" t="s">
        <v>3385</v>
      </c>
      <c r="C57" s="52" t="s">
        <v>3461</v>
      </c>
      <c r="E57" s="52" t="s">
        <v>3522</v>
      </c>
    </row>
    <row r="58" spans="1:7" x14ac:dyDescent="0.25">
      <c r="A58" s="51" t="s">
        <v>3386</v>
      </c>
      <c r="C58" s="51" t="s">
        <v>3462</v>
      </c>
      <c r="E58" s="52" t="s">
        <v>3279</v>
      </c>
    </row>
    <row r="59" spans="1:7" x14ac:dyDescent="0.25">
      <c r="A59" s="52" t="s">
        <v>3387</v>
      </c>
      <c r="C59" s="52" t="s">
        <v>3465</v>
      </c>
      <c r="E59" s="52" t="s">
        <v>3534</v>
      </c>
    </row>
    <row r="60" spans="1:7" x14ac:dyDescent="0.25">
      <c r="A60" s="51"/>
      <c r="C60" s="51" t="s">
        <v>3468</v>
      </c>
      <c r="E60" s="52" t="s">
        <v>3537</v>
      </c>
    </row>
    <row r="61" spans="1:7" x14ac:dyDescent="0.25">
      <c r="A61" s="52" t="s">
        <v>3264</v>
      </c>
      <c r="C61" s="52" t="s">
        <v>3469</v>
      </c>
      <c r="E61" s="51" t="s">
        <v>3539</v>
      </c>
    </row>
    <row r="62" spans="1:7" x14ac:dyDescent="0.25">
      <c r="A62" s="51" t="s">
        <v>3328</v>
      </c>
      <c r="C62" s="52" t="s">
        <v>3472</v>
      </c>
      <c r="E62" s="51" t="s">
        <v>3546</v>
      </c>
    </row>
    <row r="63" spans="1:7" x14ac:dyDescent="0.25">
      <c r="A63" s="52" t="s">
        <v>3157</v>
      </c>
      <c r="C63" s="51" t="s">
        <v>3474</v>
      </c>
      <c r="E63" s="52" t="s">
        <v>3549</v>
      </c>
    </row>
    <row r="64" spans="1:7" x14ac:dyDescent="0.25">
      <c r="A64" s="51" t="s">
        <v>3157</v>
      </c>
      <c r="C64" s="51" t="s">
        <v>3477</v>
      </c>
      <c r="E64" s="51" t="s">
        <v>3552</v>
      </c>
    </row>
    <row r="65" spans="1:5" x14ac:dyDescent="0.25">
      <c r="A65" s="52" t="s">
        <v>3386</v>
      </c>
      <c r="C65" s="52" t="s">
        <v>3480</v>
      </c>
      <c r="E65" s="52" t="s">
        <v>3559</v>
      </c>
    </row>
    <row r="66" spans="1:5" x14ac:dyDescent="0.25">
      <c r="A66" s="51" t="s">
        <v>3397</v>
      </c>
      <c r="C66" s="51" t="s">
        <v>3487</v>
      </c>
      <c r="E66" s="52" t="s">
        <v>3563</v>
      </c>
    </row>
    <row r="67" spans="1:5" x14ac:dyDescent="0.25">
      <c r="A67" s="52"/>
      <c r="C67" s="52" t="s">
        <v>3490</v>
      </c>
      <c r="E67" s="51" t="s">
        <v>3565</v>
      </c>
    </row>
    <row r="68" spans="1:5" x14ac:dyDescent="0.25">
      <c r="A68" s="51" t="s">
        <v>3244</v>
      </c>
      <c r="C68" s="52" t="s">
        <v>3494</v>
      </c>
      <c r="E68" s="51" t="s">
        <v>3567</v>
      </c>
    </row>
    <row r="69" spans="1:5" x14ac:dyDescent="0.25">
      <c r="A69" s="52" t="s">
        <v>3282</v>
      </c>
      <c r="C69" s="51" t="s">
        <v>3467</v>
      </c>
      <c r="E69" s="51" t="s">
        <v>3570</v>
      </c>
    </row>
    <row r="70" spans="1:5" x14ac:dyDescent="0.25">
      <c r="A70" s="51" t="s">
        <v>3387</v>
      </c>
      <c r="C70" s="51" t="s">
        <v>3497</v>
      </c>
      <c r="E70" s="51" t="s">
        <v>3575</v>
      </c>
    </row>
    <row r="71" spans="1:5" x14ac:dyDescent="0.25">
      <c r="A71" s="52" t="s">
        <v>3244</v>
      </c>
      <c r="C71" s="52" t="s">
        <v>3499</v>
      </c>
      <c r="E71" s="51" t="s">
        <v>3578</v>
      </c>
    </row>
    <row r="72" spans="1:5" x14ac:dyDescent="0.25">
      <c r="A72" s="51" t="s">
        <v>3406</v>
      </c>
      <c r="C72" s="51" t="s">
        <v>3502</v>
      </c>
      <c r="E72" s="52" t="s">
        <v>3585</v>
      </c>
    </row>
    <row r="73" spans="1:5" x14ac:dyDescent="0.25">
      <c r="A73" s="52" t="s">
        <v>3376</v>
      </c>
      <c r="C73" s="52" t="s">
        <v>3503</v>
      </c>
      <c r="E73" s="51" t="s">
        <v>3590</v>
      </c>
    </row>
    <row r="74" spans="1:5" x14ac:dyDescent="0.25">
      <c r="A74" s="51" t="s">
        <v>3409</v>
      </c>
      <c r="C74" s="51" t="s">
        <v>3506</v>
      </c>
      <c r="E74" s="52" t="s">
        <v>3601</v>
      </c>
    </row>
    <row r="75" spans="1:5" x14ac:dyDescent="0.25">
      <c r="A75" s="52" t="s">
        <v>3244</v>
      </c>
      <c r="C75" s="52" t="s">
        <v>3509</v>
      </c>
      <c r="E75" s="52" t="s">
        <v>3606</v>
      </c>
    </row>
    <row r="76" spans="1:5" x14ac:dyDescent="0.25">
      <c r="A76" s="51"/>
      <c r="C76" s="51" t="s">
        <v>3170</v>
      </c>
      <c r="E76" s="51" t="s">
        <v>3436</v>
      </c>
    </row>
    <row r="77" spans="1:5" x14ac:dyDescent="0.25">
      <c r="A77" s="52" t="s">
        <v>3410</v>
      </c>
      <c r="C77" s="52" t="s">
        <v>3196</v>
      </c>
      <c r="E77" s="51" t="s">
        <v>3615</v>
      </c>
    </row>
    <row r="78" spans="1:5" x14ac:dyDescent="0.25">
      <c r="A78" s="51" t="s">
        <v>3244</v>
      </c>
      <c r="C78" s="51" t="s">
        <v>3517</v>
      </c>
      <c r="E78" s="52" t="s">
        <v>3617</v>
      </c>
    </row>
    <row r="79" spans="1:5" x14ac:dyDescent="0.25">
      <c r="A79" s="52" t="s">
        <v>3413</v>
      </c>
      <c r="C79" s="52" t="s">
        <v>3521</v>
      </c>
      <c r="E79" s="51" t="s">
        <v>3206</v>
      </c>
    </row>
    <row r="80" spans="1:5" x14ac:dyDescent="0.25">
      <c r="A80" s="51" t="s">
        <v>3385</v>
      </c>
      <c r="C80" s="51" t="s">
        <v>3492</v>
      </c>
      <c r="E80" s="52" t="s">
        <v>3627</v>
      </c>
    </row>
    <row r="81" spans="1:5" x14ac:dyDescent="0.25">
      <c r="A81" s="52" t="s">
        <v>3160</v>
      </c>
      <c r="C81" s="52" t="s">
        <v>3526</v>
      </c>
      <c r="E81" s="52" t="s">
        <v>3637</v>
      </c>
    </row>
    <row r="82" spans="1:5" x14ac:dyDescent="0.25">
      <c r="A82" s="51" t="s">
        <v>3157</v>
      </c>
      <c r="C82" s="51" t="s">
        <v>3527</v>
      </c>
    </row>
    <row r="83" spans="1:5" x14ac:dyDescent="0.25">
      <c r="A83" s="52" t="s">
        <v>3417</v>
      </c>
      <c r="C83" s="52" t="s">
        <v>3530</v>
      </c>
    </row>
    <row r="84" spans="1:5" x14ac:dyDescent="0.25">
      <c r="A84" s="51" t="s">
        <v>3418</v>
      </c>
      <c r="C84" s="52" t="s">
        <v>3533</v>
      </c>
    </row>
    <row r="85" spans="1:5" x14ac:dyDescent="0.25">
      <c r="A85" s="52" t="s">
        <v>3413</v>
      </c>
      <c r="C85" s="51" t="s">
        <v>3536</v>
      </c>
    </row>
    <row r="86" spans="1:5" x14ac:dyDescent="0.25">
      <c r="A86" s="51" t="s">
        <v>3157</v>
      </c>
      <c r="C86" s="51" t="s">
        <v>3540</v>
      </c>
    </row>
    <row r="87" spans="1:5" x14ac:dyDescent="0.25">
      <c r="A87" s="52" t="s">
        <v>3386</v>
      </c>
      <c r="C87" s="52" t="s">
        <v>3548</v>
      </c>
    </row>
    <row r="88" spans="1:5" x14ac:dyDescent="0.25">
      <c r="A88" s="51" t="s">
        <v>3244</v>
      </c>
      <c r="C88" s="51" t="s">
        <v>3551</v>
      </c>
    </row>
    <row r="89" spans="1:5" x14ac:dyDescent="0.25">
      <c r="A89" s="52"/>
      <c r="C89" s="51" t="s">
        <v>3553</v>
      </c>
    </row>
    <row r="90" spans="1:5" x14ac:dyDescent="0.25">
      <c r="A90" s="51" t="s">
        <v>3244</v>
      </c>
      <c r="C90" s="52" t="s">
        <v>3554</v>
      </c>
    </row>
    <row r="91" spans="1:5" x14ac:dyDescent="0.25">
      <c r="A91" s="52"/>
      <c r="C91" s="51" t="s">
        <v>3556</v>
      </c>
    </row>
    <row r="92" spans="1:5" x14ac:dyDescent="0.25">
      <c r="A92" s="51"/>
      <c r="C92" s="51" t="s">
        <v>3560</v>
      </c>
    </row>
    <row r="93" spans="1:5" x14ac:dyDescent="0.25">
      <c r="A93" s="52" t="s">
        <v>3386</v>
      </c>
      <c r="C93" s="51" t="s">
        <v>3572</v>
      </c>
    </row>
    <row r="94" spans="1:5" x14ac:dyDescent="0.25">
      <c r="A94" s="51" t="s">
        <v>3168</v>
      </c>
      <c r="C94" s="51" t="s">
        <v>3574</v>
      </c>
    </row>
    <row r="95" spans="1:5" x14ac:dyDescent="0.25">
      <c r="A95" s="52" t="s">
        <v>3370</v>
      </c>
      <c r="C95" s="51" t="s">
        <v>3581</v>
      </c>
    </row>
    <row r="96" spans="1:5" x14ac:dyDescent="0.25">
      <c r="A96" s="51" t="s">
        <v>3376</v>
      </c>
      <c r="C96" s="52" t="s">
        <v>3582</v>
      </c>
    </row>
    <row r="97" spans="1:3" x14ac:dyDescent="0.25">
      <c r="A97" s="52" t="s">
        <v>3376</v>
      </c>
      <c r="C97" s="52" t="s">
        <v>3584</v>
      </c>
    </row>
    <row r="98" spans="1:3" x14ac:dyDescent="0.25">
      <c r="A98" s="51" t="s">
        <v>3385</v>
      </c>
      <c r="C98" s="51" t="s">
        <v>3270</v>
      </c>
    </row>
    <row r="99" spans="1:3" x14ac:dyDescent="0.25">
      <c r="A99" s="52" t="s">
        <v>3157</v>
      </c>
      <c r="C99" s="52" t="s">
        <v>3591</v>
      </c>
    </row>
    <row r="100" spans="1:3" x14ac:dyDescent="0.25">
      <c r="A100" s="51" t="s">
        <v>3385</v>
      </c>
      <c r="C100" s="52" t="s">
        <v>3596</v>
      </c>
    </row>
    <row r="101" spans="1:3" x14ac:dyDescent="0.25">
      <c r="A101" s="52" t="s">
        <v>3244</v>
      </c>
      <c r="C101" s="51" t="s">
        <v>3603</v>
      </c>
    </row>
    <row r="102" spans="1:3" x14ac:dyDescent="0.25">
      <c r="A102" s="51" t="s">
        <v>3244</v>
      </c>
      <c r="C102" s="51" t="s">
        <v>3605</v>
      </c>
    </row>
    <row r="103" spans="1:3" x14ac:dyDescent="0.25">
      <c r="A103" s="52" t="s">
        <v>3244</v>
      </c>
      <c r="C103" s="51" t="s">
        <v>3609</v>
      </c>
    </row>
    <row r="104" spans="1:3" x14ac:dyDescent="0.25">
      <c r="A104" s="51" t="s">
        <v>3167</v>
      </c>
      <c r="C104" s="51" t="s">
        <v>3231</v>
      </c>
    </row>
    <row r="105" spans="1:3" x14ac:dyDescent="0.25">
      <c r="A105" s="52" t="s">
        <v>3244</v>
      </c>
      <c r="C105" s="52" t="s">
        <v>3185</v>
      </c>
    </row>
    <row r="106" spans="1:3" x14ac:dyDescent="0.25">
      <c r="A106" s="51" t="s">
        <v>3244</v>
      </c>
      <c r="C106" s="52" t="s">
        <v>3612</v>
      </c>
    </row>
    <row r="107" spans="1:3" x14ac:dyDescent="0.25">
      <c r="A107" s="52" t="s">
        <v>3244</v>
      </c>
      <c r="C107" s="52" t="s">
        <v>3613</v>
      </c>
    </row>
    <row r="108" spans="1:3" x14ac:dyDescent="0.25">
      <c r="A108" s="51"/>
      <c r="C108" s="51" t="s">
        <v>3614</v>
      </c>
    </row>
    <row r="109" spans="1:3" x14ac:dyDescent="0.25">
      <c r="A109" s="52" t="s">
        <v>3157</v>
      </c>
      <c r="C109" s="52" t="s">
        <v>3619</v>
      </c>
    </row>
    <row r="110" spans="1:3" x14ac:dyDescent="0.25">
      <c r="A110" s="51" t="s">
        <v>3386</v>
      </c>
      <c r="C110" s="52" t="s">
        <v>3188</v>
      </c>
    </row>
    <row r="111" spans="1:3" x14ac:dyDescent="0.25">
      <c r="A111" s="52" t="s">
        <v>3165</v>
      </c>
      <c r="C111" s="52" t="s">
        <v>3194</v>
      </c>
    </row>
    <row r="112" spans="1:3" x14ac:dyDescent="0.25">
      <c r="A112" s="51" t="s">
        <v>3446</v>
      </c>
      <c r="C112" s="52" t="s">
        <v>3624</v>
      </c>
    </row>
    <row r="113" spans="1:3" x14ac:dyDescent="0.25">
      <c r="A113" s="52" t="s">
        <v>3385</v>
      </c>
      <c r="C113" s="52" t="s">
        <v>3628</v>
      </c>
    </row>
    <row r="114" spans="1:3" x14ac:dyDescent="0.25">
      <c r="A114" s="51" t="s">
        <v>3273</v>
      </c>
      <c r="C114" s="51" t="s">
        <v>3630</v>
      </c>
    </row>
    <row r="115" spans="1:3" x14ac:dyDescent="0.25">
      <c r="A115" s="52" t="s">
        <v>3385</v>
      </c>
      <c r="C115" s="51" t="s">
        <v>3634</v>
      </c>
    </row>
    <row r="116" spans="1:3" x14ac:dyDescent="0.25">
      <c r="A116" s="51"/>
      <c r="C116" s="51" t="s">
        <v>3323</v>
      </c>
    </row>
    <row r="117" spans="1:3" x14ac:dyDescent="0.25">
      <c r="A117" s="52" t="s">
        <v>3451</v>
      </c>
    </row>
    <row r="118" spans="1:3" x14ac:dyDescent="0.25">
      <c r="A118" s="51" t="s">
        <v>3244</v>
      </c>
    </row>
    <row r="119" spans="1:3" x14ac:dyDescent="0.25">
      <c r="A119" s="52" t="s">
        <v>3159</v>
      </c>
    </row>
    <row r="120" spans="1:3" x14ac:dyDescent="0.25">
      <c r="A120" s="51" t="s">
        <v>3244</v>
      </c>
    </row>
    <row r="121" spans="1:3" x14ac:dyDescent="0.25">
      <c r="A121" s="52" t="s">
        <v>3244</v>
      </c>
    </row>
    <row r="122" spans="1:3" x14ac:dyDescent="0.25">
      <c r="A122" s="51" t="s">
        <v>3244</v>
      </c>
    </row>
    <row r="123" spans="1:3" x14ac:dyDescent="0.25">
      <c r="A123" s="52"/>
    </row>
    <row r="124" spans="1:3" x14ac:dyDescent="0.25">
      <c r="A124" s="51" t="s">
        <v>3459</v>
      </c>
    </row>
    <row r="125" spans="1:3" x14ac:dyDescent="0.25">
      <c r="A125" s="52" t="s">
        <v>3157</v>
      </c>
    </row>
    <row r="126" spans="1:3" x14ac:dyDescent="0.25">
      <c r="A126" s="51" t="s">
        <v>3157</v>
      </c>
    </row>
    <row r="127" spans="1:3" x14ac:dyDescent="0.25">
      <c r="A127" s="52" t="s">
        <v>3244</v>
      </c>
    </row>
    <row r="128" spans="1:3" x14ac:dyDescent="0.25">
      <c r="A128" s="51" t="s">
        <v>3386</v>
      </c>
    </row>
    <row r="129" spans="1:1" x14ac:dyDescent="0.25">
      <c r="A129" s="52" t="s">
        <v>3385</v>
      </c>
    </row>
    <row r="130" spans="1:1" x14ac:dyDescent="0.25">
      <c r="A130" s="51" t="s">
        <v>3163</v>
      </c>
    </row>
    <row r="131" spans="1:1" x14ac:dyDescent="0.25">
      <c r="A131" s="52" t="s">
        <v>3386</v>
      </c>
    </row>
    <row r="132" spans="1:1" x14ac:dyDescent="0.25">
      <c r="A132" s="51" t="s">
        <v>3244</v>
      </c>
    </row>
    <row r="133" spans="1:1" x14ac:dyDescent="0.25">
      <c r="A133" s="52" t="s">
        <v>3273</v>
      </c>
    </row>
    <row r="134" spans="1:1" x14ac:dyDescent="0.25">
      <c r="A134" s="51" t="s">
        <v>3244</v>
      </c>
    </row>
    <row r="135" spans="1:1" x14ac:dyDescent="0.25">
      <c r="A135" s="52" t="s">
        <v>3162</v>
      </c>
    </row>
    <row r="136" spans="1:1" x14ac:dyDescent="0.25">
      <c r="A136" s="51" t="s">
        <v>3352</v>
      </c>
    </row>
    <row r="137" spans="1:1" x14ac:dyDescent="0.25">
      <c r="A137" s="52" t="s">
        <v>3244</v>
      </c>
    </row>
    <row r="138" spans="1:1" x14ac:dyDescent="0.25">
      <c r="A138" s="51" t="s">
        <v>3409</v>
      </c>
    </row>
    <row r="139" spans="1:1" x14ac:dyDescent="0.25">
      <c r="A139" s="52" t="s">
        <v>3244</v>
      </c>
    </row>
    <row r="140" spans="1:1" x14ac:dyDescent="0.25">
      <c r="A140" s="51" t="s">
        <v>3244</v>
      </c>
    </row>
    <row r="141" spans="1:1" x14ac:dyDescent="0.25">
      <c r="A141" s="52" t="s">
        <v>3157</v>
      </c>
    </row>
    <row r="142" spans="1:1" x14ac:dyDescent="0.25">
      <c r="A142" s="51" t="s">
        <v>3488</v>
      </c>
    </row>
    <row r="143" spans="1:1" x14ac:dyDescent="0.25">
      <c r="A143" s="52" t="s">
        <v>3273</v>
      </c>
    </row>
    <row r="144" spans="1:1" x14ac:dyDescent="0.25">
      <c r="A144" s="51" t="s">
        <v>3244</v>
      </c>
    </row>
    <row r="145" spans="1:1" x14ac:dyDescent="0.25">
      <c r="A145" s="52" t="s">
        <v>3273</v>
      </c>
    </row>
    <row r="146" spans="1:1" x14ac:dyDescent="0.25">
      <c r="A146" s="51" t="s">
        <v>3328</v>
      </c>
    </row>
    <row r="147" spans="1:1" x14ac:dyDescent="0.25">
      <c r="A147" s="52" t="s">
        <v>3157</v>
      </c>
    </row>
    <row r="148" spans="1:1" x14ac:dyDescent="0.25">
      <c r="A148" s="51" t="s">
        <v>3165</v>
      </c>
    </row>
    <row r="149" spans="1:1" x14ac:dyDescent="0.25">
      <c r="A149" s="52" t="s">
        <v>3496</v>
      </c>
    </row>
    <row r="150" spans="1:1" x14ac:dyDescent="0.25">
      <c r="A150" s="51" t="s">
        <v>3160</v>
      </c>
    </row>
    <row r="151" spans="1:1" x14ac:dyDescent="0.25">
      <c r="A151" s="52" t="s">
        <v>3157</v>
      </c>
    </row>
    <row r="152" spans="1:1" x14ac:dyDescent="0.25">
      <c r="A152" s="51" t="s">
        <v>3157</v>
      </c>
    </row>
    <row r="153" spans="1:1" x14ac:dyDescent="0.25">
      <c r="A153" s="52" t="s">
        <v>3244</v>
      </c>
    </row>
    <row r="154" spans="1:1" x14ac:dyDescent="0.25">
      <c r="A154" s="51" t="s">
        <v>3162</v>
      </c>
    </row>
    <row r="155" spans="1:1" x14ac:dyDescent="0.25">
      <c r="A155" s="52" t="s">
        <v>3508</v>
      </c>
    </row>
    <row r="156" spans="1:1" x14ac:dyDescent="0.25">
      <c r="A156" s="51" t="s">
        <v>3511</v>
      </c>
    </row>
    <row r="157" spans="1:1" x14ac:dyDescent="0.25">
      <c r="A157" s="52" t="s">
        <v>3513</v>
      </c>
    </row>
    <row r="158" spans="1:1" x14ac:dyDescent="0.25">
      <c r="A158" s="51" t="s">
        <v>3385</v>
      </c>
    </row>
    <row r="159" spans="1:1" x14ac:dyDescent="0.25">
      <c r="A159" s="52" t="s">
        <v>3244</v>
      </c>
    </row>
    <row r="160" spans="1:1" x14ac:dyDescent="0.25">
      <c r="A160" s="51"/>
    </row>
    <row r="161" spans="1:1" x14ac:dyDescent="0.25">
      <c r="A161" s="52"/>
    </row>
    <row r="162" spans="1:1" x14ac:dyDescent="0.25">
      <c r="A162" s="51" t="s">
        <v>3244</v>
      </c>
    </row>
    <row r="163" spans="1:1" x14ac:dyDescent="0.25">
      <c r="A163" s="52" t="s">
        <v>3244</v>
      </c>
    </row>
    <row r="164" spans="1:1" x14ac:dyDescent="0.25">
      <c r="A164" s="51" t="s">
        <v>3244</v>
      </c>
    </row>
    <row r="165" spans="1:1" x14ac:dyDescent="0.25">
      <c r="A165" s="52" t="s">
        <v>3348</v>
      </c>
    </row>
    <row r="166" spans="1:1" x14ac:dyDescent="0.25">
      <c r="A166" s="51" t="s">
        <v>3244</v>
      </c>
    </row>
    <row r="167" spans="1:1" x14ac:dyDescent="0.25">
      <c r="A167" s="52" t="s">
        <v>3370</v>
      </c>
    </row>
    <row r="168" spans="1:1" x14ac:dyDescent="0.25">
      <c r="A168" s="51" t="s">
        <v>3157</v>
      </c>
    </row>
    <row r="169" spans="1:1" x14ac:dyDescent="0.25">
      <c r="A169" s="52" t="s">
        <v>3385</v>
      </c>
    </row>
    <row r="170" spans="1:1" x14ac:dyDescent="0.25">
      <c r="A170" s="51" t="s">
        <v>3157</v>
      </c>
    </row>
    <row r="171" spans="1:1" x14ac:dyDescent="0.25">
      <c r="A171" s="52" t="s">
        <v>3157</v>
      </c>
    </row>
    <row r="172" spans="1:1" x14ac:dyDescent="0.25">
      <c r="A172" s="51" t="s">
        <v>3283</v>
      </c>
    </row>
    <row r="173" spans="1:1" x14ac:dyDescent="0.25">
      <c r="A173" s="52" t="s">
        <v>3157</v>
      </c>
    </row>
    <row r="174" spans="1:1" x14ac:dyDescent="0.25">
      <c r="A174" s="51" t="s">
        <v>3535</v>
      </c>
    </row>
    <row r="175" spans="1:1" x14ac:dyDescent="0.25">
      <c r="A175" s="52" t="s">
        <v>3244</v>
      </c>
    </row>
    <row r="176" spans="1:1" x14ac:dyDescent="0.25">
      <c r="A176" s="51" t="s">
        <v>3244</v>
      </c>
    </row>
    <row r="177" spans="1:1" x14ac:dyDescent="0.25">
      <c r="A177" s="52" t="s">
        <v>3541</v>
      </c>
    </row>
    <row r="178" spans="1:1" x14ac:dyDescent="0.25">
      <c r="A178" s="51" t="s">
        <v>3543</v>
      </c>
    </row>
    <row r="179" spans="1:1" x14ac:dyDescent="0.25">
      <c r="A179" s="52" t="s">
        <v>3244</v>
      </c>
    </row>
    <row r="180" spans="1:1" x14ac:dyDescent="0.25">
      <c r="A180" s="51" t="s">
        <v>3386</v>
      </c>
    </row>
    <row r="181" spans="1:1" x14ac:dyDescent="0.25">
      <c r="A181" s="52" t="s">
        <v>3244</v>
      </c>
    </row>
    <row r="182" spans="1:1" x14ac:dyDescent="0.25">
      <c r="A182" s="51" t="s">
        <v>3244</v>
      </c>
    </row>
    <row r="183" spans="1:1" x14ac:dyDescent="0.25">
      <c r="A183" s="52" t="s">
        <v>3370</v>
      </c>
    </row>
    <row r="184" spans="1:1" x14ac:dyDescent="0.25">
      <c r="A184" s="51" t="s">
        <v>3328</v>
      </c>
    </row>
    <row r="185" spans="1:1" x14ac:dyDescent="0.25">
      <c r="A185" s="52" t="s">
        <v>3244</v>
      </c>
    </row>
    <row r="186" spans="1:1" x14ac:dyDescent="0.25">
      <c r="A186" s="51" t="s">
        <v>3555</v>
      </c>
    </row>
    <row r="187" spans="1:1" x14ac:dyDescent="0.25">
      <c r="A187" s="52" t="s">
        <v>3157</v>
      </c>
    </row>
    <row r="188" spans="1:1" x14ac:dyDescent="0.25">
      <c r="A188" s="51" t="s">
        <v>3244</v>
      </c>
    </row>
    <row r="189" spans="1:1" x14ac:dyDescent="0.25">
      <c r="A189" s="52" t="s">
        <v>3562</v>
      </c>
    </row>
    <row r="190" spans="1:1" x14ac:dyDescent="0.25">
      <c r="A190" s="51" t="s">
        <v>3387</v>
      </c>
    </row>
    <row r="191" spans="1:1" x14ac:dyDescent="0.25">
      <c r="A191" s="52" t="s">
        <v>3244</v>
      </c>
    </row>
    <row r="192" spans="1:1" x14ac:dyDescent="0.25">
      <c r="A192" s="51" t="s">
        <v>3160</v>
      </c>
    </row>
    <row r="193" spans="1:1" x14ac:dyDescent="0.25">
      <c r="A193" s="52" t="s">
        <v>3385</v>
      </c>
    </row>
    <row r="194" spans="1:1" x14ac:dyDescent="0.25">
      <c r="A194" s="51" t="s">
        <v>3157</v>
      </c>
    </row>
    <row r="195" spans="1:1" x14ac:dyDescent="0.25">
      <c r="A195" s="52" t="s">
        <v>3573</v>
      </c>
    </row>
    <row r="196" spans="1:1" x14ac:dyDescent="0.25">
      <c r="A196" s="51" t="s">
        <v>3244</v>
      </c>
    </row>
    <row r="197" spans="1:1" x14ac:dyDescent="0.25">
      <c r="A197" s="52" t="s">
        <v>3576</v>
      </c>
    </row>
    <row r="198" spans="1:1" x14ac:dyDescent="0.25">
      <c r="A198" s="51" t="s">
        <v>3244</v>
      </c>
    </row>
    <row r="199" spans="1:1" x14ac:dyDescent="0.25">
      <c r="A199" s="52" t="s">
        <v>3161</v>
      </c>
    </row>
    <row r="200" spans="1:1" x14ac:dyDescent="0.25">
      <c r="A200" s="51" t="s">
        <v>3244</v>
      </c>
    </row>
    <row r="201" spans="1:1" x14ac:dyDescent="0.25">
      <c r="A201" s="52" t="s">
        <v>3555</v>
      </c>
    </row>
    <row r="202" spans="1:1" x14ac:dyDescent="0.25">
      <c r="A202" s="51" t="s">
        <v>3583</v>
      </c>
    </row>
    <row r="203" spans="1:1" x14ac:dyDescent="0.25">
      <c r="A203" s="52" t="s">
        <v>3555</v>
      </c>
    </row>
    <row r="204" spans="1:1" x14ac:dyDescent="0.25">
      <c r="A204" s="51" t="s">
        <v>3244</v>
      </c>
    </row>
    <row r="205" spans="1:1" x14ac:dyDescent="0.25">
      <c r="A205" s="52" t="s">
        <v>3386</v>
      </c>
    </row>
    <row r="206" spans="1:1" x14ac:dyDescent="0.25">
      <c r="A206" s="51" t="s">
        <v>3161</v>
      </c>
    </row>
    <row r="207" spans="1:1" x14ac:dyDescent="0.25">
      <c r="A207" s="52" t="s">
        <v>3244</v>
      </c>
    </row>
    <row r="208" spans="1:1" x14ac:dyDescent="0.25">
      <c r="A208" s="51" t="s">
        <v>3592</v>
      </c>
    </row>
    <row r="209" spans="1:1" x14ac:dyDescent="0.25">
      <c r="A209" s="52" t="s">
        <v>3595</v>
      </c>
    </row>
    <row r="210" spans="1:1" x14ac:dyDescent="0.25">
      <c r="A210" s="51" t="s">
        <v>3598</v>
      </c>
    </row>
    <row r="211" spans="1:1" x14ac:dyDescent="0.25">
      <c r="A211" s="52" t="s">
        <v>3244</v>
      </c>
    </row>
    <row r="212" spans="1:1" x14ac:dyDescent="0.25">
      <c r="A212" s="51" t="s">
        <v>3244</v>
      </c>
    </row>
    <row r="213" spans="1:1" x14ac:dyDescent="0.25">
      <c r="A213" s="52" t="s">
        <v>3157</v>
      </c>
    </row>
    <row r="214" spans="1:1" x14ac:dyDescent="0.25">
      <c r="A214" s="51" t="s">
        <v>3157</v>
      </c>
    </row>
    <row r="215" spans="1:1" x14ac:dyDescent="0.25">
      <c r="A215" s="52" t="s">
        <v>3328</v>
      </c>
    </row>
    <row r="216" spans="1:1" x14ac:dyDescent="0.25">
      <c r="A216" s="51" t="s">
        <v>3157</v>
      </c>
    </row>
    <row r="217" spans="1:1" x14ac:dyDescent="0.25">
      <c r="A217" s="52" t="s">
        <v>3157</v>
      </c>
    </row>
    <row r="218" spans="1:1" x14ac:dyDescent="0.25">
      <c r="A218" s="51" t="s">
        <v>3386</v>
      </c>
    </row>
    <row r="219" spans="1:1" x14ac:dyDescent="0.25">
      <c r="A219" s="52" t="s">
        <v>3413</v>
      </c>
    </row>
    <row r="220" spans="1:1" x14ac:dyDescent="0.25">
      <c r="A220" s="51" t="s">
        <v>3244</v>
      </c>
    </row>
    <row r="221" spans="1:1" x14ac:dyDescent="0.25">
      <c r="A221" s="52" t="s">
        <v>3244</v>
      </c>
    </row>
    <row r="222" spans="1:1" x14ac:dyDescent="0.25">
      <c r="A222" s="51" t="s">
        <v>3383</v>
      </c>
    </row>
    <row r="223" spans="1:1" x14ac:dyDescent="0.25">
      <c r="A223" s="52" t="s">
        <v>3325</v>
      </c>
    </row>
    <row r="224" spans="1:1" x14ac:dyDescent="0.25">
      <c r="A224" s="51" t="s">
        <v>3167</v>
      </c>
    </row>
    <row r="225" spans="1:1" x14ac:dyDescent="0.25">
      <c r="A225" s="52" t="s">
        <v>3376</v>
      </c>
    </row>
    <row r="226" spans="1:1" x14ac:dyDescent="0.25">
      <c r="A226" s="51" t="s">
        <v>3157</v>
      </c>
    </row>
    <row r="227" spans="1:1" x14ac:dyDescent="0.25">
      <c r="A227" s="52" t="s">
        <v>3244</v>
      </c>
    </row>
    <row r="228" spans="1:1" x14ac:dyDescent="0.25">
      <c r="A228" s="51"/>
    </row>
    <row r="229" spans="1:1" x14ac:dyDescent="0.25">
      <c r="A229" s="52" t="s">
        <v>3406</v>
      </c>
    </row>
    <row r="230" spans="1:1" x14ac:dyDescent="0.25">
      <c r="A230" s="58" t="s">
        <v>3610</v>
      </c>
    </row>
    <row r="231" spans="1:1" x14ac:dyDescent="0.25">
      <c r="A231" s="52" t="s">
        <v>3385</v>
      </c>
    </row>
    <row r="232" spans="1:1" x14ac:dyDescent="0.25">
      <c r="A232" s="51" t="s">
        <v>3282</v>
      </c>
    </row>
    <row r="233" spans="1:1" x14ac:dyDescent="0.25">
      <c r="A233" s="52" t="s">
        <v>3244</v>
      </c>
    </row>
    <row r="234" spans="1:1" x14ac:dyDescent="0.25">
      <c r="A234" s="51" t="s">
        <v>3244</v>
      </c>
    </row>
    <row r="235" spans="1:1" x14ac:dyDescent="0.25">
      <c r="A235" s="52" t="s">
        <v>3387</v>
      </c>
    </row>
    <row r="236" spans="1:1" x14ac:dyDescent="0.25">
      <c r="A236" s="51" t="s">
        <v>3244</v>
      </c>
    </row>
    <row r="237" spans="1:1" x14ac:dyDescent="0.25">
      <c r="A237" s="52" t="s">
        <v>3385</v>
      </c>
    </row>
    <row r="238" spans="1:1" x14ac:dyDescent="0.25">
      <c r="A238" s="51" t="s">
        <v>3555</v>
      </c>
    </row>
    <row r="239" spans="1:1" x14ac:dyDescent="0.25">
      <c r="A239" s="52" t="s">
        <v>3167</v>
      </c>
    </row>
    <row r="240" spans="1:1" x14ac:dyDescent="0.25">
      <c r="A240" s="51" t="s">
        <v>3513</v>
      </c>
    </row>
    <row r="241" spans="1:1" x14ac:dyDescent="0.25">
      <c r="A241" s="52" t="s">
        <v>3371</v>
      </c>
    </row>
    <row r="242" spans="1:1" x14ac:dyDescent="0.25">
      <c r="A242" s="51" t="s">
        <v>3328</v>
      </c>
    </row>
    <row r="243" spans="1:1" x14ac:dyDescent="0.25">
      <c r="A243" s="52" t="s">
        <v>3370</v>
      </c>
    </row>
    <row r="244" spans="1:1" x14ac:dyDescent="0.25">
      <c r="A244" s="51" t="s">
        <v>3451</v>
      </c>
    </row>
    <row r="245" spans="1:1" x14ac:dyDescent="0.25">
      <c r="A245" s="52" t="s">
        <v>3555</v>
      </c>
    </row>
    <row r="246" spans="1:1" x14ac:dyDescent="0.25">
      <c r="A246" s="51" t="s">
        <v>3157</v>
      </c>
    </row>
    <row r="247" spans="1:1" x14ac:dyDescent="0.25">
      <c r="A247" s="52" t="s">
        <v>3160</v>
      </c>
    </row>
    <row r="248" spans="1:1" x14ac:dyDescent="0.25">
      <c r="A248" s="51" t="s">
        <v>3325</v>
      </c>
    </row>
    <row r="249" spans="1:1" x14ac:dyDescent="0.25">
      <c r="A249" s="52" t="s">
        <v>3273</v>
      </c>
    </row>
    <row r="250" spans="1:1" x14ac:dyDescent="0.25">
      <c r="A250" s="51" t="s">
        <v>3311</v>
      </c>
    </row>
    <row r="251" spans="1:1" x14ac:dyDescent="0.25">
      <c r="A251" s="52" t="s">
        <v>3352</v>
      </c>
    </row>
    <row r="252" spans="1:1" x14ac:dyDescent="0.25">
      <c r="A252" s="51" t="s">
        <v>3157</v>
      </c>
    </row>
    <row r="253" spans="1:1" x14ac:dyDescent="0.25">
      <c r="A253" s="52"/>
    </row>
    <row r="254" spans="1:1" x14ac:dyDescent="0.25">
      <c r="A254" s="51" t="s">
        <v>3162</v>
      </c>
    </row>
    <row r="255" spans="1:1" x14ac:dyDescent="0.25">
      <c r="A255" s="52" t="s">
        <v>3244</v>
      </c>
    </row>
    <row r="256" spans="1:1" x14ac:dyDescent="0.25">
      <c r="A256" s="51" t="s">
        <v>3161</v>
      </c>
    </row>
    <row r="257" spans="1:1" x14ac:dyDescent="0.25">
      <c r="A257" s="52" t="s">
        <v>3157</v>
      </c>
    </row>
    <row r="258" spans="1:1" x14ac:dyDescent="0.25">
      <c r="A258" s="51" t="s">
        <v>3157</v>
      </c>
    </row>
    <row r="259" spans="1:1" x14ac:dyDescent="0.25">
      <c r="A259" s="52" t="s">
        <v>3629</v>
      </c>
    </row>
    <row r="260" spans="1:1" x14ac:dyDescent="0.25">
      <c r="A260" s="51" t="s">
        <v>3157</v>
      </c>
    </row>
    <row r="261" spans="1:1" x14ac:dyDescent="0.25">
      <c r="A261" s="52" t="s">
        <v>3633</v>
      </c>
    </row>
    <row r="262" spans="1:1" x14ac:dyDescent="0.25">
      <c r="A262" s="51" t="s">
        <v>3244</v>
      </c>
    </row>
    <row r="263" spans="1:1" x14ac:dyDescent="0.25">
      <c r="A263" s="52"/>
    </row>
    <row r="264" spans="1:1" x14ac:dyDescent="0.25">
      <c r="A264" s="51" t="s">
        <v>3496</v>
      </c>
    </row>
    <row r="265" spans="1:1" x14ac:dyDescent="0.25">
      <c r="A265" s="52" t="s">
        <v>3385</v>
      </c>
    </row>
    <row r="266" spans="1:1" x14ac:dyDescent="0.25">
      <c r="A266" s="51" t="s">
        <v>3157</v>
      </c>
    </row>
    <row r="267" spans="1:1" x14ac:dyDescent="0.25">
      <c r="A267" s="52" t="s">
        <v>3244</v>
      </c>
    </row>
    <row r="268" spans="1:1" x14ac:dyDescent="0.25">
      <c r="A268" s="51" t="s">
        <v>3418</v>
      </c>
    </row>
    <row r="269" spans="1:1" x14ac:dyDescent="0.25">
      <c r="A269" s="52" t="s">
        <v>3385</v>
      </c>
    </row>
    <row r="270" spans="1:1" x14ac:dyDescent="0.25">
      <c r="A270" s="51" t="s">
        <v>3496</v>
      </c>
    </row>
    <row r="271" spans="1:1" x14ac:dyDescent="0.25">
      <c r="A271" s="52" t="s">
        <v>3370</v>
      </c>
    </row>
    <row r="272" spans="1:1" x14ac:dyDescent="0.25">
      <c r="A272" s="51" t="s">
        <v>3288</v>
      </c>
    </row>
    <row r="273" spans="1:3" x14ac:dyDescent="0.25">
      <c r="A273" s="52" t="s">
        <v>3371</v>
      </c>
    </row>
    <row r="274" spans="1:3" x14ac:dyDescent="0.25">
      <c r="A274" s="51" t="s">
        <v>3385</v>
      </c>
    </row>
    <row r="275" spans="1:3" x14ac:dyDescent="0.25">
      <c r="A275" s="52" t="s">
        <v>3244</v>
      </c>
    </row>
    <row r="276" spans="1:3" x14ac:dyDescent="0.25">
      <c r="A276" s="53"/>
      <c r="C276" s="53"/>
    </row>
  </sheetData>
  <autoFilter ref="G1:G49" xr:uid="{C7EFB5AB-F8C5-4980-B6AE-94968F4ADC52}"/>
  <conditionalFormatting sqref="C1:C116">
    <cfRule type="duplicateValues" dxfId="74" priority="3"/>
  </conditionalFormatting>
  <conditionalFormatting sqref="E1:E81">
    <cfRule type="duplicateValues" dxfId="73" priority="2"/>
  </conditionalFormatting>
  <conditionalFormatting sqref="G1:G49">
    <cfRule type="duplicateValues" dxfId="72" priority="1"/>
  </conditionalFormatting>
  <dataValidations count="1">
    <dataValidation type="list" allowBlank="1" showInputMessage="1" showErrorMessage="1" sqref="A1" xr:uid="{5492AB4F-011C-4314-8C91-87E1C4D961EB}">
      <formula1>$A$1:$A$69</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5">
        <x14:dataValidation type="list" showInputMessage="1" showErrorMessage="1" xr:uid="{55A557EA-DED4-4901-82BA-A22A81E1BBA3}">
          <x14:formula1>
            <xm:f>Categories!$A$2:$A$74</xm:f>
          </x14:formula1>
          <xm:sqref>A261</xm:sqref>
        </x14:dataValidation>
        <x14:dataValidation type="list" showInputMessage="1" showErrorMessage="1" xr:uid="{4BD19488-4389-478A-870B-E8BE7F9A9EB1}">
          <x14:formula1>
            <xm:f>Categories!$A$2:$A$66</xm:f>
          </x14:formula1>
          <xm:sqref>A119:A260 A262:A276</xm:sqref>
        </x14:dataValidation>
        <x14:dataValidation type="list" showInputMessage="1" showErrorMessage="1" xr:uid="{4296CCC4-DBA3-4F5D-87FE-77E21D7E9514}">
          <x14:formula1>
            <xm:f>Categories!$A$2:$A$46</xm:f>
          </x14:formula1>
          <xm:sqref>A2:A118</xm:sqref>
        </x14:dataValidation>
        <x14:dataValidation type="list" allowBlank="1" showInputMessage="1" showErrorMessage="1" xr:uid="{B6A5A525-5E4D-4461-A5E0-556CDA12F646}">
          <x14:formula1>
            <xm:f>Categories!$B$2:$B$136</xm:f>
          </x14:formula1>
          <xm:sqref>C276</xm:sqref>
        </x14:dataValidation>
        <x14:dataValidation type="list" allowBlank="1" showInputMessage="1" showErrorMessage="1" xr:uid="{01F122BE-2A98-4413-B8DE-AF6251F22B2D}">
          <x14:formula1>
            <xm:f>Categories!$B$2:$B$86</xm:f>
          </x14:formula1>
          <xm:sqref>C113:C116</xm:sqref>
        </x14:dataValidation>
        <x14:dataValidation type="list" allowBlank="1" showInputMessage="1" showErrorMessage="1" xr:uid="{BCDFEA43-6771-4CF1-B83D-D839952230C0}">
          <x14:formula1>
            <xm:f>Categories!$B$2:$B$66</xm:f>
          </x14:formula1>
          <xm:sqref>C37:C112</xm:sqref>
        </x14:dataValidation>
        <x14:dataValidation type="list" allowBlank="1" showInputMessage="1" showErrorMessage="1" xr:uid="{17F9F6A6-A144-47E0-982B-E62B56D967EE}">
          <x14:formula1>
            <xm:f>Categories!$B$2:$B$56</xm:f>
          </x14:formula1>
          <xm:sqref>C23 C34</xm:sqref>
        </x14:dataValidation>
        <x14:dataValidation type="list" allowBlank="1" showInputMessage="1" showErrorMessage="1" xr:uid="{9CC7B0EC-EFF7-46D0-B975-8E373C01564B}">
          <x14:formula1>
            <xm:f>Categories!$B$2:$B$55</xm:f>
          </x14:formula1>
          <xm:sqref>C20</xm:sqref>
        </x14:dataValidation>
        <x14:dataValidation type="list" allowBlank="1" showInputMessage="1" showErrorMessage="1" xr:uid="{26C56491-334E-4AD0-8E63-405665BA94E0}">
          <x14:formula1>
            <xm:f>Categories!$B$2:$B$50</xm:f>
          </x14:formula1>
          <xm:sqref>C17</xm:sqref>
        </x14:dataValidation>
        <x14:dataValidation type="list" allowBlank="1" showInputMessage="1" showErrorMessage="1" xr:uid="{CF9B0574-D693-47D2-842A-6018A4B2E13D}">
          <x14:formula1>
            <xm:f>Categories!$B$2:$B$46</xm:f>
          </x14:formula1>
          <xm:sqref>C2:C16 C18:C19 C21:C22 C24:C33 C35:C36</xm:sqref>
        </x14:dataValidation>
        <x14:dataValidation type="list" allowBlank="1" showInputMessage="1" showErrorMessage="1" xr:uid="{BDBFBB4F-DCBB-4CBA-AD29-683E984B7711}">
          <x14:formula1>
            <xm:f>Categories!$C$2:$C$56</xm:f>
          </x14:formula1>
          <xm:sqref>E37:E81</xm:sqref>
        </x14:dataValidation>
        <x14:dataValidation type="list" allowBlank="1" showInputMessage="1" showErrorMessage="1" xr:uid="{A8ABE8FF-B94A-48AD-B99B-6FA5E4AF0ACD}">
          <x14:formula1>
            <xm:f>Categories!$C$2:$C$46</xm:f>
          </x14:formula1>
          <xm:sqref>E2:E36</xm:sqref>
        </x14:dataValidation>
        <x14:dataValidation type="list" allowBlank="1" showInputMessage="1" showErrorMessage="1" xr:uid="{E7746CFB-14FC-4BDC-BB02-77803E96F7C3}">
          <x14:formula1>
            <xm:f>Categories!$D$2:$D$57</xm:f>
          </x14:formula1>
          <xm:sqref>G38:G49</xm:sqref>
        </x14:dataValidation>
        <x14:dataValidation type="list" allowBlank="1" showInputMessage="1" showErrorMessage="1" xr:uid="{624240E4-E47D-4A09-B08B-85175124D37C}">
          <x14:formula1>
            <xm:f>Categories!$D$2:$D$47</xm:f>
          </x14:formula1>
          <xm:sqref>G19 G21:G22 G28 G34 G37</xm:sqref>
        </x14:dataValidation>
        <x14:dataValidation type="list" allowBlank="1" showInputMessage="1" showErrorMessage="1" xr:uid="{9EA4F726-8F03-46BB-8987-0D67B3DFCA36}">
          <x14:formula1>
            <xm:f>Categories!$D$2:$D$37</xm:f>
          </x14:formula1>
          <xm:sqref>G2:G18 G20 G23:G27 G29:G33 G35:G36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2">
    <tabColor theme="8" tint="0.39997558519241921"/>
  </sheetPr>
  <dimension ref="A1:I127"/>
  <sheetViews>
    <sheetView topLeftCell="B1" zoomScaleNormal="100" workbookViewId="0">
      <selection activeCell="H5" activeCellId="5" sqref="H26 H32 H46 H48 H18 H5"/>
    </sheetView>
  </sheetViews>
  <sheetFormatPr baseColWidth="10" defaultRowHeight="15" x14ac:dyDescent="0.25"/>
  <cols>
    <col min="1" max="1" width="48.140625" customWidth="1"/>
    <col min="2" max="2" width="47.5703125" customWidth="1"/>
    <col min="3" max="3" width="52.140625" style="11" customWidth="1"/>
    <col min="4" max="4" width="36.7109375" customWidth="1"/>
    <col min="5" max="5" width="27.140625" bestFit="1" customWidth="1"/>
    <col min="6" max="6" width="23.28515625" bestFit="1" customWidth="1"/>
    <col min="7" max="7" width="13.28515625" style="11" bestFit="1" customWidth="1"/>
    <col min="8" max="8" width="24.140625" bestFit="1" customWidth="1"/>
    <col min="9" max="9" width="35.28515625" customWidth="1"/>
    <col min="10" max="10" width="31.85546875" customWidth="1"/>
  </cols>
  <sheetData>
    <row r="1" spans="1:9" x14ac:dyDescent="0.25">
      <c r="A1" s="12" t="s">
        <v>3262</v>
      </c>
      <c r="B1" s="1" t="s">
        <v>3152</v>
      </c>
      <c r="C1" s="61" t="s">
        <v>3149</v>
      </c>
      <c r="D1" s="1" t="s">
        <v>47</v>
      </c>
      <c r="E1" s="1" t="s">
        <v>36</v>
      </c>
      <c r="F1" s="1" t="s">
        <v>35</v>
      </c>
      <c r="G1" s="12" t="s">
        <v>3156</v>
      </c>
      <c r="H1" s="1" t="s">
        <v>3245</v>
      </c>
      <c r="I1" s="62" t="s">
        <v>43</v>
      </c>
    </row>
    <row r="2" spans="1:9" x14ac:dyDescent="0.25">
      <c r="A2" s="21" t="s">
        <v>3166</v>
      </c>
      <c r="B2" s="22" t="s">
        <v>3198</v>
      </c>
      <c r="C2" s="25" t="s">
        <v>3310</v>
      </c>
      <c r="D2" s="29" t="s">
        <v>3626</v>
      </c>
      <c r="E2" t="s">
        <v>3622</v>
      </c>
      <c r="F2" t="s">
        <v>6</v>
      </c>
      <c r="G2" s="11" t="s">
        <v>70</v>
      </c>
      <c r="H2" t="s">
        <v>3457</v>
      </c>
      <c r="I2">
        <v>0</v>
      </c>
    </row>
    <row r="3" spans="1:9" x14ac:dyDescent="0.25">
      <c r="A3" s="21" t="s">
        <v>3163</v>
      </c>
      <c r="B3" s="22" t="s">
        <v>3362</v>
      </c>
      <c r="C3" s="25" t="s">
        <v>3426</v>
      </c>
      <c r="D3" s="24" t="s">
        <v>3214</v>
      </c>
      <c r="E3" t="s">
        <v>37</v>
      </c>
      <c r="F3" t="s">
        <v>0</v>
      </c>
      <c r="G3" s="11" t="s">
        <v>69</v>
      </c>
      <c r="H3" t="s">
        <v>3354</v>
      </c>
      <c r="I3" s="16">
        <v>1</v>
      </c>
    </row>
    <row r="4" spans="1:9" x14ac:dyDescent="0.25">
      <c r="A4" s="21" t="s">
        <v>3168</v>
      </c>
      <c r="B4" s="29" t="s">
        <v>3487</v>
      </c>
      <c r="C4" s="24" t="s">
        <v>3202</v>
      </c>
      <c r="D4" s="24" t="s">
        <v>3215</v>
      </c>
      <c r="E4" t="s">
        <v>41</v>
      </c>
      <c r="F4" t="s">
        <v>3</v>
      </c>
      <c r="G4" s="11" t="s">
        <v>72</v>
      </c>
      <c r="H4" t="s">
        <v>3241</v>
      </c>
      <c r="I4" s="17">
        <v>2</v>
      </c>
    </row>
    <row r="5" spans="1:9" x14ac:dyDescent="0.25">
      <c r="A5" s="11" t="s">
        <v>3283</v>
      </c>
      <c r="B5" s="22" t="s">
        <v>3603</v>
      </c>
      <c r="C5" s="25" t="s">
        <v>3578</v>
      </c>
      <c r="D5" s="29" t="s">
        <v>3327</v>
      </c>
      <c r="E5" t="s">
        <v>42</v>
      </c>
      <c r="F5" t="s">
        <v>2</v>
      </c>
      <c r="G5" s="11" t="s">
        <v>3263</v>
      </c>
      <c r="H5" t="s">
        <v>3255</v>
      </c>
      <c r="I5" s="16">
        <v>3</v>
      </c>
    </row>
    <row r="6" spans="1:9" x14ac:dyDescent="0.25">
      <c r="A6" s="26" t="s">
        <v>3576</v>
      </c>
      <c r="B6" s="29" t="s">
        <v>3477</v>
      </c>
      <c r="C6" s="24" t="s">
        <v>3203</v>
      </c>
      <c r="D6" s="29" t="s">
        <v>3345</v>
      </c>
      <c r="E6" t="s">
        <v>40</v>
      </c>
      <c r="F6" t="s">
        <v>1</v>
      </c>
      <c r="H6" t="s">
        <v>3571</v>
      </c>
      <c r="I6" s="17">
        <v>4</v>
      </c>
    </row>
    <row r="7" spans="1:9" x14ac:dyDescent="0.25">
      <c r="A7" s="26" t="s">
        <v>3244</v>
      </c>
      <c r="B7" s="29" t="s">
        <v>3553</v>
      </c>
      <c r="C7" s="29" t="s">
        <v>3314</v>
      </c>
      <c r="D7" s="29" t="s">
        <v>3623</v>
      </c>
      <c r="E7" t="s">
        <v>38</v>
      </c>
      <c r="F7" t="s">
        <v>20</v>
      </c>
      <c r="H7" t="s">
        <v>3252</v>
      </c>
      <c r="I7" s="16">
        <v>5</v>
      </c>
    </row>
    <row r="8" spans="1:9" x14ac:dyDescent="0.25">
      <c r="A8" s="26" t="s">
        <v>3679</v>
      </c>
      <c r="B8" s="29" t="s">
        <v>3342</v>
      </c>
      <c r="C8" s="36" t="s">
        <v>3478</v>
      </c>
      <c r="D8" s="27" t="s">
        <v>3256</v>
      </c>
      <c r="E8" s="26" t="s">
        <v>39</v>
      </c>
      <c r="F8" t="s">
        <v>49</v>
      </c>
      <c r="H8" t="s">
        <v>3271</v>
      </c>
      <c r="I8" s="16"/>
    </row>
    <row r="9" spans="1:9" x14ac:dyDescent="0.25">
      <c r="A9" s="21" t="s">
        <v>3410</v>
      </c>
      <c r="B9" s="29" t="s">
        <v>3531</v>
      </c>
      <c r="C9" s="27" t="s">
        <v>3266</v>
      </c>
      <c r="D9" s="24" t="s">
        <v>3216</v>
      </c>
      <c r="H9" t="s">
        <v>3304</v>
      </c>
      <c r="I9" s="63"/>
    </row>
    <row r="10" spans="1:9" x14ac:dyDescent="0.25">
      <c r="A10" s="26" t="s">
        <v>3484</v>
      </c>
      <c r="B10" s="29" t="s">
        <v>3494</v>
      </c>
      <c r="C10" s="36" t="s">
        <v>3486</v>
      </c>
      <c r="D10" s="24" t="s">
        <v>3217</v>
      </c>
      <c r="H10" t="s">
        <v>3515</v>
      </c>
      <c r="I10" s="16"/>
    </row>
    <row r="11" spans="1:9" x14ac:dyDescent="0.25">
      <c r="A11" s="26" t="s">
        <v>3387</v>
      </c>
      <c r="B11" s="29" t="s">
        <v>3619</v>
      </c>
      <c r="C11" s="24" t="s">
        <v>23</v>
      </c>
      <c r="D11" s="29" t="s">
        <v>3265</v>
      </c>
      <c r="H11" t="s">
        <v>3557</v>
      </c>
      <c r="I11" s="17"/>
    </row>
    <row r="12" spans="1:9" x14ac:dyDescent="0.25">
      <c r="A12" s="26" t="s">
        <v>3385</v>
      </c>
      <c r="B12" s="29" t="s">
        <v>3591</v>
      </c>
      <c r="C12" s="25" t="s">
        <v>3563</v>
      </c>
      <c r="D12" s="31" t="s">
        <v>3322</v>
      </c>
      <c r="H12" t="s">
        <v>3260</v>
      </c>
      <c r="I12" s="16"/>
    </row>
    <row r="13" spans="1:9" x14ac:dyDescent="0.25">
      <c r="A13" s="26" t="s">
        <v>3282</v>
      </c>
      <c r="B13" s="29" t="s">
        <v>3548</v>
      </c>
      <c r="C13" s="24" t="s">
        <v>3204</v>
      </c>
      <c r="D13" s="24" t="s">
        <v>3218</v>
      </c>
      <c r="H13" t="s">
        <v>3434</v>
      </c>
      <c r="I13" s="17"/>
    </row>
    <row r="14" spans="1:9" x14ac:dyDescent="0.25">
      <c r="A14" s="26" t="s">
        <v>3508</v>
      </c>
      <c r="B14" s="29" t="s">
        <v>3572</v>
      </c>
      <c r="C14" s="29" t="s">
        <v>3637</v>
      </c>
      <c r="D14" s="24" t="s">
        <v>3219</v>
      </c>
      <c r="H14" t="s">
        <v>3340</v>
      </c>
      <c r="I14" s="15"/>
    </row>
    <row r="15" spans="1:9" x14ac:dyDescent="0.25">
      <c r="A15" s="26" t="s">
        <v>3418</v>
      </c>
      <c r="B15" s="29" t="s">
        <v>3267</v>
      </c>
      <c r="C15" s="25" t="s">
        <v>3585</v>
      </c>
      <c r="D15" s="29" t="s">
        <v>3248</v>
      </c>
      <c r="H15" t="s">
        <v>3516</v>
      </c>
    </row>
    <row r="16" spans="1:9" x14ac:dyDescent="0.25">
      <c r="A16" s="26" t="s">
        <v>3573</v>
      </c>
      <c r="B16" s="27" t="s">
        <v>3256</v>
      </c>
      <c r="C16" s="42" t="s">
        <v>3205</v>
      </c>
      <c r="D16" s="24" t="s">
        <v>3220</v>
      </c>
      <c r="H16" s="26" t="s">
        <v>3607</v>
      </c>
    </row>
    <row r="17" spans="1:8" x14ac:dyDescent="0.25">
      <c r="A17" s="21" t="s">
        <v>3167</v>
      </c>
      <c r="B17" s="31" t="s">
        <v>3270</v>
      </c>
      <c r="C17" s="31" t="s">
        <v>3537</v>
      </c>
      <c r="D17" s="29" t="s">
        <v>3374</v>
      </c>
      <c r="H17" s="31" t="s">
        <v>3599</v>
      </c>
    </row>
    <row r="18" spans="1:8" x14ac:dyDescent="0.25">
      <c r="A18" s="21" t="s">
        <v>3325</v>
      </c>
      <c r="B18" s="29" t="s">
        <v>3439</v>
      </c>
      <c r="C18" s="42" t="s">
        <v>3206</v>
      </c>
      <c r="D18" s="24" t="s">
        <v>3221</v>
      </c>
      <c r="H18" t="s">
        <v>3280</v>
      </c>
    </row>
    <row r="19" spans="1:8" ht="25.5" customHeight="1" x14ac:dyDescent="0.25">
      <c r="A19" s="26" t="s">
        <v>3328</v>
      </c>
      <c r="B19" s="22" t="s">
        <v>3171</v>
      </c>
      <c r="C19" s="30" t="s">
        <v>3207</v>
      </c>
      <c r="D19" s="22" t="s">
        <v>3187</v>
      </c>
      <c r="H19" t="s">
        <v>3529</v>
      </c>
    </row>
    <row r="20" spans="1:8" x14ac:dyDescent="0.25">
      <c r="A20" s="21" t="s">
        <v>3162</v>
      </c>
      <c r="B20" s="29" t="s">
        <v>3506</v>
      </c>
      <c r="C20" s="42" t="s">
        <v>3208</v>
      </c>
      <c r="D20" s="29" t="s">
        <v>3367</v>
      </c>
      <c r="H20" t="s">
        <v>3399</v>
      </c>
    </row>
    <row r="21" spans="1:8" x14ac:dyDescent="0.25">
      <c r="A21" s="21" t="s">
        <v>3383</v>
      </c>
      <c r="B21" s="22" t="s">
        <v>3461</v>
      </c>
      <c r="C21" s="35" t="s">
        <v>3565</v>
      </c>
      <c r="D21" s="24" t="s">
        <v>3222</v>
      </c>
      <c r="H21" t="s">
        <v>3326</v>
      </c>
    </row>
    <row r="22" spans="1:8" ht="28.5" customHeight="1" x14ac:dyDescent="0.25">
      <c r="A22" s="21" t="s">
        <v>3158</v>
      </c>
      <c r="B22" s="22" t="s">
        <v>3441</v>
      </c>
      <c r="C22" s="31" t="s">
        <v>3549</v>
      </c>
      <c r="D22" s="24" t="s">
        <v>3223</v>
      </c>
      <c r="H22" t="s">
        <v>3396</v>
      </c>
    </row>
    <row r="23" spans="1:8" x14ac:dyDescent="0.25">
      <c r="A23" s="21" t="s">
        <v>3157</v>
      </c>
      <c r="B23" s="22" t="s">
        <v>3174</v>
      </c>
      <c r="C23" s="33" t="s">
        <v>3476</v>
      </c>
      <c r="D23" s="29" t="s">
        <v>3243</v>
      </c>
      <c r="H23" t="s">
        <v>3358</v>
      </c>
    </row>
    <row r="24" spans="1:8" ht="25.5" customHeight="1" x14ac:dyDescent="0.25">
      <c r="A24" s="26" t="s">
        <v>3445</v>
      </c>
      <c r="B24" s="22" t="s">
        <v>3275</v>
      </c>
      <c r="C24" s="42" t="s">
        <v>3209</v>
      </c>
      <c r="D24" s="24" t="s">
        <v>3224</v>
      </c>
      <c r="H24" t="s">
        <v>3382</v>
      </c>
    </row>
    <row r="25" spans="1:8" x14ac:dyDescent="0.25">
      <c r="A25" s="21" t="s">
        <v>3409</v>
      </c>
      <c r="B25" s="22" t="s">
        <v>3380</v>
      </c>
      <c r="C25" s="20" t="s">
        <v>3364</v>
      </c>
      <c r="D25" s="29" t="s">
        <v>3599</v>
      </c>
      <c r="H25" t="s">
        <v>3381</v>
      </c>
    </row>
    <row r="26" spans="1:8" x14ac:dyDescent="0.25">
      <c r="A26" s="21" t="s">
        <v>3535</v>
      </c>
      <c r="B26" s="23" t="s">
        <v>3596</v>
      </c>
      <c r="C26" s="19" t="s">
        <v>3357</v>
      </c>
      <c r="D26" s="29" t="s">
        <v>3277</v>
      </c>
      <c r="H26" t="s">
        <v>3512</v>
      </c>
    </row>
    <row r="27" spans="1:8" x14ac:dyDescent="0.25">
      <c r="A27" s="21" t="s">
        <v>3397</v>
      </c>
      <c r="B27" s="29" t="s">
        <v>3533</v>
      </c>
      <c r="C27" s="19" t="s">
        <v>3361</v>
      </c>
      <c r="D27" s="29" t="s">
        <v>3318</v>
      </c>
      <c r="H27" t="s">
        <v>3377</v>
      </c>
    </row>
    <row r="28" spans="1:8" x14ac:dyDescent="0.25">
      <c r="A28" s="21" t="s">
        <v>3513</v>
      </c>
      <c r="B28" s="22" t="s">
        <v>3176</v>
      </c>
      <c r="C28" s="43" t="s">
        <v>3544</v>
      </c>
      <c r="D28" s="24" t="s">
        <v>3225</v>
      </c>
      <c r="H28" t="s">
        <v>3444</v>
      </c>
    </row>
    <row r="29" spans="1:8" x14ac:dyDescent="0.25">
      <c r="A29" s="26" t="s">
        <v>3406</v>
      </c>
      <c r="B29" s="29" t="s">
        <v>3329</v>
      </c>
      <c r="C29" s="35" t="s">
        <v>3316</v>
      </c>
      <c r="D29" s="24" t="s">
        <v>3226</v>
      </c>
      <c r="H29" t="s">
        <v>3542</v>
      </c>
    </row>
    <row r="30" spans="1:8" x14ac:dyDescent="0.25">
      <c r="A30" s="26" t="s">
        <v>3307</v>
      </c>
      <c r="B30" s="29" t="s">
        <v>3502</v>
      </c>
      <c r="C30" s="19" t="s">
        <v>3615</v>
      </c>
      <c r="D30" s="30" t="s">
        <v>3227</v>
      </c>
      <c r="H30" t="s">
        <v>3259</v>
      </c>
    </row>
    <row r="31" spans="1:8" x14ac:dyDescent="0.25">
      <c r="A31" s="26" t="s">
        <v>3288</v>
      </c>
      <c r="B31" s="29" t="s">
        <v>3605</v>
      </c>
      <c r="C31" s="19" t="s">
        <v>3575</v>
      </c>
      <c r="D31" s="30" t="s">
        <v>3228</v>
      </c>
      <c r="H31" t="s">
        <v>3430</v>
      </c>
    </row>
    <row r="32" spans="1:8" x14ac:dyDescent="0.25">
      <c r="A32" s="26" t="s">
        <v>3680</v>
      </c>
      <c r="B32" s="22" t="s">
        <v>3190</v>
      </c>
      <c r="C32" s="30" t="s">
        <v>3210</v>
      </c>
      <c r="D32" s="30" t="s">
        <v>3229</v>
      </c>
      <c r="H32" t="s">
        <v>3346</v>
      </c>
    </row>
    <row r="33" spans="1:8" x14ac:dyDescent="0.25">
      <c r="A33" s="26" t="s">
        <v>3352</v>
      </c>
      <c r="B33" s="29" t="s">
        <v>3449</v>
      </c>
      <c r="C33" s="35" t="s">
        <v>3411</v>
      </c>
      <c r="D33" s="31" t="s">
        <v>3312</v>
      </c>
      <c r="H33" t="s">
        <v>3336</v>
      </c>
    </row>
    <row r="34" spans="1:8" x14ac:dyDescent="0.25">
      <c r="A34" s="26" t="s">
        <v>3273</v>
      </c>
      <c r="B34" s="31" t="s">
        <v>3265</v>
      </c>
      <c r="C34" s="33" t="s">
        <v>3245</v>
      </c>
      <c r="D34" s="26" t="s">
        <v>3528</v>
      </c>
      <c r="H34" t="s">
        <v>3296</v>
      </c>
    </row>
    <row r="35" spans="1:8" x14ac:dyDescent="0.25">
      <c r="A35" s="26" t="s">
        <v>3446</v>
      </c>
      <c r="B35" s="31" t="s">
        <v>3323</v>
      </c>
      <c r="C35" s="31" t="s">
        <v>3454</v>
      </c>
      <c r="D35" s="26" t="s">
        <v>3504</v>
      </c>
      <c r="H35" t="s">
        <v>3400</v>
      </c>
    </row>
    <row r="36" spans="1:8" x14ac:dyDescent="0.25">
      <c r="A36" s="26" t="s">
        <v>3488</v>
      </c>
      <c r="B36" s="31" t="s">
        <v>3613</v>
      </c>
      <c r="C36" s="36" t="s">
        <v>3479</v>
      </c>
      <c r="D36" s="30" t="s">
        <v>3230</v>
      </c>
      <c r="H36" t="s">
        <v>3292</v>
      </c>
    </row>
    <row r="37" spans="1:8" x14ac:dyDescent="0.25">
      <c r="A37" s="26" t="s">
        <v>3459</v>
      </c>
      <c r="B37" s="31" t="s">
        <v>3527</v>
      </c>
      <c r="C37" s="20" t="s">
        <v>3429</v>
      </c>
      <c r="D37" s="24" t="s">
        <v>3447</v>
      </c>
      <c r="H37" t="s">
        <v>3520</v>
      </c>
    </row>
    <row r="38" spans="1:8" x14ac:dyDescent="0.25">
      <c r="A38" s="26" t="s">
        <v>3376</v>
      </c>
      <c r="B38" s="29" t="s">
        <v>3503</v>
      </c>
      <c r="C38" s="31" t="s">
        <v>3285</v>
      </c>
      <c r="D38" s="30" t="s">
        <v>3231</v>
      </c>
      <c r="H38" t="s">
        <v>3375</v>
      </c>
    </row>
    <row r="39" spans="1:8" x14ac:dyDescent="0.25">
      <c r="A39" s="26" t="s">
        <v>3610</v>
      </c>
      <c r="B39" s="31" t="s">
        <v>3334</v>
      </c>
      <c r="C39" s="20" t="s">
        <v>3440</v>
      </c>
      <c r="D39" s="30" t="s">
        <v>3232</v>
      </c>
      <c r="H39" t="s">
        <v>3320</v>
      </c>
    </row>
    <row r="40" spans="1:8" x14ac:dyDescent="0.25">
      <c r="A40" s="26" t="s">
        <v>3496</v>
      </c>
      <c r="B40" s="26" t="s">
        <v>3634</v>
      </c>
      <c r="C40" s="43" t="s">
        <v>3593</v>
      </c>
      <c r="D40" s="30" t="s">
        <v>3233</v>
      </c>
      <c r="H40" t="s">
        <v>3363</v>
      </c>
    </row>
    <row r="41" spans="1:8" x14ac:dyDescent="0.25">
      <c r="A41" s="21" t="s">
        <v>3562</v>
      </c>
      <c r="B41" s="23" t="s">
        <v>3185</v>
      </c>
      <c r="C41" s="20" t="s">
        <v>3601</v>
      </c>
      <c r="D41" s="30" t="s">
        <v>3234</v>
      </c>
      <c r="H41" t="s">
        <v>3333</v>
      </c>
    </row>
    <row r="42" spans="1:8" x14ac:dyDescent="0.25">
      <c r="A42" s="26" t="s">
        <v>3592</v>
      </c>
      <c r="B42" s="31" t="s">
        <v>3517</v>
      </c>
      <c r="C42" s="20" t="s">
        <v>3389</v>
      </c>
      <c r="D42" s="31" t="s">
        <v>3274</v>
      </c>
      <c r="H42" t="s">
        <v>3359</v>
      </c>
    </row>
    <row r="43" spans="1:8" x14ac:dyDescent="0.25">
      <c r="A43" s="26" t="s">
        <v>3598</v>
      </c>
      <c r="B43" s="31" t="s">
        <v>3624</v>
      </c>
      <c r="C43" s="19" t="s">
        <v>3272</v>
      </c>
      <c r="D43" s="30" t="s">
        <v>3235</v>
      </c>
      <c r="H43" t="s">
        <v>3495</v>
      </c>
    </row>
    <row r="44" spans="1:8" ht="30" x14ac:dyDescent="0.25">
      <c r="A44" s="26" t="s">
        <v>3555</v>
      </c>
      <c r="B44" s="31" t="s">
        <v>3384</v>
      </c>
      <c r="C44" s="32" t="s">
        <v>3393</v>
      </c>
      <c r="D44" s="26" t="s">
        <v>3580</v>
      </c>
      <c r="H44" t="s">
        <v>3246</v>
      </c>
    </row>
    <row r="45" spans="1:8" x14ac:dyDescent="0.25">
      <c r="A45" s="26" t="s">
        <v>3264</v>
      </c>
      <c r="B45" s="31" t="s">
        <v>3526</v>
      </c>
      <c r="C45" s="32" t="s">
        <v>3534</v>
      </c>
      <c r="D45" s="30" t="s">
        <v>3236</v>
      </c>
      <c r="H45" t="s">
        <v>3450</v>
      </c>
    </row>
    <row r="46" spans="1:8" x14ac:dyDescent="0.25">
      <c r="A46" s="26" t="s">
        <v>3583</v>
      </c>
      <c r="B46" s="31" t="s">
        <v>3278</v>
      </c>
      <c r="C46" s="59" t="s">
        <v>3337</v>
      </c>
      <c r="D46" s="26" t="s">
        <v>3608</v>
      </c>
      <c r="H46" t="s">
        <v>3286</v>
      </c>
    </row>
    <row r="47" spans="1:8" x14ac:dyDescent="0.25">
      <c r="A47" s="21" t="s">
        <v>3165</v>
      </c>
      <c r="B47" s="31" t="s">
        <v>3490</v>
      </c>
      <c r="C47" s="35" t="s">
        <v>3253</v>
      </c>
      <c r="D47" s="29" t="s">
        <v>3395</v>
      </c>
      <c r="H47" t="s">
        <v>3433</v>
      </c>
    </row>
    <row r="48" spans="1:8" ht="45" x14ac:dyDescent="0.25">
      <c r="A48" s="26" t="s">
        <v>3331</v>
      </c>
      <c r="B48" s="31" t="s">
        <v>3372</v>
      </c>
      <c r="C48" s="48" t="s">
        <v>3500</v>
      </c>
      <c r="D48" s="31" t="s">
        <v>3587</v>
      </c>
      <c r="H48" s="29" t="s">
        <v>3547</v>
      </c>
    </row>
    <row r="49" spans="1:8" x14ac:dyDescent="0.25">
      <c r="A49" s="26" t="s">
        <v>3511</v>
      </c>
      <c r="B49" s="31" t="s">
        <v>3305</v>
      </c>
      <c r="C49" s="35" t="s">
        <v>3552</v>
      </c>
      <c r="D49" s="31" t="s">
        <v>3586</v>
      </c>
      <c r="H49" s="31" t="s">
        <v>3471</v>
      </c>
    </row>
    <row r="50" spans="1:8" x14ac:dyDescent="0.25">
      <c r="A50" s="26" t="s">
        <v>3541</v>
      </c>
      <c r="B50" s="23" t="s">
        <v>3183</v>
      </c>
      <c r="C50" s="40" t="s">
        <v>3539</v>
      </c>
      <c r="D50" s="30" t="s">
        <v>3237</v>
      </c>
    </row>
    <row r="51" spans="1:8" x14ac:dyDescent="0.25">
      <c r="A51" s="26" t="s">
        <v>3370</v>
      </c>
      <c r="B51" s="23" t="s">
        <v>3681</v>
      </c>
      <c r="C51" s="35" t="s">
        <v>3617</v>
      </c>
      <c r="D51" s="31" t="s">
        <v>3524</v>
      </c>
    </row>
    <row r="52" spans="1:8" x14ac:dyDescent="0.25">
      <c r="A52" s="26" t="s">
        <v>3371</v>
      </c>
      <c r="B52" s="31" t="s">
        <v>3509</v>
      </c>
      <c r="C52" s="34" t="s">
        <v>3308</v>
      </c>
      <c r="D52" s="30" t="s">
        <v>3238</v>
      </c>
    </row>
    <row r="53" spans="1:8" x14ac:dyDescent="0.25">
      <c r="A53" s="21" t="s">
        <v>3164</v>
      </c>
      <c r="B53" s="23" t="s">
        <v>3182</v>
      </c>
      <c r="C53" s="40" t="s">
        <v>3627</v>
      </c>
      <c r="D53" s="31" t="s">
        <v>3577</v>
      </c>
    </row>
    <row r="54" spans="1:8" x14ac:dyDescent="0.25">
      <c r="A54" s="26" t="s">
        <v>3348</v>
      </c>
      <c r="B54" s="22" t="s">
        <v>3182</v>
      </c>
      <c r="C54" s="34" t="s">
        <v>3404</v>
      </c>
      <c r="D54" s="31" t="s">
        <v>3481</v>
      </c>
    </row>
    <row r="55" spans="1:8" x14ac:dyDescent="0.25">
      <c r="A55" s="26" t="s">
        <v>3413</v>
      </c>
      <c r="B55" s="23" t="s">
        <v>3467</v>
      </c>
      <c r="C55" s="34" t="s">
        <v>3369</v>
      </c>
      <c r="D55" s="31" t="s">
        <v>3257</v>
      </c>
    </row>
    <row r="56" spans="1:8" x14ac:dyDescent="0.25">
      <c r="A56" s="26" t="s">
        <v>3311</v>
      </c>
      <c r="B56" s="29" t="s">
        <v>3630</v>
      </c>
      <c r="C56" s="31" t="s">
        <v>3507</v>
      </c>
      <c r="D56" s="30" t="s">
        <v>3239</v>
      </c>
    </row>
    <row r="57" spans="1:8" ht="30" x14ac:dyDescent="0.25">
      <c r="A57" s="26" t="s">
        <v>3629</v>
      </c>
      <c r="B57" s="31" t="s">
        <v>3289</v>
      </c>
      <c r="C57" s="38" t="s">
        <v>3294</v>
      </c>
      <c r="D57" s="31" t="s">
        <v>3356</v>
      </c>
    </row>
    <row r="58" spans="1:8" x14ac:dyDescent="0.25">
      <c r="A58" s="26" t="s">
        <v>3595</v>
      </c>
      <c r="B58" s="31" t="s">
        <v>3391</v>
      </c>
      <c r="C58" s="31" t="s">
        <v>3546</v>
      </c>
      <c r="D58" s="31" t="s">
        <v>3332</v>
      </c>
    </row>
    <row r="59" spans="1:8" x14ac:dyDescent="0.25">
      <c r="A59" s="26" t="s">
        <v>3417</v>
      </c>
      <c r="B59" s="29" t="s">
        <v>3420</v>
      </c>
      <c r="C59" s="34" t="s">
        <v>3510</v>
      </c>
      <c r="D59" s="30" t="s">
        <v>3240</v>
      </c>
    </row>
    <row r="60" spans="1:8" x14ac:dyDescent="0.25">
      <c r="A60" s="21" t="s">
        <v>3169</v>
      </c>
      <c r="B60" s="23" t="s">
        <v>3177</v>
      </c>
      <c r="C60" s="31" t="s">
        <v>3350</v>
      </c>
      <c r="D60" s="31" t="s">
        <v>3351</v>
      </c>
    </row>
    <row r="61" spans="1:8" x14ac:dyDescent="0.25">
      <c r="A61" s="21" t="s">
        <v>3161</v>
      </c>
      <c r="B61" s="22" t="s">
        <v>3180</v>
      </c>
      <c r="C61" s="34" t="s">
        <v>3300</v>
      </c>
      <c r="D61" s="31" t="s">
        <v>3284</v>
      </c>
    </row>
    <row r="62" spans="1:8" x14ac:dyDescent="0.25">
      <c r="A62" s="21" t="s">
        <v>3160</v>
      </c>
      <c r="B62" s="23" t="s">
        <v>3188</v>
      </c>
      <c r="C62" s="31" t="s">
        <v>3522</v>
      </c>
      <c r="D62" t="s">
        <v>3341</v>
      </c>
    </row>
    <row r="63" spans="1:8" x14ac:dyDescent="0.25">
      <c r="A63" s="21" t="s">
        <v>3160</v>
      </c>
      <c r="B63" s="31" t="s">
        <v>3582</v>
      </c>
      <c r="C63" s="34" t="s">
        <v>3291</v>
      </c>
    </row>
    <row r="64" spans="1:8" x14ac:dyDescent="0.25">
      <c r="A64" s="26" t="s">
        <v>3368</v>
      </c>
      <c r="B64" s="31" t="s">
        <v>3536</v>
      </c>
      <c r="C64" s="41" t="s">
        <v>95</v>
      </c>
    </row>
    <row r="65" spans="1:3" x14ac:dyDescent="0.25">
      <c r="A65" s="26" t="s">
        <v>3247</v>
      </c>
      <c r="B65" s="22" t="s">
        <v>3175</v>
      </c>
      <c r="C65" s="34" t="s">
        <v>3436</v>
      </c>
    </row>
    <row r="66" spans="1:3" x14ac:dyDescent="0.25">
      <c r="A66" s="26" t="s">
        <v>3415</v>
      </c>
      <c r="B66" s="23" t="s">
        <v>3173</v>
      </c>
      <c r="C66" s="34" t="s">
        <v>3437</v>
      </c>
    </row>
    <row r="67" spans="1:3" x14ac:dyDescent="0.25">
      <c r="A67" s="26" t="s">
        <v>3386</v>
      </c>
      <c r="B67" s="31" t="s">
        <v>3499</v>
      </c>
      <c r="C67" s="31" t="s">
        <v>3366</v>
      </c>
    </row>
    <row r="68" spans="1:3" x14ac:dyDescent="0.25">
      <c r="A68" s="21" t="s">
        <v>3159</v>
      </c>
      <c r="B68" s="23" t="s">
        <v>3194</v>
      </c>
      <c r="C68" s="30" t="s">
        <v>3211</v>
      </c>
    </row>
    <row r="69" spans="1:3" x14ac:dyDescent="0.25">
      <c r="A69" s="26" t="s">
        <v>3633</v>
      </c>
      <c r="B69" s="29" t="s">
        <v>3614</v>
      </c>
      <c r="C69" s="31" t="s">
        <v>3343</v>
      </c>
    </row>
    <row r="70" spans="1:3" x14ac:dyDescent="0.25">
      <c r="B70" s="31" t="s">
        <v>3521</v>
      </c>
      <c r="C70" s="35" t="s">
        <v>3303</v>
      </c>
    </row>
    <row r="71" spans="1:3" x14ac:dyDescent="0.25">
      <c r="B71" s="50" t="s">
        <v>3199</v>
      </c>
      <c r="C71" s="31" t="s">
        <v>3254</v>
      </c>
    </row>
    <row r="72" spans="1:3" x14ac:dyDescent="0.25">
      <c r="B72" s="23" t="s">
        <v>3195</v>
      </c>
      <c r="C72" s="30" t="s">
        <v>3212</v>
      </c>
    </row>
    <row r="73" spans="1:3" x14ac:dyDescent="0.25">
      <c r="B73" s="23" t="s">
        <v>3193</v>
      </c>
      <c r="C73" s="31" t="s">
        <v>3360</v>
      </c>
    </row>
    <row r="74" spans="1:3" x14ac:dyDescent="0.25">
      <c r="B74" s="29" t="s">
        <v>3560</v>
      </c>
      <c r="C74" s="12" t="s">
        <v>3505</v>
      </c>
    </row>
    <row r="75" spans="1:3" x14ac:dyDescent="0.25">
      <c r="B75" s="31" t="s">
        <v>3432</v>
      </c>
      <c r="C75" s="35" t="s">
        <v>3570</v>
      </c>
    </row>
    <row r="76" spans="1:3" x14ac:dyDescent="0.25">
      <c r="B76" s="31" t="s">
        <v>3540</v>
      </c>
      <c r="C76" s="35" t="s">
        <v>3373</v>
      </c>
    </row>
    <row r="77" spans="1:3" x14ac:dyDescent="0.25">
      <c r="B77" s="29" t="s">
        <v>3584</v>
      </c>
      <c r="C77" s="31" t="s">
        <v>3279</v>
      </c>
    </row>
    <row r="78" spans="1:3" x14ac:dyDescent="0.25">
      <c r="B78" s="31" t="s">
        <v>3581</v>
      </c>
      <c r="C78" s="30" t="s">
        <v>3213</v>
      </c>
    </row>
    <row r="79" spans="1:3" x14ac:dyDescent="0.25">
      <c r="B79" s="31" t="s">
        <v>3574</v>
      </c>
      <c r="C79" s="54" t="s">
        <v>3567</v>
      </c>
    </row>
    <row r="80" spans="1:3" x14ac:dyDescent="0.25">
      <c r="B80" s="23" t="s">
        <v>3179</v>
      </c>
      <c r="C80" s="40" t="s">
        <v>3606</v>
      </c>
    </row>
    <row r="81" spans="2:3" x14ac:dyDescent="0.25">
      <c r="B81" s="23" t="s">
        <v>3200</v>
      </c>
      <c r="C81" s="31" t="s">
        <v>3466</v>
      </c>
    </row>
    <row r="82" spans="2:3" x14ac:dyDescent="0.25">
      <c r="B82" s="31" t="s">
        <v>3394</v>
      </c>
      <c r="C82" s="35" t="s">
        <v>3258</v>
      </c>
    </row>
    <row r="83" spans="2:3" x14ac:dyDescent="0.25">
      <c r="B83" s="31" t="s">
        <v>3231</v>
      </c>
      <c r="C83" s="34" t="s">
        <v>3427</v>
      </c>
    </row>
    <row r="84" spans="2:3" x14ac:dyDescent="0.25">
      <c r="B84" s="31" t="s">
        <v>3460</v>
      </c>
      <c r="C84" s="34" t="s">
        <v>3498</v>
      </c>
    </row>
    <row r="85" spans="2:3" x14ac:dyDescent="0.25">
      <c r="B85" s="31" t="s">
        <v>3465</v>
      </c>
      <c r="C85" s="34" t="s">
        <v>3452</v>
      </c>
    </row>
    <row r="86" spans="2:3" x14ac:dyDescent="0.25">
      <c r="B86" s="31" t="s">
        <v>3442</v>
      </c>
      <c r="C86" s="40" t="s">
        <v>3518</v>
      </c>
    </row>
    <row r="87" spans="2:3" x14ac:dyDescent="0.25">
      <c r="B87" s="23" t="s">
        <v>3181</v>
      </c>
      <c r="C87" s="35" t="s">
        <v>3491</v>
      </c>
    </row>
    <row r="88" spans="2:3" x14ac:dyDescent="0.25">
      <c r="B88" s="31" t="s">
        <v>3556</v>
      </c>
      <c r="C88" s="20" t="s">
        <v>3421</v>
      </c>
    </row>
    <row r="89" spans="2:3" x14ac:dyDescent="0.25">
      <c r="B89" s="23" t="s">
        <v>3191</v>
      </c>
      <c r="C89" s="19" t="s">
        <v>3559</v>
      </c>
    </row>
    <row r="90" spans="2:3" x14ac:dyDescent="0.25">
      <c r="B90" s="31" t="s">
        <v>3497</v>
      </c>
      <c r="C90" s="34" t="s">
        <v>3514</v>
      </c>
    </row>
    <row r="91" spans="2:3" x14ac:dyDescent="0.25">
      <c r="B91" s="31" t="s">
        <v>3480</v>
      </c>
      <c r="C91" s="35" t="s">
        <v>3743</v>
      </c>
    </row>
    <row r="92" spans="2:3" x14ac:dyDescent="0.25">
      <c r="B92" s="31" t="s">
        <v>3295</v>
      </c>
      <c r="C92" s="11" t="s">
        <v>4134</v>
      </c>
    </row>
    <row r="93" spans="2:3" x14ac:dyDescent="0.25">
      <c r="B93" s="23" t="s">
        <v>3612</v>
      </c>
      <c r="C93" s="11" t="s">
        <v>4135</v>
      </c>
    </row>
    <row r="94" spans="2:3" x14ac:dyDescent="0.25">
      <c r="B94" s="23" t="s">
        <v>3170</v>
      </c>
      <c r="C94" s="11" t="s">
        <v>4136</v>
      </c>
    </row>
    <row r="95" spans="2:3" x14ac:dyDescent="0.25">
      <c r="B95" s="22" t="s">
        <v>3189</v>
      </c>
      <c r="C95" s="11" t="s">
        <v>4137</v>
      </c>
    </row>
    <row r="96" spans="2:3" x14ac:dyDescent="0.25">
      <c r="B96" s="31" t="s">
        <v>3388</v>
      </c>
      <c r="C96" s="11" t="s">
        <v>4138</v>
      </c>
    </row>
    <row r="97" spans="2:2" x14ac:dyDescent="0.25">
      <c r="B97" s="31" t="s">
        <v>3353</v>
      </c>
    </row>
    <row r="98" spans="2:2" x14ac:dyDescent="0.25">
      <c r="B98" s="31" t="s">
        <v>3609</v>
      </c>
    </row>
    <row r="99" spans="2:2" x14ac:dyDescent="0.25">
      <c r="B99" s="22" t="s">
        <v>3201</v>
      </c>
    </row>
    <row r="100" spans="2:2" x14ac:dyDescent="0.25">
      <c r="B100" s="31" t="s">
        <v>3407</v>
      </c>
    </row>
    <row r="101" spans="2:2" x14ac:dyDescent="0.25">
      <c r="B101" s="23" t="s">
        <v>3192</v>
      </c>
    </row>
    <row r="102" spans="2:2" x14ac:dyDescent="0.25">
      <c r="B102" s="23" t="s">
        <v>3186</v>
      </c>
    </row>
    <row r="103" spans="2:2" x14ac:dyDescent="0.25">
      <c r="B103" s="31" t="s">
        <v>3597</v>
      </c>
    </row>
    <row r="104" spans="2:2" x14ac:dyDescent="0.25">
      <c r="B104" s="31" t="s">
        <v>3313</v>
      </c>
    </row>
    <row r="105" spans="2:2" x14ac:dyDescent="0.25">
      <c r="B105" s="31" t="s">
        <v>3469</v>
      </c>
    </row>
    <row r="106" spans="2:2" x14ac:dyDescent="0.25">
      <c r="B106" s="31" t="s">
        <v>3628</v>
      </c>
    </row>
    <row r="107" spans="2:2" x14ac:dyDescent="0.25">
      <c r="B107" s="31" t="s">
        <v>3351</v>
      </c>
    </row>
    <row r="108" spans="2:2" x14ac:dyDescent="0.25">
      <c r="B108" s="31" t="s">
        <v>3492</v>
      </c>
    </row>
    <row r="109" spans="2:2" x14ac:dyDescent="0.25">
      <c r="B109" s="31" t="s">
        <v>3453</v>
      </c>
    </row>
    <row r="110" spans="2:2" x14ac:dyDescent="0.25">
      <c r="B110" s="31" t="s">
        <v>3258</v>
      </c>
    </row>
    <row r="111" spans="2:2" x14ac:dyDescent="0.25">
      <c r="B111" s="31" t="s">
        <v>3551</v>
      </c>
    </row>
    <row r="112" spans="2:2" x14ac:dyDescent="0.25">
      <c r="B112" s="31" t="s">
        <v>3472</v>
      </c>
    </row>
    <row r="113" spans="2:2" x14ac:dyDescent="0.25">
      <c r="B113" s="31" t="s">
        <v>3287</v>
      </c>
    </row>
    <row r="114" spans="2:2" x14ac:dyDescent="0.25">
      <c r="B114" s="31" t="s">
        <v>3435</v>
      </c>
    </row>
    <row r="115" spans="2:2" x14ac:dyDescent="0.25">
      <c r="B115" s="22" t="s">
        <v>3172</v>
      </c>
    </row>
    <row r="116" spans="2:2" x14ac:dyDescent="0.25">
      <c r="B116" s="22" t="s">
        <v>3178</v>
      </c>
    </row>
    <row r="117" spans="2:2" x14ac:dyDescent="0.25">
      <c r="B117" s="31" t="s">
        <v>3468</v>
      </c>
    </row>
    <row r="118" spans="2:2" x14ac:dyDescent="0.25">
      <c r="B118" s="29" t="s">
        <v>3474</v>
      </c>
    </row>
    <row r="119" spans="2:2" x14ac:dyDescent="0.25">
      <c r="B119" s="23" t="s">
        <v>3197</v>
      </c>
    </row>
    <row r="120" spans="2:2" x14ac:dyDescent="0.25">
      <c r="B120" s="23" t="s">
        <v>3196</v>
      </c>
    </row>
    <row r="121" spans="2:2" x14ac:dyDescent="0.25">
      <c r="B121" s="31" t="s">
        <v>3462</v>
      </c>
    </row>
    <row r="122" spans="2:2" x14ac:dyDescent="0.25">
      <c r="B122" s="31" t="s">
        <v>3423</v>
      </c>
    </row>
    <row r="123" spans="2:2" x14ac:dyDescent="0.25">
      <c r="B123" s="31" t="s">
        <v>3554</v>
      </c>
    </row>
    <row r="124" spans="2:2" x14ac:dyDescent="0.25">
      <c r="B124" s="31" t="s">
        <v>3425</v>
      </c>
    </row>
    <row r="125" spans="2:2" x14ac:dyDescent="0.25">
      <c r="B125" s="30" t="s">
        <v>3299</v>
      </c>
    </row>
    <row r="126" spans="2:2" x14ac:dyDescent="0.25">
      <c r="B126" s="31" t="s">
        <v>3301</v>
      </c>
    </row>
    <row r="127" spans="2:2" x14ac:dyDescent="0.25">
      <c r="B127" s="31" t="s">
        <v>3378</v>
      </c>
    </row>
  </sheetData>
  <dataValidations count="2">
    <dataValidation type="list" allowBlank="1" showInputMessage="1" showErrorMessage="1" sqref="A1 A17:A22 A27:A29 A31:A33 A39 A52 A60 A67" xr:uid="{A09569DB-1938-4079-8F5D-ABBFAEB39132}">
      <formula1>$A$1:$A$69</formula1>
    </dataValidation>
    <dataValidation type="list" allowBlank="1" showInputMessage="1" showErrorMessage="1" sqref="B98" xr:uid="{6C3B17DB-09FC-45DE-A74E-42A730684260}">
      <formula1>$B$2:$B$127</formula1>
    </dataValidation>
  </dataValidations>
  <pageMargins left="0.7" right="0.7" top="0.75" bottom="0.75" header="0.3" footer="0.3"/>
  <pageSetup orientation="portrait" r:id="rId1"/>
  <tableParts count="9">
    <tablePart r:id="rId2"/>
    <tablePart r:id="rId3"/>
    <tablePart r:id="rId4"/>
    <tablePart r:id="rId5"/>
    <tablePart r:id="rId6"/>
    <tablePart r:id="rId7"/>
    <tablePart r:id="rId8"/>
    <tablePart r:id="rId9"/>
    <tablePart r:id="rId10"/>
  </tableParts>
  <extLst>
    <ext xmlns:x14="http://schemas.microsoft.com/office/spreadsheetml/2009/9/main" uri="{CCE6A557-97BC-4b89-ADB6-D9C93CAAB3DF}">
      <x14:dataValidations xmlns:xm="http://schemas.microsoft.com/office/excel/2006/main" count="1">
        <x14:dataValidation type="list" allowBlank="1" showInputMessage="1" showErrorMessage="1" xr:uid="{E78EEDCB-2D73-49C9-A8D2-D2493FC46E03}">
          <x14:formula1>
            <xm:f>'D:\OneDrive\OneDrive - Pontificia Universidad Católica del Ecuador Sede Esmeraldas\Datos\MappingStudy\[SMS_CSV_2019v5_gidesoft.xlsx]Categories'!#REF!</xm:f>
          </x14:formula1>
          <xm:sqref>E8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A8AE3-28B8-4E45-AB1B-33AABD185BAB}">
  <sheetPr codeName="Hoja4"/>
  <dimension ref="A1:J299"/>
  <sheetViews>
    <sheetView topLeftCell="A13" workbookViewId="0">
      <selection activeCell="J2" sqref="J2:J44"/>
    </sheetView>
  </sheetViews>
  <sheetFormatPr baseColWidth="10" defaultRowHeight="15" x14ac:dyDescent="0.25"/>
  <cols>
    <col min="1" max="1" width="19.85546875" bestFit="1" customWidth="1"/>
    <col min="2" max="2" width="21.5703125" bestFit="1" customWidth="1"/>
    <col min="9" max="10" width="19.85546875" bestFit="1" customWidth="1"/>
  </cols>
  <sheetData>
    <row r="1" spans="1:10" s="26" customFormat="1" x14ac:dyDescent="0.25">
      <c r="A1" s="26" t="s">
        <v>4131</v>
      </c>
      <c r="B1" s="26" t="s">
        <v>4132</v>
      </c>
      <c r="I1" s="26" t="s">
        <v>4133</v>
      </c>
      <c r="J1" s="26" t="s">
        <v>4133</v>
      </c>
    </row>
    <row r="2" spans="1:10" x14ac:dyDescent="0.25">
      <c r="A2" s="26" t="s">
        <v>64</v>
      </c>
      <c r="B2" s="26" t="s">
        <v>64</v>
      </c>
      <c r="I2" s="26" t="s">
        <v>64</v>
      </c>
      <c r="J2" s="26" t="s">
        <v>64</v>
      </c>
    </row>
    <row r="3" spans="1:10" x14ac:dyDescent="0.25">
      <c r="A3" s="26" t="s">
        <v>64</v>
      </c>
      <c r="B3" s="26" t="s">
        <v>64</v>
      </c>
      <c r="I3" s="26" t="s">
        <v>53</v>
      </c>
      <c r="J3" s="26" t="s">
        <v>53</v>
      </c>
    </row>
    <row r="4" spans="1:10" x14ac:dyDescent="0.25">
      <c r="A4" s="26" t="s">
        <v>64</v>
      </c>
      <c r="B4" s="26" t="s">
        <v>64</v>
      </c>
      <c r="I4" s="31" t="s">
        <v>3660</v>
      </c>
      <c r="J4" s="26" t="s">
        <v>3661</v>
      </c>
    </row>
    <row r="5" spans="1:10" x14ac:dyDescent="0.25">
      <c r="A5" s="26" t="s">
        <v>53</v>
      </c>
      <c r="B5" s="26" t="s">
        <v>53</v>
      </c>
      <c r="I5" s="26" t="s">
        <v>3661</v>
      </c>
      <c r="J5" s="26" t="s">
        <v>61</v>
      </c>
    </row>
    <row r="6" spans="1:10" x14ac:dyDescent="0.25">
      <c r="A6" s="26" t="s">
        <v>53</v>
      </c>
      <c r="B6" s="26" t="s">
        <v>53</v>
      </c>
      <c r="I6" s="26" t="s">
        <v>61</v>
      </c>
      <c r="J6" s="26" t="s">
        <v>57</v>
      </c>
    </row>
    <row r="7" spans="1:10" x14ac:dyDescent="0.25">
      <c r="A7" s="26" t="s">
        <v>53</v>
      </c>
      <c r="B7" s="26" t="s">
        <v>53</v>
      </c>
      <c r="I7" s="31" t="s">
        <v>3662</v>
      </c>
      <c r="J7" s="26" t="s">
        <v>3249</v>
      </c>
    </row>
    <row r="8" spans="1:10" x14ac:dyDescent="0.25">
      <c r="A8" s="26" t="s">
        <v>53</v>
      </c>
      <c r="B8" s="26" t="s">
        <v>53</v>
      </c>
      <c r="I8" s="121" t="s">
        <v>57</v>
      </c>
      <c r="J8" s="26" t="s">
        <v>3428</v>
      </c>
    </row>
    <row r="9" spans="1:10" x14ac:dyDescent="0.25">
      <c r="A9" s="119" t="s">
        <v>53</v>
      </c>
      <c r="B9" s="26" t="s">
        <v>3661</v>
      </c>
      <c r="I9" s="120" t="s">
        <v>3249</v>
      </c>
      <c r="J9" s="26" t="s">
        <v>59</v>
      </c>
    </row>
    <row r="10" spans="1:10" x14ac:dyDescent="0.25">
      <c r="A10" s="120" t="s">
        <v>53</v>
      </c>
      <c r="B10" s="26" t="s">
        <v>3661</v>
      </c>
      <c r="I10" s="120" t="s">
        <v>3428</v>
      </c>
      <c r="J10" s="26" t="s">
        <v>63</v>
      </c>
    </row>
    <row r="11" spans="1:10" x14ac:dyDescent="0.25">
      <c r="A11" s="119" t="s">
        <v>53</v>
      </c>
      <c r="B11" s="26" t="s">
        <v>61</v>
      </c>
      <c r="I11" s="120" t="s">
        <v>59</v>
      </c>
      <c r="J11" s="26" t="s">
        <v>3579</v>
      </c>
    </row>
    <row r="12" spans="1:10" x14ac:dyDescent="0.25">
      <c r="A12" s="120" t="s">
        <v>3660</v>
      </c>
      <c r="B12" s="26" t="s">
        <v>61</v>
      </c>
      <c r="I12" s="120" t="s">
        <v>63</v>
      </c>
      <c r="J12" s="26" t="s">
        <v>3523</v>
      </c>
    </row>
    <row r="13" spans="1:10" x14ac:dyDescent="0.25">
      <c r="A13" s="26" t="s">
        <v>3661</v>
      </c>
      <c r="B13" s="26" t="s">
        <v>61</v>
      </c>
      <c r="I13" s="26" t="s">
        <v>3579</v>
      </c>
      <c r="J13" s="26" t="s">
        <v>60</v>
      </c>
    </row>
    <row r="14" spans="1:10" x14ac:dyDescent="0.25">
      <c r="A14" s="26" t="s">
        <v>3661</v>
      </c>
      <c r="B14" s="26" t="s">
        <v>61</v>
      </c>
      <c r="I14" s="26" t="s">
        <v>3523</v>
      </c>
      <c r="J14" s="26" t="s">
        <v>3600</v>
      </c>
    </row>
    <row r="15" spans="1:10" x14ac:dyDescent="0.25">
      <c r="A15" s="119" t="s">
        <v>3661</v>
      </c>
      <c r="B15" s="26" t="s">
        <v>61</v>
      </c>
      <c r="I15" s="120" t="s">
        <v>60</v>
      </c>
      <c r="J15" s="26" t="s">
        <v>3365</v>
      </c>
    </row>
    <row r="16" spans="1:10" x14ac:dyDescent="0.25">
      <c r="A16" s="26" t="s">
        <v>61</v>
      </c>
      <c r="B16" s="26" t="s">
        <v>61</v>
      </c>
      <c r="I16" s="26" t="s">
        <v>3600</v>
      </c>
      <c r="J16" s="26" t="s">
        <v>54</v>
      </c>
    </row>
    <row r="17" spans="1:10" x14ac:dyDescent="0.25">
      <c r="A17" s="26" t="s">
        <v>61</v>
      </c>
      <c r="B17" s="26" t="s">
        <v>61</v>
      </c>
      <c r="I17" s="26" t="s">
        <v>3365</v>
      </c>
      <c r="J17" s="26" t="s">
        <v>58</v>
      </c>
    </row>
    <row r="18" spans="1:10" x14ac:dyDescent="0.25">
      <c r="A18" s="26" t="s">
        <v>61</v>
      </c>
      <c r="B18" s="26" t="s">
        <v>61</v>
      </c>
      <c r="I18" s="26" t="s">
        <v>54</v>
      </c>
      <c r="J18" s="26" t="s">
        <v>3620</v>
      </c>
    </row>
    <row r="19" spans="1:10" x14ac:dyDescent="0.25">
      <c r="A19" s="26" t="s">
        <v>61</v>
      </c>
      <c r="B19" s="26" t="s">
        <v>61</v>
      </c>
      <c r="I19" s="26" t="s">
        <v>58</v>
      </c>
      <c r="J19" s="26" t="s">
        <v>3338</v>
      </c>
    </row>
    <row r="20" spans="1:10" x14ac:dyDescent="0.25">
      <c r="A20" s="26" t="s">
        <v>61</v>
      </c>
      <c r="B20" s="26" t="s">
        <v>61</v>
      </c>
      <c r="I20" s="26" t="s">
        <v>3620</v>
      </c>
      <c r="J20" s="26" t="s">
        <v>3317</v>
      </c>
    </row>
    <row r="21" spans="1:10" x14ac:dyDescent="0.25">
      <c r="A21" s="26" t="s">
        <v>61</v>
      </c>
      <c r="B21" s="26" t="s">
        <v>61</v>
      </c>
      <c r="I21" s="26" t="s">
        <v>3338</v>
      </c>
      <c r="J21" s="26" t="s">
        <v>3422</v>
      </c>
    </row>
    <row r="22" spans="1:10" x14ac:dyDescent="0.25">
      <c r="A22" s="26" t="s">
        <v>61</v>
      </c>
      <c r="B22" s="26" t="s">
        <v>61</v>
      </c>
      <c r="I22" s="26" t="s">
        <v>3317</v>
      </c>
      <c r="J22" s="26" t="s">
        <v>3564</v>
      </c>
    </row>
    <row r="23" spans="1:10" x14ac:dyDescent="0.25">
      <c r="A23" s="26" t="s">
        <v>61</v>
      </c>
      <c r="B23" s="26" t="s">
        <v>61</v>
      </c>
      <c r="I23" s="26" t="s">
        <v>3422</v>
      </c>
      <c r="J23" s="26" t="s">
        <v>56</v>
      </c>
    </row>
    <row r="24" spans="1:10" x14ac:dyDescent="0.25">
      <c r="A24" s="26" t="s">
        <v>61</v>
      </c>
      <c r="B24" s="26" t="s">
        <v>61</v>
      </c>
      <c r="I24" s="26" t="s">
        <v>3564</v>
      </c>
      <c r="J24" s="26" t="s">
        <v>3315</v>
      </c>
    </row>
    <row r="25" spans="1:10" x14ac:dyDescent="0.25">
      <c r="A25" s="26" t="s">
        <v>61</v>
      </c>
      <c r="B25" s="26" t="s">
        <v>61</v>
      </c>
      <c r="I25" s="26" t="s">
        <v>56</v>
      </c>
      <c r="J25" s="26" t="s">
        <v>3602</v>
      </c>
    </row>
    <row r="26" spans="1:10" x14ac:dyDescent="0.25">
      <c r="A26" s="26" t="s">
        <v>61</v>
      </c>
      <c r="B26" s="26" t="s">
        <v>61</v>
      </c>
      <c r="I26" s="26" t="s">
        <v>3315</v>
      </c>
      <c r="J26" s="26" t="s">
        <v>3463</v>
      </c>
    </row>
    <row r="27" spans="1:10" x14ac:dyDescent="0.25">
      <c r="A27" s="26" t="s">
        <v>61</v>
      </c>
      <c r="B27" s="26" t="s">
        <v>61</v>
      </c>
      <c r="I27" s="26" t="s">
        <v>3602</v>
      </c>
      <c r="J27" s="26" t="s">
        <v>3663</v>
      </c>
    </row>
    <row r="28" spans="1:10" x14ac:dyDescent="0.25">
      <c r="A28" s="26" t="s">
        <v>61</v>
      </c>
      <c r="B28" s="26" t="s">
        <v>61</v>
      </c>
      <c r="I28" s="26" t="s">
        <v>3463</v>
      </c>
      <c r="J28" s="26" t="s">
        <v>66</v>
      </c>
    </row>
    <row r="29" spans="1:10" x14ac:dyDescent="0.25">
      <c r="A29" s="26" t="s">
        <v>61</v>
      </c>
      <c r="B29" s="26" t="s">
        <v>61</v>
      </c>
      <c r="I29" s="26" t="s">
        <v>3663</v>
      </c>
      <c r="J29" s="26" t="s">
        <v>3355</v>
      </c>
    </row>
    <row r="30" spans="1:10" x14ac:dyDescent="0.25">
      <c r="A30" s="26" t="s">
        <v>61</v>
      </c>
      <c r="B30" s="26" t="s">
        <v>61</v>
      </c>
      <c r="I30" s="26" t="s">
        <v>66</v>
      </c>
      <c r="J30" s="26" t="s">
        <v>3664</v>
      </c>
    </row>
    <row r="31" spans="1:10" x14ac:dyDescent="0.25">
      <c r="A31" s="26" t="s">
        <v>61</v>
      </c>
      <c r="B31" s="26" t="s">
        <v>61</v>
      </c>
      <c r="I31" s="26" t="s">
        <v>3355</v>
      </c>
      <c r="J31" s="26" t="s">
        <v>3379</v>
      </c>
    </row>
    <row r="32" spans="1:10" x14ac:dyDescent="0.25">
      <c r="A32" s="26" t="s">
        <v>61</v>
      </c>
      <c r="B32" s="26" t="s">
        <v>61</v>
      </c>
      <c r="I32" s="26" t="s">
        <v>3664</v>
      </c>
      <c r="J32" s="26" t="s">
        <v>3489</v>
      </c>
    </row>
    <row r="33" spans="1:10" x14ac:dyDescent="0.25">
      <c r="A33" s="26" t="s">
        <v>61</v>
      </c>
      <c r="B33" s="26" t="s">
        <v>61</v>
      </c>
      <c r="I33" s="26" t="s">
        <v>3379</v>
      </c>
      <c r="J33" s="26" t="s">
        <v>3250</v>
      </c>
    </row>
    <row r="34" spans="1:10" x14ac:dyDescent="0.25">
      <c r="A34" s="26" t="s">
        <v>61</v>
      </c>
      <c r="B34" s="26" t="s">
        <v>57</v>
      </c>
      <c r="I34" s="121" t="s">
        <v>3665</v>
      </c>
      <c r="J34" s="26" t="s">
        <v>3550</v>
      </c>
    </row>
    <row r="35" spans="1:10" x14ac:dyDescent="0.25">
      <c r="A35" s="26" t="s">
        <v>61</v>
      </c>
      <c r="B35" s="26" t="s">
        <v>57</v>
      </c>
      <c r="I35" s="26" t="s">
        <v>3489</v>
      </c>
      <c r="J35" s="26" t="s">
        <v>3431</v>
      </c>
    </row>
    <row r="36" spans="1:10" x14ac:dyDescent="0.25">
      <c r="A36" s="26" t="s">
        <v>61</v>
      </c>
      <c r="B36" s="26" t="s">
        <v>57</v>
      </c>
      <c r="I36" s="26" t="s">
        <v>3250</v>
      </c>
      <c r="J36" s="26" t="s">
        <v>3458</v>
      </c>
    </row>
    <row r="37" spans="1:10" x14ac:dyDescent="0.25">
      <c r="A37" s="26" t="s">
        <v>61</v>
      </c>
      <c r="B37" s="26" t="s">
        <v>57</v>
      </c>
      <c r="I37" s="31" t="s">
        <v>3667</v>
      </c>
      <c r="J37" s="26" t="s">
        <v>3464</v>
      </c>
    </row>
    <row r="38" spans="1:10" x14ac:dyDescent="0.25">
      <c r="A38" s="26" t="s">
        <v>61</v>
      </c>
      <c r="B38" s="26" t="s">
        <v>57</v>
      </c>
      <c r="I38" s="121" t="s">
        <v>3550</v>
      </c>
      <c r="J38" s="26" t="s">
        <v>3349</v>
      </c>
    </row>
    <row r="39" spans="1:10" x14ac:dyDescent="0.25">
      <c r="A39" s="120" t="s">
        <v>3662</v>
      </c>
      <c r="B39" s="26" t="s">
        <v>57</v>
      </c>
      <c r="I39" s="120" t="s">
        <v>3431</v>
      </c>
      <c r="J39" s="26" t="s">
        <v>65</v>
      </c>
    </row>
    <row r="40" spans="1:10" x14ac:dyDescent="0.25">
      <c r="A40" s="119" t="s">
        <v>57</v>
      </c>
      <c r="B40" s="26" t="s">
        <v>57</v>
      </c>
      <c r="I40" s="120" t="s">
        <v>3458</v>
      </c>
      <c r="J40" s="26" t="s">
        <v>62</v>
      </c>
    </row>
    <row r="41" spans="1:10" x14ac:dyDescent="0.25">
      <c r="A41" s="120" t="s">
        <v>57</v>
      </c>
      <c r="B41" s="26" t="s">
        <v>57</v>
      </c>
      <c r="I41" s="120" t="s">
        <v>3464</v>
      </c>
      <c r="J41" s="26" t="s">
        <v>67</v>
      </c>
    </row>
    <row r="42" spans="1:10" x14ac:dyDescent="0.25">
      <c r="A42" s="119" t="s">
        <v>57</v>
      </c>
      <c r="B42" s="26" t="s">
        <v>57</v>
      </c>
      <c r="I42" s="120" t="s">
        <v>3349</v>
      </c>
      <c r="J42" s="26" t="s">
        <v>3625</v>
      </c>
    </row>
    <row r="43" spans="1:10" x14ac:dyDescent="0.25">
      <c r="A43" s="120" t="s">
        <v>57</v>
      </c>
      <c r="B43" s="26" t="s">
        <v>57</v>
      </c>
      <c r="I43" s="120" t="s">
        <v>65</v>
      </c>
      <c r="J43" s="26" t="s">
        <v>3639</v>
      </c>
    </row>
    <row r="44" spans="1:10" x14ac:dyDescent="0.25">
      <c r="A44" s="119" t="s">
        <v>57</v>
      </c>
      <c r="B44" s="26" t="s">
        <v>57</v>
      </c>
      <c r="I44" s="119" t="s">
        <v>62</v>
      </c>
      <c r="J44" s="26" t="s">
        <v>3335</v>
      </c>
    </row>
    <row r="45" spans="1:10" x14ac:dyDescent="0.25">
      <c r="A45" s="120" t="s">
        <v>57</v>
      </c>
      <c r="B45" s="26" t="s">
        <v>57</v>
      </c>
      <c r="I45" s="120" t="s">
        <v>67</v>
      </c>
      <c r="J45" s="26"/>
    </row>
    <row r="46" spans="1:10" x14ac:dyDescent="0.25">
      <c r="A46" s="119" t="s">
        <v>57</v>
      </c>
      <c r="B46" s="26" t="s">
        <v>57</v>
      </c>
      <c r="I46" s="120" t="s">
        <v>3625</v>
      </c>
    </row>
    <row r="47" spans="1:10" x14ac:dyDescent="0.25">
      <c r="A47" s="120" t="s">
        <v>57</v>
      </c>
      <c r="B47" s="26" t="s">
        <v>57</v>
      </c>
      <c r="I47" s="119" t="s">
        <v>3639</v>
      </c>
    </row>
    <row r="48" spans="1:10" x14ac:dyDescent="0.25">
      <c r="A48" s="119" t="s">
        <v>57</v>
      </c>
      <c r="B48" s="26" t="s">
        <v>57</v>
      </c>
      <c r="I48" s="120" t="s">
        <v>3335</v>
      </c>
    </row>
    <row r="49" spans="1:9" x14ac:dyDescent="0.25">
      <c r="A49" s="120" t="s">
        <v>57</v>
      </c>
      <c r="B49" s="26" t="s">
        <v>57</v>
      </c>
      <c r="I49" s="120"/>
    </row>
    <row r="50" spans="1:9" x14ac:dyDescent="0.25">
      <c r="A50" s="119" t="s">
        <v>57</v>
      </c>
      <c r="B50" s="26" t="s">
        <v>57</v>
      </c>
    </row>
    <row r="51" spans="1:9" x14ac:dyDescent="0.25">
      <c r="A51" s="120" t="s">
        <v>57</v>
      </c>
      <c r="B51" s="26" t="s">
        <v>57</v>
      </c>
    </row>
    <row r="52" spans="1:9" x14ac:dyDescent="0.25">
      <c r="A52" s="119" t="s">
        <v>57</v>
      </c>
      <c r="B52" s="26" t="s">
        <v>57</v>
      </c>
    </row>
    <row r="53" spans="1:9" x14ac:dyDescent="0.25">
      <c r="A53" s="26" t="s">
        <v>57</v>
      </c>
      <c r="B53" s="26" t="s">
        <v>57</v>
      </c>
    </row>
    <row r="54" spans="1:9" x14ac:dyDescent="0.25">
      <c r="A54" s="26" t="s">
        <v>57</v>
      </c>
      <c r="B54" s="26" t="s">
        <v>57</v>
      </c>
    </row>
    <row r="55" spans="1:9" x14ac:dyDescent="0.25">
      <c r="A55" s="26" t="s">
        <v>57</v>
      </c>
      <c r="B55" s="26" t="s">
        <v>57</v>
      </c>
    </row>
    <row r="56" spans="1:9" x14ac:dyDescent="0.25">
      <c r="A56" s="26" t="s">
        <v>57</v>
      </c>
      <c r="B56" s="26" t="s">
        <v>57</v>
      </c>
    </row>
    <row r="57" spans="1:9" x14ac:dyDescent="0.25">
      <c r="A57" s="26" t="s">
        <v>57</v>
      </c>
      <c r="B57" s="26" t="s">
        <v>3428</v>
      </c>
    </row>
    <row r="58" spans="1:9" x14ac:dyDescent="0.25">
      <c r="A58" s="26" t="s">
        <v>57</v>
      </c>
      <c r="B58" s="26" t="s">
        <v>3428</v>
      </c>
    </row>
    <row r="59" spans="1:9" x14ac:dyDescent="0.25">
      <c r="A59" s="26" t="s">
        <v>57</v>
      </c>
      <c r="B59" s="26" t="s">
        <v>59</v>
      </c>
    </row>
    <row r="60" spans="1:9" x14ac:dyDescent="0.25">
      <c r="A60" s="26" t="s">
        <v>57</v>
      </c>
      <c r="B60" s="26" t="s">
        <v>59</v>
      </c>
    </row>
    <row r="61" spans="1:9" x14ac:dyDescent="0.25">
      <c r="A61" s="26" t="s">
        <v>57</v>
      </c>
      <c r="B61" s="26" t="s">
        <v>59</v>
      </c>
    </row>
    <row r="62" spans="1:9" x14ac:dyDescent="0.25">
      <c r="A62" s="26" t="s">
        <v>57</v>
      </c>
      <c r="B62" s="26" t="s">
        <v>59</v>
      </c>
    </row>
    <row r="63" spans="1:9" x14ac:dyDescent="0.25">
      <c r="A63" s="26" t="s">
        <v>57</v>
      </c>
      <c r="B63" s="26" t="s">
        <v>59</v>
      </c>
    </row>
    <row r="64" spans="1:9" x14ac:dyDescent="0.25">
      <c r="A64" s="26" t="s">
        <v>57</v>
      </c>
      <c r="B64" s="26" t="s">
        <v>59</v>
      </c>
    </row>
    <row r="65" spans="1:2" x14ac:dyDescent="0.25">
      <c r="A65" s="26" t="s">
        <v>57</v>
      </c>
      <c r="B65" s="26" t="s">
        <v>59</v>
      </c>
    </row>
    <row r="66" spans="1:2" x14ac:dyDescent="0.25">
      <c r="A66" s="26" t="s">
        <v>3249</v>
      </c>
      <c r="B66" s="26" t="s">
        <v>59</v>
      </c>
    </row>
    <row r="67" spans="1:2" x14ac:dyDescent="0.25">
      <c r="A67" s="26" t="s">
        <v>3249</v>
      </c>
      <c r="B67" s="26" t="s">
        <v>59</v>
      </c>
    </row>
    <row r="68" spans="1:2" x14ac:dyDescent="0.25">
      <c r="A68" s="26" t="s">
        <v>57</v>
      </c>
      <c r="B68" s="26" t="s">
        <v>59</v>
      </c>
    </row>
    <row r="69" spans="1:2" x14ac:dyDescent="0.25">
      <c r="A69" s="26" t="s">
        <v>57</v>
      </c>
      <c r="B69" s="26" t="s">
        <v>59</v>
      </c>
    </row>
    <row r="70" spans="1:2" x14ac:dyDescent="0.25">
      <c r="A70" s="26" t="s">
        <v>57</v>
      </c>
      <c r="B70" s="26" t="s">
        <v>59</v>
      </c>
    </row>
    <row r="71" spans="1:2" x14ac:dyDescent="0.25">
      <c r="A71" s="26" t="s">
        <v>57</v>
      </c>
      <c r="B71" s="26" t="s">
        <v>59</v>
      </c>
    </row>
    <row r="72" spans="1:2" x14ac:dyDescent="0.25">
      <c r="A72" s="26" t="s">
        <v>57</v>
      </c>
      <c r="B72" s="26" t="s">
        <v>59</v>
      </c>
    </row>
    <row r="73" spans="1:2" x14ac:dyDescent="0.25">
      <c r="A73" s="26" t="s">
        <v>57</v>
      </c>
      <c r="B73" s="26" t="s">
        <v>59</v>
      </c>
    </row>
    <row r="74" spans="1:2" x14ac:dyDescent="0.25">
      <c r="A74" s="26" t="s">
        <v>57</v>
      </c>
      <c r="B74" s="26" t="s">
        <v>59</v>
      </c>
    </row>
    <row r="75" spans="1:2" x14ac:dyDescent="0.25">
      <c r="A75" s="26" t="s">
        <v>57</v>
      </c>
      <c r="B75" s="26" t="s">
        <v>59</v>
      </c>
    </row>
    <row r="76" spans="1:2" x14ac:dyDescent="0.25">
      <c r="A76" s="26" t="s">
        <v>57</v>
      </c>
      <c r="B76" s="26" t="s">
        <v>59</v>
      </c>
    </row>
    <row r="77" spans="1:2" x14ac:dyDescent="0.25">
      <c r="A77" s="26" t="s">
        <v>3428</v>
      </c>
      <c r="B77" s="26" t="s">
        <v>59</v>
      </c>
    </row>
    <row r="78" spans="1:2" x14ac:dyDescent="0.25">
      <c r="A78" s="26" t="s">
        <v>3428</v>
      </c>
      <c r="B78" s="26" t="s">
        <v>59</v>
      </c>
    </row>
    <row r="79" spans="1:2" x14ac:dyDescent="0.25">
      <c r="A79" s="26" t="s">
        <v>59</v>
      </c>
      <c r="B79" s="26" t="s">
        <v>59</v>
      </c>
    </row>
    <row r="80" spans="1:2" x14ac:dyDescent="0.25">
      <c r="A80" s="26" t="s">
        <v>59</v>
      </c>
      <c r="B80" s="26" t="s">
        <v>63</v>
      </c>
    </row>
    <row r="81" spans="1:2" x14ac:dyDescent="0.25">
      <c r="A81" s="26" t="s">
        <v>59</v>
      </c>
      <c r="B81" s="26" t="s">
        <v>63</v>
      </c>
    </row>
    <row r="82" spans="1:2" x14ac:dyDescent="0.25">
      <c r="A82" s="26" t="s">
        <v>59</v>
      </c>
      <c r="B82" s="26" t="s">
        <v>3579</v>
      </c>
    </row>
    <row r="83" spans="1:2" x14ac:dyDescent="0.25">
      <c r="A83" s="26" t="s">
        <v>59</v>
      </c>
      <c r="B83" s="26" t="s">
        <v>3523</v>
      </c>
    </row>
    <row r="84" spans="1:2" x14ac:dyDescent="0.25">
      <c r="A84" s="26" t="s">
        <v>59</v>
      </c>
      <c r="B84" s="26" t="s">
        <v>60</v>
      </c>
    </row>
    <row r="85" spans="1:2" x14ac:dyDescent="0.25">
      <c r="A85" s="26" t="s">
        <v>59</v>
      </c>
      <c r="B85" s="26" t="s">
        <v>60</v>
      </c>
    </row>
    <row r="86" spans="1:2" x14ac:dyDescent="0.25">
      <c r="A86" s="26" t="s">
        <v>59</v>
      </c>
      <c r="B86" s="26" t="s">
        <v>60</v>
      </c>
    </row>
    <row r="87" spans="1:2" x14ac:dyDescent="0.25">
      <c r="A87" s="26" t="s">
        <v>59</v>
      </c>
      <c r="B87" s="26" t="s">
        <v>3365</v>
      </c>
    </row>
    <row r="88" spans="1:2" x14ac:dyDescent="0.25">
      <c r="A88" s="26" t="s">
        <v>59</v>
      </c>
      <c r="B88" s="26" t="s">
        <v>3365</v>
      </c>
    </row>
    <row r="89" spans="1:2" x14ac:dyDescent="0.25">
      <c r="A89" s="26" t="s">
        <v>59</v>
      </c>
      <c r="B89" s="26" t="s">
        <v>3365</v>
      </c>
    </row>
    <row r="90" spans="1:2" x14ac:dyDescent="0.25">
      <c r="A90" s="26" t="s">
        <v>59</v>
      </c>
      <c r="B90" s="26" t="s">
        <v>3365</v>
      </c>
    </row>
    <row r="91" spans="1:2" x14ac:dyDescent="0.25">
      <c r="A91" s="26" t="s">
        <v>59</v>
      </c>
      <c r="B91" s="26" t="s">
        <v>3365</v>
      </c>
    </row>
    <row r="92" spans="1:2" x14ac:dyDescent="0.25">
      <c r="A92" s="26" t="s">
        <v>59</v>
      </c>
      <c r="B92" s="26" t="s">
        <v>54</v>
      </c>
    </row>
    <row r="93" spans="1:2" x14ac:dyDescent="0.25">
      <c r="A93" s="26" t="s">
        <v>59</v>
      </c>
      <c r="B93" s="26" t="s">
        <v>54</v>
      </c>
    </row>
    <row r="94" spans="1:2" x14ac:dyDescent="0.25">
      <c r="A94" s="26" t="s">
        <v>59</v>
      </c>
      <c r="B94" s="26" t="s">
        <v>54</v>
      </c>
    </row>
    <row r="95" spans="1:2" x14ac:dyDescent="0.25">
      <c r="A95" s="26" t="s">
        <v>59</v>
      </c>
      <c r="B95" s="26" t="s">
        <v>54</v>
      </c>
    </row>
    <row r="96" spans="1:2" x14ac:dyDescent="0.25">
      <c r="A96" s="26" t="s">
        <v>59</v>
      </c>
      <c r="B96" s="26" t="s">
        <v>54</v>
      </c>
    </row>
    <row r="97" spans="1:2" x14ac:dyDescent="0.25">
      <c r="A97" s="26" t="s">
        <v>59</v>
      </c>
      <c r="B97" s="26" t="s">
        <v>54</v>
      </c>
    </row>
    <row r="98" spans="1:2" x14ac:dyDescent="0.25">
      <c r="A98" s="26" t="s">
        <v>59</v>
      </c>
      <c r="B98" s="26" t="s">
        <v>54</v>
      </c>
    </row>
    <row r="99" spans="1:2" x14ac:dyDescent="0.25">
      <c r="A99" s="26" t="s">
        <v>59</v>
      </c>
      <c r="B99" s="26" t="s">
        <v>54</v>
      </c>
    </row>
    <row r="100" spans="1:2" x14ac:dyDescent="0.25">
      <c r="A100" s="26" t="s">
        <v>63</v>
      </c>
      <c r="B100" s="26" t="s">
        <v>54</v>
      </c>
    </row>
    <row r="101" spans="1:2" x14ac:dyDescent="0.25">
      <c r="A101" s="26" t="s">
        <v>63</v>
      </c>
      <c r="B101" s="26" t="s">
        <v>58</v>
      </c>
    </row>
    <row r="102" spans="1:2" x14ac:dyDescent="0.25">
      <c r="A102" s="26" t="s">
        <v>3579</v>
      </c>
      <c r="B102" s="26" t="s">
        <v>58</v>
      </c>
    </row>
    <row r="103" spans="1:2" x14ac:dyDescent="0.25">
      <c r="A103" s="26" t="s">
        <v>3523</v>
      </c>
      <c r="B103" s="26" t="s">
        <v>58</v>
      </c>
    </row>
    <row r="104" spans="1:2" x14ac:dyDescent="0.25">
      <c r="A104" s="26" t="s">
        <v>60</v>
      </c>
      <c r="B104" s="26" t="s">
        <v>58</v>
      </c>
    </row>
    <row r="105" spans="1:2" x14ac:dyDescent="0.25">
      <c r="A105" s="26" t="s">
        <v>3600</v>
      </c>
      <c r="B105" s="26" t="s">
        <v>3620</v>
      </c>
    </row>
    <row r="106" spans="1:2" x14ac:dyDescent="0.25">
      <c r="A106" s="26" t="s">
        <v>60</v>
      </c>
      <c r="B106" s="26" t="s">
        <v>3338</v>
      </c>
    </row>
    <row r="107" spans="1:2" x14ac:dyDescent="0.25">
      <c r="A107" s="120" t="s">
        <v>60</v>
      </c>
      <c r="B107" s="26" t="s">
        <v>3338</v>
      </c>
    </row>
    <row r="108" spans="1:2" x14ac:dyDescent="0.25">
      <c r="A108" s="26" t="s">
        <v>3365</v>
      </c>
      <c r="B108" s="26" t="s">
        <v>3317</v>
      </c>
    </row>
    <row r="109" spans="1:2" x14ac:dyDescent="0.25">
      <c r="A109" s="26" t="s">
        <v>3365</v>
      </c>
      <c r="B109" s="26" t="s">
        <v>3317</v>
      </c>
    </row>
    <row r="110" spans="1:2" x14ac:dyDescent="0.25">
      <c r="A110" s="26" t="s">
        <v>3365</v>
      </c>
      <c r="B110" s="26" t="s">
        <v>3317</v>
      </c>
    </row>
    <row r="111" spans="1:2" x14ac:dyDescent="0.25">
      <c r="A111" s="26" t="s">
        <v>3365</v>
      </c>
      <c r="B111" s="26" t="s">
        <v>3317</v>
      </c>
    </row>
    <row r="112" spans="1:2" x14ac:dyDescent="0.25">
      <c r="A112" s="26" t="s">
        <v>3365</v>
      </c>
      <c r="B112" s="26" t="s">
        <v>3317</v>
      </c>
    </row>
    <row r="113" spans="1:2" x14ac:dyDescent="0.25">
      <c r="A113" s="119" t="s">
        <v>3365</v>
      </c>
      <c r="B113" s="26" t="s">
        <v>3317</v>
      </c>
    </row>
    <row r="114" spans="1:2" x14ac:dyDescent="0.25">
      <c r="A114" s="120" t="s">
        <v>3365</v>
      </c>
      <c r="B114" s="26" t="s">
        <v>3317</v>
      </c>
    </row>
    <row r="115" spans="1:2" x14ac:dyDescent="0.25">
      <c r="A115" s="119" t="s">
        <v>3365</v>
      </c>
      <c r="B115" s="26" t="s">
        <v>3317</v>
      </c>
    </row>
    <row r="116" spans="1:2" x14ac:dyDescent="0.25">
      <c r="A116" s="120" t="s">
        <v>3365</v>
      </c>
      <c r="B116" s="26" t="s">
        <v>3317</v>
      </c>
    </row>
    <row r="117" spans="1:2" x14ac:dyDescent="0.25">
      <c r="A117" s="119" t="s">
        <v>3365</v>
      </c>
      <c r="B117" s="26" t="s">
        <v>3317</v>
      </c>
    </row>
    <row r="118" spans="1:2" x14ac:dyDescent="0.25">
      <c r="A118" s="26" t="s">
        <v>54</v>
      </c>
      <c r="B118" s="26" t="s">
        <v>3317</v>
      </c>
    </row>
    <row r="119" spans="1:2" x14ac:dyDescent="0.25">
      <c r="A119" s="26" t="s">
        <v>54</v>
      </c>
      <c r="B119" s="26" t="s">
        <v>3317</v>
      </c>
    </row>
    <row r="120" spans="1:2" x14ac:dyDescent="0.25">
      <c r="A120" s="26" t="s">
        <v>54</v>
      </c>
      <c r="B120" s="26" t="s">
        <v>3317</v>
      </c>
    </row>
    <row r="121" spans="1:2" x14ac:dyDescent="0.25">
      <c r="A121" s="26" t="s">
        <v>54</v>
      </c>
      <c r="B121" s="26" t="s">
        <v>3317</v>
      </c>
    </row>
    <row r="122" spans="1:2" x14ac:dyDescent="0.25">
      <c r="A122" s="26" t="s">
        <v>54</v>
      </c>
      <c r="B122" s="26" t="s">
        <v>3317</v>
      </c>
    </row>
    <row r="123" spans="1:2" x14ac:dyDescent="0.25">
      <c r="A123" s="26" t="s">
        <v>54</v>
      </c>
      <c r="B123" s="26" t="s">
        <v>3317</v>
      </c>
    </row>
    <row r="124" spans="1:2" x14ac:dyDescent="0.25">
      <c r="A124" s="26" t="s">
        <v>54</v>
      </c>
      <c r="B124" s="26" t="s">
        <v>3317</v>
      </c>
    </row>
    <row r="125" spans="1:2" x14ac:dyDescent="0.25">
      <c r="A125" s="26" t="s">
        <v>54</v>
      </c>
      <c r="B125" s="26" t="s">
        <v>3422</v>
      </c>
    </row>
    <row r="126" spans="1:2" x14ac:dyDescent="0.25">
      <c r="A126" s="26" t="s">
        <v>54</v>
      </c>
      <c r="B126" s="26" t="s">
        <v>3564</v>
      </c>
    </row>
    <row r="127" spans="1:2" x14ac:dyDescent="0.25">
      <c r="A127" s="120" t="s">
        <v>54</v>
      </c>
      <c r="B127" s="26" t="s">
        <v>56</v>
      </c>
    </row>
    <row r="128" spans="1:2" x14ac:dyDescent="0.25">
      <c r="A128" s="119" t="s">
        <v>54</v>
      </c>
      <c r="B128" s="26" t="s">
        <v>56</v>
      </c>
    </row>
    <row r="129" spans="1:2" x14ac:dyDescent="0.25">
      <c r="A129" s="120" t="s">
        <v>54</v>
      </c>
      <c r="B129" s="26" t="s">
        <v>56</v>
      </c>
    </row>
    <row r="130" spans="1:2" x14ac:dyDescent="0.25">
      <c r="A130" s="26" t="s">
        <v>58</v>
      </c>
      <c r="B130" s="26" t="s">
        <v>56</v>
      </c>
    </row>
    <row r="131" spans="1:2" x14ac:dyDescent="0.25">
      <c r="A131" s="26" t="s">
        <v>58</v>
      </c>
      <c r="B131" s="26" t="s">
        <v>56</v>
      </c>
    </row>
    <row r="132" spans="1:2" x14ac:dyDescent="0.25">
      <c r="A132" s="26" t="s">
        <v>58</v>
      </c>
      <c r="B132" s="26" t="s">
        <v>56</v>
      </c>
    </row>
    <row r="133" spans="1:2" x14ac:dyDescent="0.25">
      <c r="A133" s="26" t="s">
        <v>58</v>
      </c>
      <c r="B133" s="26" t="s">
        <v>56</v>
      </c>
    </row>
    <row r="134" spans="1:2" x14ac:dyDescent="0.25">
      <c r="A134" s="26" t="s">
        <v>3620</v>
      </c>
      <c r="B134" s="26" t="s">
        <v>56</v>
      </c>
    </row>
    <row r="135" spans="1:2" x14ac:dyDescent="0.25">
      <c r="A135" s="26" t="s">
        <v>3338</v>
      </c>
      <c r="B135" s="26" t="s">
        <v>56</v>
      </c>
    </row>
    <row r="136" spans="1:2" x14ac:dyDescent="0.25">
      <c r="A136" s="26" t="s">
        <v>3338</v>
      </c>
      <c r="B136" s="26" t="s">
        <v>3315</v>
      </c>
    </row>
    <row r="137" spans="1:2" x14ac:dyDescent="0.25">
      <c r="A137" s="26" t="s">
        <v>3317</v>
      </c>
      <c r="B137" s="26" t="s">
        <v>3315</v>
      </c>
    </row>
    <row r="138" spans="1:2" x14ac:dyDescent="0.25">
      <c r="A138" s="26" t="s">
        <v>3317</v>
      </c>
      <c r="B138" s="26" t="s">
        <v>3315</v>
      </c>
    </row>
    <row r="139" spans="1:2" x14ac:dyDescent="0.25">
      <c r="A139" s="26" t="s">
        <v>3317</v>
      </c>
      <c r="B139" s="26" t="s">
        <v>3315</v>
      </c>
    </row>
    <row r="140" spans="1:2" x14ac:dyDescent="0.25">
      <c r="A140" s="26" t="s">
        <v>3317</v>
      </c>
      <c r="B140" s="26" t="s">
        <v>3315</v>
      </c>
    </row>
    <row r="141" spans="1:2" x14ac:dyDescent="0.25">
      <c r="A141" s="26" t="s">
        <v>3317</v>
      </c>
      <c r="B141" s="26" t="s">
        <v>3315</v>
      </c>
    </row>
    <row r="142" spans="1:2" x14ac:dyDescent="0.25">
      <c r="A142" s="26" t="s">
        <v>3317</v>
      </c>
      <c r="B142" s="26" t="s">
        <v>3315</v>
      </c>
    </row>
    <row r="143" spans="1:2" x14ac:dyDescent="0.25">
      <c r="A143" s="26" t="s">
        <v>3317</v>
      </c>
      <c r="B143" s="26" t="s">
        <v>3315</v>
      </c>
    </row>
    <row r="144" spans="1:2" x14ac:dyDescent="0.25">
      <c r="A144" s="26" t="s">
        <v>3317</v>
      </c>
      <c r="B144" s="26" t="s">
        <v>3315</v>
      </c>
    </row>
    <row r="145" spans="1:2" x14ac:dyDescent="0.25">
      <c r="A145" s="26" t="s">
        <v>3317</v>
      </c>
      <c r="B145" s="26" t="s">
        <v>3315</v>
      </c>
    </row>
    <row r="146" spans="1:2" x14ac:dyDescent="0.25">
      <c r="A146" s="26" t="s">
        <v>3317</v>
      </c>
      <c r="B146" s="26" t="s">
        <v>3315</v>
      </c>
    </row>
    <row r="147" spans="1:2" x14ac:dyDescent="0.25">
      <c r="A147" s="26" t="s">
        <v>3317</v>
      </c>
      <c r="B147" s="26" t="s">
        <v>3315</v>
      </c>
    </row>
    <row r="148" spans="1:2" x14ac:dyDescent="0.25">
      <c r="A148" s="26" t="s">
        <v>3317</v>
      </c>
      <c r="B148" s="26" t="s">
        <v>3315</v>
      </c>
    </row>
    <row r="149" spans="1:2" x14ac:dyDescent="0.25">
      <c r="A149" s="26" t="s">
        <v>3317</v>
      </c>
      <c r="B149" s="26" t="s">
        <v>3315</v>
      </c>
    </row>
    <row r="150" spans="1:2" x14ac:dyDescent="0.25">
      <c r="A150" s="26" t="s">
        <v>3317</v>
      </c>
      <c r="B150" s="26" t="s">
        <v>3315</v>
      </c>
    </row>
    <row r="151" spans="1:2" x14ac:dyDescent="0.25">
      <c r="A151" s="26" t="s">
        <v>3317</v>
      </c>
      <c r="B151" s="26" t="s">
        <v>3315</v>
      </c>
    </row>
    <row r="152" spans="1:2" x14ac:dyDescent="0.25">
      <c r="A152" s="26" t="s">
        <v>3317</v>
      </c>
      <c r="B152" s="26" t="s">
        <v>3315</v>
      </c>
    </row>
    <row r="153" spans="1:2" x14ac:dyDescent="0.25">
      <c r="A153" s="26" t="s">
        <v>3317</v>
      </c>
      <c r="B153" s="26" t="s">
        <v>3315</v>
      </c>
    </row>
    <row r="154" spans="1:2" x14ac:dyDescent="0.25">
      <c r="A154" s="119" t="s">
        <v>3317</v>
      </c>
      <c r="B154" s="26" t="s">
        <v>3602</v>
      </c>
    </row>
    <row r="155" spans="1:2" x14ac:dyDescent="0.25">
      <c r="A155" s="26" t="s">
        <v>3422</v>
      </c>
      <c r="B155" s="26" t="s">
        <v>3463</v>
      </c>
    </row>
    <row r="156" spans="1:2" x14ac:dyDescent="0.25">
      <c r="A156" s="26" t="s">
        <v>3564</v>
      </c>
      <c r="B156" s="26" t="s">
        <v>3663</v>
      </c>
    </row>
    <row r="157" spans="1:2" x14ac:dyDescent="0.25">
      <c r="A157" s="26" t="s">
        <v>56</v>
      </c>
      <c r="B157" s="26" t="s">
        <v>66</v>
      </c>
    </row>
    <row r="158" spans="1:2" x14ac:dyDescent="0.25">
      <c r="A158" s="26" t="s">
        <v>56</v>
      </c>
      <c r="B158" s="26" t="s">
        <v>66</v>
      </c>
    </row>
    <row r="159" spans="1:2" x14ac:dyDescent="0.25">
      <c r="A159" s="26" t="s">
        <v>56</v>
      </c>
      <c r="B159" s="26" t="s">
        <v>66</v>
      </c>
    </row>
    <row r="160" spans="1:2" x14ac:dyDescent="0.25">
      <c r="A160" s="26" t="s">
        <v>56</v>
      </c>
      <c r="B160" s="26" t="s">
        <v>66</v>
      </c>
    </row>
    <row r="161" spans="1:2" x14ac:dyDescent="0.25">
      <c r="A161" s="26" t="s">
        <v>56</v>
      </c>
      <c r="B161" s="26" t="s">
        <v>66</v>
      </c>
    </row>
    <row r="162" spans="1:2" x14ac:dyDescent="0.25">
      <c r="A162" s="26" t="s">
        <v>56</v>
      </c>
      <c r="B162" s="26" t="s">
        <v>3355</v>
      </c>
    </row>
    <row r="163" spans="1:2" x14ac:dyDescent="0.25">
      <c r="A163" s="26" t="s">
        <v>56</v>
      </c>
      <c r="B163" s="26" t="s">
        <v>3355</v>
      </c>
    </row>
    <row r="164" spans="1:2" x14ac:dyDescent="0.25">
      <c r="A164" s="26" t="s">
        <v>56</v>
      </c>
      <c r="B164" s="26" t="s">
        <v>3355</v>
      </c>
    </row>
    <row r="165" spans="1:2" x14ac:dyDescent="0.25">
      <c r="A165" s="26" t="s">
        <v>56</v>
      </c>
      <c r="B165" s="26" t="s">
        <v>3355</v>
      </c>
    </row>
    <row r="166" spans="1:2" x14ac:dyDescent="0.25">
      <c r="A166" s="26" t="s">
        <v>56</v>
      </c>
      <c r="B166" s="26" t="s">
        <v>3355</v>
      </c>
    </row>
    <row r="167" spans="1:2" x14ac:dyDescent="0.25">
      <c r="A167" s="120" t="s">
        <v>56</v>
      </c>
      <c r="B167" s="26" t="s">
        <v>3664</v>
      </c>
    </row>
    <row r="168" spans="1:2" x14ac:dyDescent="0.25">
      <c r="A168" s="119" t="s">
        <v>56</v>
      </c>
      <c r="B168" s="26" t="s">
        <v>3664</v>
      </c>
    </row>
    <row r="169" spans="1:2" x14ac:dyDescent="0.25">
      <c r="A169" s="120" t="s">
        <v>56</v>
      </c>
      <c r="B169" s="26" t="s">
        <v>3379</v>
      </c>
    </row>
    <row r="170" spans="1:2" x14ac:dyDescent="0.25">
      <c r="A170" s="119" t="s">
        <v>56</v>
      </c>
      <c r="B170" s="26" t="s">
        <v>3489</v>
      </c>
    </row>
    <row r="171" spans="1:2" x14ac:dyDescent="0.25">
      <c r="A171" s="120" t="s">
        <v>56</v>
      </c>
      <c r="B171" s="26" t="s">
        <v>3489</v>
      </c>
    </row>
    <row r="172" spans="1:2" x14ac:dyDescent="0.25">
      <c r="A172" s="119" t="s">
        <v>56</v>
      </c>
      <c r="B172" s="26" t="s">
        <v>3489</v>
      </c>
    </row>
    <row r="173" spans="1:2" x14ac:dyDescent="0.25">
      <c r="A173" s="26" t="s">
        <v>3315</v>
      </c>
      <c r="B173" s="26" t="s">
        <v>3666</v>
      </c>
    </row>
    <row r="174" spans="1:2" x14ac:dyDescent="0.25">
      <c r="A174" s="26" t="s">
        <v>3315</v>
      </c>
      <c r="B174" s="26" t="s">
        <v>3550</v>
      </c>
    </row>
    <row r="175" spans="1:2" x14ac:dyDescent="0.25">
      <c r="A175" s="26" t="s">
        <v>3315</v>
      </c>
      <c r="B175" s="26" t="s">
        <v>3431</v>
      </c>
    </row>
    <row r="176" spans="1:2" x14ac:dyDescent="0.25">
      <c r="A176" s="26" t="s">
        <v>3315</v>
      </c>
      <c r="B176" s="26" t="s">
        <v>3458</v>
      </c>
    </row>
    <row r="177" spans="1:2" x14ac:dyDescent="0.25">
      <c r="A177" s="26" t="s">
        <v>3315</v>
      </c>
      <c r="B177" s="26" t="s">
        <v>3464</v>
      </c>
    </row>
    <row r="178" spans="1:2" x14ac:dyDescent="0.25">
      <c r="A178" s="26" t="s">
        <v>3315</v>
      </c>
      <c r="B178" s="26" t="s">
        <v>3464</v>
      </c>
    </row>
    <row r="179" spans="1:2" x14ac:dyDescent="0.25">
      <c r="A179" s="26" t="s">
        <v>3315</v>
      </c>
      <c r="B179" s="26" t="s">
        <v>3464</v>
      </c>
    </row>
    <row r="180" spans="1:2" x14ac:dyDescent="0.25">
      <c r="A180" s="26" t="s">
        <v>3315</v>
      </c>
      <c r="B180" s="26" t="s">
        <v>3349</v>
      </c>
    </row>
    <row r="181" spans="1:2" x14ac:dyDescent="0.25">
      <c r="A181" s="26" t="s">
        <v>3315</v>
      </c>
      <c r="B181" s="26" t="s">
        <v>3349</v>
      </c>
    </row>
    <row r="182" spans="1:2" x14ac:dyDescent="0.25">
      <c r="A182" s="26" t="s">
        <v>3315</v>
      </c>
      <c r="B182" s="26" t="s">
        <v>3349</v>
      </c>
    </row>
    <row r="183" spans="1:2" x14ac:dyDescent="0.25">
      <c r="A183" s="26" t="s">
        <v>3315</v>
      </c>
      <c r="B183" s="26" t="s">
        <v>3349</v>
      </c>
    </row>
    <row r="184" spans="1:2" x14ac:dyDescent="0.25">
      <c r="A184" s="26" t="s">
        <v>3315</v>
      </c>
      <c r="B184" s="26" t="s">
        <v>3349</v>
      </c>
    </row>
    <row r="185" spans="1:2" x14ac:dyDescent="0.25">
      <c r="A185" s="26" t="s">
        <v>3315</v>
      </c>
      <c r="B185" s="26" t="s">
        <v>65</v>
      </c>
    </row>
    <row r="186" spans="1:2" x14ac:dyDescent="0.25">
      <c r="A186" s="26" t="s">
        <v>3315</v>
      </c>
      <c r="B186" s="26" t="s">
        <v>65</v>
      </c>
    </row>
    <row r="187" spans="1:2" x14ac:dyDescent="0.25">
      <c r="A187" s="26" t="s">
        <v>3315</v>
      </c>
      <c r="B187" s="26" t="s">
        <v>65</v>
      </c>
    </row>
    <row r="188" spans="1:2" x14ac:dyDescent="0.25">
      <c r="A188" s="26" t="s">
        <v>3315</v>
      </c>
      <c r="B188" s="26" t="s">
        <v>62</v>
      </c>
    </row>
    <row r="189" spans="1:2" x14ac:dyDescent="0.25">
      <c r="A189" s="26" t="s">
        <v>3315</v>
      </c>
      <c r="B189" s="26" t="s">
        <v>62</v>
      </c>
    </row>
    <row r="190" spans="1:2" x14ac:dyDescent="0.25">
      <c r="A190" s="26" t="s">
        <v>3315</v>
      </c>
      <c r="B190" s="26" t="s">
        <v>62</v>
      </c>
    </row>
    <row r="191" spans="1:2" x14ac:dyDescent="0.25">
      <c r="A191" s="120" t="s">
        <v>3315</v>
      </c>
      <c r="B191" s="26" t="s">
        <v>62</v>
      </c>
    </row>
    <row r="192" spans="1:2" x14ac:dyDescent="0.25">
      <c r="A192" s="26" t="s">
        <v>3602</v>
      </c>
      <c r="B192" s="26" t="s">
        <v>62</v>
      </c>
    </row>
    <row r="193" spans="1:2" x14ac:dyDescent="0.25">
      <c r="A193" s="26" t="s">
        <v>3463</v>
      </c>
      <c r="B193" s="26" t="s">
        <v>67</v>
      </c>
    </row>
    <row r="194" spans="1:2" x14ac:dyDescent="0.25">
      <c r="A194" s="26" t="s">
        <v>3663</v>
      </c>
      <c r="B194" s="26" t="s">
        <v>3625</v>
      </c>
    </row>
    <row r="195" spans="1:2" x14ac:dyDescent="0.25">
      <c r="A195" s="26" t="s">
        <v>66</v>
      </c>
      <c r="B195" s="26" t="s">
        <v>3625</v>
      </c>
    </row>
    <row r="196" spans="1:2" x14ac:dyDescent="0.25">
      <c r="A196" s="26" t="s">
        <v>66</v>
      </c>
      <c r="B196" s="26" t="s">
        <v>3639</v>
      </c>
    </row>
    <row r="197" spans="1:2" x14ac:dyDescent="0.25">
      <c r="A197" s="26" t="s">
        <v>66</v>
      </c>
      <c r="B197" s="26" t="s">
        <v>3639</v>
      </c>
    </row>
    <row r="198" spans="1:2" x14ac:dyDescent="0.25">
      <c r="A198" s="26" t="s">
        <v>66</v>
      </c>
      <c r="B198" s="120" t="s">
        <v>3335</v>
      </c>
    </row>
    <row r="199" spans="1:2" x14ac:dyDescent="0.25">
      <c r="A199" s="26" t="s">
        <v>66</v>
      </c>
      <c r="B199" s="120" t="s">
        <v>3335</v>
      </c>
    </row>
    <row r="200" spans="1:2" x14ac:dyDescent="0.25">
      <c r="A200" s="119" t="s">
        <v>66</v>
      </c>
      <c r="B200" s="120" t="s">
        <v>3335</v>
      </c>
    </row>
    <row r="201" spans="1:2" x14ac:dyDescent="0.25">
      <c r="A201" s="120" t="s">
        <v>66</v>
      </c>
      <c r="B201" s="120" t="s">
        <v>3335</v>
      </c>
    </row>
    <row r="202" spans="1:2" x14ac:dyDescent="0.25">
      <c r="A202" s="119" t="s">
        <v>66</v>
      </c>
      <c r="B202" s="120" t="s">
        <v>3335</v>
      </c>
    </row>
    <row r="203" spans="1:2" x14ac:dyDescent="0.25">
      <c r="A203" s="120" t="s">
        <v>66</v>
      </c>
      <c r="B203" s="120" t="s">
        <v>3335</v>
      </c>
    </row>
    <row r="204" spans="1:2" x14ac:dyDescent="0.25">
      <c r="A204" s="26" t="s">
        <v>66</v>
      </c>
      <c r="B204" s="120" t="s">
        <v>3335</v>
      </c>
    </row>
    <row r="205" spans="1:2" x14ac:dyDescent="0.25">
      <c r="A205" s="26" t="s">
        <v>3355</v>
      </c>
      <c r="B205" s="120" t="s">
        <v>3335</v>
      </c>
    </row>
    <row r="206" spans="1:2" x14ac:dyDescent="0.25">
      <c r="A206" s="26" t="s">
        <v>3355</v>
      </c>
      <c r="B206" s="120" t="s">
        <v>3335</v>
      </c>
    </row>
    <row r="207" spans="1:2" x14ac:dyDescent="0.25">
      <c r="A207" s="26" t="s">
        <v>3355</v>
      </c>
      <c r="B207" s="120" t="s">
        <v>3335</v>
      </c>
    </row>
    <row r="208" spans="1:2" x14ac:dyDescent="0.25">
      <c r="A208" s="26" t="s">
        <v>3355</v>
      </c>
      <c r="B208" s="120" t="s">
        <v>3335</v>
      </c>
    </row>
    <row r="209" spans="1:2" x14ac:dyDescent="0.25">
      <c r="A209" s="26" t="s">
        <v>3355</v>
      </c>
      <c r="B209" s="120" t="s">
        <v>3335</v>
      </c>
    </row>
    <row r="210" spans="1:2" x14ac:dyDescent="0.25">
      <c r="A210" s="119" t="s">
        <v>3355</v>
      </c>
      <c r="B210" s="120" t="s">
        <v>3335</v>
      </c>
    </row>
    <row r="211" spans="1:2" x14ac:dyDescent="0.25">
      <c r="A211" s="26" t="s">
        <v>3664</v>
      </c>
      <c r="B211" s="120" t="s">
        <v>3335</v>
      </c>
    </row>
    <row r="212" spans="1:2" x14ac:dyDescent="0.25">
      <c r="A212" s="26" t="s">
        <v>3664</v>
      </c>
      <c r="B212" s="120" t="s">
        <v>3335</v>
      </c>
    </row>
    <row r="213" spans="1:2" x14ac:dyDescent="0.25">
      <c r="A213" s="120" t="s">
        <v>3664</v>
      </c>
      <c r="B213" s="120" t="s">
        <v>3335</v>
      </c>
    </row>
    <row r="214" spans="1:2" x14ac:dyDescent="0.25">
      <c r="A214" s="26" t="s">
        <v>3379</v>
      </c>
      <c r="B214" s="120" t="s">
        <v>3335</v>
      </c>
    </row>
    <row r="215" spans="1:2" x14ac:dyDescent="0.25">
      <c r="A215" s="119" t="s">
        <v>3665</v>
      </c>
      <c r="B215" s="120" t="s">
        <v>3335</v>
      </c>
    </row>
    <row r="216" spans="1:2" x14ac:dyDescent="0.25">
      <c r="A216" s="26" t="s">
        <v>3489</v>
      </c>
      <c r="B216" s="120" t="s">
        <v>3335</v>
      </c>
    </row>
    <row r="217" spans="1:2" x14ac:dyDescent="0.25">
      <c r="A217" s="26" t="s">
        <v>3489</v>
      </c>
      <c r="B217" s="120" t="s">
        <v>3335</v>
      </c>
    </row>
    <row r="218" spans="1:2" x14ac:dyDescent="0.25">
      <c r="A218" s="26" t="s">
        <v>3489</v>
      </c>
      <c r="B218" s="120" t="s">
        <v>3335</v>
      </c>
    </row>
    <row r="219" spans="1:2" x14ac:dyDescent="0.25">
      <c r="A219" s="26" t="s">
        <v>3250</v>
      </c>
      <c r="B219" s="120" t="s">
        <v>3335</v>
      </c>
    </row>
    <row r="220" spans="1:2" x14ac:dyDescent="0.25">
      <c r="A220" s="120" t="s">
        <v>3667</v>
      </c>
      <c r="B220" s="120" t="s">
        <v>3335</v>
      </c>
    </row>
    <row r="221" spans="1:2" x14ac:dyDescent="0.25">
      <c r="A221" s="119" t="s">
        <v>3550</v>
      </c>
      <c r="B221" s="120" t="s">
        <v>3335</v>
      </c>
    </row>
    <row r="222" spans="1:2" x14ac:dyDescent="0.25">
      <c r="A222" s="120" t="s">
        <v>3550</v>
      </c>
      <c r="B222" s="120" t="s">
        <v>3335</v>
      </c>
    </row>
    <row r="223" spans="1:2" x14ac:dyDescent="0.25">
      <c r="A223" s="26" t="s">
        <v>3550</v>
      </c>
      <c r="B223" s="120" t="s">
        <v>3335</v>
      </c>
    </row>
    <row r="224" spans="1:2" x14ac:dyDescent="0.25">
      <c r="A224" s="26" t="s">
        <v>3431</v>
      </c>
      <c r="B224" s="120" t="s">
        <v>3335</v>
      </c>
    </row>
    <row r="225" spans="1:2" x14ac:dyDescent="0.25">
      <c r="A225" s="26" t="s">
        <v>3458</v>
      </c>
      <c r="B225" s="120" t="s">
        <v>3335</v>
      </c>
    </row>
    <row r="226" spans="1:2" x14ac:dyDescent="0.25">
      <c r="A226" s="26" t="s">
        <v>3464</v>
      </c>
      <c r="B226" s="120" t="s">
        <v>3335</v>
      </c>
    </row>
    <row r="227" spans="1:2" x14ac:dyDescent="0.25">
      <c r="A227" s="26" t="s">
        <v>3464</v>
      </c>
      <c r="B227" s="120" t="s">
        <v>3335</v>
      </c>
    </row>
    <row r="228" spans="1:2" x14ac:dyDescent="0.25">
      <c r="A228" s="26" t="s">
        <v>3464</v>
      </c>
      <c r="B228" s="120" t="s">
        <v>3335</v>
      </c>
    </row>
    <row r="229" spans="1:2" x14ac:dyDescent="0.25">
      <c r="A229" s="26" t="s">
        <v>3349</v>
      </c>
      <c r="B229" s="120" t="s">
        <v>3335</v>
      </c>
    </row>
    <row r="230" spans="1:2" x14ac:dyDescent="0.25">
      <c r="A230" s="26" t="s">
        <v>3349</v>
      </c>
      <c r="B230" s="120" t="s">
        <v>3335</v>
      </c>
    </row>
    <row r="231" spans="1:2" x14ac:dyDescent="0.25">
      <c r="A231" s="26" t="s">
        <v>3349</v>
      </c>
      <c r="B231" s="120" t="s">
        <v>3335</v>
      </c>
    </row>
    <row r="232" spans="1:2" x14ac:dyDescent="0.25">
      <c r="A232" s="26" t="s">
        <v>3349</v>
      </c>
      <c r="B232" s="120" t="s">
        <v>3335</v>
      </c>
    </row>
    <row r="233" spans="1:2" x14ac:dyDescent="0.25">
      <c r="A233" s="26" t="s">
        <v>3349</v>
      </c>
      <c r="B233" s="120" t="s">
        <v>3335</v>
      </c>
    </row>
    <row r="234" spans="1:2" x14ac:dyDescent="0.25">
      <c r="A234" s="26" t="s">
        <v>65</v>
      </c>
      <c r="B234" s="120" t="s">
        <v>3335</v>
      </c>
    </row>
    <row r="235" spans="1:2" x14ac:dyDescent="0.25">
      <c r="A235" s="26" t="s">
        <v>65</v>
      </c>
      <c r="B235" s="120" t="s">
        <v>3335</v>
      </c>
    </row>
    <row r="236" spans="1:2" x14ac:dyDescent="0.25">
      <c r="A236" s="26" t="s">
        <v>65</v>
      </c>
      <c r="B236" s="120" t="s">
        <v>3335</v>
      </c>
    </row>
    <row r="237" spans="1:2" x14ac:dyDescent="0.25">
      <c r="A237" s="119" t="s">
        <v>62</v>
      </c>
      <c r="B237" s="120" t="s">
        <v>3335</v>
      </c>
    </row>
    <row r="238" spans="1:2" x14ac:dyDescent="0.25">
      <c r="A238" s="120" t="s">
        <v>62</v>
      </c>
    </row>
    <row r="239" spans="1:2" x14ac:dyDescent="0.25">
      <c r="A239" s="26" t="s">
        <v>62</v>
      </c>
    </row>
    <row r="240" spans="1:2" x14ac:dyDescent="0.25">
      <c r="A240" s="26" t="s">
        <v>62</v>
      </c>
    </row>
    <row r="241" spans="1:1" x14ac:dyDescent="0.25">
      <c r="A241" s="26" t="s">
        <v>62</v>
      </c>
    </row>
    <row r="242" spans="1:1" x14ac:dyDescent="0.25">
      <c r="A242" s="26" t="s">
        <v>62</v>
      </c>
    </row>
    <row r="243" spans="1:1" x14ac:dyDescent="0.25">
      <c r="A243" s="26" t="s">
        <v>62</v>
      </c>
    </row>
    <row r="244" spans="1:1" x14ac:dyDescent="0.25">
      <c r="A244" s="26" t="s">
        <v>62</v>
      </c>
    </row>
    <row r="245" spans="1:1" x14ac:dyDescent="0.25">
      <c r="A245" s="26" t="s">
        <v>67</v>
      </c>
    </row>
    <row r="246" spans="1:1" x14ac:dyDescent="0.25">
      <c r="A246" s="26" t="s">
        <v>67</v>
      </c>
    </row>
    <row r="247" spans="1:1" x14ac:dyDescent="0.25">
      <c r="A247" s="26" t="s">
        <v>3625</v>
      </c>
    </row>
    <row r="248" spans="1:1" x14ac:dyDescent="0.25">
      <c r="A248" s="26" t="s">
        <v>3625</v>
      </c>
    </row>
    <row r="249" spans="1:1" x14ac:dyDescent="0.25">
      <c r="A249" s="119" t="s">
        <v>3639</v>
      </c>
    </row>
    <row r="250" spans="1:1" x14ac:dyDescent="0.25">
      <c r="A250" s="26" t="s">
        <v>3639</v>
      </c>
    </row>
    <row r="251" spans="1:1" x14ac:dyDescent="0.25">
      <c r="A251" s="26" t="s">
        <v>3639</v>
      </c>
    </row>
    <row r="252" spans="1:1" x14ac:dyDescent="0.25">
      <c r="A252" s="26" t="s">
        <v>3639</v>
      </c>
    </row>
    <row r="253" spans="1:1" x14ac:dyDescent="0.25">
      <c r="A253" s="26" t="s">
        <v>3639</v>
      </c>
    </row>
    <row r="254" spans="1:1" x14ac:dyDescent="0.25">
      <c r="A254" s="120" t="s">
        <v>3335</v>
      </c>
    </row>
    <row r="255" spans="1:1" x14ac:dyDescent="0.25">
      <c r="A255" s="119" t="s">
        <v>3335</v>
      </c>
    </row>
    <row r="256" spans="1:1" x14ac:dyDescent="0.25">
      <c r="A256" s="120" t="s">
        <v>3335</v>
      </c>
    </row>
    <row r="257" spans="1:1" x14ac:dyDescent="0.25">
      <c r="A257" s="119" t="s">
        <v>3335</v>
      </c>
    </row>
    <row r="258" spans="1:1" x14ac:dyDescent="0.25">
      <c r="A258" s="120" t="s">
        <v>3335</v>
      </c>
    </row>
    <row r="259" spans="1:1" x14ac:dyDescent="0.25">
      <c r="A259" s="119" t="s">
        <v>3335</v>
      </c>
    </row>
    <row r="260" spans="1:1" x14ac:dyDescent="0.25">
      <c r="A260" s="26" t="s">
        <v>3335</v>
      </c>
    </row>
    <row r="261" spans="1:1" x14ac:dyDescent="0.25">
      <c r="A261" s="26" t="s">
        <v>3335</v>
      </c>
    </row>
    <row r="262" spans="1:1" x14ac:dyDescent="0.25">
      <c r="A262" s="26" t="s">
        <v>3335</v>
      </c>
    </row>
    <row r="263" spans="1:1" x14ac:dyDescent="0.25">
      <c r="A263" s="26" t="s">
        <v>3335</v>
      </c>
    </row>
    <row r="264" spans="1:1" x14ac:dyDescent="0.25">
      <c r="A264" s="26" t="s">
        <v>3335</v>
      </c>
    </row>
    <row r="265" spans="1:1" x14ac:dyDescent="0.25">
      <c r="A265" s="26" t="s">
        <v>3335</v>
      </c>
    </row>
    <row r="266" spans="1:1" x14ac:dyDescent="0.25">
      <c r="A266" s="26" t="s">
        <v>3335</v>
      </c>
    </row>
    <row r="267" spans="1:1" x14ac:dyDescent="0.25">
      <c r="A267" s="26" t="s">
        <v>3335</v>
      </c>
    </row>
    <row r="268" spans="1:1" x14ac:dyDescent="0.25">
      <c r="A268" s="26" t="s">
        <v>3335</v>
      </c>
    </row>
    <row r="269" spans="1:1" x14ac:dyDescent="0.25">
      <c r="A269" s="26" t="s">
        <v>3335</v>
      </c>
    </row>
    <row r="270" spans="1:1" x14ac:dyDescent="0.25">
      <c r="A270" s="26" t="s">
        <v>3335</v>
      </c>
    </row>
    <row r="271" spans="1:1" x14ac:dyDescent="0.25">
      <c r="A271" s="26" t="s">
        <v>3335</v>
      </c>
    </row>
    <row r="272" spans="1:1" x14ac:dyDescent="0.25">
      <c r="A272" s="26" t="s">
        <v>3335</v>
      </c>
    </row>
    <row r="273" spans="1:1" x14ac:dyDescent="0.25">
      <c r="A273" s="26" t="s">
        <v>3335</v>
      </c>
    </row>
    <row r="274" spans="1:1" x14ac:dyDescent="0.25">
      <c r="A274" s="26" t="s">
        <v>3335</v>
      </c>
    </row>
    <row r="275" spans="1:1" x14ac:dyDescent="0.25">
      <c r="A275" s="26" t="s">
        <v>3335</v>
      </c>
    </row>
    <row r="276" spans="1:1" x14ac:dyDescent="0.25">
      <c r="A276" s="26" t="s">
        <v>3335</v>
      </c>
    </row>
    <row r="277" spans="1:1" x14ac:dyDescent="0.25">
      <c r="A277" s="26" t="s">
        <v>3335</v>
      </c>
    </row>
    <row r="278" spans="1:1" x14ac:dyDescent="0.25">
      <c r="A278" s="26" t="s">
        <v>3335</v>
      </c>
    </row>
    <row r="279" spans="1:1" x14ac:dyDescent="0.25">
      <c r="A279" s="26" t="s">
        <v>3335</v>
      </c>
    </row>
    <row r="280" spans="1:1" x14ac:dyDescent="0.25">
      <c r="A280" s="26" t="s">
        <v>3335</v>
      </c>
    </row>
    <row r="281" spans="1:1" x14ac:dyDescent="0.25">
      <c r="A281" s="26" t="s">
        <v>3335</v>
      </c>
    </row>
    <row r="282" spans="1:1" x14ac:dyDescent="0.25">
      <c r="A282" s="26" t="s">
        <v>3335</v>
      </c>
    </row>
    <row r="283" spans="1:1" x14ac:dyDescent="0.25">
      <c r="A283" s="26" t="s">
        <v>3335</v>
      </c>
    </row>
    <row r="284" spans="1:1" x14ac:dyDescent="0.25">
      <c r="A284" s="26" t="s">
        <v>3335</v>
      </c>
    </row>
    <row r="285" spans="1:1" x14ac:dyDescent="0.25">
      <c r="A285" s="26" t="s">
        <v>3335</v>
      </c>
    </row>
    <row r="286" spans="1:1" x14ac:dyDescent="0.25">
      <c r="A286" s="26" t="s">
        <v>3335</v>
      </c>
    </row>
    <row r="287" spans="1:1" x14ac:dyDescent="0.25">
      <c r="A287" s="26" t="s">
        <v>3335</v>
      </c>
    </row>
    <row r="288" spans="1:1" x14ac:dyDescent="0.25">
      <c r="A288" s="26" t="s">
        <v>3335</v>
      </c>
    </row>
    <row r="289" spans="1:1" x14ac:dyDescent="0.25">
      <c r="A289" s="26" t="s">
        <v>3335</v>
      </c>
    </row>
    <row r="290" spans="1:1" x14ac:dyDescent="0.25">
      <c r="A290" s="26" t="s">
        <v>3251</v>
      </c>
    </row>
    <row r="291" spans="1:1" x14ac:dyDescent="0.25">
      <c r="A291" s="26" t="s">
        <v>3335</v>
      </c>
    </row>
    <row r="292" spans="1:1" x14ac:dyDescent="0.25">
      <c r="A292" s="26" t="s">
        <v>3335</v>
      </c>
    </row>
    <row r="293" spans="1:1" x14ac:dyDescent="0.25">
      <c r="A293" s="26" t="s">
        <v>3335</v>
      </c>
    </row>
    <row r="294" spans="1:1" x14ac:dyDescent="0.25">
      <c r="A294" s="26" t="s">
        <v>3335</v>
      </c>
    </row>
    <row r="295" spans="1:1" x14ac:dyDescent="0.25">
      <c r="A295" s="26" t="s">
        <v>3335</v>
      </c>
    </row>
    <row r="296" spans="1:1" x14ac:dyDescent="0.25">
      <c r="A296" s="26" t="s">
        <v>3335</v>
      </c>
    </row>
    <row r="297" spans="1:1" x14ac:dyDescent="0.25">
      <c r="A297" s="26" t="s">
        <v>3335</v>
      </c>
    </row>
    <row r="298" spans="1:1" x14ac:dyDescent="0.25">
      <c r="A298" s="26" t="s">
        <v>3335</v>
      </c>
    </row>
    <row r="299" spans="1:1" x14ac:dyDescent="0.25">
      <c r="A299" s="26" t="s">
        <v>3335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1"/>
  <dimension ref="A1:B37"/>
  <sheetViews>
    <sheetView topLeftCell="A8" workbookViewId="0">
      <selection activeCell="M4" sqref="M4"/>
    </sheetView>
  </sheetViews>
  <sheetFormatPr baseColWidth="10" defaultRowHeight="15" x14ac:dyDescent="0.25"/>
  <cols>
    <col min="1" max="1" width="54.42578125" bestFit="1" customWidth="1"/>
  </cols>
  <sheetData>
    <row r="1" spans="1:2" s="26" customFormat="1" x14ac:dyDescent="0.25">
      <c r="A1" s="26" t="s">
        <v>4124</v>
      </c>
      <c r="B1" s="26" t="s">
        <v>4125</v>
      </c>
    </row>
    <row r="2" spans="1:2" x14ac:dyDescent="0.25">
      <c r="A2" s="1" t="s">
        <v>102</v>
      </c>
      <c r="B2" t="s">
        <v>50</v>
      </c>
    </row>
    <row r="3" spans="1:2" x14ac:dyDescent="0.25">
      <c r="A3" t="s">
        <v>3148</v>
      </c>
      <c r="B3" t="s">
        <v>50</v>
      </c>
    </row>
    <row r="4" spans="1:2" x14ac:dyDescent="0.25">
      <c r="A4" t="s">
        <v>9</v>
      </c>
      <c r="B4" t="s">
        <v>50</v>
      </c>
    </row>
    <row r="5" spans="1:2" x14ac:dyDescent="0.25">
      <c r="A5" t="s">
        <v>11</v>
      </c>
      <c r="B5" t="s">
        <v>50</v>
      </c>
    </row>
    <row r="6" spans="1:2" x14ac:dyDescent="0.25">
      <c r="A6" t="s">
        <v>13</v>
      </c>
      <c r="B6" t="s">
        <v>50</v>
      </c>
    </row>
    <row r="7" spans="1:2" x14ac:dyDescent="0.25">
      <c r="A7" t="s">
        <v>34</v>
      </c>
      <c r="B7" t="s">
        <v>50</v>
      </c>
    </row>
    <row r="8" spans="1:2" x14ac:dyDescent="0.25">
      <c r="A8" t="s">
        <v>120</v>
      </c>
      <c r="B8" t="s">
        <v>50</v>
      </c>
    </row>
    <row r="9" spans="1:2" x14ac:dyDescent="0.25">
      <c r="A9" t="s">
        <v>10</v>
      </c>
      <c r="B9" t="s">
        <v>50</v>
      </c>
    </row>
    <row r="10" spans="1:2" x14ac:dyDescent="0.25">
      <c r="A10" t="s">
        <v>31</v>
      </c>
      <c r="B10" t="s">
        <v>50</v>
      </c>
    </row>
    <row r="11" spans="1:2" x14ac:dyDescent="0.25">
      <c r="A11" t="s">
        <v>33</v>
      </c>
      <c r="B11" t="s">
        <v>50</v>
      </c>
    </row>
    <row r="12" spans="1:2" x14ac:dyDescent="0.25">
      <c r="A12" s="1" t="s">
        <v>119</v>
      </c>
      <c r="B12" t="s">
        <v>50</v>
      </c>
    </row>
    <row r="13" spans="1:2" x14ac:dyDescent="0.25">
      <c r="A13" t="s">
        <v>118</v>
      </c>
      <c r="B13" t="s">
        <v>50</v>
      </c>
    </row>
    <row r="14" spans="1:2" x14ac:dyDescent="0.25">
      <c r="A14" s="1" t="s">
        <v>103</v>
      </c>
      <c r="B14" t="s">
        <v>50</v>
      </c>
    </row>
    <row r="15" spans="1:2" x14ac:dyDescent="0.25">
      <c r="A15" t="s">
        <v>3150</v>
      </c>
      <c r="B15" t="s">
        <v>111</v>
      </c>
    </row>
    <row r="16" spans="1:2" x14ac:dyDescent="0.25">
      <c r="A16" t="s">
        <v>3149</v>
      </c>
      <c r="B16" t="s">
        <v>112</v>
      </c>
    </row>
    <row r="17" spans="1:2" x14ac:dyDescent="0.25">
      <c r="A17" s="10" t="s">
        <v>3152</v>
      </c>
      <c r="B17" t="s">
        <v>113</v>
      </c>
    </row>
    <row r="18" spans="1:2" s="26" customFormat="1" x14ac:dyDescent="0.25">
      <c r="A18" s="10" t="s">
        <v>77</v>
      </c>
      <c r="B18" s="26" t="s">
        <v>114</v>
      </c>
    </row>
    <row r="19" spans="1:2" x14ac:dyDescent="0.25">
      <c r="A19" t="s">
        <v>45</v>
      </c>
      <c r="B19" s="11" t="s">
        <v>115</v>
      </c>
    </row>
    <row r="20" spans="1:2" x14ac:dyDescent="0.25">
      <c r="A20" t="s">
        <v>94</v>
      </c>
      <c r="B20" s="11" t="s">
        <v>116</v>
      </c>
    </row>
    <row r="21" spans="1:2" x14ac:dyDescent="0.25">
      <c r="A21" t="s">
        <v>44</v>
      </c>
      <c r="B21" t="s">
        <v>3151</v>
      </c>
    </row>
    <row r="22" spans="1:2" s="11" customFormat="1" x14ac:dyDescent="0.25"/>
    <row r="23" spans="1:2" x14ac:dyDescent="0.25">
      <c r="A23" s="1" t="s">
        <v>117</v>
      </c>
      <c r="B23" t="s">
        <v>50</v>
      </c>
    </row>
    <row r="24" spans="1:2" x14ac:dyDescent="0.25">
      <c r="A24" t="s">
        <v>87</v>
      </c>
      <c r="B24" t="s">
        <v>50</v>
      </c>
    </row>
    <row r="25" spans="1:2" x14ac:dyDescent="0.25">
      <c r="A25" t="s">
        <v>78</v>
      </c>
      <c r="B25" t="s">
        <v>50</v>
      </c>
    </row>
    <row r="26" spans="1:2" x14ac:dyDescent="0.25">
      <c r="A26" t="s">
        <v>79</v>
      </c>
      <c r="B26" t="s">
        <v>50</v>
      </c>
    </row>
    <row r="27" spans="1:2" x14ac:dyDescent="0.25">
      <c r="A27" t="s">
        <v>86</v>
      </c>
      <c r="B27" t="s">
        <v>50</v>
      </c>
    </row>
    <row r="28" spans="1:2" x14ac:dyDescent="0.25">
      <c r="A28" t="s">
        <v>75</v>
      </c>
      <c r="B28" t="s">
        <v>50</v>
      </c>
    </row>
    <row r="29" spans="1:2" s="26" customFormat="1" x14ac:dyDescent="0.25">
      <c r="A29" s="26" t="s">
        <v>48</v>
      </c>
    </row>
    <row r="30" spans="1:2" x14ac:dyDescent="0.25">
      <c r="A30" s="1" t="s">
        <v>104</v>
      </c>
      <c r="B30" t="s">
        <v>50</v>
      </c>
    </row>
    <row r="31" spans="1:2" x14ac:dyDescent="0.25">
      <c r="A31" t="s">
        <v>3153</v>
      </c>
      <c r="B31" t="s">
        <v>105</v>
      </c>
    </row>
    <row r="32" spans="1:2" x14ac:dyDescent="0.25">
      <c r="A32" t="s">
        <v>3154</v>
      </c>
      <c r="B32" t="s">
        <v>106</v>
      </c>
    </row>
    <row r="33" spans="1:2" x14ac:dyDescent="0.25">
      <c r="A33" t="s">
        <v>3671</v>
      </c>
      <c r="B33" t="s">
        <v>107</v>
      </c>
    </row>
    <row r="34" spans="1:2" s="11" customFormat="1" x14ac:dyDescent="0.25">
      <c r="A34" s="11" t="s">
        <v>3670</v>
      </c>
      <c r="B34" s="11" t="s">
        <v>108</v>
      </c>
    </row>
    <row r="35" spans="1:2" x14ac:dyDescent="0.25">
      <c r="A35" t="s">
        <v>77</v>
      </c>
      <c r="B35" t="s">
        <v>109</v>
      </c>
    </row>
    <row r="36" spans="1:2" x14ac:dyDescent="0.25">
      <c r="A36" s="26" t="s">
        <v>91</v>
      </c>
      <c r="B36" s="26" t="s">
        <v>110</v>
      </c>
    </row>
    <row r="37" spans="1:2" x14ac:dyDescent="0.25">
      <c r="A37" s="26" t="s">
        <v>89</v>
      </c>
      <c r="B37" s="26" t="s">
        <v>3155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E7574-6F2C-49E2-ACC8-1CC5D7A60409}">
  <sheetPr codeName="Hoja3">
    <tabColor theme="7" tint="0.39997558519241921"/>
  </sheetPr>
  <dimension ref="A1:N49"/>
  <sheetViews>
    <sheetView zoomScale="80" zoomScaleNormal="80" workbookViewId="0">
      <selection activeCell="H26" sqref="H26"/>
    </sheetView>
  </sheetViews>
  <sheetFormatPr baseColWidth="10" defaultRowHeight="15" x14ac:dyDescent="0.25"/>
  <cols>
    <col min="1" max="14" width="26" customWidth="1"/>
  </cols>
  <sheetData>
    <row r="1" spans="1:14" x14ac:dyDescent="0.25">
      <c r="C1" s="26"/>
    </row>
    <row r="2" spans="1:14" x14ac:dyDescent="0.25">
      <c r="C2" s="26"/>
    </row>
    <row r="3" spans="1:14" ht="21" x14ac:dyDescent="0.35">
      <c r="A3" s="91" t="s">
        <v>4036</v>
      </c>
      <c r="B3" s="91" t="s">
        <v>3374</v>
      </c>
      <c r="C3" s="91" t="s">
        <v>3640</v>
      </c>
      <c r="D3" s="91" t="s">
        <v>3168</v>
      </c>
      <c r="E3" s="91" t="s">
        <v>4045</v>
      </c>
      <c r="F3" s="91" t="s">
        <v>4047</v>
      </c>
      <c r="G3" s="91" t="s">
        <v>3158</v>
      </c>
      <c r="H3" s="91" t="s">
        <v>4048</v>
      </c>
      <c r="I3" s="91" t="s">
        <v>4049</v>
      </c>
      <c r="J3" s="91" t="s">
        <v>3652</v>
      </c>
      <c r="K3" s="91" t="s">
        <v>4050</v>
      </c>
      <c r="L3" s="91" t="s">
        <v>3653</v>
      </c>
      <c r="M3" s="91" t="s">
        <v>4052</v>
      </c>
      <c r="N3" s="92" t="s">
        <v>4053</v>
      </c>
    </row>
    <row r="4" spans="1:14" x14ac:dyDescent="0.25">
      <c r="A4" s="93" t="s">
        <v>4037</v>
      </c>
      <c r="B4" s="93" t="s">
        <v>3646</v>
      </c>
      <c r="C4" s="93" t="s">
        <v>3640</v>
      </c>
      <c r="D4" s="93" t="s">
        <v>3163</v>
      </c>
      <c r="E4" s="93" t="s">
        <v>3244</v>
      </c>
      <c r="F4" s="93" t="s">
        <v>3648</v>
      </c>
      <c r="G4" s="93" t="s">
        <v>3647</v>
      </c>
      <c r="H4" s="93" t="s">
        <v>3157</v>
      </c>
      <c r="I4" s="93" t="s">
        <v>3644</v>
      </c>
      <c r="J4" s="93"/>
      <c r="K4" s="93" t="s">
        <v>4050</v>
      </c>
      <c r="L4" s="93"/>
      <c r="M4" s="93" t="s">
        <v>3368</v>
      </c>
      <c r="N4" s="94" t="s">
        <v>3655</v>
      </c>
    </row>
    <row r="5" spans="1:14" x14ac:dyDescent="0.25">
      <c r="A5" s="95" t="s">
        <v>4038</v>
      </c>
      <c r="B5" s="95" t="s">
        <v>4042</v>
      </c>
      <c r="C5" s="95" t="s">
        <v>3325</v>
      </c>
      <c r="D5" s="95" t="s">
        <v>3168</v>
      </c>
      <c r="E5" s="95" t="s">
        <v>4046</v>
      </c>
      <c r="F5" s="95" t="s">
        <v>3595</v>
      </c>
      <c r="G5" s="95"/>
      <c r="H5" s="95" t="s">
        <v>3654</v>
      </c>
      <c r="I5" s="95" t="s">
        <v>3264</v>
      </c>
      <c r="J5" s="95"/>
      <c r="K5" s="95" t="s">
        <v>4051</v>
      </c>
      <c r="L5" s="95"/>
      <c r="M5" s="95" t="s">
        <v>3651</v>
      </c>
      <c r="N5" s="96" t="s">
        <v>4054</v>
      </c>
    </row>
    <row r="6" spans="1:14" x14ac:dyDescent="0.25">
      <c r="A6" s="93" t="s">
        <v>4039</v>
      </c>
      <c r="B6" s="93" t="s">
        <v>4043</v>
      </c>
      <c r="C6" s="93"/>
      <c r="D6" s="93" t="s">
        <v>4044</v>
      </c>
      <c r="E6" s="93" t="s">
        <v>3649</v>
      </c>
      <c r="F6" s="93" t="s">
        <v>3642</v>
      </c>
      <c r="G6" s="93"/>
      <c r="H6" s="93" t="s">
        <v>3645</v>
      </c>
      <c r="I6" s="97"/>
      <c r="J6" s="93"/>
      <c r="K6" s="93" t="s">
        <v>3348</v>
      </c>
      <c r="L6" s="93"/>
      <c r="M6" s="93" t="s">
        <v>3650</v>
      </c>
      <c r="N6" s="94" t="s">
        <v>4055</v>
      </c>
    </row>
    <row r="7" spans="1:14" x14ac:dyDescent="0.25">
      <c r="A7" s="95" t="s">
        <v>4040</v>
      </c>
      <c r="B7" s="95"/>
      <c r="C7" s="95"/>
      <c r="D7" s="95" t="s">
        <v>3165</v>
      </c>
      <c r="E7" s="95"/>
      <c r="F7" s="95"/>
      <c r="G7" s="95"/>
      <c r="H7" s="95" t="s">
        <v>3643</v>
      </c>
      <c r="I7" s="95"/>
      <c r="J7" s="95"/>
      <c r="K7" s="95"/>
      <c r="L7" s="95"/>
      <c r="M7" s="95"/>
      <c r="N7" s="96" t="s">
        <v>4056</v>
      </c>
    </row>
    <row r="8" spans="1:14" x14ac:dyDescent="0.25">
      <c r="A8" s="93" t="s">
        <v>3641</v>
      </c>
      <c r="B8" s="93"/>
      <c r="C8" s="93"/>
      <c r="D8" s="93" t="s">
        <v>3417</v>
      </c>
      <c r="E8" s="93"/>
      <c r="F8" s="93"/>
      <c r="G8" s="93"/>
      <c r="H8" s="93"/>
      <c r="I8" s="93"/>
      <c r="J8" s="93"/>
      <c r="K8" s="93"/>
      <c r="L8" s="93"/>
      <c r="M8" s="93"/>
      <c r="N8" s="94" t="s">
        <v>4057</v>
      </c>
    </row>
    <row r="9" spans="1:14" x14ac:dyDescent="0.25">
      <c r="A9" s="98" t="s">
        <v>4041</v>
      </c>
      <c r="B9" s="99"/>
      <c r="C9" s="100"/>
      <c r="D9" s="100"/>
      <c r="E9" s="100"/>
      <c r="F9" s="100"/>
      <c r="G9" s="100"/>
      <c r="H9" s="100"/>
      <c r="I9" s="100"/>
      <c r="J9" s="100"/>
      <c r="K9" s="100"/>
      <c r="L9" s="100"/>
      <c r="M9" s="100"/>
      <c r="N9" s="101"/>
    </row>
    <row r="10" spans="1:14" ht="75" customHeight="1" x14ac:dyDescent="0.25">
      <c r="C10" s="26"/>
    </row>
    <row r="11" spans="1:14" ht="37.5" x14ac:dyDescent="0.25">
      <c r="A11" s="81" t="s">
        <v>4058</v>
      </c>
      <c r="B11" s="81" t="s">
        <v>4060</v>
      </c>
      <c r="C11" s="81" t="s">
        <v>4062</v>
      </c>
      <c r="D11" s="81" t="s">
        <v>4063</v>
      </c>
      <c r="E11" s="81" t="s">
        <v>4065</v>
      </c>
      <c r="F11" s="81" t="s">
        <v>4046</v>
      </c>
      <c r="G11" s="81" t="s">
        <v>4066</v>
      </c>
      <c r="H11" s="81" t="s">
        <v>4068</v>
      </c>
      <c r="I11" s="81" t="s">
        <v>4073</v>
      </c>
      <c r="J11" s="81" t="s">
        <v>4076</v>
      </c>
      <c r="K11" s="84" t="s">
        <v>4077</v>
      </c>
      <c r="L11" s="84" t="s">
        <v>4078</v>
      </c>
      <c r="M11" s="81" t="s">
        <v>4081</v>
      </c>
      <c r="N11" s="84" t="s">
        <v>4083</v>
      </c>
    </row>
    <row r="12" spans="1:14" x14ac:dyDescent="0.25">
      <c r="A12" s="82" t="s">
        <v>3603</v>
      </c>
      <c r="B12" s="82" t="s">
        <v>3553</v>
      </c>
      <c r="C12" s="82" t="s">
        <v>3591</v>
      </c>
      <c r="D12" s="82" t="s">
        <v>4064</v>
      </c>
      <c r="E12" s="82" t="s">
        <v>3190</v>
      </c>
      <c r="F12" s="82" t="s">
        <v>3527</v>
      </c>
      <c r="G12" s="82" t="s">
        <v>3624</v>
      </c>
      <c r="H12" s="82" t="s">
        <v>3198</v>
      </c>
      <c r="I12" s="82" t="s">
        <v>3509</v>
      </c>
      <c r="J12" s="83" t="s">
        <v>3468</v>
      </c>
      <c r="K12" s="83" t="s">
        <v>3472</v>
      </c>
      <c r="L12" s="83" t="s">
        <v>3612</v>
      </c>
      <c r="M12" s="82" t="s">
        <v>3194</v>
      </c>
      <c r="N12" s="83" t="s">
        <v>3492</v>
      </c>
    </row>
    <row r="13" spans="1:14" x14ac:dyDescent="0.25">
      <c r="A13" s="82" t="s">
        <v>3477</v>
      </c>
      <c r="B13" s="82" t="s">
        <v>4061</v>
      </c>
      <c r="C13" s="82" t="s">
        <v>3548</v>
      </c>
      <c r="D13" s="82" t="s">
        <v>3461</v>
      </c>
      <c r="E13" s="82"/>
      <c r="F13" s="82" t="s">
        <v>3613</v>
      </c>
      <c r="G13" s="82" t="s">
        <v>3384</v>
      </c>
      <c r="H13" s="82" t="s">
        <v>3362</v>
      </c>
      <c r="I13" s="82" t="s">
        <v>4074</v>
      </c>
      <c r="J13" s="83" t="s">
        <v>3465</v>
      </c>
      <c r="K13" s="83" t="s">
        <v>3287</v>
      </c>
      <c r="L13" s="83" t="s">
        <v>3554</v>
      </c>
      <c r="M13" s="82" t="s">
        <v>3195</v>
      </c>
      <c r="N13" s="83" t="s">
        <v>3453</v>
      </c>
    </row>
    <row r="14" spans="1:14" ht="25.5" x14ac:dyDescent="0.25">
      <c r="A14" s="82" t="s">
        <v>4059</v>
      </c>
      <c r="B14" s="82" t="s">
        <v>3531</v>
      </c>
      <c r="C14" s="82" t="s">
        <v>3572</v>
      </c>
      <c r="D14" s="82" t="s">
        <v>3441</v>
      </c>
      <c r="E14" s="82"/>
      <c r="F14" s="82" t="s">
        <v>3517</v>
      </c>
      <c r="G14" s="82" t="s">
        <v>3526</v>
      </c>
      <c r="H14" s="82" t="s">
        <v>3494</v>
      </c>
      <c r="I14" s="82" t="s">
        <v>4075</v>
      </c>
      <c r="J14" s="83" t="s">
        <v>3442</v>
      </c>
      <c r="K14" s="83" t="s">
        <v>3193</v>
      </c>
      <c r="L14" s="83" t="s">
        <v>4079</v>
      </c>
      <c r="M14" s="82" t="s">
        <v>4082</v>
      </c>
      <c r="N14" s="83" t="s">
        <v>3556</v>
      </c>
    </row>
    <row r="15" spans="1:14" ht="25.5" x14ac:dyDescent="0.25">
      <c r="A15" s="83" t="s">
        <v>4173</v>
      </c>
      <c r="B15" s="82" t="s">
        <v>3560</v>
      </c>
      <c r="C15" s="82" t="s">
        <v>3267</v>
      </c>
      <c r="D15" s="82" t="s">
        <v>3174</v>
      </c>
      <c r="E15" s="82"/>
      <c r="F15" s="82"/>
      <c r="G15" s="82" t="s">
        <v>4067</v>
      </c>
      <c r="H15" s="82" t="s">
        <v>3619</v>
      </c>
      <c r="I15" s="82" t="s">
        <v>3391</v>
      </c>
      <c r="J15" s="83" t="s">
        <v>3196</v>
      </c>
      <c r="K15" s="83" t="s">
        <v>3351</v>
      </c>
      <c r="L15" s="83" t="s">
        <v>4080</v>
      </c>
      <c r="M15" s="82" t="s">
        <v>3597</v>
      </c>
      <c r="N15" s="83"/>
    </row>
    <row r="16" spans="1:14" ht="25.5" x14ac:dyDescent="0.25">
      <c r="A16" s="82"/>
      <c r="B16" s="82" t="s">
        <v>3423</v>
      </c>
      <c r="C16" s="82" t="s">
        <v>3256</v>
      </c>
      <c r="D16" s="82" t="s">
        <v>3275</v>
      </c>
      <c r="E16" s="82"/>
      <c r="F16" s="82"/>
      <c r="G16" s="82" t="s">
        <v>3499</v>
      </c>
      <c r="H16" s="82" t="s">
        <v>4069</v>
      </c>
      <c r="I16" s="82" t="s">
        <v>3420</v>
      </c>
      <c r="J16" s="83" t="s">
        <v>3435</v>
      </c>
      <c r="K16" s="83" t="s">
        <v>3582</v>
      </c>
      <c r="L16" s="83" t="s">
        <v>3191</v>
      </c>
      <c r="M16" s="82" t="s">
        <v>3388</v>
      </c>
      <c r="N16" s="83"/>
    </row>
    <row r="17" spans="1:14" x14ac:dyDescent="0.25">
      <c r="A17" s="82"/>
      <c r="B17" s="82"/>
      <c r="C17" s="82" t="s">
        <v>3270</v>
      </c>
      <c r="D17" s="82" t="s">
        <v>3380</v>
      </c>
      <c r="E17" s="82"/>
      <c r="F17" s="82"/>
      <c r="G17" s="82" t="s">
        <v>3394</v>
      </c>
      <c r="H17" s="82" t="s">
        <v>3180</v>
      </c>
      <c r="I17" s="82" t="s">
        <v>3372</v>
      </c>
      <c r="J17" s="82" t="s">
        <v>3231</v>
      </c>
      <c r="K17" s="83" t="s">
        <v>3353</v>
      </c>
      <c r="L17" s="83" t="s">
        <v>3425</v>
      </c>
      <c r="M17" s="82" t="s">
        <v>3329</v>
      </c>
      <c r="N17" s="83"/>
    </row>
    <row r="18" spans="1:14" x14ac:dyDescent="0.25">
      <c r="A18" s="82"/>
      <c r="B18" s="82"/>
      <c r="C18" s="82" t="s">
        <v>3176</v>
      </c>
      <c r="D18" s="82" t="s">
        <v>3596</v>
      </c>
      <c r="E18" s="82"/>
      <c r="F18" s="82"/>
      <c r="G18" s="82" t="s">
        <v>3628</v>
      </c>
      <c r="H18" s="82" t="s">
        <v>3179</v>
      </c>
      <c r="I18" s="82" t="s">
        <v>3490</v>
      </c>
      <c r="J18" s="82"/>
      <c r="K18" s="83" t="s">
        <v>3536</v>
      </c>
      <c r="L18" s="83"/>
      <c r="M18" s="82" t="s">
        <v>3449</v>
      </c>
      <c r="N18" s="83"/>
    </row>
    <row r="19" spans="1:14" ht="25.5" x14ac:dyDescent="0.25">
      <c r="A19" s="82"/>
      <c r="B19" s="82"/>
      <c r="C19" s="82" t="s">
        <v>3439</v>
      </c>
      <c r="D19" s="82" t="s">
        <v>3533</v>
      </c>
      <c r="E19" s="82"/>
      <c r="F19" s="82"/>
      <c r="G19" s="82" t="s">
        <v>3313</v>
      </c>
      <c r="H19" s="82" t="s">
        <v>3181</v>
      </c>
      <c r="I19" s="82" t="s">
        <v>3609</v>
      </c>
      <c r="J19" s="82"/>
      <c r="K19" s="83" t="s">
        <v>3189</v>
      </c>
      <c r="L19" s="83"/>
      <c r="M19" s="82" t="s">
        <v>3265</v>
      </c>
      <c r="N19" s="83"/>
    </row>
    <row r="20" spans="1:14" ht="25.5" x14ac:dyDescent="0.25">
      <c r="A20" s="82"/>
      <c r="B20" s="82"/>
      <c r="C20" s="82" t="s">
        <v>3171</v>
      </c>
      <c r="D20" s="83" t="s">
        <v>3378</v>
      </c>
      <c r="E20" s="82"/>
      <c r="F20" s="82"/>
      <c r="G20" s="82" t="s">
        <v>3497</v>
      </c>
      <c r="H20" s="82" t="s">
        <v>4070</v>
      </c>
      <c r="I20" s="82" t="s">
        <v>3305</v>
      </c>
      <c r="J20" s="82"/>
      <c r="L20" s="83"/>
      <c r="M20" s="82" t="s">
        <v>3278</v>
      </c>
      <c r="N20" s="83"/>
    </row>
    <row r="21" spans="1:14" ht="25.5" x14ac:dyDescent="0.25">
      <c r="A21" s="82"/>
      <c r="B21" s="82"/>
      <c r="C21" s="82" t="s">
        <v>3173</v>
      </c>
      <c r="D21" s="82"/>
      <c r="E21" s="82"/>
      <c r="F21" s="82"/>
      <c r="G21" s="82"/>
      <c r="H21" s="82" t="s">
        <v>3299</v>
      </c>
      <c r="I21" s="82" t="s">
        <v>3182</v>
      </c>
      <c r="J21" s="82"/>
      <c r="K21" s="83"/>
      <c r="L21" s="83"/>
      <c r="M21" s="82" t="s">
        <v>3480</v>
      </c>
      <c r="N21" s="83"/>
    </row>
    <row r="22" spans="1:14" x14ac:dyDescent="0.25">
      <c r="A22" s="82"/>
      <c r="B22" s="82"/>
      <c r="C22" s="82" t="s">
        <v>3175</v>
      </c>
      <c r="D22" s="82"/>
      <c r="E22" s="82"/>
      <c r="F22" s="82"/>
      <c r="G22" s="82"/>
      <c r="H22" s="82" t="s">
        <v>3301</v>
      </c>
      <c r="I22" s="82" t="s">
        <v>3187</v>
      </c>
      <c r="J22" s="82"/>
      <c r="K22" s="83"/>
      <c r="L22" s="83"/>
      <c r="M22" s="82" t="s">
        <v>3614</v>
      </c>
      <c r="N22" s="83"/>
    </row>
    <row r="23" spans="1:14" x14ac:dyDescent="0.25">
      <c r="A23" s="82"/>
      <c r="B23" s="82"/>
      <c r="C23" s="82" t="s">
        <v>3469</v>
      </c>
      <c r="D23" s="82"/>
      <c r="E23" s="82"/>
      <c r="F23" s="82"/>
      <c r="G23" s="82"/>
      <c r="H23" s="82" t="s">
        <v>3178</v>
      </c>
      <c r="I23" s="82" t="s">
        <v>3289</v>
      </c>
      <c r="J23" s="82"/>
      <c r="K23" s="83"/>
      <c r="L23" s="83"/>
      <c r="M23" s="82" t="s">
        <v>3334</v>
      </c>
      <c r="N23" s="83"/>
    </row>
    <row r="24" spans="1:14" x14ac:dyDescent="0.25">
      <c r="A24" s="82"/>
      <c r="B24" s="82"/>
      <c r="C24" s="82" t="s">
        <v>3172</v>
      </c>
      <c r="D24" s="82"/>
      <c r="E24" s="82"/>
      <c r="F24" s="82"/>
      <c r="G24" s="82"/>
      <c r="H24" s="83" t="s">
        <v>3199</v>
      </c>
      <c r="I24" s="82" t="s">
        <v>3630</v>
      </c>
      <c r="J24" s="82"/>
      <c r="K24" s="83"/>
      <c r="L24" s="83"/>
      <c r="M24" s="82"/>
      <c r="N24" s="83"/>
    </row>
    <row r="25" spans="1:14" x14ac:dyDescent="0.25">
      <c r="A25" s="82"/>
      <c r="B25" s="82"/>
      <c r="C25" s="82" t="s">
        <v>3474</v>
      </c>
      <c r="D25" s="82"/>
      <c r="E25" s="82"/>
      <c r="F25" s="82"/>
      <c r="G25" s="82"/>
      <c r="H25" s="83" t="s">
        <v>3521</v>
      </c>
      <c r="I25" s="82" t="s">
        <v>3681</v>
      </c>
      <c r="J25" s="82"/>
      <c r="K25" s="83"/>
      <c r="L25" s="83"/>
      <c r="M25" s="82"/>
      <c r="N25" s="83"/>
    </row>
    <row r="26" spans="1:14" x14ac:dyDescent="0.25">
      <c r="A26" s="3"/>
      <c r="B26" s="3"/>
      <c r="C26" s="82" t="s">
        <v>3502</v>
      </c>
      <c r="D26" s="3"/>
      <c r="E26" s="3"/>
      <c r="F26" s="3"/>
      <c r="G26" s="3"/>
      <c r="H26" s="82" t="s">
        <v>4071</v>
      </c>
      <c r="I26" s="82" t="s">
        <v>3407</v>
      </c>
      <c r="J26" s="3"/>
      <c r="K26" s="3"/>
      <c r="L26" s="3"/>
      <c r="M26" s="3"/>
      <c r="N26" s="3"/>
    </row>
    <row r="27" spans="1:14" ht="25.5" x14ac:dyDescent="0.25">
      <c r="A27" s="3"/>
      <c r="B27" s="3"/>
      <c r="C27" s="82" t="s">
        <v>3605</v>
      </c>
      <c r="D27" s="3"/>
      <c r="E27" s="3"/>
      <c r="F27" s="3"/>
      <c r="G27" s="3"/>
      <c r="H27" s="82" t="s">
        <v>4072</v>
      </c>
      <c r="I27" s="82" t="s">
        <v>3462</v>
      </c>
      <c r="J27" s="3"/>
      <c r="K27" s="3"/>
      <c r="L27" s="3"/>
      <c r="M27" s="3"/>
      <c r="N27" s="3"/>
    </row>
    <row r="28" spans="1:14" x14ac:dyDescent="0.25">
      <c r="A28" s="3"/>
      <c r="B28" s="3"/>
      <c r="C28" s="3"/>
      <c r="D28" s="3"/>
      <c r="E28" s="3"/>
      <c r="F28" s="3"/>
      <c r="G28" s="3"/>
      <c r="H28" s="82" t="s">
        <v>4050</v>
      </c>
      <c r="I28" s="3"/>
      <c r="J28" s="3"/>
      <c r="K28" s="3"/>
      <c r="L28" s="3"/>
      <c r="M28" s="3"/>
      <c r="N28" s="3"/>
    </row>
    <row r="29" spans="1:14" x14ac:dyDescent="0.25">
      <c r="H29" s="80" t="s">
        <v>4123</v>
      </c>
    </row>
    <row r="30" spans="1:14" s="26" customFormat="1" x14ac:dyDescent="0.25"/>
    <row r="31" spans="1:14" ht="25.5" x14ac:dyDescent="0.25">
      <c r="A31" s="85" t="s">
        <v>4084</v>
      </c>
      <c r="B31" s="85" t="s">
        <v>3207</v>
      </c>
      <c r="C31" s="85" t="s">
        <v>4094</v>
      </c>
      <c r="D31" s="85" t="s">
        <v>4096</v>
      </c>
      <c r="E31" s="85" t="s">
        <v>4107</v>
      </c>
      <c r="F31" s="85" t="s">
        <v>3454</v>
      </c>
      <c r="G31" s="85" t="s">
        <v>4112</v>
      </c>
      <c r="H31" s="85" t="s">
        <v>3279</v>
      </c>
      <c r="I31" s="85" t="s">
        <v>3232</v>
      </c>
      <c r="J31" s="85" t="s">
        <v>3303</v>
      </c>
      <c r="K31" s="85" t="s">
        <v>4120</v>
      </c>
    </row>
    <row r="32" spans="1:14" ht="39" x14ac:dyDescent="0.25">
      <c r="A32" s="86" t="s">
        <v>3570</v>
      </c>
      <c r="B32" s="86" t="s">
        <v>3479</v>
      </c>
      <c r="C32" s="86" t="s">
        <v>3314</v>
      </c>
      <c r="D32" s="86" t="s">
        <v>3266</v>
      </c>
      <c r="E32" s="86" t="s">
        <v>4108</v>
      </c>
      <c r="F32" s="86" t="s">
        <v>4111</v>
      </c>
      <c r="G32" s="86" t="s">
        <v>3361</v>
      </c>
      <c r="H32" s="86" t="s">
        <v>3485</v>
      </c>
      <c r="I32" s="86" t="s">
        <v>4117</v>
      </c>
      <c r="J32" s="86" t="s">
        <v>4119</v>
      </c>
      <c r="K32" s="86" t="s">
        <v>3373</v>
      </c>
    </row>
    <row r="33" spans="1:11" ht="26.25" x14ac:dyDescent="0.25">
      <c r="A33" s="86" t="s">
        <v>4085</v>
      </c>
      <c r="B33" s="86" t="s">
        <v>3285</v>
      </c>
      <c r="C33" s="86" t="s">
        <v>3478</v>
      </c>
      <c r="D33" s="86" t="s">
        <v>4097</v>
      </c>
      <c r="E33" s="86" t="s">
        <v>4109</v>
      </c>
      <c r="F33" s="86"/>
      <c r="G33" s="86" t="s">
        <v>3357</v>
      </c>
      <c r="H33" s="86" t="s">
        <v>3404</v>
      </c>
      <c r="I33" s="86" t="s">
        <v>3300</v>
      </c>
      <c r="J33" s="119" t="s">
        <v>4137</v>
      </c>
      <c r="K33" s="86" t="s">
        <v>3491</v>
      </c>
    </row>
    <row r="34" spans="1:11" ht="26.25" x14ac:dyDescent="0.25">
      <c r="A34" s="86" t="s">
        <v>4086</v>
      </c>
      <c r="B34" s="86" t="s">
        <v>3575</v>
      </c>
      <c r="C34" s="86" t="s">
        <v>4095</v>
      </c>
      <c r="D34" s="86" t="s">
        <v>3507</v>
      </c>
      <c r="E34" s="86" t="s">
        <v>4110</v>
      </c>
      <c r="F34" s="86"/>
      <c r="G34" s="86" t="s">
        <v>3206</v>
      </c>
      <c r="H34" s="86" t="s">
        <v>3337</v>
      </c>
      <c r="I34" s="86" t="s">
        <v>3522</v>
      </c>
      <c r="J34" s="86"/>
      <c r="K34" s="86"/>
    </row>
    <row r="35" spans="1:11" x14ac:dyDescent="0.25">
      <c r="A35" s="86" t="s">
        <v>4087</v>
      </c>
      <c r="B35" s="86" t="s">
        <v>4088</v>
      </c>
      <c r="C35" s="119" t="s">
        <v>4134</v>
      </c>
      <c r="D35" s="86" t="s">
        <v>4098</v>
      </c>
      <c r="E35" s="86" t="s">
        <v>3537</v>
      </c>
      <c r="F35" s="86"/>
      <c r="G35" s="86" t="s">
        <v>3615</v>
      </c>
      <c r="H35" s="86" t="s">
        <v>3437</v>
      </c>
      <c r="I35" s="86" t="s">
        <v>4118</v>
      </c>
      <c r="J35" s="86"/>
      <c r="K35" s="86" t="s">
        <v>3656</v>
      </c>
    </row>
    <row r="36" spans="1:11" x14ac:dyDescent="0.25">
      <c r="A36" s="86" t="s">
        <v>3546</v>
      </c>
      <c r="B36" s="86" t="s">
        <v>4089</v>
      </c>
      <c r="C36" s="119" t="s">
        <v>4135</v>
      </c>
      <c r="D36" s="86" t="s">
        <v>3360</v>
      </c>
      <c r="E36" s="86" t="s">
        <v>3436</v>
      </c>
      <c r="F36" s="86"/>
      <c r="G36" s="86" t="s">
        <v>3204</v>
      </c>
      <c r="H36" s="86" t="s">
        <v>4113</v>
      </c>
      <c r="I36" s="86"/>
      <c r="J36" s="86"/>
      <c r="K36" s="86"/>
    </row>
    <row r="37" spans="1:11" ht="26.25" x14ac:dyDescent="0.25">
      <c r="A37" s="86" t="s">
        <v>3606</v>
      </c>
      <c r="B37" s="86" t="s">
        <v>4090</v>
      </c>
      <c r="C37" s="86"/>
      <c r="D37" s="86" t="s">
        <v>3254</v>
      </c>
      <c r="E37" s="86" t="s">
        <v>3505</v>
      </c>
      <c r="F37" s="86"/>
      <c r="G37" s="86" t="s">
        <v>3364</v>
      </c>
      <c r="H37" s="86" t="s">
        <v>4114</v>
      </c>
      <c r="I37" s="86"/>
      <c r="J37" s="86"/>
      <c r="K37" s="86"/>
    </row>
    <row r="38" spans="1:11" ht="26.25" x14ac:dyDescent="0.25">
      <c r="A38" s="86"/>
      <c r="B38" s="86" t="s">
        <v>4091</v>
      </c>
      <c r="C38" s="86"/>
      <c r="D38" s="86" t="s">
        <v>4099</v>
      </c>
      <c r="E38" s="86" t="s">
        <v>3310</v>
      </c>
      <c r="F38" s="86"/>
      <c r="G38" s="86" t="s">
        <v>3210</v>
      </c>
      <c r="H38" s="86" t="s">
        <v>4115</v>
      </c>
      <c r="I38" s="86"/>
      <c r="J38" s="86"/>
      <c r="K38" s="86"/>
    </row>
    <row r="39" spans="1:11" ht="26.25" x14ac:dyDescent="0.25">
      <c r="A39" s="86"/>
      <c r="B39" s="86" t="s">
        <v>4092</v>
      </c>
      <c r="C39" s="86"/>
      <c r="D39" s="86" t="s">
        <v>4100</v>
      </c>
      <c r="E39" s="86"/>
      <c r="F39" s="86"/>
      <c r="G39" s="86" t="s">
        <v>3343</v>
      </c>
      <c r="H39" s="86" t="s">
        <v>4116</v>
      </c>
      <c r="I39" s="86"/>
      <c r="J39" s="86"/>
      <c r="K39" s="86"/>
    </row>
    <row r="40" spans="1:11" ht="26.25" x14ac:dyDescent="0.25">
      <c r="A40" s="87"/>
      <c r="B40" s="86" t="s">
        <v>4093</v>
      </c>
      <c r="C40" s="87"/>
      <c r="D40" s="86" t="s">
        <v>4101</v>
      </c>
      <c r="E40" s="87"/>
      <c r="F40" s="87"/>
      <c r="G40" s="87"/>
      <c r="H40" s="86" t="s">
        <v>3291</v>
      </c>
      <c r="I40" s="87"/>
      <c r="J40" s="87"/>
      <c r="K40" s="87"/>
    </row>
    <row r="41" spans="1:11" x14ac:dyDescent="0.25">
      <c r="A41" s="87"/>
      <c r="B41" s="126" t="s">
        <v>4138</v>
      </c>
      <c r="C41" s="87"/>
      <c r="D41" s="86" t="s">
        <v>4102</v>
      </c>
      <c r="E41" s="87"/>
      <c r="F41" s="87"/>
      <c r="G41" s="87"/>
      <c r="H41" s="87"/>
      <c r="I41" s="87"/>
      <c r="J41" s="87"/>
      <c r="K41" s="87"/>
    </row>
    <row r="42" spans="1:11" x14ac:dyDescent="0.25">
      <c r="A42" s="87"/>
      <c r="B42" s="87"/>
      <c r="C42" s="87"/>
      <c r="D42" s="86" t="s">
        <v>4103</v>
      </c>
      <c r="E42" s="87"/>
      <c r="F42" s="87"/>
      <c r="G42" s="87"/>
      <c r="H42" s="87"/>
      <c r="I42" s="87"/>
      <c r="J42" s="87"/>
      <c r="K42" s="87"/>
    </row>
    <row r="43" spans="1:11" ht="26.25" x14ac:dyDescent="0.25">
      <c r="A43" s="87"/>
      <c r="B43" s="87"/>
      <c r="C43" s="87"/>
      <c r="D43" s="86" t="s">
        <v>3429</v>
      </c>
      <c r="E43" s="87"/>
      <c r="F43" s="87"/>
      <c r="G43" s="87"/>
      <c r="H43" s="87"/>
      <c r="I43" s="87"/>
      <c r="J43" s="87"/>
      <c r="K43" s="87"/>
    </row>
    <row r="44" spans="1:11" ht="26.25" x14ac:dyDescent="0.25">
      <c r="A44" s="87"/>
      <c r="B44" s="87"/>
      <c r="C44" s="87"/>
      <c r="D44" s="86" t="s">
        <v>3440</v>
      </c>
      <c r="E44" s="87"/>
      <c r="F44" s="87"/>
      <c r="G44" s="87"/>
      <c r="H44" s="87"/>
      <c r="I44" s="87"/>
      <c r="J44" s="87"/>
      <c r="K44" s="87"/>
    </row>
    <row r="45" spans="1:11" x14ac:dyDescent="0.25">
      <c r="A45" s="66"/>
      <c r="B45" s="66"/>
      <c r="C45" s="66"/>
      <c r="D45" s="86" t="s">
        <v>3476</v>
      </c>
      <c r="E45" s="66"/>
      <c r="F45" s="66"/>
      <c r="G45" s="66"/>
      <c r="H45" s="66"/>
      <c r="I45" s="66"/>
      <c r="J45" s="66"/>
      <c r="K45" s="66"/>
    </row>
    <row r="46" spans="1:11" x14ac:dyDescent="0.25">
      <c r="A46" s="66"/>
      <c r="B46" s="66"/>
      <c r="C46" s="66"/>
      <c r="D46" s="86" t="s">
        <v>4104</v>
      </c>
      <c r="E46" s="66"/>
      <c r="F46" s="66"/>
      <c r="G46" s="66"/>
      <c r="H46" s="66"/>
      <c r="I46" s="66"/>
      <c r="J46" s="66"/>
      <c r="K46" s="66"/>
    </row>
    <row r="47" spans="1:11" x14ac:dyDescent="0.25">
      <c r="A47" s="66"/>
      <c r="B47" s="66"/>
      <c r="C47" s="66"/>
      <c r="D47" s="86" t="s">
        <v>4105</v>
      </c>
      <c r="E47" s="66"/>
      <c r="F47" s="66"/>
      <c r="G47" s="66"/>
      <c r="H47" s="66"/>
      <c r="I47" s="66"/>
      <c r="J47" s="66"/>
      <c r="K47" s="66"/>
    </row>
    <row r="48" spans="1:11" x14ac:dyDescent="0.25">
      <c r="A48" s="66"/>
      <c r="B48" s="66"/>
      <c r="C48" s="66"/>
      <c r="D48" s="86" t="s">
        <v>4106</v>
      </c>
      <c r="E48" s="66"/>
      <c r="F48" s="66"/>
      <c r="G48" s="66"/>
      <c r="H48" s="66"/>
      <c r="I48" s="66"/>
      <c r="J48" s="66"/>
      <c r="K48" s="66"/>
    </row>
    <row r="49" spans="4:4" x14ac:dyDescent="0.25">
      <c r="D49" s="126" t="s">
        <v>4136</v>
      </c>
    </row>
  </sheetData>
  <conditionalFormatting sqref="M6 A8 M4:N4">
    <cfRule type="duplicateValues" dxfId="71" priority="27"/>
  </conditionalFormatting>
  <conditionalFormatting sqref="A9">
    <cfRule type="duplicateValues" dxfId="70" priority="26"/>
  </conditionalFormatting>
  <conditionalFormatting sqref="E21:E22">
    <cfRule type="duplicateValues" dxfId="69" priority="21"/>
    <cfRule type="duplicateValues" dxfId="68" priority="22"/>
  </conditionalFormatting>
  <conditionalFormatting sqref="M12:N13 L17 I27">
    <cfRule type="duplicateValues" dxfId="67" priority="19"/>
    <cfRule type="duplicateValues" dxfId="66" priority="20"/>
  </conditionalFormatting>
  <conditionalFormatting sqref="H26">
    <cfRule type="duplicateValues" dxfId="65" priority="17"/>
    <cfRule type="duplicateValues" dxfId="64" priority="18"/>
  </conditionalFormatting>
  <conditionalFormatting sqref="J11">
    <cfRule type="duplicateValues" dxfId="63" priority="16"/>
  </conditionalFormatting>
  <conditionalFormatting sqref="N14:N19 H27 E23 G12:G14 K12:L13 H24:H25 E12:E13 B14:B16 A12:C12 A13:B13 D18:D19 C13:D17 F11:H11 G20 E15:E20 C18:C27 L14:L15 J12:J19">
    <cfRule type="duplicateValues" dxfId="62" priority="23"/>
    <cfRule type="duplicateValues" dxfId="61" priority="24"/>
  </conditionalFormatting>
  <conditionalFormatting sqref="I23:I26">
    <cfRule type="duplicateValues" dxfId="60" priority="15"/>
  </conditionalFormatting>
  <conditionalFormatting sqref="K11:N19 K21:N25 L20:N20 I27 C26:C27 J12:J25 I11:I22 A11:H25 H26:H28">
    <cfRule type="duplicateValues" dxfId="59" priority="25"/>
  </conditionalFormatting>
  <conditionalFormatting sqref="H28">
    <cfRule type="duplicateValues" dxfId="58" priority="13"/>
    <cfRule type="duplicateValues" dxfId="57" priority="14"/>
  </conditionalFormatting>
  <conditionalFormatting sqref="H40 D42:D44 D34 D32 A32:B32 C32:C33 A36:A37 D36:D37 E35:E36 B33:B34">
    <cfRule type="duplicateValues" dxfId="56" priority="9"/>
  </conditionalFormatting>
  <conditionalFormatting sqref="D34:D37 D39:D44 B39:B40 B32:D33 A44:C48 E44:K48 A32:A37 H40 E32:E36 D46:D48 B34:C34 B37:C38 B35:B36">
    <cfRule type="duplicateValues" dxfId="55" priority="10"/>
  </conditionalFormatting>
  <conditionalFormatting sqref="D34:D37 H40 D46:D48 D39:D44 B39:B40 B32:D33 A32:A37 E32:E36 B34:C34 B37:C38 B35:B36">
    <cfRule type="duplicateValues" dxfId="54" priority="11"/>
  </conditionalFormatting>
  <conditionalFormatting sqref="D45 A39:A43 C39:C43 B42:B43 E39:E43 I40:K43 H42:H43 D38 F40:G43">
    <cfRule type="duplicateValues" dxfId="53" priority="12"/>
  </conditionalFormatting>
  <conditionalFormatting sqref="G32:K32 F32:F36 F39 G34:K39 G33:I33 K33">
    <cfRule type="duplicateValues" dxfId="52" priority="7"/>
  </conditionalFormatting>
  <conditionalFormatting sqref="G32:K32 G34:K39 G33:I33 K33">
    <cfRule type="duplicateValues" dxfId="51" priority="8"/>
  </conditionalFormatting>
  <conditionalFormatting sqref="E37:F38">
    <cfRule type="duplicateValues" dxfId="50" priority="6"/>
  </conditionalFormatting>
  <conditionalFormatting sqref="B41">
    <cfRule type="duplicateValues" dxfId="49" priority="5"/>
  </conditionalFormatting>
  <conditionalFormatting sqref="C35">
    <cfRule type="duplicateValues" dxfId="48" priority="4"/>
  </conditionalFormatting>
  <conditionalFormatting sqref="C36">
    <cfRule type="duplicateValues" dxfId="47" priority="3"/>
  </conditionalFormatting>
  <conditionalFormatting sqref="D49">
    <cfRule type="duplicateValues" dxfId="46" priority="2"/>
  </conditionalFormatting>
  <conditionalFormatting sqref="J33">
    <cfRule type="duplicateValues" dxfId="45" priority="1"/>
  </conditionalFormatting>
  <pageMargins left="0.7" right="0.7" top="0.75" bottom="0.75" header="0.3" footer="0.3"/>
  <pageSetup paperSize="0" orientation="portrait" horizontalDpi="0" verticalDpi="0" copies="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2C2E7-15AF-48C0-9277-7943B67642EB}">
  <sheetPr codeName="Hoja2">
    <tabColor rgb="FFFFFF00"/>
  </sheetPr>
  <dimension ref="A1:CV242"/>
  <sheetViews>
    <sheetView zoomScale="70" zoomScaleNormal="70" workbookViewId="0">
      <pane ySplit="1" topLeftCell="A2" activePane="bottomLeft" state="frozen"/>
      <selection activeCell="Q1" sqref="Q1"/>
      <selection pane="bottomLeft" activeCell="C35" sqref="C35"/>
    </sheetView>
  </sheetViews>
  <sheetFormatPr baseColWidth="10" defaultRowHeight="15" x14ac:dyDescent="0.25"/>
  <cols>
    <col min="1" max="1" width="10.85546875" style="26"/>
    <col min="2" max="2" width="32" customWidth="1"/>
    <col min="3" max="3" width="45.85546875" customWidth="1"/>
    <col min="4" max="4" width="9.7109375" customWidth="1"/>
    <col min="5" max="5" width="15.5703125" customWidth="1"/>
    <col min="6" max="6" width="28" customWidth="1"/>
    <col min="7" max="7" width="12.7109375" customWidth="1"/>
    <col min="8" max="8" width="13.5703125" hidden="1" customWidth="1"/>
    <col min="9" max="10" width="3.7109375" style="79" bestFit="1" customWidth="1"/>
    <col min="11" max="11" width="5" style="79" bestFit="1" customWidth="1"/>
    <col min="12" max="12" width="3.7109375" style="79" bestFit="1" customWidth="1"/>
    <col min="13" max="13" width="12" style="26" customWidth="1"/>
    <col min="14" max="14" width="6" style="26" customWidth="1"/>
    <col min="15" max="15" width="5.7109375" customWidth="1"/>
    <col min="16" max="16" width="27.140625" style="13" customWidth="1"/>
    <col min="17" max="17" width="26.28515625" style="105" customWidth="1"/>
    <col min="18" max="18" width="43.42578125" style="44" customWidth="1"/>
    <col min="19" max="19" width="28.7109375" style="13" customWidth="1"/>
    <col min="20" max="20" width="18.7109375" customWidth="1"/>
    <col min="21" max="21" width="7.5703125" customWidth="1"/>
    <col min="22" max="23" width="11.42578125" customWidth="1"/>
    <col min="24" max="27" width="3.5703125" customWidth="1"/>
    <col min="28" max="28" width="4.7109375" style="26" customWidth="1"/>
    <col min="29" max="29" width="5.28515625" style="26" customWidth="1"/>
    <col min="30" max="30" width="8.42578125" style="26" customWidth="1"/>
    <col min="31" max="31" width="12.42578125" customWidth="1"/>
    <col min="32" max="43" width="4.28515625" style="66" customWidth="1"/>
    <col min="44" max="59" width="3.7109375" style="66" customWidth="1"/>
    <col min="60" max="60" width="3.85546875" style="115" customWidth="1"/>
    <col min="61" max="70" width="3.85546875" style="116" customWidth="1"/>
    <col min="71" max="99" width="4.85546875" style="65" bestFit="1" customWidth="1"/>
    <col min="100" max="100" width="1.7109375" style="65" bestFit="1" customWidth="1"/>
  </cols>
  <sheetData>
    <row r="1" spans="1:100" ht="207.75" customHeight="1" x14ac:dyDescent="0.25">
      <c r="A1" s="73" t="s">
        <v>32</v>
      </c>
      <c r="B1" s="67" t="s">
        <v>251</v>
      </c>
      <c r="C1" s="67" t="s">
        <v>252</v>
      </c>
      <c r="D1" s="67" t="s">
        <v>920</v>
      </c>
      <c r="E1" s="67" t="s">
        <v>12</v>
      </c>
      <c r="F1" s="67" t="s">
        <v>917</v>
      </c>
      <c r="G1" s="67" t="s">
        <v>918</v>
      </c>
      <c r="H1" s="67" t="s">
        <v>919</v>
      </c>
      <c r="I1" s="77" t="s">
        <v>87</v>
      </c>
      <c r="J1" s="77" t="s">
        <v>78</v>
      </c>
      <c r="K1" s="77" t="s">
        <v>79</v>
      </c>
      <c r="L1" s="77" t="s">
        <v>86</v>
      </c>
      <c r="M1" s="67" t="s">
        <v>33</v>
      </c>
      <c r="N1" s="67" t="s">
        <v>75</v>
      </c>
      <c r="O1" s="67" t="s">
        <v>48</v>
      </c>
      <c r="P1" s="88" t="s">
        <v>3261</v>
      </c>
      <c r="Q1" s="102" t="s">
        <v>3152</v>
      </c>
      <c r="R1" s="106" t="s">
        <v>3149</v>
      </c>
      <c r="S1" s="88" t="s">
        <v>47</v>
      </c>
      <c r="T1" s="67" t="s">
        <v>44</v>
      </c>
      <c r="U1" s="67" t="s">
        <v>36</v>
      </c>
      <c r="V1" s="67" t="s">
        <v>3156</v>
      </c>
      <c r="W1" s="67" t="s">
        <v>3245</v>
      </c>
      <c r="X1" s="67" t="s">
        <v>105</v>
      </c>
      <c r="Y1" s="67" t="s">
        <v>106</v>
      </c>
      <c r="Z1" s="67" t="s">
        <v>107</v>
      </c>
      <c r="AA1" s="67" t="s">
        <v>108</v>
      </c>
      <c r="AB1" s="67" t="s">
        <v>109</v>
      </c>
      <c r="AC1" s="67" t="s">
        <v>110</v>
      </c>
      <c r="AD1" s="67" t="s">
        <v>3155</v>
      </c>
      <c r="AE1" s="67" t="s">
        <v>52</v>
      </c>
      <c r="AF1" s="135" t="s">
        <v>4036</v>
      </c>
      <c r="AG1" s="135" t="s">
        <v>3374</v>
      </c>
      <c r="AH1" s="135" t="s">
        <v>3640</v>
      </c>
      <c r="AI1" s="135" t="s">
        <v>3168</v>
      </c>
      <c r="AJ1" s="135" t="s">
        <v>4045</v>
      </c>
      <c r="AK1" s="135" t="s">
        <v>4047</v>
      </c>
      <c r="AL1" s="135" t="s">
        <v>3158</v>
      </c>
      <c r="AM1" s="135" t="s">
        <v>4048</v>
      </c>
      <c r="AN1" s="135" t="s">
        <v>4049</v>
      </c>
      <c r="AO1" s="135" t="s">
        <v>3652</v>
      </c>
      <c r="AP1" s="135" t="s">
        <v>4050</v>
      </c>
      <c r="AQ1" s="135" t="s">
        <v>3653</v>
      </c>
      <c r="AR1" s="135" t="s">
        <v>4052</v>
      </c>
      <c r="AS1" s="135" t="s">
        <v>4053</v>
      </c>
      <c r="AT1" s="136" t="s">
        <v>4058</v>
      </c>
      <c r="AU1" s="136" t="s">
        <v>4060</v>
      </c>
      <c r="AV1" s="136" t="s">
        <v>4062</v>
      </c>
      <c r="AW1" s="136" t="s">
        <v>4063</v>
      </c>
      <c r="AX1" s="136" t="s">
        <v>4065</v>
      </c>
      <c r="AY1" s="136" t="s">
        <v>4046</v>
      </c>
      <c r="AZ1" s="136" t="s">
        <v>4066</v>
      </c>
      <c r="BA1" s="136" t="s">
        <v>4068</v>
      </c>
      <c r="BB1" s="136" t="s">
        <v>4073</v>
      </c>
      <c r="BC1" s="136" t="s">
        <v>4076</v>
      </c>
      <c r="BD1" s="136" t="s">
        <v>4077</v>
      </c>
      <c r="BE1" s="136" t="s">
        <v>4078</v>
      </c>
      <c r="BF1" s="136" t="s">
        <v>4081</v>
      </c>
      <c r="BG1" s="136" t="s">
        <v>4083</v>
      </c>
      <c r="BH1" s="133" t="s">
        <v>4084</v>
      </c>
      <c r="BI1" s="133" t="s">
        <v>3207</v>
      </c>
      <c r="BJ1" s="133" t="s">
        <v>4094</v>
      </c>
      <c r="BK1" s="133" t="s">
        <v>4096</v>
      </c>
      <c r="BL1" s="133" t="s">
        <v>4107</v>
      </c>
      <c r="BM1" s="133" t="s">
        <v>3454</v>
      </c>
      <c r="BN1" s="133" t="s">
        <v>4112</v>
      </c>
      <c r="BO1" s="133" t="s">
        <v>3279</v>
      </c>
      <c r="BP1" s="133" t="s">
        <v>3232</v>
      </c>
      <c r="BQ1" s="133" t="s">
        <v>3303</v>
      </c>
      <c r="BR1" s="134" t="s">
        <v>4120</v>
      </c>
      <c r="BS1" s="64"/>
      <c r="BT1" s="64"/>
      <c r="BU1" s="64"/>
      <c r="BV1" s="64"/>
      <c r="BW1" s="64"/>
      <c r="BX1" s="64"/>
      <c r="BY1" s="64"/>
      <c r="BZ1" s="64"/>
      <c r="CA1" s="64"/>
      <c r="CB1" s="64"/>
      <c r="CC1" s="64"/>
      <c r="CD1" s="64"/>
      <c r="CE1" s="64"/>
      <c r="CF1" s="64"/>
      <c r="CG1" s="64"/>
      <c r="CH1" s="64"/>
      <c r="CI1" s="64"/>
      <c r="CJ1" s="64"/>
      <c r="CK1" s="64"/>
      <c r="CL1" s="64"/>
      <c r="CM1" s="64"/>
      <c r="CN1" s="64"/>
      <c r="CO1" s="64"/>
      <c r="CP1" s="64"/>
      <c r="CQ1" s="64"/>
      <c r="CR1" s="64"/>
      <c r="CS1" s="64"/>
      <c r="CT1" s="64"/>
      <c r="CU1" s="64"/>
      <c r="CV1" s="64"/>
    </row>
    <row r="2" spans="1:100" hidden="1" x14ac:dyDescent="0.25">
      <c r="A2" s="68">
        <v>2</v>
      </c>
      <c r="B2" s="69" t="s">
        <v>954</v>
      </c>
      <c r="C2" s="69" t="s">
        <v>955</v>
      </c>
      <c r="D2" s="70" t="s">
        <v>24</v>
      </c>
      <c r="E2" s="69"/>
      <c r="F2" s="69" t="s">
        <v>956</v>
      </c>
      <c r="G2" s="69">
        <v>2017</v>
      </c>
      <c r="H2" s="69" t="s">
        <v>957</v>
      </c>
      <c r="I2" s="78" t="s">
        <v>80</v>
      </c>
      <c r="J2" s="78" t="s">
        <v>80</v>
      </c>
      <c r="K2" s="78">
        <v>0.62</v>
      </c>
      <c r="L2" s="78">
        <v>4</v>
      </c>
      <c r="M2" s="70" t="s">
        <v>3674</v>
      </c>
      <c r="N2" s="69">
        <v>143</v>
      </c>
      <c r="O2" s="69">
        <v>4</v>
      </c>
      <c r="P2" s="89" t="s">
        <v>3244</v>
      </c>
      <c r="Q2" s="103" t="s">
        <v>3265</v>
      </c>
      <c r="R2" s="107" t="s">
        <v>3210</v>
      </c>
      <c r="S2" s="89" t="s">
        <v>3243</v>
      </c>
      <c r="T2" s="69" t="s">
        <v>1</v>
      </c>
      <c r="U2" s="69" t="s">
        <v>37</v>
      </c>
      <c r="V2" s="69" t="s">
        <v>69</v>
      </c>
      <c r="W2" s="69" t="s">
        <v>3255</v>
      </c>
      <c r="X2" s="69">
        <v>3</v>
      </c>
      <c r="Y2" s="69">
        <v>3</v>
      </c>
      <c r="Z2" s="69">
        <v>5</v>
      </c>
      <c r="AA2" s="69">
        <v>5</v>
      </c>
      <c r="AB2" s="69">
        <v>3</v>
      </c>
      <c r="AC2" s="69">
        <v>5</v>
      </c>
      <c r="AD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 s="70" t="s">
        <v>3249</v>
      </c>
      <c r="AF2" s="69"/>
      <c r="AG2" s="69"/>
      <c r="AH2" s="69"/>
      <c r="AI2" s="69" t="s">
        <v>4122</v>
      </c>
      <c r="AJ2" s="69"/>
      <c r="AK2" s="69"/>
      <c r="AL2" s="69"/>
      <c r="AM2" s="69"/>
      <c r="AN2" s="69"/>
      <c r="AO2" s="69"/>
      <c r="AP2" s="69"/>
      <c r="AQ2" s="69"/>
      <c r="AR2" s="69"/>
      <c r="AS2" s="69"/>
      <c r="AT2" s="69"/>
      <c r="AU2" s="69"/>
      <c r="AV2" s="69"/>
      <c r="AW2" s="69"/>
      <c r="AX2" s="69"/>
      <c r="AY2" s="69"/>
      <c r="AZ2" s="69"/>
      <c r="BA2" s="69"/>
      <c r="BB2" s="69"/>
      <c r="BC2" s="69"/>
      <c r="BD2" s="69"/>
      <c r="BE2" s="69"/>
      <c r="BF2" s="69" t="s">
        <v>4122</v>
      </c>
      <c r="BG2" s="69"/>
      <c r="BH2" s="131"/>
      <c r="BI2" s="131"/>
      <c r="BJ2" s="131"/>
      <c r="BK2" s="131"/>
      <c r="BL2" s="131"/>
      <c r="BM2" s="131"/>
      <c r="BN2" s="131" t="s">
        <v>4122</v>
      </c>
      <c r="BO2" s="131"/>
      <c r="BP2" s="131"/>
      <c r="BQ2" s="131"/>
      <c r="BR2" s="131"/>
    </row>
    <row r="3" spans="1:100" hidden="1" x14ac:dyDescent="0.25">
      <c r="A3" s="68">
        <v>186</v>
      </c>
      <c r="B3" s="70" t="s">
        <v>183</v>
      </c>
      <c r="C3" s="70" t="s">
        <v>184</v>
      </c>
      <c r="D3" s="70" t="s">
        <v>3964</v>
      </c>
      <c r="E3" s="70" t="s">
        <v>345</v>
      </c>
      <c r="F3" s="70" t="s">
        <v>346</v>
      </c>
      <c r="G3" s="70">
        <v>2014</v>
      </c>
      <c r="H3" s="70" t="s">
        <v>276</v>
      </c>
      <c r="I3" s="78" t="s">
        <v>84</v>
      </c>
      <c r="J3" s="78" t="s">
        <v>80</v>
      </c>
      <c r="K3" s="78" t="s">
        <v>80</v>
      </c>
      <c r="L3" s="78" t="s">
        <v>80</v>
      </c>
      <c r="M3" s="70" t="s">
        <v>3963</v>
      </c>
      <c r="N3" s="70">
        <v>72</v>
      </c>
      <c r="O3" s="70">
        <v>5</v>
      </c>
      <c r="P3" s="90" t="s">
        <v>3413</v>
      </c>
      <c r="Q3" s="104" t="s">
        <v>3420</v>
      </c>
      <c r="R3" s="108" t="s">
        <v>3210</v>
      </c>
      <c r="S3" s="90" t="s">
        <v>3238</v>
      </c>
      <c r="T3" s="70" t="s">
        <v>6</v>
      </c>
      <c r="U3" s="70" t="s">
        <v>38</v>
      </c>
      <c r="V3" s="70" t="s">
        <v>69</v>
      </c>
      <c r="W3" s="70" t="s">
        <v>3336</v>
      </c>
      <c r="X3" s="70">
        <v>5</v>
      </c>
      <c r="Y3" s="70">
        <v>5</v>
      </c>
      <c r="Z3" s="70">
        <v>5</v>
      </c>
      <c r="AA3" s="70">
        <v>5</v>
      </c>
      <c r="AB3" s="70">
        <v>5</v>
      </c>
      <c r="AC3" s="70">
        <v>5</v>
      </c>
      <c r="AD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3" s="70" t="s">
        <v>4126</v>
      </c>
      <c r="AF3" s="70"/>
      <c r="AG3" s="70"/>
      <c r="AH3" s="70"/>
      <c r="AI3" s="70" t="s">
        <v>4122</v>
      </c>
      <c r="AJ3" s="70"/>
      <c r="AK3" s="70"/>
      <c r="AL3" s="70"/>
      <c r="AM3" s="70"/>
      <c r="AN3" s="70"/>
      <c r="AO3" s="70"/>
      <c r="AP3" s="70"/>
      <c r="AQ3" s="70"/>
      <c r="AR3" s="70"/>
      <c r="AS3" s="70"/>
      <c r="AT3" s="70"/>
      <c r="AU3" s="70"/>
      <c r="AV3" s="70"/>
      <c r="AW3" s="70"/>
      <c r="AX3" s="70"/>
      <c r="AY3" s="70"/>
      <c r="AZ3" s="70"/>
      <c r="BA3" s="70"/>
      <c r="BB3" s="70" t="s">
        <v>4122</v>
      </c>
      <c r="BC3" s="70"/>
      <c r="BD3" s="70"/>
      <c r="BE3" s="70"/>
      <c r="BF3" s="70"/>
      <c r="BG3" s="70"/>
      <c r="BH3" s="130"/>
      <c r="BI3" s="130"/>
      <c r="BJ3" s="130"/>
      <c r="BK3" s="130"/>
      <c r="BL3" s="130"/>
      <c r="BM3" s="130"/>
      <c r="BN3" s="130" t="s">
        <v>4122</v>
      </c>
      <c r="BO3" s="130"/>
      <c r="BP3" s="130"/>
      <c r="BQ3" s="130"/>
      <c r="BR3" s="130"/>
    </row>
    <row r="4" spans="1:100" hidden="1" x14ac:dyDescent="0.25">
      <c r="A4" s="68">
        <v>25</v>
      </c>
      <c r="B4" s="70" t="s">
        <v>1407</v>
      </c>
      <c r="C4" s="70" t="s">
        <v>1408</v>
      </c>
      <c r="D4" s="70" t="s">
        <v>3708</v>
      </c>
      <c r="E4" s="70"/>
      <c r="F4" s="70" t="s">
        <v>1409</v>
      </c>
      <c r="G4" s="70">
        <v>2014</v>
      </c>
      <c r="H4" s="70" t="s">
        <v>1410</v>
      </c>
      <c r="I4" s="78" t="s">
        <v>71</v>
      </c>
      <c r="J4" s="78" t="s">
        <v>85</v>
      </c>
      <c r="K4" s="78" t="s">
        <v>80</v>
      </c>
      <c r="L4" s="78" t="s">
        <v>80</v>
      </c>
      <c r="M4" s="70" t="s">
        <v>3709</v>
      </c>
      <c r="N4" s="70">
        <v>69</v>
      </c>
      <c r="O4" s="70">
        <v>5</v>
      </c>
      <c r="P4" s="90" t="s">
        <v>3157</v>
      </c>
      <c r="Q4" s="104" t="s">
        <v>3265</v>
      </c>
      <c r="R4" s="108" t="s">
        <v>3209</v>
      </c>
      <c r="S4" s="90" t="s">
        <v>3227</v>
      </c>
      <c r="T4" s="70" t="s">
        <v>0</v>
      </c>
      <c r="U4" s="70" t="s">
        <v>39</v>
      </c>
      <c r="V4" s="70" t="s">
        <v>69</v>
      </c>
      <c r="W4" s="70" t="s">
        <v>3336</v>
      </c>
      <c r="X4" s="70">
        <v>5</v>
      </c>
      <c r="Y4" s="70">
        <v>5</v>
      </c>
      <c r="Z4" s="70">
        <v>5</v>
      </c>
      <c r="AA4" s="70">
        <v>5</v>
      </c>
      <c r="AB4" s="70">
        <v>5</v>
      </c>
      <c r="AC4" s="70">
        <v>5</v>
      </c>
      <c r="AD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4" s="70" t="s">
        <v>3455</v>
      </c>
      <c r="AF4" s="70"/>
      <c r="AG4" s="70"/>
      <c r="AH4" s="70"/>
      <c r="AI4" s="70"/>
      <c r="AJ4" s="70" t="s">
        <v>4122</v>
      </c>
      <c r="AK4" s="70"/>
      <c r="AL4" s="70"/>
      <c r="AM4" s="70"/>
      <c r="AN4" s="70"/>
      <c r="AO4" s="70"/>
      <c r="AP4" s="70"/>
      <c r="AQ4" s="70"/>
      <c r="AR4" s="70"/>
      <c r="AS4" s="70"/>
      <c r="AT4" s="70"/>
      <c r="AU4" s="70"/>
      <c r="AV4" s="70"/>
      <c r="AW4" s="70"/>
      <c r="AX4" s="70"/>
      <c r="AY4" s="70"/>
      <c r="AZ4" s="70"/>
      <c r="BA4" s="70"/>
      <c r="BB4" s="70"/>
      <c r="BC4" s="70"/>
      <c r="BD4" s="70"/>
      <c r="BE4" s="70"/>
      <c r="BF4" s="70" t="s">
        <v>4122</v>
      </c>
      <c r="BG4" s="70"/>
      <c r="BH4" s="130"/>
      <c r="BI4" s="130"/>
      <c r="BJ4" s="130"/>
      <c r="BK4" s="130"/>
      <c r="BL4" s="130"/>
      <c r="BM4" s="130"/>
      <c r="BN4" s="130" t="s">
        <v>4122</v>
      </c>
      <c r="BO4" s="130"/>
      <c r="BP4" s="130"/>
      <c r="BQ4" s="130"/>
      <c r="BR4" s="130"/>
    </row>
    <row r="5" spans="1:100" hidden="1" x14ac:dyDescent="0.25">
      <c r="A5" s="68">
        <v>9</v>
      </c>
      <c r="B5" s="70" t="s">
        <v>1923</v>
      </c>
      <c r="C5" s="70" t="s">
        <v>1924</v>
      </c>
      <c r="D5" s="70" t="s">
        <v>3683</v>
      </c>
      <c r="E5" s="70"/>
      <c r="F5" s="70" t="s">
        <v>1925</v>
      </c>
      <c r="G5" s="70">
        <v>2013</v>
      </c>
      <c r="H5" s="70" t="s">
        <v>1926</v>
      </c>
      <c r="I5" s="78" t="s">
        <v>80</v>
      </c>
      <c r="J5" s="78" t="s">
        <v>80</v>
      </c>
      <c r="K5" s="78" t="s">
        <v>80</v>
      </c>
      <c r="L5" s="78" t="s">
        <v>80</v>
      </c>
      <c r="M5" s="70" t="s">
        <v>4032</v>
      </c>
      <c r="N5" s="70">
        <v>66</v>
      </c>
      <c r="O5" s="70">
        <v>4</v>
      </c>
      <c r="P5" s="90" t="s">
        <v>3244</v>
      </c>
      <c r="Q5" s="104" t="s">
        <v>3265</v>
      </c>
      <c r="R5" s="108" t="s">
        <v>3291</v>
      </c>
      <c r="S5" s="90" t="s">
        <v>3228</v>
      </c>
      <c r="T5" s="70" t="s">
        <v>6</v>
      </c>
      <c r="U5" s="70" t="s">
        <v>38</v>
      </c>
      <c r="V5" s="70" t="s">
        <v>69</v>
      </c>
      <c r="W5" s="70" t="s">
        <v>3292</v>
      </c>
      <c r="X5" s="70">
        <v>5</v>
      </c>
      <c r="Y5" s="70">
        <v>4</v>
      </c>
      <c r="Z5" s="70">
        <v>5</v>
      </c>
      <c r="AA5" s="70">
        <v>5</v>
      </c>
      <c r="AB5" s="70">
        <v>4</v>
      </c>
      <c r="AC5" s="70">
        <v>5</v>
      </c>
      <c r="AD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5" s="70" t="s">
        <v>3639</v>
      </c>
      <c r="AF5" s="70"/>
      <c r="AG5" s="70"/>
      <c r="AH5" s="70"/>
      <c r="AI5" s="70"/>
      <c r="AJ5" s="70" t="s">
        <v>4122</v>
      </c>
      <c r="AK5" s="70"/>
      <c r="AL5" s="70"/>
      <c r="AM5" s="70"/>
      <c r="AN5" s="70"/>
      <c r="AO5" s="70"/>
      <c r="AP5" s="70"/>
      <c r="AQ5" s="70"/>
      <c r="AR5" s="70"/>
      <c r="AS5" s="70"/>
      <c r="AT5" s="70"/>
      <c r="AU5" s="70"/>
      <c r="AV5" s="70"/>
      <c r="AW5" s="70"/>
      <c r="AX5" s="70"/>
      <c r="AY5" s="70"/>
      <c r="AZ5" s="70"/>
      <c r="BA5" s="70"/>
      <c r="BB5" s="70"/>
      <c r="BC5" s="70"/>
      <c r="BD5" s="70"/>
      <c r="BE5" s="70"/>
      <c r="BF5" s="70" t="s">
        <v>4122</v>
      </c>
      <c r="BG5" s="70"/>
      <c r="BH5" s="130"/>
      <c r="BI5" s="130"/>
      <c r="BJ5" s="130"/>
      <c r="BK5" s="130"/>
      <c r="BL5" s="130"/>
      <c r="BM5" s="130"/>
      <c r="BN5" s="130"/>
      <c r="BO5" s="130" t="s">
        <v>4122</v>
      </c>
      <c r="BP5" s="130"/>
      <c r="BQ5" s="130"/>
      <c r="BR5" s="130"/>
    </row>
    <row r="6" spans="1:100" hidden="1" x14ac:dyDescent="0.25">
      <c r="A6" s="68">
        <v>61</v>
      </c>
      <c r="B6" s="70" t="s">
        <v>1618</v>
      </c>
      <c r="C6" s="70" t="s">
        <v>1619</v>
      </c>
      <c r="D6" s="70" t="s">
        <v>3768</v>
      </c>
      <c r="E6" s="70"/>
      <c r="F6" s="70" t="s">
        <v>1620</v>
      </c>
      <c r="G6" s="70">
        <v>2012</v>
      </c>
      <c r="H6" s="70" t="s">
        <v>1621</v>
      </c>
      <c r="I6" s="78" t="s">
        <v>71</v>
      </c>
      <c r="J6" s="78" t="s">
        <v>80</v>
      </c>
      <c r="K6" s="78" t="s">
        <v>80</v>
      </c>
      <c r="L6" s="78">
        <v>1</v>
      </c>
      <c r="M6" s="70" t="s">
        <v>3769</v>
      </c>
      <c r="N6" s="70">
        <v>62</v>
      </c>
      <c r="O6" s="70">
        <v>5</v>
      </c>
      <c r="P6" s="90" t="s">
        <v>3409</v>
      </c>
      <c r="Q6" s="104" t="s">
        <v>3289</v>
      </c>
      <c r="R6" s="108" t="s">
        <v>3202</v>
      </c>
      <c r="S6" s="90" t="s">
        <v>3236</v>
      </c>
      <c r="T6" s="70" t="s">
        <v>0</v>
      </c>
      <c r="U6" s="70" t="s">
        <v>38</v>
      </c>
      <c r="V6" s="70" t="s">
        <v>3263</v>
      </c>
      <c r="W6" s="70" t="s">
        <v>3336</v>
      </c>
      <c r="X6" s="70">
        <v>5</v>
      </c>
      <c r="Y6" s="70">
        <v>5</v>
      </c>
      <c r="Z6" s="70">
        <v>5</v>
      </c>
      <c r="AA6" s="70">
        <v>5</v>
      </c>
      <c r="AB6" s="70">
        <v>5</v>
      </c>
      <c r="AC6" s="70">
        <v>5</v>
      </c>
      <c r="AD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6" s="70" t="s">
        <v>3317</v>
      </c>
      <c r="AF6" s="70" t="s">
        <v>4122</v>
      </c>
      <c r="AG6" s="70"/>
      <c r="AH6" s="70"/>
      <c r="AI6" s="70"/>
      <c r="AJ6" s="70" t="s">
        <v>4122</v>
      </c>
      <c r="AK6" s="70"/>
      <c r="AL6" s="70"/>
      <c r="AM6" s="70"/>
      <c r="AN6" s="70"/>
      <c r="AO6" s="70"/>
      <c r="AP6" s="70"/>
      <c r="AQ6" s="70"/>
      <c r="AR6" s="70"/>
      <c r="AS6" s="70" t="s">
        <v>4122</v>
      </c>
      <c r="AT6" s="70"/>
      <c r="AU6" s="70"/>
      <c r="AV6" s="70"/>
      <c r="AW6" s="70"/>
      <c r="AX6" s="70"/>
      <c r="AY6" s="70"/>
      <c r="AZ6" s="70"/>
      <c r="BA6" s="70"/>
      <c r="BB6" s="70" t="s">
        <v>4122</v>
      </c>
      <c r="BC6" s="70"/>
      <c r="BD6" s="70"/>
      <c r="BE6" s="70"/>
      <c r="BF6" s="70"/>
      <c r="BG6" s="70"/>
      <c r="BH6" s="130" t="s">
        <v>4122</v>
      </c>
      <c r="BI6" s="130"/>
      <c r="BJ6" s="130"/>
      <c r="BK6" s="130"/>
      <c r="BL6" s="130"/>
      <c r="BM6" s="130"/>
      <c r="BN6" s="130"/>
      <c r="BO6" s="130"/>
      <c r="BP6" s="130"/>
      <c r="BQ6" s="130"/>
      <c r="BR6" s="130"/>
    </row>
    <row r="7" spans="1:100" hidden="1" x14ac:dyDescent="0.25">
      <c r="A7" s="68">
        <v>187</v>
      </c>
      <c r="B7" s="70" t="s">
        <v>1744</v>
      </c>
      <c r="C7" s="70" t="s">
        <v>185</v>
      </c>
      <c r="D7" s="70" t="s">
        <v>3965</v>
      </c>
      <c r="E7" s="70"/>
      <c r="F7" s="70" t="s">
        <v>1745</v>
      </c>
      <c r="G7" s="70">
        <v>2014</v>
      </c>
      <c r="H7" s="70" t="s">
        <v>1746</v>
      </c>
      <c r="I7" s="78" t="s">
        <v>71</v>
      </c>
      <c r="J7" s="78" t="s">
        <v>4033</v>
      </c>
      <c r="K7" s="78" t="s">
        <v>80</v>
      </c>
      <c r="L7" s="78" t="s">
        <v>80</v>
      </c>
      <c r="M7" s="70" t="s">
        <v>3966</v>
      </c>
      <c r="N7" s="70">
        <v>46</v>
      </c>
      <c r="O7" s="70">
        <v>5</v>
      </c>
      <c r="P7" s="90" t="s">
        <v>3244</v>
      </c>
      <c r="Q7" s="104" t="s">
        <v>3605</v>
      </c>
      <c r="R7" s="108" t="s">
        <v>3202</v>
      </c>
      <c r="S7" s="90" t="s">
        <v>3223</v>
      </c>
      <c r="T7" s="70" t="s">
        <v>0</v>
      </c>
      <c r="U7" s="70" t="s">
        <v>38</v>
      </c>
      <c r="V7" s="70" t="s">
        <v>69</v>
      </c>
      <c r="W7" s="70" t="s">
        <v>3336</v>
      </c>
      <c r="X7" s="70">
        <v>5</v>
      </c>
      <c r="Y7" s="70">
        <v>5</v>
      </c>
      <c r="Z7" s="70">
        <v>5</v>
      </c>
      <c r="AA7" s="70">
        <v>5</v>
      </c>
      <c r="AB7" s="70">
        <v>5</v>
      </c>
      <c r="AC7" s="70">
        <v>5</v>
      </c>
      <c r="AD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7" s="70" t="s">
        <v>3335</v>
      </c>
      <c r="AF7" s="70"/>
      <c r="AG7" s="70"/>
      <c r="AH7" s="70"/>
      <c r="AI7" s="70" t="s">
        <v>4122</v>
      </c>
      <c r="AJ7" s="70"/>
      <c r="AK7" s="70"/>
      <c r="AL7" s="70"/>
      <c r="AM7" s="70"/>
      <c r="AN7" s="70"/>
      <c r="AO7" s="70"/>
      <c r="AP7" s="70"/>
      <c r="AQ7" s="70"/>
      <c r="AR7" s="70"/>
      <c r="AS7" s="70"/>
      <c r="AT7" s="70"/>
      <c r="AU7" s="70"/>
      <c r="AV7" s="70" t="s">
        <v>4122</v>
      </c>
      <c r="AW7" s="70"/>
      <c r="AX7" s="70"/>
      <c r="AY7" s="70"/>
      <c r="AZ7" s="70"/>
      <c r="BA7" s="70"/>
      <c r="BB7" s="70"/>
      <c r="BC7" s="70"/>
      <c r="BD7" s="70"/>
      <c r="BE7" s="70"/>
      <c r="BF7" s="70"/>
      <c r="BG7" s="70"/>
      <c r="BH7" s="130" t="s">
        <v>4122</v>
      </c>
      <c r="BI7" s="130"/>
      <c r="BJ7" s="130"/>
      <c r="BK7" s="130"/>
      <c r="BL7" s="130"/>
      <c r="BM7" s="130"/>
      <c r="BN7" s="130"/>
      <c r="BO7" s="130"/>
      <c r="BP7" s="130"/>
      <c r="BQ7" s="130"/>
      <c r="BR7" s="130"/>
    </row>
    <row r="8" spans="1:100" hidden="1" x14ac:dyDescent="0.25">
      <c r="A8" s="68">
        <v>166</v>
      </c>
      <c r="B8" s="70" t="s">
        <v>2256</v>
      </c>
      <c r="C8" s="70" t="s">
        <v>2257</v>
      </c>
      <c r="D8" s="70" t="s">
        <v>3933</v>
      </c>
      <c r="E8" s="70"/>
      <c r="F8" s="70" t="s">
        <v>2258</v>
      </c>
      <c r="G8" s="70">
        <v>2018</v>
      </c>
      <c r="H8" s="70" t="s">
        <v>2259</v>
      </c>
      <c r="I8" s="78" t="s">
        <v>84</v>
      </c>
      <c r="J8" s="78" t="s">
        <v>88</v>
      </c>
      <c r="K8" s="78" t="s">
        <v>80</v>
      </c>
      <c r="L8" s="78" t="s">
        <v>80</v>
      </c>
      <c r="M8" s="70" t="s">
        <v>3932</v>
      </c>
      <c r="N8" s="70">
        <v>1</v>
      </c>
      <c r="O8" s="70">
        <v>5</v>
      </c>
      <c r="P8" s="90" t="s">
        <v>3244</v>
      </c>
      <c r="Q8" s="104" t="s">
        <v>3527</v>
      </c>
      <c r="R8" s="108" t="s">
        <v>3578</v>
      </c>
      <c r="S8" s="90" t="s">
        <v>3187</v>
      </c>
      <c r="T8" s="70" t="s">
        <v>0</v>
      </c>
      <c r="U8" s="70" t="s">
        <v>38</v>
      </c>
      <c r="V8" s="70" t="s">
        <v>69</v>
      </c>
      <c r="W8" s="70" t="s">
        <v>3336</v>
      </c>
      <c r="X8" s="70">
        <v>5</v>
      </c>
      <c r="Y8" s="70">
        <v>5</v>
      </c>
      <c r="Z8" s="70">
        <v>5</v>
      </c>
      <c r="AA8" s="70">
        <v>5</v>
      </c>
      <c r="AB8" s="70">
        <v>5</v>
      </c>
      <c r="AC8" s="70">
        <v>5</v>
      </c>
      <c r="AD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 s="70" t="s">
        <v>3579</v>
      </c>
      <c r="AF8" s="70"/>
      <c r="AG8" s="70"/>
      <c r="AH8" s="70"/>
      <c r="AI8" s="70"/>
      <c r="AJ8" s="70"/>
      <c r="AK8" s="70"/>
      <c r="AL8" s="70"/>
      <c r="AM8" s="70" t="s">
        <v>4122</v>
      </c>
      <c r="AN8" s="70"/>
      <c r="AO8" s="70"/>
      <c r="AP8" s="70" t="s">
        <v>4122</v>
      </c>
      <c r="AQ8" s="70"/>
      <c r="AR8" s="70"/>
      <c r="AS8" s="70"/>
      <c r="AT8" s="70"/>
      <c r="AU8" s="70"/>
      <c r="AV8" s="70"/>
      <c r="AW8" s="70"/>
      <c r="AX8" s="70"/>
      <c r="AY8" s="70" t="s">
        <v>4122</v>
      </c>
      <c r="AZ8" s="70"/>
      <c r="BA8" s="70"/>
      <c r="BB8" s="70"/>
      <c r="BC8" s="70"/>
      <c r="BD8" s="70"/>
      <c r="BE8" s="70" t="s">
        <v>4122</v>
      </c>
      <c r="BF8" s="70"/>
      <c r="BG8" s="70"/>
      <c r="BH8" s="130" t="s">
        <v>4122</v>
      </c>
      <c r="BI8" s="130"/>
      <c r="BJ8" s="130"/>
      <c r="BK8" s="130" t="s">
        <v>4122</v>
      </c>
      <c r="BL8" s="130"/>
      <c r="BM8" s="130"/>
      <c r="BN8" s="130"/>
      <c r="BO8" s="130"/>
      <c r="BP8" s="130"/>
      <c r="BQ8" s="130"/>
      <c r="BR8" s="130"/>
    </row>
    <row r="9" spans="1:100" hidden="1" x14ac:dyDescent="0.25">
      <c r="A9" s="68">
        <v>165</v>
      </c>
      <c r="B9" s="70" t="s">
        <v>1665</v>
      </c>
      <c r="C9" s="70" t="s">
        <v>659</v>
      </c>
      <c r="D9" s="70" t="s">
        <v>3840</v>
      </c>
      <c r="E9" s="70"/>
      <c r="F9" s="70" t="s">
        <v>1666</v>
      </c>
      <c r="G9" s="70">
        <v>2012</v>
      </c>
      <c r="H9" s="70" t="s">
        <v>1667</v>
      </c>
      <c r="I9" s="78" t="s">
        <v>71</v>
      </c>
      <c r="J9" s="78" t="s">
        <v>4033</v>
      </c>
      <c r="K9" s="78" t="s">
        <v>80</v>
      </c>
      <c r="L9" s="78" t="s">
        <v>80</v>
      </c>
      <c r="M9" s="70" t="s">
        <v>3931</v>
      </c>
      <c r="N9" s="70">
        <v>42</v>
      </c>
      <c r="O9" s="70">
        <v>4</v>
      </c>
      <c r="P9" s="90" t="s">
        <v>3576</v>
      </c>
      <c r="Q9" s="104" t="s">
        <v>3329</v>
      </c>
      <c r="R9" s="108" t="s">
        <v>3361</v>
      </c>
      <c r="S9" s="90" t="s">
        <v>3577</v>
      </c>
      <c r="T9" s="70" t="s">
        <v>0</v>
      </c>
      <c r="U9" s="70" t="s">
        <v>38</v>
      </c>
      <c r="V9" s="70" t="s">
        <v>69</v>
      </c>
      <c r="W9" s="70" t="s">
        <v>3336</v>
      </c>
      <c r="X9" s="70">
        <v>5</v>
      </c>
      <c r="Y9" s="70">
        <v>5</v>
      </c>
      <c r="Z9" s="70">
        <v>5</v>
      </c>
      <c r="AA9" s="70">
        <v>5</v>
      </c>
      <c r="AB9" s="70">
        <v>5</v>
      </c>
      <c r="AC9" s="70">
        <v>5</v>
      </c>
      <c r="AD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9" s="70" t="s">
        <v>3335</v>
      </c>
      <c r="AF9" s="70"/>
      <c r="AG9" s="70"/>
      <c r="AH9" s="70"/>
      <c r="AI9" s="70" t="s">
        <v>4122</v>
      </c>
      <c r="AJ9" s="70"/>
      <c r="AK9" s="70"/>
      <c r="AL9" s="70" t="s">
        <v>4122</v>
      </c>
      <c r="AM9" s="70" t="s">
        <v>4122</v>
      </c>
      <c r="AN9" s="70"/>
      <c r="AO9" s="70"/>
      <c r="AP9" s="70"/>
      <c r="AQ9" s="70"/>
      <c r="AR9" s="70"/>
      <c r="AS9" s="70"/>
      <c r="AT9" s="70"/>
      <c r="AU9" s="70"/>
      <c r="AV9" s="70"/>
      <c r="AW9" s="70"/>
      <c r="AX9" s="70"/>
      <c r="AY9" s="70"/>
      <c r="AZ9" s="70"/>
      <c r="BA9" s="70"/>
      <c r="BB9" s="70"/>
      <c r="BC9" s="70"/>
      <c r="BD9" s="70"/>
      <c r="BE9" s="70"/>
      <c r="BF9" s="70" t="s">
        <v>4122</v>
      </c>
      <c r="BG9" s="70"/>
      <c r="BH9" s="130"/>
      <c r="BI9" s="130"/>
      <c r="BJ9" s="130"/>
      <c r="BK9" s="130"/>
      <c r="BL9" s="130"/>
      <c r="BM9" s="130"/>
      <c r="BN9" s="130" t="s">
        <v>4122</v>
      </c>
      <c r="BO9" s="130"/>
      <c r="BP9" s="130"/>
      <c r="BQ9" s="130"/>
      <c r="BR9" s="130"/>
    </row>
    <row r="10" spans="1:100" hidden="1" x14ac:dyDescent="0.25">
      <c r="A10" s="68">
        <v>89</v>
      </c>
      <c r="B10" s="70" t="s">
        <v>1043</v>
      </c>
      <c r="C10" s="70" t="s">
        <v>1044</v>
      </c>
      <c r="D10" s="70" t="s">
        <v>22</v>
      </c>
      <c r="E10" s="70"/>
      <c r="F10" s="70" t="s">
        <v>1045</v>
      </c>
      <c r="G10" s="70">
        <v>2014</v>
      </c>
      <c r="H10" s="70" t="s">
        <v>1046</v>
      </c>
      <c r="I10" s="78" t="s">
        <v>80</v>
      </c>
      <c r="J10" s="78" t="s">
        <v>80</v>
      </c>
      <c r="K10" s="78">
        <v>0.55000000000000004</v>
      </c>
      <c r="L10" s="78">
        <v>5</v>
      </c>
      <c r="M10" s="70" t="s">
        <v>3813</v>
      </c>
      <c r="N10" s="70">
        <v>42</v>
      </c>
      <c r="O10" s="70">
        <v>4</v>
      </c>
      <c r="P10" s="90" t="s">
        <v>3446</v>
      </c>
      <c r="Q10" s="104" t="s">
        <v>3182</v>
      </c>
      <c r="R10" s="108" t="s">
        <v>3437</v>
      </c>
      <c r="S10" s="90" t="s">
        <v>3312</v>
      </c>
      <c r="T10" s="70" t="s">
        <v>1</v>
      </c>
      <c r="U10" s="70" t="s">
        <v>38</v>
      </c>
      <c r="V10" s="70" t="s">
        <v>69</v>
      </c>
      <c r="W10" s="70" t="s">
        <v>3336</v>
      </c>
      <c r="X10" s="70">
        <v>5</v>
      </c>
      <c r="Y10" s="70">
        <v>5</v>
      </c>
      <c r="Z10" s="70">
        <v>5</v>
      </c>
      <c r="AA10" s="70">
        <v>5</v>
      </c>
      <c r="AB10" s="70">
        <v>5</v>
      </c>
      <c r="AC10" s="70">
        <v>5</v>
      </c>
      <c r="AD1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0" s="70" t="s">
        <v>65</v>
      </c>
      <c r="AF10" s="70"/>
      <c r="AG10" s="70"/>
      <c r="AH10" s="70" t="s">
        <v>4122</v>
      </c>
      <c r="AI10" s="70"/>
      <c r="AJ10" s="70"/>
      <c r="AK10" s="70"/>
      <c r="AL10" s="70"/>
      <c r="AM10" s="70"/>
      <c r="AN10" s="70"/>
      <c r="AO10" s="70"/>
      <c r="AP10" s="70"/>
      <c r="AQ10" s="70"/>
      <c r="AR10" s="70"/>
      <c r="AS10" s="70"/>
      <c r="AT10" s="70"/>
      <c r="AU10" s="70"/>
      <c r="AV10" s="70"/>
      <c r="AW10" s="70"/>
      <c r="AX10" s="70"/>
      <c r="AY10" s="70"/>
      <c r="AZ10" s="70"/>
      <c r="BA10" s="70"/>
      <c r="BB10" s="70" t="s">
        <v>4122</v>
      </c>
      <c r="BC10" s="70"/>
      <c r="BD10" s="70"/>
      <c r="BE10" s="70"/>
      <c r="BF10" s="70"/>
      <c r="BG10" s="70"/>
      <c r="BH10" s="130"/>
      <c r="BI10" s="130"/>
      <c r="BJ10" s="130"/>
      <c r="BK10" s="130"/>
      <c r="BL10" s="130"/>
      <c r="BM10" s="130"/>
      <c r="BN10" s="130"/>
      <c r="BO10" s="130" t="s">
        <v>4122</v>
      </c>
      <c r="BP10" s="130"/>
      <c r="BQ10" s="130"/>
      <c r="BR10" s="130"/>
    </row>
    <row r="11" spans="1:100" ht="18.95" hidden="1" customHeight="1" x14ac:dyDescent="0.25">
      <c r="A11" s="68">
        <v>159</v>
      </c>
      <c r="B11" s="110" t="s">
        <v>647</v>
      </c>
      <c r="C11" s="110" t="s">
        <v>648</v>
      </c>
      <c r="D11" s="110" t="s">
        <v>3924</v>
      </c>
      <c r="E11" s="110"/>
      <c r="F11" s="110" t="s">
        <v>649</v>
      </c>
      <c r="G11" s="110">
        <v>2012</v>
      </c>
      <c r="H11" s="110" t="s">
        <v>650</v>
      </c>
      <c r="I11" s="111" t="s">
        <v>71</v>
      </c>
      <c r="J11" s="111" t="s">
        <v>81</v>
      </c>
      <c r="K11" s="111" t="s">
        <v>80</v>
      </c>
      <c r="L11" s="111" t="s">
        <v>80</v>
      </c>
      <c r="M11" s="110" t="s">
        <v>3923</v>
      </c>
      <c r="N11" s="110">
        <v>40</v>
      </c>
      <c r="O11" s="110">
        <v>5</v>
      </c>
      <c r="P11" s="110" t="s">
        <v>3244</v>
      </c>
      <c r="Q11" s="110" t="s">
        <v>3190</v>
      </c>
      <c r="R11" s="110" t="s">
        <v>4135</v>
      </c>
      <c r="S11" s="110" t="s">
        <v>3257</v>
      </c>
      <c r="T11" s="110" t="s">
        <v>0</v>
      </c>
      <c r="U11" s="110" t="s">
        <v>38</v>
      </c>
      <c r="V11" s="110" t="s">
        <v>69</v>
      </c>
      <c r="W11" s="110" t="s">
        <v>3336</v>
      </c>
      <c r="X11" s="110">
        <v>5</v>
      </c>
      <c r="Y11" s="110">
        <v>5</v>
      </c>
      <c r="Z11" s="110">
        <v>5</v>
      </c>
      <c r="AA11" s="110">
        <v>5</v>
      </c>
      <c r="AB11" s="110">
        <v>5</v>
      </c>
      <c r="AC11" s="110">
        <v>5</v>
      </c>
      <c r="AD11"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1" s="110" t="s">
        <v>3566</v>
      </c>
      <c r="AF11" s="70"/>
      <c r="AG11" s="70"/>
      <c r="AH11" s="70" t="s">
        <v>4122</v>
      </c>
      <c r="AI11" s="70"/>
      <c r="AJ11" s="70"/>
      <c r="AK11" s="70"/>
      <c r="AL11" s="70"/>
      <c r="AM11" s="70" t="s">
        <v>4122</v>
      </c>
      <c r="AN11" s="70"/>
      <c r="AO11" s="70"/>
      <c r="AP11" s="70"/>
      <c r="AQ11" s="70"/>
      <c r="AR11" s="70"/>
      <c r="AS11" s="70"/>
      <c r="AT11" s="70"/>
      <c r="AU11" s="70"/>
      <c r="AV11" s="70"/>
      <c r="AW11" s="70"/>
      <c r="AX11" s="70" t="s">
        <v>4122</v>
      </c>
      <c r="AY11" s="70"/>
      <c r="AZ11" s="70"/>
      <c r="BA11" s="70"/>
      <c r="BB11" s="70"/>
      <c r="BC11" s="70"/>
      <c r="BD11" s="70"/>
      <c r="BE11" s="70"/>
      <c r="BF11" s="70"/>
      <c r="BG11" s="70"/>
      <c r="BH11" s="130"/>
      <c r="BI11" s="130"/>
      <c r="BJ11" s="130" t="s">
        <v>4122</v>
      </c>
      <c r="BK11" s="130"/>
      <c r="BL11" s="130"/>
      <c r="BM11" s="130"/>
      <c r="BN11" s="130"/>
      <c r="BO11" s="130"/>
      <c r="BP11" s="130"/>
      <c r="BQ11" s="130"/>
      <c r="BR11" s="130"/>
    </row>
    <row r="12" spans="1:100" hidden="1" x14ac:dyDescent="0.25">
      <c r="A12" s="68">
        <v>65</v>
      </c>
      <c r="B12" s="70" t="s">
        <v>2248</v>
      </c>
      <c r="C12" s="70" t="s">
        <v>2249</v>
      </c>
      <c r="D12" s="70" t="s">
        <v>1388</v>
      </c>
      <c r="E12" s="70"/>
      <c r="F12" s="70" t="s">
        <v>2250</v>
      </c>
      <c r="G12" s="70">
        <v>2013</v>
      </c>
      <c r="H12" s="70" t="s">
        <v>2251</v>
      </c>
      <c r="I12" s="78" t="s">
        <v>80</v>
      </c>
      <c r="J12" s="78" t="s">
        <v>80</v>
      </c>
      <c r="K12" s="78">
        <v>1.62</v>
      </c>
      <c r="L12" s="78">
        <v>5</v>
      </c>
      <c r="M12" s="70" t="s">
        <v>3774</v>
      </c>
      <c r="N12" s="70">
        <v>38</v>
      </c>
      <c r="O12" s="70">
        <v>5</v>
      </c>
      <c r="P12" s="90" t="s">
        <v>3385</v>
      </c>
      <c r="Q12" s="104" t="s">
        <v>3372</v>
      </c>
      <c r="R12" s="108" t="s">
        <v>3361</v>
      </c>
      <c r="S12" s="90" t="s">
        <v>3187</v>
      </c>
      <c r="T12" s="70" t="s">
        <v>1</v>
      </c>
      <c r="U12" s="70" t="s">
        <v>38</v>
      </c>
      <c r="V12" s="70" t="s">
        <v>69</v>
      </c>
      <c r="W12" s="70" t="s">
        <v>3336</v>
      </c>
      <c r="X12" s="70">
        <v>5</v>
      </c>
      <c r="Y12" s="70">
        <v>5</v>
      </c>
      <c r="Z12" s="70">
        <v>4</v>
      </c>
      <c r="AA12" s="70">
        <v>5</v>
      </c>
      <c r="AB12" s="70">
        <v>5</v>
      </c>
      <c r="AC12" s="70">
        <v>4</v>
      </c>
      <c r="AD1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2" s="70" t="s">
        <v>56</v>
      </c>
      <c r="AF12" s="70"/>
      <c r="AG12" s="70"/>
      <c r="AH12" s="70" t="s">
        <v>4122</v>
      </c>
      <c r="AI12" s="70"/>
      <c r="AJ12" s="70" t="s">
        <v>4122</v>
      </c>
      <c r="AK12" s="70"/>
      <c r="AL12" s="70"/>
      <c r="AM12" s="70"/>
      <c r="AN12" s="70"/>
      <c r="AO12" s="70"/>
      <c r="AP12" s="70"/>
      <c r="AQ12" s="70"/>
      <c r="AR12" s="70"/>
      <c r="AS12" s="70"/>
      <c r="AT12" s="70"/>
      <c r="AU12" s="70"/>
      <c r="AV12" s="70"/>
      <c r="AW12" s="70"/>
      <c r="AX12" s="70"/>
      <c r="AY12" s="70"/>
      <c r="AZ12" s="70"/>
      <c r="BA12" s="70"/>
      <c r="BB12" s="70" t="s">
        <v>4122</v>
      </c>
      <c r="BC12" s="70"/>
      <c r="BD12" s="70"/>
      <c r="BE12" s="70"/>
      <c r="BF12" s="70"/>
      <c r="BG12" s="70"/>
      <c r="BH12" s="130"/>
      <c r="BI12" s="130"/>
      <c r="BJ12" s="130"/>
      <c r="BK12" s="130"/>
      <c r="BL12" s="130"/>
      <c r="BM12" s="130"/>
      <c r="BN12" s="130" t="s">
        <v>4122</v>
      </c>
      <c r="BO12" s="130"/>
      <c r="BP12" s="130"/>
      <c r="BQ12" s="130"/>
      <c r="BR12" s="130"/>
    </row>
    <row r="13" spans="1:100" hidden="1" x14ac:dyDescent="0.25">
      <c r="A13" s="68">
        <v>13</v>
      </c>
      <c r="B13" s="70" t="s">
        <v>425</v>
      </c>
      <c r="C13" s="70" t="s">
        <v>426</v>
      </c>
      <c r="D13" s="70" t="s">
        <v>3689</v>
      </c>
      <c r="E13" s="70" t="s">
        <v>926</v>
      </c>
      <c r="F13" s="70" t="s">
        <v>427</v>
      </c>
      <c r="G13" s="70">
        <v>2015</v>
      </c>
      <c r="H13" s="70" t="s">
        <v>428</v>
      </c>
      <c r="I13" s="78" t="s">
        <v>80</v>
      </c>
      <c r="J13" s="78" t="s">
        <v>88</v>
      </c>
      <c r="K13" s="78" t="s">
        <v>80</v>
      </c>
      <c r="L13" s="78" t="s">
        <v>80</v>
      </c>
      <c r="M13" s="70" t="s">
        <v>3690</v>
      </c>
      <c r="N13" s="70">
        <v>0</v>
      </c>
      <c r="O13" s="70">
        <v>4</v>
      </c>
      <c r="P13" s="90" t="s">
        <v>3311</v>
      </c>
      <c r="Q13" s="104" t="s">
        <v>3681</v>
      </c>
      <c r="R13" s="108" t="s">
        <v>3310</v>
      </c>
      <c r="S13" s="90" t="s">
        <v>3236</v>
      </c>
      <c r="T13" s="70" t="s">
        <v>0</v>
      </c>
      <c r="U13" s="70" t="s">
        <v>38</v>
      </c>
      <c r="V13" s="70" t="s">
        <v>69</v>
      </c>
      <c r="W13" s="70" t="s">
        <v>3336</v>
      </c>
      <c r="X13" s="70">
        <v>5</v>
      </c>
      <c r="Y13" s="70">
        <v>5</v>
      </c>
      <c r="Z13" s="70">
        <v>5</v>
      </c>
      <c r="AA13" s="70">
        <v>5</v>
      </c>
      <c r="AB13" s="70">
        <v>5</v>
      </c>
      <c r="AC13" s="70">
        <v>5</v>
      </c>
      <c r="AD1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3" s="70" t="s">
        <v>57</v>
      </c>
      <c r="AF13" s="70"/>
      <c r="AG13" s="70"/>
      <c r="AH13" s="70"/>
      <c r="AI13" s="70"/>
      <c r="AJ13" s="70" t="s">
        <v>4122</v>
      </c>
      <c r="AK13" s="70"/>
      <c r="AL13" s="70"/>
      <c r="AM13" s="70"/>
      <c r="AN13" s="70"/>
      <c r="AO13" s="70"/>
      <c r="AP13" s="70"/>
      <c r="AQ13" s="70"/>
      <c r="AR13" s="70"/>
      <c r="AS13" s="70"/>
      <c r="AT13" s="70"/>
      <c r="AU13" s="70"/>
      <c r="AV13" s="70"/>
      <c r="AW13" s="70"/>
      <c r="AX13" s="70"/>
      <c r="AY13" s="70"/>
      <c r="AZ13" s="70"/>
      <c r="BA13" s="70"/>
      <c r="BB13" s="70" t="s">
        <v>4122</v>
      </c>
      <c r="BC13" s="70"/>
      <c r="BD13" s="70"/>
      <c r="BE13" s="70"/>
      <c r="BF13" s="70"/>
      <c r="BG13" s="70"/>
      <c r="BH13" s="130"/>
      <c r="BI13" s="130"/>
      <c r="BJ13" s="130"/>
      <c r="BK13" s="130"/>
      <c r="BL13" s="130" t="s">
        <v>4122</v>
      </c>
      <c r="BM13" s="130"/>
      <c r="BN13" s="130"/>
      <c r="BO13" s="130"/>
      <c r="BP13" s="130"/>
      <c r="BQ13" s="130"/>
      <c r="BR13" s="130"/>
    </row>
    <row r="14" spans="1:100" hidden="1" x14ac:dyDescent="0.25">
      <c r="A14" s="68">
        <v>23</v>
      </c>
      <c r="B14" s="70" t="s">
        <v>3046</v>
      </c>
      <c r="C14" s="70" t="s">
        <v>3047</v>
      </c>
      <c r="D14" s="70" t="s">
        <v>3694</v>
      </c>
      <c r="E14" s="70"/>
      <c r="F14" s="70" t="s">
        <v>3048</v>
      </c>
      <c r="G14" s="70">
        <v>2016</v>
      </c>
      <c r="H14" s="70" t="s">
        <v>3049</v>
      </c>
      <c r="I14" s="78" t="s">
        <v>80</v>
      </c>
      <c r="J14" s="78" t="s">
        <v>80</v>
      </c>
      <c r="K14" s="78" t="s">
        <v>80</v>
      </c>
      <c r="L14" s="78" t="s">
        <v>80</v>
      </c>
      <c r="M14" s="70" t="s">
        <v>3705</v>
      </c>
      <c r="N14" s="70">
        <v>10</v>
      </c>
      <c r="O14" s="70">
        <v>5</v>
      </c>
      <c r="P14" s="90" t="s">
        <v>3157</v>
      </c>
      <c r="Q14" s="104" t="s">
        <v>3191</v>
      </c>
      <c r="R14" s="108" t="s">
        <v>3209</v>
      </c>
      <c r="S14" s="90" t="s">
        <v>3341</v>
      </c>
      <c r="T14" s="70" t="s">
        <v>3</v>
      </c>
      <c r="U14" s="70" t="s">
        <v>38</v>
      </c>
      <c r="V14" s="70" t="s">
        <v>69</v>
      </c>
      <c r="W14" s="70" t="s">
        <v>3340</v>
      </c>
      <c r="X14" s="70">
        <v>5</v>
      </c>
      <c r="Y14" s="70">
        <v>5</v>
      </c>
      <c r="Z14" s="70">
        <v>5</v>
      </c>
      <c r="AA14" s="70">
        <v>5</v>
      </c>
      <c r="AB14" s="70">
        <v>5</v>
      </c>
      <c r="AC14" s="70">
        <v>5</v>
      </c>
      <c r="AD1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4" s="70" t="s">
        <v>59</v>
      </c>
      <c r="AF14" s="70"/>
      <c r="AG14" s="70"/>
      <c r="AH14" s="70"/>
      <c r="AI14" s="70"/>
      <c r="AJ14" s="70" t="s">
        <v>4122</v>
      </c>
      <c r="AK14" s="70"/>
      <c r="AL14" s="70"/>
      <c r="AM14" s="70"/>
      <c r="AN14" s="70"/>
      <c r="AO14" s="70"/>
      <c r="AP14" s="70"/>
      <c r="AQ14" s="70"/>
      <c r="AR14" s="70"/>
      <c r="AS14" s="70"/>
      <c r="AT14" s="70"/>
      <c r="AU14" s="70"/>
      <c r="AV14" s="70"/>
      <c r="AW14" s="70"/>
      <c r="AX14" s="70"/>
      <c r="AY14" s="70"/>
      <c r="AZ14" s="70"/>
      <c r="BA14" s="70"/>
      <c r="BB14" s="70"/>
      <c r="BC14" s="70"/>
      <c r="BD14" s="70"/>
      <c r="BE14" s="70" t="s">
        <v>4122</v>
      </c>
      <c r="BF14" s="70"/>
      <c r="BG14" s="70"/>
      <c r="BH14" s="130"/>
      <c r="BI14" s="130"/>
      <c r="BJ14" s="130"/>
      <c r="BK14" s="130"/>
      <c r="BL14" s="130"/>
      <c r="BM14" s="130"/>
      <c r="BN14" s="130" t="s">
        <v>4122</v>
      </c>
      <c r="BO14" s="130"/>
      <c r="BP14" s="130"/>
      <c r="BQ14" s="130"/>
      <c r="BR14" s="130"/>
    </row>
    <row r="15" spans="1:100" hidden="1" x14ac:dyDescent="0.25">
      <c r="A15" s="68">
        <v>4</v>
      </c>
      <c r="B15" s="70" t="s">
        <v>2870</v>
      </c>
      <c r="C15" s="70" t="s">
        <v>2871</v>
      </c>
      <c r="D15" s="70" t="s">
        <v>0</v>
      </c>
      <c r="E15" s="70"/>
      <c r="F15" s="70" t="s">
        <v>2872</v>
      </c>
      <c r="G15" s="70">
        <v>2017</v>
      </c>
      <c r="H15" s="70" t="s">
        <v>2873</v>
      </c>
      <c r="I15" s="78" t="s">
        <v>82</v>
      </c>
      <c r="J15" s="78" t="s">
        <v>85</v>
      </c>
      <c r="K15" s="78" t="s">
        <v>80</v>
      </c>
      <c r="L15" s="78" t="s">
        <v>80</v>
      </c>
      <c r="M15" s="70" t="s">
        <v>3668</v>
      </c>
      <c r="N15" s="70">
        <v>3</v>
      </c>
      <c r="O15" s="70">
        <v>5</v>
      </c>
      <c r="P15" s="90" t="s">
        <v>3157</v>
      </c>
      <c r="Q15" s="104" t="s">
        <v>3173</v>
      </c>
      <c r="R15" s="108" t="s">
        <v>3203</v>
      </c>
      <c r="S15" s="90" t="s">
        <v>3243</v>
      </c>
      <c r="T15" s="70" t="s">
        <v>6</v>
      </c>
      <c r="U15" s="70" t="s">
        <v>38</v>
      </c>
      <c r="V15" s="70" t="s">
        <v>69</v>
      </c>
      <c r="W15" s="70" t="s">
        <v>3259</v>
      </c>
      <c r="X15" s="70">
        <v>5</v>
      </c>
      <c r="Y15" s="70">
        <v>5</v>
      </c>
      <c r="Z15" s="70">
        <v>5</v>
      </c>
      <c r="AA15" s="70">
        <v>5</v>
      </c>
      <c r="AB15" s="70">
        <v>5</v>
      </c>
      <c r="AC15" s="70">
        <v>5</v>
      </c>
      <c r="AD1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5" s="70" t="s">
        <v>3251</v>
      </c>
      <c r="AF15" s="70"/>
      <c r="AG15" s="70" t="s">
        <v>4122</v>
      </c>
      <c r="AH15" s="70"/>
      <c r="AI15" s="70"/>
      <c r="AJ15" s="70"/>
      <c r="AK15" s="70"/>
      <c r="AL15" s="70"/>
      <c r="AM15" s="70"/>
      <c r="AN15" s="70"/>
      <c r="AO15" s="70"/>
      <c r="AP15" s="70"/>
      <c r="AQ15" s="70"/>
      <c r="AR15" s="70"/>
      <c r="AS15" s="70"/>
      <c r="AT15" s="70"/>
      <c r="AU15" s="70"/>
      <c r="AV15" s="70" t="s">
        <v>4122</v>
      </c>
      <c r="AW15" s="70"/>
      <c r="AX15" s="70"/>
      <c r="AY15" s="70"/>
      <c r="AZ15" s="70"/>
      <c r="BA15" s="70"/>
      <c r="BB15" s="70"/>
      <c r="BC15" s="70"/>
      <c r="BD15" s="70"/>
      <c r="BE15" s="70"/>
      <c r="BF15" s="70"/>
      <c r="BG15" s="70"/>
      <c r="BH15" s="130"/>
      <c r="BI15" s="130"/>
      <c r="BJ15" s="130"/>
      <c r="BK15" s="130" t="s">
        <v>4122</v>
      </c>
      <c r="BL15" s="130"/>
      <c r="BM15" s="130"/>
      <c r="BN15" s="130"/>
      <c r="BO15" s="130"/>
      <c r="BP15" s="130"/>
      <c r="BQ15" s="130"/>
      <c r="BR15" s="130"/>
    </row>
    <row r="16" spans="1:100" hidden="1" x14ac:dyDescent="0.25">
      <c r="A16" s="68">
        <v>67</v>
      </c>
      <c r="B16" s="110" t="s">
        <v>1534</v>
      </c>
      <c r="C16" s="110" t="s">
        <v>1535</v>
      </c>
      <c r="D16" s="110" t="s">
        <v>3733</v>
      </c>
      <c r="E16" s="110"/>
      <c r="F16" s="110" t="s">
        <v>1536</v>
      </c>
      <c r="G16" s="110">
        <v>2015</v>
      </c>
      <c r="H16" s="110" t="s">
        <v>1537</v>
      </c>
      <c r="I16" s="111" t="s">
        <v>80</v>
      </c>
      <c r="J16" s="111" t="s">
        <v>85</v>
      </c>
      <c r="K16" s="111" t="s">
        <v>80</v>
      </c>
      <c r="L16" s="111" t="s">
        <v>80</v>
      </c>
      <c r="M16" s="110" t="s">
        <v>3776</v>
      </c>
      <c r="N16" s="110">
        <v>28</v>
      </c>
      <c r="O16" s="110">
        <v>5</v>
      </c>
      <c r="P16" s="110" t="s">
        <v>3157</v>
      </c>
      <c r="Q16" s="110" t="s">
        <v>3171</v>
      </c>
      <c r="R16" s="110" t="s">
        <v>4135</v>
      </c>
      <c r="S16" s="110" t="s">
        <v>3239</v>
      </c>
      <c r="T16" s="110" t="s">
        <v>0</v>
      </c>
      <c r="U16" s="110" t="s">
        <v>38</v>
      </c>
      <c r="V16" s="110" t="s">
        <v>69</v>
      </c>
      <c r="W16" s="110" t="s">
        <v>3336</v>
      </c>
      <c r="X16" s="110">
        <v>5</v>
      </c>
      <c r="Y16" s="110">
        <v>5</v>
      </c>
      <c r="Z16" s="110">
        <v>5</v>
      </c>
      <c r="AA16" s="110">
        <v>5</v>
      </c>
      <c r="AB16" s="110">
        <v>5</v>
      </c>
      <c r="AC16" s="110">
        <v>5</v>
      </c>
      <c r="AD16"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6" s="110" t="s">
        <v>3416</v>
      </c>
      <c r="AF16" s="70"/>
      <c r="AG16" s="70"/>
      <c r="AH16" s="70"/>
      <c r="AI16" s="70"/>
      <c r="AJ16" s="70" t="s">
        <v>4122</v>
      </c>
      <c r="AK16" s="70"/>
      <c r="AL16" s="70"/>
      <c r="AM16" s="70" t="s">
        <v>4122</v>
      </c>
      <c r="AN16" s="70"/>
      <c r="AO16" s="70"/>
      <c r="AP16" s="70"/>
      <c r="AQ16" s="70"/>
      <c r="AR16" s="70"/>
      <c r="AS16" s="70"/>
      <c r="AT16" s="70"/>
      <c r="AU16" s="70"/>
      <c r="AV16" s="70" t="s">
        <v>4122</v>
      </c>
      <c r="AW16" s="70"/>
      <c r="AX16" s="70"/>
      <c r="AY16" s="70"/>
      <c r="AZ16" s="70"/>
      <c r="BA16" s="70"/>
      <c r="BB16" s="70"/>
      <c r="BC16" s="70"/>
      <c r="BD16" s="70"/>
      <c r="BE16" s="70"/>
      <c r="BF16" s="70" t="s">
        <v>4122</v>
      </c>
      <c r="BG16" s="70"/>
      <c r="BH16" s="130"/>
      <c r="BI16" s="130"/>
      <c r="BJ16" s="130" t="s">
        <v>4122</v>
      </c>
      <c r="BK16" s="130"/>
      <c r="BL16" s="130"/>
      <c r="BM16" s="130"/>
      <c r="BN16" s="130"/>
      <c r="BO16" s="130"/>
      <c r="BP16" s="130"/>
      <c r="BQ16" s="130"/>
      <c r="BR16" s="130"/>
    </row>
    <row r="17" spans="1:70" hidden="1" x14ac:dyDescent="0.25">
      <c r="A17" s="68">
        <v>30</v>
      </c>
      <c r="B17" s="70" t="s">
        <v>441</v>
      </c>
      <c r="C17" s="70" t="s">
        <v>442</v>
      </c>
      <c r="D17" s="70" t="s">
        <v>3717</v>
      </c>
      <c r="E17" s="70" t="s">
        <v>930</v>
      </c>
      <c r="F17" s="70" t="s">
        <v>443</v>
      </c>
      <c r="G17" s="70">
        <v>2013</v>
      </c>
      <c r="H17" s="70" t="s">
        <v>444</v>
      </c>
      <c r="I17" s="78" t="s">
        <v>80</v>
      </c>
      <c r="J17" s="78" t="s">
        <v>80</v>
      </c>
      <c r="K17" s="78" t="s">
        <v>80</v>
      </c>
      <c r="L17" s="78" t="s">
        <v>80</v>
      </c>
      <c r="M17" s="70" t="s">
        <v>3718</v>
      </c>
      <c r="N17" s="70">
        <v>1</v>
      </c>
      <c r="O17" s="70">
        <v>2</v>
      </c>
      <c r="P17" s="90" t="s">
        <v>3288</v>
      </c>
      <c r="Q17" s="104" t="s">
        <v>3187</v>
      </c>
      <c r="R17" s="108" t="s">
        <v>3210</v>
      </c>
      <c r="S17" s="90" t="s">
        <v>3238</v>
      </c>
      <c r="T17" s="70" t="s">
        <v>0</v>
      </c>
      <c r="U17" s="70" t="s">
        <v>37</v>
      </c>
      <c r="V17" s="70" t="s">
        <v>69</v>
      </c>
      <c r="W17" s="70" t="s">
        <v>3336</v>
      </c>
      <c r="X17" s="70">
        <v>5</v>
      </c>
      <c r="Y17" s="70">
        <v>5</v>
      </c>
      <c r="Z17" s="70">
        <v>3</v>
      </c>
      <c r="AA17" s="70">
        <v>5</v>
      </c>
      <c r="AB17" s="70">
        <v>5</v>
      </c>
      <c r="AC17" s="70">
        <v>3</v>
      </c>
      <c r="AD1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7" s="70" t="s">
        <v>57</v>
      </c>
      <c r="AF17" s="70"/>
      <c r="AG17" s="70"/>
      <c r="AH17" s="70"/>
      <c r="AI17" s="70"/>
      <c r="AJ17" s="70" t="s">
        <v>4122</v>
      </c>
      <c r="AK17" s="70"/>
      <c r="AL17" s="70"/>
      <c r="AM17" s="70"/>
      <c r="AN17" s="70"/>
      <c r="AO17" s="70"/>
      <c r="AP17" s="70"/>
      <c r="AQ17" s="70"/>
      <c r="AR17" s="70"/>
      <c r="AS17" s="70"/>
      <c r="AT17" s="70"/>
      <c r="AU17" s="70"/>
      <c r="AV17" s="70"/>
      <c r="AW17" s="70"/>
      <c r="AX17" s="70"/>
      <c r="AY17" s="70"/>
      <c r="AZ17" s="70"/>
      <c r="BA17" s="70"/>
      <c r="BB17" s="70" t="s">
        <v>4122</v>
      </c>
      <c r="BC17" s="70"/>
      <c r="BD17" s="70"/>
      <c r="BE17" s="70"/>
      <c r="BF17" s="70"/>
      <c r="BG17" s="70"/>
      <c r="BH17" s="130"/>
      <c r="BI17" s="130"/>
      <c r="BJ17" s="130"/>
      <c r="BK17" s="130"/>
      <c r="BL17" s="130"/>
      <c r="BM17" s="130"/>
      <c r="BN17" s="130" t="s">
        <v>4122</v>
      </c>
      <c r="BO17" s="130"/>
      <c r="BP17" s="130"/>
      <c r="BQ17" s="130"/>
      <c r="BR17" s="130"/>
    </row>
    <row r="18" spans="1:70" hidden="1" x14ac:dyDescent="0.25">
      <c r="A18" s="68">
        <v>45</v>
      </c>
      <c r="B18" s="70" t="s">
        <v>2707</v>
      </c>
      <c r="C18" s="70" t="s">
        <v>2708</v>
      </c>
      <c r="D18" s="70" t="s">
        <v>1193</v>
      </c>
      <c r="E18" s="70"/>
      <c r="F18" s="70" t="s">
        <v>2709</v>
      </c>
      <c r="G18" s="70">
        <v>2014</v>
      </c>
      <c r="H18" s="70" t="s">
        <v>2710</v>
      </c>
      <c r="I18" s="78" t="s">
        <v>80</v>
      </c>
      <c r="J18" s="78" t="s">
        <v>80</v>
      </c>
      <c r="K18" s="78">
        <v>0.62</v>
      </c>
      <c r="L18" s="78">
        <v>4</v>
      </c>
      <c r="M18" s="70" t="s">
        <v>3740</v>
      </c>
      <c r="N18" s="70">
        <v>28</v>
      </c>
      <c r="O18" s="70">
        <v>1</v>
      </c>
      <c r="P18" s="90" t="s">
        <v>3157</v>
      </c>
      <c r="Q18" s="104" t="s">
        <v>3256</v>
      </c>
      <c r="R18" s="108" t="s">
        <v>3361</v>
      </c>
      <c r="S18" s="90" t="s">
        <v>3257</v>
      </c>
      <c r="T18" s="70" t="s">
        <v>1</v>
      </c>
      <c r="U18" s="70" t="s">
        <v>38</v>
      </c>
      <c r="V18" s="70" t="s">
        <v>69</v>
      </c>
      <c r="W18" s="70" t="s">
        <v>3336</v>
      </c>
      <c r="X18" s="70">
        <v>5</v>
      </c>
      <c r="Y18" s="70">
        <v>5</v>
      </c>
      <c r="Z18" s="70">
        <v>5</v>
      </c>
      <c r="AA18" s="70">
        <v>5</v>
      </c>
      <c r="AB18" s="70">
        <v>5</v>
      </c>
      <c r="AC18" s="70">
        <v>5</v>
      </c>
      <c r="AD1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8" s="70" t="s">
        <v>56</v>
      </c>
      <c r="AF18" s="70"/>
      <c r="AG18" s="70"/>
      <c r="AH18" s="70"/>
      <c r="AI18" s="70"/>
      <c r="AJ18" s="70" t="s">
        <v>4122</v>
      </c>
      <c r="AK18" s="70"/>
      <c r="AL18" s="70"/>
      <c r="AM18" s="70"/>
      <c r="AN18" s="70"/>
      <c r="AO18" s="70"/>
      <c r="AP18" s="70"/>
      <c r="AQ18" s="70"/>
      <c r="AR18" s="70"/>
      <c r="AS18" s="70"/>
      <c r="AT18" s="70"/>
      <c r="AU18" s="70"/>
      <c r="AV18" s="70" t="s">
        <v>4122</v>
      </c>
      <c r="AW18" s="70"/>
      <c r="AX18" s="70"/>
      <c r="AY18" s="70"/>
      <c r="AZ18" s="70"/>
      <c r="BA18" s="70"/>
      <c r="BB18" s="70"/>
      <c r="BC18" s="70"/>
      <c r="BD18" s="70"/>
      <c r="BE18" s="70"/>
      <c r="BF18" s="70"/>
      <c r="BG18" s="70"/>
      <c r="BH18" s="130"/>
      <c r="BI18" s="130"/>
      <c r="BJ18" s="130"/>
      <c r="BK18" s="130"/>
      <c r="BL18" s="130"/>
      <c r="BM18" s="130"/>
      <c r="BN18" s="130" t="s">
        <v>4122</v>
      </c>
      <c r="BO18" s="130"/>
      <c r="BP18" s="130"/>
      <c r="BQ18" s="130"/>
      <c r="BR18" s="130"/>
    </row>
    <row r="19" spans="1:70" hidden="1" x14ac:dyDescent="0.25">
      <c r="A19" s="68">
        <v>31</v>
      </c>
      <c r="B19" s="70" t="s">
        <v>1893</v>
      </c>
      <c r="C19" s="70" t="s">
        <v>1894</v>
      </c>
      <c r="D19" s="70" t="s">
        <v>3722</v>
      </c>
      <c r="E19" s="70"/>
      <c r="F19" s="70" t="s">
        <v>1895</v>
      </c>
      <c r="G19" s="70">
        <v>2017</v>
      </c>
      <c r="H19" s="70" t="s">
        <v>1896</v>
      </c>
      <c r="I19" s="78" t="s">
        <v>80</v>
      </c>
      <c r="J19" s="78" t="s">
        <v>81</v>
      </c>
      <c r="K19" s="78" t="s">
        <v>80</v>
      </c>
      <c r="L19" s="78" t="s">
        <v>80</v>
      </c>
      <c r="M19" s="70" t="s">
        <v>3721</v>
      </c>
      <c r="N19" s="70">
        <v>5</v>
      </c>
      <c r="O19" s="70">
        <v>5</v>
      </c>
      <c r="P19" s="90" t="s">
        <v>3157</v>
      </c>
      <c r="Q19" s="104" t="s">
        <v>3267</v>
      </c>
      <c r="R19" s="108" t="s">
        <v>3209</v>
      </c>
      <c r="S19" s="90" t="s">
        <v>3356</v>
      </c>
      <c r="T19" s="70" t="s">
        <v>0</v>
      </c>
      <c r="U19" s="70" t="s">
        <v>38</v>
      </c>
      <c r="V19" s="70" t="s">
        <v>69</v>
      </c>
      <c r="W19" s="70" t="s">
        <v>3336</v>
      </c>
      <c r="X19" s="70">
        <v>5</v>
      </c>
      <c r="Y19" s="70">
        <v>5</v>
      </c>
      <c r="Z19" s="70">
        <v>5</v>
      </c>
      <c r="AA19" s="70">
        <v>5</v>
      </c>
      <c r="AB19" s="70">
        <v>5</v>
      </c>
      <c r="AC19" s="70">
        <v>5</v>
      </c>
      <c r="AD1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 s="70" t="s">
        <v>3335</v>
      </c>
      <c r="AF19" s="70"/>
      <c r="AG19" s="70"/>
      <c r="AH19" s="70"/>
      <c r="AI19" s="70"/>
      <c r="AJ19" s="70" t="s">
        <v>4122</v>
      </c>
      <c r="AK19" s="70"/>
      <c r="AL19" s="70"/>
      <c r="AM19" s="70"/>
      <c r="AN19" s="70"/>
      <c r="AO19" s="70"/>
      <c r="AP19" s="70"/>
      <c r="AQ19" s="70"/>
      <c r="AR19" s="70"/>
      <c r="AS19" s="70"/>
      <c r="AT19" s="70"/>
      <c r="AU19" s="70"/>
      <c r="AV19" s="70" t="s">
        <v>4122</v>
      </c>
      <c r="AW19" s="70"/>
      <c r="AX19" s="70"/>
      <c r="AY19" s="70"/>
      <c r="AZ19" s="70"/>
      <c r="BA19" s="70"/>
      <c r="BB19" s="70"/>
      <c r="BC19" s="70"/>
      <c r="BD19" s="70"/>
      <c r="BE19" s="70"/>
      <c r="BF19" s="70"/>
      <c r="BG19" s="70"/>
      <c r="BH19" s="130"/>
      <c r="BI19" s="130"/>
      <c r="BJ19" s="130"/>
      <c r="BK19" s="130"/>
      <c r="BL19" s="130"/>
      <c r="BM19" s="130"/>
      <c r="BN19" s="130" t="s">
        <v>4122</v>
      </c>
      <c r="BO19" s="130"/>
      <c r="BP19" s="130"/>
      <c r="BQ19" s="130"/>
      <c r="BR19" s="130"/>
    </row>
    <row r="20" spans="1:70" hidden="1" x14ac:dyDescent="0.25">
      <c r="A20" s="68">
        <v>86</v>
      </c>
      <c r="B20" s="70" t="s">
        <v>2664</v>
      </c>
      <c r="C20" s="70" t="s">
        <v>2665</v>
      </c>
      <c r="D20" s="70" t="s">
        <v>3810</v>
      </c>
      <c r="E20" s="70"/>
      <c r="F20" s="70" t="s">
        <v>2666</v>
      </c>
      <c r="G20" s="70">
        <v>2015</v>
      </c>
      <c r="H20" s="70" t="s">
        <v>2667</v>
      </c>
      <c r="I20" s="78" t="s">
        <v>80</v>
      </c>
      <c r="J20" s="78" t="s">
        <v>80</v>
      </c>
      <c r="K20" s="78" t="s">
        <v>80</v>
      </c>
      <c r="L20" s="78" t="s">
        <v>80</v>
      </c>
      <c r="M20" s="70" t="s">
        <v>3811</v>
      </c>
      <c r="N20" s="70">
        <v>24</v>
      </c>
      <c r="O20" s="70">
        <v>5</v>
      </c>
      <c r="P20" s="90" t="s">
        <v>3244</v>
      </c>
      <c r="Q20" s="104" t="s">
        <v>3435</v>
      </c>
      <c r="R20" s="108" t="s">
        <v>3437</v>
      </c>
      <c r="S20" s="90" t="s">
        <v>3239</v>
      </c>
      <c r="T20" s="70" t="s">
        <v>0</v>
      </c>
      <c r="U20" s="70" t="s">
        <v>38</v>
      </c>
      <c r="V20" s="70" t="s">
        <v>69</v>
      </c>
      <c r="W20" s="70" t="s">
        <v>3336</v>
      </c>
      <c r="X20" s="70">
        <v>5</v>
      </c>
      <c r="Y20" s="70">
        <v>5</v>
      </c>
      <c r="Z20" s="70">
        <v>5</v>
      </c>
      <c r="AA20" s="70">
        <v>5</v>
      </c>
      <c r="AB20" s="70">
        <v>5</v>
      </c>
      <c r="AC20" s="70">
        <v>5</v>
      </c>
      <c r="AD2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0" s="70" t="s">
        <v>3438</v>
      </c>
      <c r="AF20" s="70" t="s">
        <v>4122</v>
      </c>
      <c r="AG20" s="70"/>
      <c r="AH20" s="70"/>
      <c r="AI20" s="70"/>
      <c r="AJ20" s="70" t="s">
        <v>4122</v>
      </c>
      <c r="AK20" s="70" t="s">
        <v>4122</v>
      </c>
      <c r="AL20" s="70"/>
      <c r="AM20" s="70"/>
      <c r="AN20" s="70"/>
      <c r="AO20" s="70"/>
      <c r="AP20" s="70"/>
      <c r="AQ20" s="70"/>
      <c r="AR20" s="70"/>
      <c r="AS20" s="70"/>
      <c r="AT20" s="70"/>
      <c r="AU20" s="70"/>
      <c r="AV20" s="70"/>
      <c r="AW20" s="70"/>
      <c r="AX20" s="70"/>
      <c r="AY20" s="70"/>
      <c r="AZ20" s="70"/>
      <c r="BA20" s="70"/>
      <c r="BB20" s="70"/>
      <c r="BC20" s="70" t="s">
        <v>4122</v>
      </c>
      <c r="BD20" s="70"/>
      <c r="BE20" s="70"/>
      <c r="BF20" s="70"/>
      <c r="BG20" s="70"/>
      <c r="BH20" s="130"/>
      <c r="BI20" s="130"/>
      <c r="BJ20" s="130"/>
      <c r="BK20" s="130"/>
      <c r="BL20" s="130"/>
      <c r="BM20" s="130"/>
      <c r="BN20" s="130"/>
      <c r="BO20" s="130" t="s">
        <v>4122</v>
      </c>
      <c r="BP20" s="130"/>
      <c r="BQ20" s="130"/>
      <c r="BR20" s="130"/>
    </row>
    <row r="21" spans="1:70" hidden="1" x14ac:dyDescent="0.25">
      <c r="A21" s="68">
        <v>196</v>
      </c>
      <c r="B21" s="70" t="s">
        <v>1849</v>
      </c>
      <c r="C21" s="70" t="s">
        <v>1907</v>
      </c>
      <c r="D21" s="70" t="s">
        <v>3824</v>
      </c>
      <c r="E21" s="70"/>
      <c r="F21" s="70" t="s">
        <v>1908</v>
      </c>
      <c r="G21" s="70">
        <v>2014</v>
      </c>
      <c r="H21" s="70" t="s">
        <v>1909</v>
      </c>
      <c r="I21" s="78" t="s">
        <v>84</v>
      </c>
      <c r="J21" s="78" t="s">
        <v>80</v>
      </c>
      <c r="K21" s="78" t="s">
        <v>80</v>
      </c>
      <c r="L21" s="78" t="s">
        <v>80</v>
      </c>
      <c r="M21" s="70" t="s">
        <v>3977</v>
      </c>
      <c r="N21" s="70">
        <v>22</v>
      </c>
      <c r="O21" s="70">
        <v>4</v>
      </c>
      <c r="P21" s="90" t="s">
        <v>3610</v>
      </c>
      <c r="Q21" s="104" t="s">
        <v>3372</v>
      </c>
      <c r="R21" s="108" t="s">
        <v>3209</v>
      </c>
      <c r="S21" s="90" t="s">
        <v>3187</v>
      </c>
      <c r="T21" s="70" t="s">
        <v>0</v>
      </c>
      <c r="U21" s="70" t="s">
        <v>38</v>
      </c>
      <c r="V21" s="70" t="s">
        <v>70</v>
      </c>
      <c r="W21" s="70" t="s">
        <v>3512</v>
      </c>
      <c r="X21" s="70">
        <v>4</v>
      </c>
      <c r="Y21" s="70">
        <v>4</v>
      </c>
      <c r="Z21" s="70">
        <v>3</v>
      </c>
      <c r="AA21" s="70">
        <v>2</v>
      </c>
      <c r="AB21" s="70">
        <v>4</v>
      </c>
      <c r="AC21" s="70">
        <v>3</v>
      </c>
      <c r="AD2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1" s="70" t="s">
        <v>3317</v>
      </c>
      <c r="AF21" s="70"/>
      <c r="AG21" s="70"/>
      <c r="AH21" s="70"/>
      <c r="AI21" s="70"/>
      <c r="AJ21" s="70"/>
      <c r="AK21" s="70"/>
      <c r="AL21" s="70"/>
      <c r="AM21" s="70"/>
      <c r="AN21" s="70"/>
      <c r="AO21" s="70"/>
      <c r="AP21" s="70" t="s">
        <v>4122</v>
      </c>
      <c r="AQ21" s="70"/>
      <c r="AR21" s="70"/>
      <c r="AS21" s="70"/>
      <c r="AT21" s="70"/>
      <c r="AU21" s="70"/>
      <c r="AV21" s="70"/>
      <c r="AW21" s="70"/>
      <c r="AX21" s="70"/>
      <c r="AY21" s="70"/>
      <c r="AZ21" s="70"/>
      <c r="BA21" s="70"/>
      <c r="BB21" s="70" t="s">
        <v>4122</v>
      </c>
      <c r="BC21" s="70"/>
      <c r="BD21" s="70"/>
      <c r="BE21" s="70"/>
      <c r="BF21" s="70"/>
      <c r="BG21" s="70"/>
      <c r="BH21" s="130"/>
      <c r="BI21" s="130"/>
      <c r="BJ21" s="130"/>
      <c r="BK21" s="130"/>
      <c r="BL21" s="130"/>
      <c r="BM21" s="130"/>
      <c r="BN21" s="130" t="s">
        <v>4122</v>
      </c>
      <c r="BO21" s="130"/>
      <c r="BP21" s="130"/>
      <c r="BQ21" s="130"/>
      <c r="BR21" s="130"/>
    </row>
    <row r="22" spans="1:70" hidden="1" x14ac:dyDescent="0.25">
      <c r="A22" s="68">
        <v>32</v>
      </c>
      <c r="B22" s="70" t="s">
        <v>2703</v>
      </c>
      <c r="C22" s="70" t="s">
        <v>2704</v>
      </c>
      <c r="D22" s="70" t="s">
        <v>3719</v>
      </c>
      <c r="E22" s="70"/>
      <c r="F22" s="70" t="s">
        <v>2705</v>
      </c>
      <c r="G22" s="70">
        <v>2018</v>
      </c>
      <c r="H22" s="70" t="s">
        <v>2706</v>
      </c>
      <c r="I22" s="78" t="s">
        <v>80</v>
      </c>
      <c r="J22" s="78" t="s">
        <v>85</v>
      </c>
      <c r="K22" s="78" t="s">
        <v>80</v>
      </c>
      <c r="L22" s="78" t="s">
        <v>80</v>
      </c>
      <c r="M22" s="70" t="s">
        <v>3720</v>
      </c>
      <c r="N22" s="70">
        <v>1</v>
      </c>
      <c r="O22" s="70">
        <v>5</v>
      </c>
      <c r="P22" s="90" t="s">
        <v>3328</v>
      </c>
      <c r="Q22" s="104" t="s">
        <v>3256</v>
      </c>
      <c r="R22" s="108" t="s">
        <v>3357</v>
      </c>
      <c r="S22" s="90" t="s">
        <v>3243</v>
      </c>
      <c r="T22" s="70" t="s">
        <v>0</v>
      </c>
      <c r="U22" s="70" t="s">
        <v>38</v>
      </c>
      <c r="V22" s="70" t="s">
        <v>69</v>
      </c>
      <c r="W22" s="70" t="s">
        <v>3359</v>
      </c>
      <c r="X22" s="70">
        <v>5</v>
      </c>
      <c r="Y22" s="70">
        <v>5</v>
      </c>
      <c r="Z22" s="70">
        <v>5</v>
      </c>
      <c r="AA22" s="70">
        <v>5</v>
      </c>
      <c r="AB22" s="70">
        <v>5</v>
      </c>
      <c r="AC22" s="70">
        <v>5</v>
      </c>
      <c r="AD2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2" s="70" t="s">
        <v>3335</v>
      </c>
      <c r="AF22" s="70"/>
      <c r="AG22" s="70"/>
      <c r="AH22" s="70"/>
      <c r="AI22" s="70"/>
      <c r="AJ22" s="70" t="s">
        <v>4122</v>
      </c>
      <c r="AK22" s="70"/>
      <c r="AL22" s="70"/>
      <c r="AM22" s="70"/>
      <c r="AN22" s="70"/>
      <c r="AO22" s="70"/>
      <c r="AP22" s="70"/>
      <c r="AQ22" s="70"/>
      <c r="AR22" s="70"/>
      <c r="AS22" s="70"/>
      <c r="AT22" s="70"/>
      <c r="AU22" s="70"/>
      <c r="AV22" s="70" t="s">
        <v>4122</v>
      </c>
      <c r="AW22" s="70"/>
      <c r="AX22" s="70"/>
      <c r="AY22" s="70"/>
      <c r="AZ22" s="70"/>
      <c r="BA22" s="70"/>
      <c r="BB22" s="70"/>
      <c r="BC22" s="70"/>
      <c r="BD22" s="70"/>
      <c r="BE22" s="70"/>
      <c r="BF22" s="70"/>
      <c r="BG22" s="70"/>
      <c r="BH22" s="130"/>
      <c r="BI22" s="130"/>
      <c r="BJ22" s="130"/>
      <c r="BK22" s="130"/>
      <c r="BL22" s="130"/>
      <c r="BM22" s="130"/>
      <c r="BN22" s="130" t="s">
        <v>4122</v>
      </c>
      <c r="BO22" s="130"/>
      <c r="BP22" s="130"/>
      <c r="BQ22" s="130"/>
      <c r="BR22" s="130"/>
    </row>
    <row r="23" spans="1:70" hidden="1" x14ac:dyDescent="0.25">
      <c r="A23" s="68">
        <v>24</v>
      </c>
      <c r="B23" s="70" t="s">
        <v>1632</v>
      </c>
      <c r="C23" s="70" t="s">
        <v>1633</v>
      </c>
      <c r="D23" s="70" t="s">
        <v>3707</v>
      </c>
      <c r="E23" s="70"/>
      <c r="F23" s="70" t="s">
        <v>1634</v>
      </c>
      <c r="G23" s="70">
        <v>2012</v>
      </c>
      <c r="H23" s="70" t="s">
        <v>1635</v>
      </c>
      <c r="I23" s="78" t="s">
        <v>80</v>
      </c>
      <c r="J23" s="78" t="s">
        <v>85</v>
      </c>
      <c r="K23" s="78" t="s">
        <v>80</v>
      </c>
      <c r="L23" s="78" t="s">
        <v>80</v>
      </c>
      <c r="M23" s="70" t="s">
        <v>3706</v>
      </c>
      <c r="N23" s="70">
        <v>21</v>
      </c>
      <c r="O23" s="70">
        <v>4</v>
      </c>
      <c r="P23" s="90" t="s">
        <v>3168</v>
      </c>
      <c r="Q23" s="104" t="s">
        <v>3342</v>
      </c>
      <c r="R23" s="108" t="s">
        <v>3343</v>
      </c>
      <c r="S23" s="90" t="s">
        <v>3312</v>
      </c>
      <c r="T23" s="70" t="s">
        <v>0</v>
      </c>
      <c r="U23" s="70" t="s">
        <v>38</v>
      </c>
      <c r="V23" s="70" t="s">
        <v>69</v>
      </c>
      <c r="W23" s="70" t="s">
        <v>3336</v>
      </c>
      <c r="X23" s="70">
        <v>5</v>
      </c>
      <c r="Y23" s="70">
        <v>5</v>
      </c>
      <c r="Z23" s="70">
        <v>5</v>
      </c>
      <c r="AA23" s="70">
        <v>5</v>
      </c>
      <c r="AB23" s="70">
        <v>5</v>
      </c>
      <c r="AC23" s="70">
        <v>5</v>
      </c>
      <c r="AD2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3" s="70" t="s">
        <v>4121</v>
      </c>
      <c r="AF23" s="70"/>
      <c r="AG23" s="70"/>
      <c r="AH23" s="70"/>
      <c r="AI23" s="70"/>
      <c r="AJ23" s="70" t="s">
        <v>4122</v>
      </c>
      <c r="AK23" s="70"/>
      <c r="AL23" s="70"/>
      <c r="AM23" s="70"/>
      <c r="AN23" s="70"/>
      <c r="AO23" s="70"/>
      <c r="AP23" s="70"/>
      <c r="AQ23" s="70"/>
      <c r="AR23" s="70"/>
      <c r="AS23" s="70"/>
      <c r="AT23" s="70"/>
      <c r="AU23" s="70" t="s">
        <v>4122</v>
      </c>
      <c r="AV23" s="70"/>
      <c r="AW23" s="70"/>
      <c r="AX23" s="70"/>
      <c r="AY23" s="70"/>
      <c r="AZ23" s="70" t="s">
        <v>4122</v>
      </c>
      <c r="BA23" s="70"/>
      <c r="BB23" s="70"/>
      <c r="BC23" s="70"/>
      <c r="BD23" s="70"/>
      <c r="BE23" s="70"/>
      <c r="BF23" s="70"/>
      <c r="BG23" s="70"/>
      <c r="BH23" s="130"/>
      <c r="BI23" s="130"/>
      <c r="BJ23" s="130"/>
      <c r="BK23" s="130"/>
      <c r="BL23" s="130"/>
      <c r="BM23" s="130"/>
      <c r="BN23" s="130" t="s">
        <v>4122</v>
      </c>
      <c r="BO23" s="130"/>
      <c r="BP23" s="130"/>
      <c r="BQ23" s="130"/>
      <c r="BR23" s="130"/>
    </row>
    <row r="24" spans="1:70" hidden="1" x14ac:dyDescent="0.25">
      <c r="A24" s="68">
        <v>3</v>
      </c>
      <c r="B24" s="70" t="s">
        <v>958</v>
      </c>
      <c r="C24" s="70" t="s">
        <v>959</v>
      </c>
      <c r="D24" s="70" t="s">
        <v>24</v>
      </c>
      <c r="E24" s="70"/>
      <c r="F24" s="70" t="s">
        <v>960</v>
      </c>
      <c r="G24" s="70">
        <v>2015</v>
      </c>
      <c r="H24" s="70" t="s">
        <v>961</v>
      </c>
      <c r="I24" s="78" t="s">
        <v>80</v>
      </c>
      <c r="J24" s="78" t="s">
        <v>80</v>
      </c>
      <c r="K24" s="78">
        <v>0.62</v>
      </c>
      <c r="L24" s="78">
        <v>4</v>
      </c>
      <c r="M24" s="70" t="s">
        <v>3675</v>
      </c>
      <c r="N24" s="70">
        <v>7</v>
      </c>
      <c r="O24" s="70">
        <v>5</v>
      </c>
      <c r="P24" s="90" t="s">
        <v>3268</v>
      </c>
      <c r="Q24" s="104" t="s">
        <v>3269</v>
      </c>
      <c r="R24" s="108" t="s">
        <v>3266</v>
      </c>
      <c r="S24" s="90" t="s">
        <v>3256</v>
      </c>
      <c r="T24" s="70" t="s">
        <v>1</v>
      </c>
      <c r="U24" s="70" t="s">
        <v>38</v>
      </c>
      <c r="V24" s="70" t="s">
        <v>69</v>
      </c>
      <c r="W24" s="70" t="s">
        <v>3336</v>
      </c>
      <c r="X24" s="70">
        <v>5</v>
      </c>
      <c r="Y24" s="70">
        <v>4</v>
      </c>
      <c r="Z24" s="70">
        <v>5</v>
      </c>
      <c r="AA24" s="70">
        <v>5</v>
      </c>
      <c r="AB24" s="70">
        <v>4</v>
      </c>
      <c r="AC24" s="70">
        <v>5</v>
      </c>
      <c r="AD2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4" s="70" t="s">
        <v>3250</v>
      </c>
      <c r="AF24" s="70"/>
      <c r="AG24" s="70"/>
      <c r="AH24" s="70"/>
      <c r="AI24" s="70" t="s">
        <v>4122</v>
      </c>
      <c r="AJ24" s="70"/>
      <c r="AK24" s="70"/>
      <c r="AL24" s="70"/>
      <c r="AM24" s="70"/>
      <c r="AN24" s="70"/>
      <c r="AO24" s="70"/>
      <c r="AP24" s="70"/>
      <c r="AQ24" s="70"/>
      <c r="AR24" s="70"/>
      <c r="AS24" s="70"/>
      <c r="AT24" s="70"/>
      <c r="AU24" s="70"/>
      <c r="AV24" s="70" t="s">
        <v>4122</v>
      </c>
      <c r="AW24" s="70"/>
      <c r="AX24" s="70"/>
      <c r="AY24" s="70"/>
      <c r="AZ24" s="70"/>
      <c r="BA24" s="70"/>
      <c r="BB24" s="70"/>
      <c r="BC24" s="70"/>
      <c r="BD24" s="70"/>
      <c r="BE24" s="70"/>
      <c r="BF24" s="70"/>
      <c r="BG24" s="70"/>
      <c r="BH24" s="130"/>
      <c r="BI24" s="130"/>
      <c r="BJ24" s="130"/>
      <c r="BK24" s="130" t="s">
        <v>4122</v>
      </c>
      <c r="BL24" s="130"/>
      <c r="BM24" s="130"/>
      <c r="BN24" s="130"/>
      <c r="BO24" s="130"/>
      <c r="BP24" s="130"/>
      <c r="BQ24" s="130"/>
      <c r="BR24" s="130"/>
    </row>
    <row r="25" spans="1:70" hidden="1" x14ac:dyDescent="0.25">
      <c r="A25" s="68">
        <v>205</v>
      </c>
      <c r="B25" s="70" t="s">
        <v>1431</v>
      </c>
      <c r="C25" s="70" t="s">
        <v>1432</v>
      </c>
      <c r="D25" s="70" t="s">
        <v>3990</v>
      </c>
      <c r="E25" s="70"/>
      <c r="F25" s="70" t="s">
        <v>1433</v>
      </c>
      <c r="G25" s="70">
        <v>2019</v>
      </c>
      <c r="H25" s="70" t="s">
        <v>1434</v>
      </c>
      <c r="I25" s="78" t="s">
        <v>80</v>
      </c>
      <c r="J25" s="78" t="s">
        <v>80</v>
      </c>
      <c r="K25" s="78" t="s">
        <v>80</v>
      </c>
      <c r="L25" s="78" t="s">
        <v>80</v>
      </c>
      <c r="M25" s="70" t="s">
        <v>3989</v>
      </c>
      <c r="N25" s="70">
        <v>0</v>
      </c>
      <c r="O25" s="70">
        <v>5</v>
      </c>
      <c r="P25" s="90" t="s">
        <v>3167</v>
      </c>
      <c r="Q25" s="104" t="s">
        <v>3619</v>
      </c>
      <c r="R25" s="108" t="s">
        <v>3266</v>
      </c>
      <c r="S25" s="90" t="s">
        <v>3239</v>
      </c>
      <c r="T25" s="70" t="s">
        <v>0</v>
      </c>
      <c r="U25" s="70" t="s">
        <v>38</v>
      </c>
      <c r="V25" s="70" t="s">
        <v>69</v>
      </c>
      <c r="W25" s="70" t="s">
        <v>3336</v>
      </c>
      <c r="X25" s="70">
        <v>5</v>
      </c>
      <c r="Y25" s="70">
        <v>5</v>
      </c>
      <c r="Z25" s="70">
        <v>5</v>
      </c>
      <c r="AA25" s="70">
        <v>5</v>
      </c>
      <c r="AB25" s="70">
        <v>5</v>
      </c>
      <c r="AC25" s="70">
        <v>5</v>
      </c>
      <c r="AD2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5" s="70" t="s">
        <v>3620</v>
      </c>
      <c r="AF25" s="70"/>
      <c r="AG25" s="70"/>
      <c r="AH25" s="70"/>
      <c r="AI25" s="70"/>
      <c r="AJ25" s="70"/>
      <c r="AK25" s="70"/>
      <c r="AL25" s="70"/>
      <c r="AM25" s="70"/>
      <c r="AN25" s="70"/>
      <c r="AO25" s="70"/>
      <c r="AP25" s="70"/>
      <c r="AQ25" s="70" t="s">
        <v>4122</v>
      </c>
      <c r="AR25" s="70"/>
      <c r="AS25" s="70"/>
      <c r="AT25" s="70"/>
      <c r="AU25" s="70"/>
      <c r="AV25" s="70"/>
      <c r="AW25" s="70"/>
      <c r="AX25" s="70"/>
      <c r="AY25" s="70"/>
      <c r="AZ25" s="70"/>
      <c r="BA25" s="70" t="s">
        <v>4122</v>
      </c>
      <c r="BB25" s="70"/>
      <c r="BC25" s="70"/>
      <c r="BD25" s="70"/>
      <c r="BE25" s="70"/>
      <c r="BF25" s="70"/>
      <c r="BG25" s="70"/>
      <c r="BH25" s="130"/>
      <c r="BI25" s="130"/>
      <c r="BJ25" s="130"/>
      <c r="BK25" s="130" t="s">
        <v>4122</v>
      </c>
      <c r="BL25" s="130"/>
      <c r="BM25" s="130"/>
      <c r="BN25" s="130"/>
      <c r="BO25" s="130"/>
      <c r="BP25" s="130"/>
      <c r="BQ25" s="130"/>
      <c r="BR25" s="130"/>
    </row>
    <row r="26" spans="1:70" hidden="1" x14ac:dyDescent="0.25">
      <c r="A26" s="68">
        <v>34</v>
      </c>
      <c r="B26" s="70" t="s">
        <v>999</v>
      </c>
      <c r="C26" s="70" t="s">
        <v>1000</v>
      </c>
      <c r="D26" s="70" t="s">
        <v>22</v>
      </c>
      <c r="E26" s="70"/>
      <c r="F26" s="70" t="s">
        <v>1001</v>
      </c>
      <c r="G26" s="70">
        <v>2018</v>
      </c>
      <c r="H26" s="70" t="s">
        <v>1002</v>
      </c>
      <c r="I26" s="78" t="s">
        <v>80</v>
      </c>
      <c r="J26" s="78" t="s">
        <v>80</v>
      </c>
      <c r="K26" s="78">
        <v>0.55000000000000004</v>
      </c>
      <c r="L26" s="78">
        <v>5</v>
      </c>
      <c r="M26" s="70" t="s">
        <v>3725</v>
      </c>
      <c r="N26" s="70">
        <v>0</v>
      </c>
      <c r="O26" s="70">
        <v>5</v>
      </c>
      <c r="P26" s="90" t="s">
        <v>3158</v>
      </c>
      <c r="Q26" s="104" t="s">
        <v>3362</v>
      </c>
      <c r="R26" s="108" t="s">
        <v>3361</v>
      </c>
      <c r="S26" s="90" t="s">
        <v>3239</v>
      </c>
      <c r="T26" s="70" t="s">
        <v>1</v>
      </c>
      <c r="U26" s="70" t="s">
        <v>38</v>
      </c>
      <c r="V26" s="70" t="s">
        <v>69</v>
      </c>
      <c r="W26" s="70" t="s">
        <v>3336</v>
      </c>
      <c r="X26" s="70">
        <v>5</v>
      </c>
      <c r="Y26" s="70">
        <v>5</v>
      </c>
      <c r="Z26" s="70">
        <v>5</v>
      </c>
      <c r="AA26" s="70">
        <v>5</v>
      </c>
      <c r="AB26" s="70">
        <v>5</v>
      </c>
      <c r="AC26" s="70">
        <v>5</v>
      </c>
      <c r="AD2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26" s="70" t="s">
        <v>56</v>
      </c>
      <c r="AF26" s="70"/>
      <c r="AG26" s="70"/>
      <c r="AH26" s="70"/>
      <c r="AI26" s="70"/>
      <c r="AJ26" s="70" t="s">
        <v>4122</v>
      </c>
      <c r="AK26" s="70"/>
      <c r="AL26" s="70"/>
      <c r="AM26" s="70"/>
      <c r="AN26" s="70"/>
      <c r="AO26" s="70"/>
      <c r="AP26" s="70"/>
      <c r="AQ26" s="70"/>
      <c r="AR26" s="70"/>
      <c r="AS26" s="70"/>
      <c r="AT26" s="70"/>
      <c r="AU26" s="70"/>
      <c r="AV26" s="70"/>
      <c r="AW26" s="70"/>
      <c r="AX26" s="70"/>
      <c r="AY26" s="70"/>
      <c r="AZ26" s="70"/>
      <c r="BA26" s="70" t="s">
        <v>4122</v>
      </c>
      <c r="BB26" s="70"/>
      <c r="BC26" s="70"/>
      <c r="BD26" s="70"/>
      <c r="BE26" s="70"/>
      <c r="BF26" s="70"/>
      <c r="BG26" s="70"/>
      <c r="BH26" s="130"/>
      <c r="BI26" s="130"/>
      <c r="BJ26" s="130"/>
      <c r="BK26" s="130"/>
      <c r="BL26" s="130"/>
      <c r="BM26" s="130"/>
      <c r="BN26" s="130" t="s">
        <v>4122</v>
      </c>
      <c r="BO26" s="130"/>
      <c r="BP26" s="130"/>
      <c r="BQ26" s="130"/>
      <c r="BR26" s="130"/>
    </row>
    <row r="27" spans="1:70" hidden="1" x14ac:dyDescent="0.25">
      <c r="A27" s="68">
        <v>157</v>
      </c>
      <c r="B27" s="70" t="s">
        <v>2498</v>
      </c>
      <c r="C27" s="70" t="s">
        <v>2499</v>
      </c>
      <c r="D27" s="70" t="s">
        <v>3920</v>
      </c>
      <c r="E27" s="70"/>
      <c r="F27" s="70" t="s">
        <v>2500</v>
      </c>
      <c r="G27" s="70">
        <v>2017</v>
      </c>
      <c r="H27" s="70" t="s">
        <v>2501</v>
      </c>
      <c r="I27" s="78" t="s">
        <v>80</v>
      </c>
      <c r="J27" s="78" t="s">
        <v>124</v>
      </c>
      <c r="K27" s="78" t="s">
        <v>80</v>
      </c>
      <c r="L27" s="78" t="s">
        <v>80</v>
      </c>
      <c r="M27" s="70" t="s">
        <v>3919</v>
      </c>
      <c r="N27" s="70">
        <v>7</v>
      </c>
      <c r="O27" s="70">
        <v>5</v>
      </c>
      <c r="P27" s="90" t="s">
        <v>3562</v>
      </c>
      <c r="Q27" s="104" t="s">
        <v>3380</v>
      </c>
      <c r="R27" s="108" t="s">
        <v>3563</v>
      </c>
      <c r="S27" s="90" t="s">
        <v>3257</v>
      </c>
      <c r="T27" s="70" t="s">
        <v>0</v>
      </c>
      <c r="U27" s="70" t="s">
        <v>38</v>
      </c>
      <c r="V27" s="70" t="s">
        <v>69</v>
      </c>
      <c r="W27" s="70" t="s">
        <v>3336</v>
      </c>
      <c r="X27" s="70">
        <v>5</v>
      </c>
      <c r="Y27" s="70">
        <v>5</v>
      </c>
      <c r="Z27" s="70">
        <v>5</v>
      </c>
      <c r="AA27" s="70">
        <v>5</v>
      </c>
      <c r="AB27" s="70">
        <v>5</v>
      </c>
      <c r="AC27" s="70">
        <v>5</v>
      </c>
      <c r="AD2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7" s="70" t="s">
        <v>3564</v>
      </c>
      <c r="AF27" s="70"/>
      <c r="AG27" s="70"/>
      <c r="AH27" s="70" t="s">
        <v>4122</v>
      </c>
      <c r="AI27" s="70"/>
      <c r="AJ27" s="70"/>
      <c r="AK27" s="70"/>
      <c r="AL27" s="70"/>
      <c r="AM27" s="70" t="s">
        <v>4122</v>
      </c>
      <c r="AN27" s="70"/>
      <c r="AO27" s="70"/>
      <c r="AP27" s="70"/>
      <c r="AQ27" s="70"/>
      <c r="AR27" s="70"/>
      <c r="AS27" s="70"/>
      <c r="AT27" s="70"/>
      <c r="AU27" s="70"/>
      <c r="AV27" s="70"/>
      <c r="AW27" s="70" t="s">
        <v>4122</v>
      </c>
      <c r="AX27" s="70"/>
      <c r="AY27" s="70"/>
      <c r="AZ27" s="70"/>
      <c r="BA27" s="70"/>
      <c r="BB27" s="70"/>
      <c r="BC27" s="70"/>
      <c r="BD27" s="70"/>
      <c r="BE27" s="70"/>
      <c r="BF27" s="70"/>
      <c r="BG27" s="70"/>
      <c r="BH27" s="130"/>
      <c r="BI27" s="130" t="s">
        <v>4122</v>
      </c>
      <c r="BJ27" s="130"/>
      <c r="BK27" s="130" t="s">
        <v>4122</v>
      </c>
      <c r="BL27" s="130"/>
      <c r="BM27" s="130"/>
      <c r="BN27" s="130"/>
      <c r="BO27" s="130"/>
      <c r="BP27" s="130" t="s">
        <v>4122</v>
      </c>
      <c r="BQ27" s="130"/>
      <c r="BR27" s="130"/>
    </row>
    <row r="28" spans="1:70" hidden="1" x14ac:dyDescent="0.25">
      <c r="A28" s="68">
        <v>226</v>
      </c>
      <c r="B28" s="70" t="s">
        <v>1809</v>
      </c>
      <c r="C28" s="70" t="s">
        <v>1810</v>
      </c>
      <c r="D28" s="70" t="s">
        <v>121</v>
      </c>
      <c r="E28" s="70"/>
      <c r="F28" s="70" t="s">
        <v>1811</v>
      </c>
      <c r="G28" s="70">
        <v>2017</v>
      </c>
      <c r="H28" s="70" t="s">
        <v>1812</v>
      </c>
      <c r="I28" s="78" t="s">
        <v>80</v>
      </c>
      <c r="J28" s="78" t="s">
        <v>80</v>
      </c>
      <c r="K28" s="78">
        <v>0.73</v>
      </c>
      <c r="L28" s="78">
        <v>5</v>
      </c>
      <c r="M28" s="70" t="s">
        <v>4018</v>
      </c>
      <c r="N28" s="70">
        <v>17</v>
      </c>
      <c r="O28" s="70">
        <v>4</v>
      </c>
      <c r="P28" s="90" t="s">
        <v>3385</v>
      </c>
      <c r="Q28" s="104" t="s">
        <v>3351</v>
      </c>
      <c r="R28" s="108" t="s">
        <v>3361</v>
      </c>
      <c r="S28" s="90" t="s">
        <v>3239</v>
      </c>
      <c r="T28" s="70" t="s">
        <v>0</v>
      </c>
      <c r="U28" s="70" t="s">
        <v>3622</v>
      </c>
      <c r="V28" s="70" t="s">
        <v>69</v>
      </c>
      <c r="W28" s="70" t="s">
        <v>3631</v>
      </c>
      <c r="X28" s="70">
        <v>4</v>
      </c>
      <c r="Y28" s="70">
        <v>4</v>
      </c>
      <c r="Z28" s="70">
        <v>4</v>
      </c>
      <c r="AA28" s="70">
        <v>4</v>
      </c>
      <c r="AB28" s="70">
        <v>4</v>
      </c>
      <c r="AC28" s="70">
        <v>4</v>
      </c>
      <c r="AD2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28" s="70" t="s">
        <v>3636</v>
      </c>
      <c r="AF28" s="70"/>
      <c r="AG28" s="70"/>
      <c r="AH28" s="70"/>
      <c r="AI28" s="70"/>
      <c r="AJ28" s="70" t="s">
        <v>4122</v>
      </c>
      <c r="AK28" s="70"/>
      <c r="AL28" s="70"/>
      <c r="AM28" s="70" t="s">
        <v>4122</v>
      </c>
      <c r="AN28" s="70"/>
      <c r="AO28" s="70"/>
      <c r="AP28" s="70"/>
      <c r="AQ28" s="70"/>
      <c r="AR28" s="70"/>
      <c r="AS28" s="70"/>
      <c r="AT28" s="70"/>
      <c r="AU28" s="70"/>
      <c r="AV28" s="70"/>
      <c r="AW28" s="70"/>
      <c r="AX28" s="70"/>
      <c r="AY28" s="70"/>
      <c r="AZ28" s="70"/>
      <c r="BA28" s="70"/>
      <c r="BB28" s="70"/>
      <c r="BC28" s="70"/>
      <c r="BD28" s="70" t="s">
        <v>4122</v>
      </c>
      <c r="BE28" s="70"/>
      <c r="BF28" s="70"/>
      <c r="BG28" s="70"/>
      <c r="BH28" s="130"/>
      <c r="BI28" s="130"/>
      <c r="BJ28" s="130"/>
      <c r="BK28" s="130"/>
      <c r="BL28" s="130"/>
      <c r="BM28" s="130"/>
      <c r="BN28" s="130" t="s">
        <v>4122</v>
      </c>
      <c r="BO28" s="130"/>
      <c r="BP28" s="130"/>
      <c r="BQ28" s="130"/>
      <c r="BR28" s="130"/>
    </row>
    <row r="29" spans="1:70" hidden="1" x14ac:dyDescent="0.25">
      <c r="A29" s="68">
        <v>120</v>
      </c>
      <c r="B29" s="70" t="s">
        <v>2977</v>
      </c>
      <c r="C29" s="70" t="s">
        <v>2978</v>
      </c>
      <c r="D29" s="70" t="s">
        <v>1193</v>
      </c>
      <c r="E29" s="70"/>
      <c r="F29" s="70" t="s">
        <v>2979</v>
      </c>
      <c r="G29" s="70">
        <v>2017</v>
      </c>
      <c r="H29" s="70" t="s">
        <v>2980</v>
      </c>
      <c r="I29" s="78" t="s">
        <v>80</v>
      </c>
      <c r="J29" s="78" t="s">
        <v>80</v>
      </c>
      <c r="K29" s="78">
        <v>0.62</v>
      </c>
      <c r="L29" s="78">
        <v>4</v>
      </c>
      <c r="M29" s="70" t="s">
        <v>3862</v>
      </c>
      <c r="N29" s="70">
        <v>17</v>
      </c>
      <c r="O29" s="70">
        <v>5</v>
      </c>
      <c r="P29" s="90" t="s">
        <v>3165</v>
      </c>
      <c r="Q29" s="104" t="s">
        <v>3467</v>
      </c>
      <c r="R29" s="108" t="s">
        <v>3361</v>
      </c>
      <c r="S29" s="90" t="s">
        <v>3312</v>
      </c>
      <c r="T29" s="70" t="s">
        <v>1</v>
      </c>
      <c r="U29" s="70" t="s">
        <v>38</v>
      </c>
      <c r="V29" s="70" t="s">
        <v>69</v>
      </c>
      <c r="W29" s="70" t="s">
        <v>3336</v>
      </c>
      <c r="X29" s="70">
        <v>5</v>
      </c>
      <c r="Y29" s="70">
        <v>5</v>
      </c>
      <c r="Z29" s="70">
        <v>5</v>
      </c>
      <c r="AA29" s="70">
        <v>5</v>
      </c>
      <c r="AB29" s="70">
        <v>5</v>
      </c>
      <c r="AC29" s="70">
        <v>5</v>
      </c>
      <c r="AD2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9" s="70" t="s">
        <v>59</v>
      </c>
      <c r="AF29" s="70"/>
      <c r="AG29" s="70"/>
      <c r="AH29" s="70"/>
      <c r="AI29" s="70"/>
      <c r="AJ29" s="70"/>
      <c r="AK29" s="70"/>
      <c r="AL29" s="70"/>
      <c r="AM29" s="70" t="s">
        <v>4122</v>
      </c>
      <c r="AN29" s="70"/>
      <c r="AO29" s="70"/>
      <c r="AP29" s="70"/>
      <c r="AQ29" s="70"/>
      <c r="AR29" s="70"/>
      <c r="AS29" s="70"/>
      <c r="AT29" s="70"/>
      <c r="AU29" s="70"/>
      <c r="AV29" s="70"/>
      <c r="AW29" s="70"/>
      <c r="AX29" s="70"/>
      <c r="AY29" s="70"/>
      <c r="AZ29" s="70"/>
      <c r="BA29" s="70"/>
      <c r="BB29" s="70" t="s">
        <v>4122</v>
      </c>
      <c r="BC29" s="70"/>
      <c r="BD29" s="70"/>
      <c r="BE29" s="70"/>
      <c r="BF29" s="70"/>
      <c r="BG29" s="70"/>
      <c r="BH29" s="130"/>
      <c r="BI29" s="130"/>
      <c r="BJ29" s="130"/>
      <c r="BK29" s="130"/>
      <c r="BL29" s="130"/>
      <c r="BM29" s="130"/>
      <c r="BN29" s="130" t="s">
        <v>4122</v>
      </c>
      <c r="BO29" s="130"/>
      <c r="BP29" s="130"/>
      <c r="BQ29" s="130"/>
      <c r="BR29" s="130"/>
    </row>
    <row r="30" spans="1:70" hidden="1" x14ac:dyDescent="0.25">
      <c r="A30" s="68">
        <v>35</v>
      </c>
      <c r="B30" s="70" t="s">
        <v>1003</v>
      </c>
      <c r="C30" s="70" t="s">
        <v>1004</v>
      </c>
      <c r="D30" s="70" t="s">
        <v>953</v>
      </c>
      <c r="E30" s="70"/>
      <c r="F30" s="70" t="s">
        <v>1005</v>
      </c>
      <c r="G30" s="70">
        <v>2012</v>
      </c>
      <c r="H30" s="70" t="s">
        <v>1006</v>
      </c>
      <c r="I30" s="78" t="s">
        <v>80</v>
      </c>
      <c r="J30" s="78" t="s">
        <v>80</v>
      </c>
      <c r="K30" s="78">
        <v>0.32</v>
      </c>
      <c r="L30" s="78">
        <v>3</v>
      </c>
      <c r="M30" s="70" t="s">
        <v>3726</v>
      </c>
      <c r="N30" s="70">
        <v>30</v>
      </c>
      <c r="O30" s="70">
        <v>5</v>
      </c>
      <c r="P30" s="90" t="s">
        <v>3244</v>
      </c>
      <c r="Q30" s="104" t="s">
        <v>3190</v>
      </c>
      <c r="R30" s="108" t="s">
        <v>3204</v>
      </c>
      <c r="S30" s="90" t="s">
        <v>3239</v>
      </c>
      <c r="T30" s="70" t="s">
        <v>0</v>
      </c>
      <c r="U30" s="70" t="s">
        <v>38</v>
      </c>
      <c r="V30" s="70" t="s">
        <v>69</v>
      </c>
      <c r="W30" s="70" t="s">
        <v>3363</v>
      </c>
      <c r="X30" s="70">
        <v>5</v>
      </c>
      <c r="Y30" s="70">
        <v>5</v>
      </c>
      <c r="Z30" s="70">
        <v>5</v>
      </c>
      <c r="AA30" s="70">
        <v>5</v>
      </c>
      <c r="AB30" s="70">
        <v>5</v>
      </c>
      <c r="AC30" s="70">
        <v>5</v>
      </c>
      <c r="AD3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30" s="70" t="s">
        <v>57</v>
      </c>
      <c r="AF30" s="70"/>
      <c r="AG30" s="70"/>
      <c r="AH30" s="70"/>
      <c r="AI30" s="70"/>
      <c r="AJ30" s="70" t="s">
        <v>4122</v>
      </c>
      <c r="AK30" s="70"/>
      <c r="AL30" s="70"/>
      <c r="AM30" s="70"/>
      <c r="AN30" s="70"/>
      <c r="AO30" s="70"/>
      <c r="AP30" s="70"/>
      <c r="AQ30" s="70"/>
      <c r="AR30" s="70"/>
      <c r="AS30" s="70"/>
      <c r="AT30" s="70"/>
      <c r="AU30" s="70"/>
      <c r="AV30" s="70"/>
      <c r="AW30" s="70"/>
      <c r="AX30" s="70" t="s">
        <v>4122</v>
      </c>
      <c r="AY30" s="70"/>
      <c r="AZ30" s="70"/>
      <c r="BA30" s="70"/>
      <c r="BB30" s="70"/>
      <c r="BC30" s="70"/>
      <c r="BD30" s="70"/>
      <c r="BE30" s="70"/>
      <c r="BF30" s="70"/>
      <c r="BG30" s="70"/>
      <c r="BH30" s="130"/>
      <c r="BI30" s="130"/>
      <c r="BJ30" s="130"/>
      <c r="BK30" s="130"/>
      <c r="BL30" s="130"/>
      <c r="BM30" s="130"/>
      <c r="BN30" s="130" t="s">
        <v>4122</v>
      </c>
      <c r="BO30" s="130"/>
      <c r="BP30" s="130"/>
      <c r="BQ30" s="130"/>
      <c r="BR30" s="130"/>
    </row>
    <row r="31" spans="1:70" hidden="1" x14ac:dyDescent="0.25">
      <c r="A31" s="68">
        <v>158</v>
      </c>
      <c r="B31" s="70" t="s">
        <v>2594</v>
      </c>
      <c r="C31" s="70" t="s">
        <v>2595</v>
      </c>
      <c r="D31" s="70" t="s">
        <v>3922</v>
      </c>
      <c r="E31" s="70"/>
      <c r="F31" s="70" t="s">
        <v>2596</v>
      </c>
      <c r="G31" s="70">
        <v>2019</v>
      </c>
      <c r="H31" s="70" t="s">
        <v>2597</v>
      </c>
      <c r="I31" s="78" t="s">
        <v>71</v>
      </c>
      <c r="J31" s="78" t="s">
        <v>80</v>
      </c>
      <c r="K31" s="78" t="s">
        <v>80</v>
      </c>
      <c r="L31" s="78" t="s">
        <v>80</v>
      </c>
      <c r="M31" s="70" t="s">
        <v>3921</v>
      </c>
      <c r="N31" s="70">
        <v>0</v>
      </c>
      <c r="O31" s="70">
        <v>4</v>
      </c>
      <c r="P31" s="90" t="s">
        <v>3387</v>
      </c>
      <c r="Q31" s="104" t="s">
        <v>3258</v>
      </c>
      <c r="R31" s="108" t="s">
        <v>3565</v>
      </c>
      <c r="S31" s="90" t="s">
        <v>3524</v>
      </c>
      <c r="T31" s="70" t="s">
        <v>20</v>
      </c>
      <c r="U31" s="70" t="s">
        <v>38</v>
      </c>
      <c r="V31" s="70" t="s">
        <v>69</v>
      </c>
      <c r="W31" s="70" t="s">
        <v>3336</v>
      </c>
      <c r="X31" s="70">
        <v>5</v>
      </c>
      <c r="Y31" s="70">
        <v>5</v>
      </c>
      <c r="Z31" s="70">
        <v>5</v>
      </c>
      <c r="AA31" s="70">
        <v>4</v>
      </c>
      <c r="AB31" s="70">
        <v>5</v>
      </c>
      <c r="AC31" s="70">
        <v>5</v>
      </c>
      <c r="AD3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31" s="70" t="s">
        <v>59</v>
      </c>
      <c r="AF31" s="70"/>
      <c r="AG31" s="70"/>
      <c r="AH31" s="70" t="s">
        <v>4122</v>
      </c>
      <c r="AI31" s="70"/>
      <c r="AJ31" s="70"/>
      <c r="AK31" s="70"/>
      <c r="AL31" s="70"/>
      <c r="AM31" s="70" t="s">
        <v>4122</v>
      </c>
      <c r="AN31" s="70"/>
      <c r="AO31" s="70"/>
      <c r="AP31" s="70"/>
      <c r="AQ31" s="70"/>
      <c r="AR31" s="70"/>
      <c r="AS31" s="70"/>
      <c r="AT31" s="70" t="s">
        <v>4122</v>
      </c>
      <c r="AU31" s="70"/>
      <c r="AV31" s="70"/>
      <c r="AW31" s="70"/>
      <c r="AX31" s="70"/>
      <c r="AY31" s="70"/>
      <c r="AZ31" s="70"/>
      <c r="BA31" s="70"/>
      <c r="BB31" s="70"/>
      <c r="BC31" s="70"/>
      <c r="BD31" s="70"/>
      <c r="BE31" s="70"/>
      <c r="BF31" s="70"/>
      <c r="BG31" s="70"/>
      <c r="BH31" s="130"/>
      <c r="BI31" s="130"/>
      <c r="BJ31" s="130"/>
      <c r="BK31" s="130" t="s">
        <v>4122</v>
      </c>
      <c r="BL31" s="130" t="s">
        <v>4122</v>
      </c>
      <c r="BM31" s="130"/>
      <c r="BN31" s="130"/>
      <c r="BO31" s="130"/>
      <c r="BP31" s="130"/>
      <c r="BQ31" s="130"/>
      <c r="BR31" s="130"/>
    </row>
    <row r="32" spans="1:70" hidden="1" x14ac:dyDescent="0.25">
      <c r="A32" s="68">
        <v>28</v>
      </c>
      <c r="B32" s="70" t="s">
        <v>1787</v>
      </c>
      <c r="C32" s="70" t="s">
        <v>138</v>
      </c>
      <c r="D32" s="70" t="s">
        <v>3694</v>
      </c>
      <c r="E32" s="70"/>
      <c r="F32" s="70" t="s">
        <v>2333</v>
      </c>
      <c r="G32" s="70">
        <v>2016</v>
      </c>
      <c r="H32" s="70" t="s">
        <v>2334</v>
      </c>
      <c r="I32" s="78" t="s">
        <v>80</v>
      </c>
      <c r="J32" s="78" t="s">
        <v>80</v>
      </c>
      <c r="K32" s="78" t="s">
        <v>80</v>
      </c>
      <c r="L32" s="78" t="s">
        <v>80</v>
      </c>
      <c r="M32" s="70" t="s">
        <v>3714</v>
      </c>
      <c r="N32" s="70">
        <v>15</v>
      </c>
      <c r="O32" s="70">
        <v>5</v>
      </c>
      <c r="P32" s="90" t="s">
        <v>3352</v>
      </c>
      <c r="Q32" s="104" t="s">
        <v>3353</v>
      </c>
      <c r="R32" s="108" t="s">
        <v>3209</v>
      </c>
      <c r="S32" s="90" t="s">
        <v>3239</v>
      </c>
      <c r="T32" s="70" t="s">
        <v>0</v>
      </c>
      <c r="U32" s="70" t="s">
        <v>38</v>
      </c>
      <c r="V32" s="70" t="s">
        <v>69</v>
      </c>
      <c r="W32" s="70" t="s">
        <v>3336</v>
      </c>
      <c r="X32" s="70">
        <v>5</v>
      </c>
      <c r="Y32" s="70">
        <v>5</v>
      </c>
      <c r="Z32" s="70">
        <v>5</v>
      </c>
      <c r="AA32" s="70">
        <v>5</v>
      </c>
      <c r="AB32" s="70">
        <v>5</v>
      </c>
      <c r="AC32" s="70">
        <v>5</v>
      </c>
      <c r="AD3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32" s="70" t="s">
        <v>56</v>
      </c>
      <c r="AF32" s="70"/>
      <c r="AG32" s="70"/>
      <c r="AH32" s="70"/>
      <c r="AI32" s="70"/>
      <c r="AJ32" s="70" t="s">
        <v>4122</v>
      </c>
      <c r="AK32" s="70"/>
      <c r="AL32" s="70"/>
      <c r="AM32" s="70"/>
      <c r="AN32" s="70"/>
      <c r="AO32" s="70"/>
      <c r="AP32" s="70"/>
      <c r="AQ32" s="70"/>
      <c r="AR32" s="70"/>
      <c r="AS32" s="70"/>
      <c r="AT32" s="70"/>
      <c r="AU32" s="70"/>
      <c r="AV32" s="70"/>
      <c r="AW32" s="70"/>
      <c r="AX32" s="70"/>
      <c r="AY32" s="70"/>
      <c r="AZ32" s="70"/>
      <c r="BA32" s="70"/>
      <c r="BB32" s="70"/>
      <c r="BC32" s="70"/>
      <c r="BD32" s="70" t="s">
        <v>4122</v>
      </c>
      <c r="BE32" s="70"/>
      <c r="BF32" s="70"/>
      <c r="BG32" s="70"/>
      <c r="BH32" s="130"/>
      <c r="BI32" s="130"/>
      <c r="BJ32" s="130"/>
      <c r="BK32" s="130"/>
      <c r="BL32" s="130"/>
      <c r="BM32" s="130"/>
      <c r="BN32" s="130" t="s">
        <v>4122</v>
      </c>
      <c r="BO32" s="130"/>
      <c r="BP32" s="130"/>
      <c r="BQ32" s="130"/>
      <c r="BR32" s="130"/>
    </row>
    <row r="33" spans="1:100" hidden="1" x14ac:dyDescent="0.25">
      <c r="A33" s="68">
        <v>145</v>
      </c>
      <c r="B33" s="70" t="s">
        <v>1080</v>
      </c>
      <c r="C33" s="70" t="s">
        <v>1081</v>
      </c>
      <c r="D33" s="70" t="s">
        <v>22</v>
      </c>
      <c r="E33" s="70"/>
      <c r="F33" s="70" t="s">
        <v>1082</v>
      </c>
      <c r="G33" s="70">
        <v>2018</v>
      </c>
      <c r="H33" s="70" t="s">
        <v>1083</v>
      </c>
      <c r="I33" s="78" t="s">
        <v>80</v>
      </c>
      <c r="J33" s="78" t="s">
        <v>80</v>
      </c>
      <c r="K33" s="78">
        <v>0.55000000000000004</v>
      </c>
      <c r="L33" s="78">
        <v>5</v>
      </c>
      <c r="M33" s="70" t="s">
        <v>3900</v>
      </c>
      <c r="N33" s="70">
        <v>15</v>
      </c>
      <c r="O33" s="70">
        <v>5</v>
      </c>
      <c r="P33" s="90" t="s">
        <v>3244</v>
      </c>
      <c r="Q33" s="104" t="s">
        <v>3540</v>
      </c>
      <c r="R33" s="108" t="s">
        <v>3539</v>
      </c>
      <c r="S33" s="90" t="s">
        <v>3239</v>
      </c>
      <c r="T33" s="70" t="s">
        <v>1</v>
      </c>
      <c r="U33" s="70" t="s">
        <v>38</v>
      </c>
      <c r="V33" s="70" t="s">
        <v>69</v>
      </c>
      <c r="W33" s="70" t="s">
        <v>3336</v>
      </c>
      <c r="X33" s="70">
        <v>5</v>
      </c>
      <c r="Y33" s="70">
        <v>5</v>
      </c>
      <c r="Z33" s="70">
        <v>5</v>
      </c>
      <c r="AA33" s="70">
        <v>5</v>
      </c>
      <c r="AB33" s="70">
        <v>5</v>
      </c>
      <c r="AC33" s="70">
        <v>5</v>
      </c>
      <c r="AD3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33" s="70" t="s">
        <v>3317</v>
      </c>
      <c r="AF33" s="70"/>
      <c r="AG33" s="70"/>
      <c r="AH33" s="70"/>
      <c r="AI33" s="70"/>
      <c r="AJ33" s="70"/>
      <c r="AK33" s="70"/>
      <c r="AL33" s="70"/>
      <c r="AM33" s="70"/>
      <c r="AN33" s="70" t="s">
        <v>4122</v>
      </c>
      <c r="AO33" s="70"/>
      <c r="AP33" s="70"/>
      <c r="AQ33" s="70"/>
      <c r="AR33" s="70"/>
      <c r="AS33" s="70"/>
      <c r="AT33" s="70"/>
      <c r="AU33" s="70"/>
      <c r="AV33" s="70"/>
      <c r="AW33" s="70"/>
      <c r="AX33" s="70"/>
      <c r="AY33" s="70"/>
      <c r="AZ33" s="70"/>
      <c r="BA33" s="70"/>
      <c r="BB33" s="70"/>
      <c r="BC33" s="70"/>
      <c r="BD33" s="70"/>
      <c r="BE33" s="70" t="s">
        <v>4122</v>
      </c>
      <c r="BF33" s="70"/>
      <c r="BG33" s="70"/>
      <c r="BH33" s="130"/>
      <c r="BI33" s="130" t="s">
        <v>4122</v>
      </c>
      <c r="BJ33" s="130"/>
      <c r="BK33" s="130"/>
      <c r="BL33" s="130"/>
      <c r="BM33" s="130"/>
      <c r="BN33" s="130"/>
      <c r="BO33" s="130"/>
      <c r="BP33" s="130"/>
      <c r="BQ33" s="130"/>
      <c r="BR33" s="130"/>
    </row>
    <row r="34" spans="1:100" hidden="1" x14ac:dyDescent="0.25">
      <c r="A34" s="68">
        <v>55</v>
      </c>
      <c r="B34" s="110" t="s">
        <v>491</v>
      </c>
      <c r="C34" s="110" t="s">
        <v>492</v>
      </c>
      <c r="D34" s="110" t="s">
        <v>3756</v>
      </c>
      <c r="E34" s="110" t="s">
        <v>941</v>
      </c>
      <c r="F34" s="110" t="s">
        <v>493</v>
      </c>
      <c r="G34" s="110">
        <v>2015</v>
      </c>
      <c r="H34" s="110" t="s">
        <v>494</v>
      </c>
      <c r="I34" s="111" t="s">
        <v>80</v>
      </c>
      <c r="J34" s="111" t="s">
        <v>85</v>
      </c>
      <c r="K34" s="111" t="s">
        <v>80</v>
      </c>
      <c r="L34" s="111" t="s">
        <v>80</v>
      </c>
      <c r="M34" s="110" t="s">
        <v>3757</v>
      </c>
      <c r="N34" s="110">
        <v>15</v>
      </c>
      <c r="O34" s="110">
        <v>5</v>
      </c>
      <c r="P34" s="110" t="s">
        <v>3397</v>
      </c>
      <c r="Q34" s="110" t="s">
        <v>3182</v>
      </c>
      <c r="R34" s="110" t="s">
        <v>4134</v>
      </c>
      <c r="S34" s="110" t="s">
        <v>3187</v>
      </c>
      <c r="T34" s="110" t="s">
        <v>1</v>
      </c>
      <c r="U34" s="110" t="s">
        <v>38</v>
      </c>
      <c r="V34" s="110" t="s">
        <v>69</v>
      </c>
      <c r="W34" s="110" t="s">
        <v>3399</v>
      </c>
      <c r="X34" s="110">
        <v>5</v>
      </c>
      <c r="Y34" s="110">
        <v>5</v>
      </c>
      <c r="Z34" s="110">
        <v>5</v>
      </c>
      <c r="AA34" s="110">
        <v>5</v>
      </c>
      <c r="AB34" s="110">
        <v>5</v>
      </c>
      <c r="AC34" s="110">
        <v>5</v>
      </c>
      <c r="AD3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34" s="110" t="s">
        <v>3365</v>
      </c>
      <c r="AF34" s="70"/>
      <c r="AG34" s="70"/>
      <c r="AH34" s="70"/>
      <c r="AI34" s="70"/>
      <c r="AJ34" s="70" t="s">
        <v>4122</v>
      </c>
      <c r="AK34" s="70"/>
      <c r="AL34" s="70"/>
      <c r="AM34" s="70"/>
      <c r="AN34" s="70"/>
      <c r="AO34" s="70"/>
      <c r="AP34" s="70"/>
      <c r="AQ34" s="70"/>
      <c r="AR34" s="70"/>
      <c r="AS34" s="70"/>
      <c r="AT34" s="70"/>
      <c r="AU34" s="70"/>
      <c r="AV34" s="70"/>
      <c r="AW34" s="70"/>
      <c r="AX34" s="70"/>
      <c r="AY34" s="70"/>
      <c r="AZ34" s="70"/>
      <c r="BA34" s="70"/>
      <c r="BB34" s="70" t="s">
        <v>4122</v>
      </c>
      <c r="BC34" s="70"/>
      <c r="BD34" s="70"/>
      <c r="BE34" s="70"/>
      <c r="BF34" s="70"/>
      <c r="BG34" s="70"/>
      <c r="BH34" s="130"/>
      <c r="BI34" s="130"/>
      <c r="BJ34" s="130" t="s">
        <v>4122</v>
      </c>
      <c r="BK34" s="130"/>
      <c r="BL34" s="130"/>
      <c r="BM34" s="130"/>
      <c r="BN34" s="130"/>
      <c r="BO34" s="130"/>
      <c r="BP34" s="130"/>
      <c r="BQ34" s="130"/>
      <c r="BR34" s="130"/>
    </row>
    <row r="35" spans="1:100" s="8" customFormat="1" x14ac:dyDescent="0.25">
      <c r="A35" s="68">
        <v>97</v>
      </c>
      <c r="B35" s="70" t="s">
        <v>161</v>
      </c>
      <c r="C35" s="70" t="s">
        <v>162</v>
      </c>
      <c r="D35" s="70" t="s">
        <v>3824</v>
      </c>
      <c r="E35" s="70" t="s">
        <v>325</v>
      </c>
      <c r="F35" s="70" t="s">
        <v>326</v>
      </c>
      <c r="G35" s="70">
        <v>2014</v>
      </c>
      <c r="H35" s="70" t="s">
        <v>268</v>
      </c>
      <c r="I35" s="78" t="s">
        <v>84</v>
      </c>
      <c r="J35" s="78" t="s">
        <v>80</v>
      </c>
      <c r="K35" s="78" t="s">
        <v>80</v>
      </c>
      <c r="L35" s="78" t="s">
        <v>80</v>
      </c>
      <c r="M35" s="70" t="s">
        <v>3823</v>
      </c>
      <c r="N35" s="70">
        <v>14</v>
      </c>
      <c r="O35" s="70">
        <v>4</v>
      </c>
      <c r="P35" s="90" t="s">
        <v>3459</v>
      </c>
      <c r="Q35" s="104" t="s">
        <v>3460</v>
      </c>
      <c r="R35" s="108" t="s">
        <v>3364</v>
      </c>
      <c r="S35" s="90" t="s">
        <v>3374</v>
      </c>
      <c r="T35" s="70" t="s">
        <v>0</v>
      </c>
      <c r="U35" s="70" t="s">
        <v>38</v>
      </c>
      <c r="V35" s="70" t="s">
        <v>69</v>
      </c>
      <c r="W35" s="70" t="s">
        <v>3336</v>
      </c>
      <c r="X35" s="70">
        <v>4</v>
      </c>
      <c r="Y35" s="70">
        <v>4</v>
      </c>
      <c r="Z35" s="70">
        <v>4</v>
      </c>
      <c r="AA35" s="70">
        <v>4</v>
      </c>
      <c r="AB35" s="70">
        <v>4</v>
      </c>
      <c r="AC35" s="70">
        <v>4</v>
      </c>
      <c r="AD3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35" s="70" t="s">
        <v>3317</v>
      </c>
      <c r="AF35" s="70"/>
      <c r="AG35" s="70"/>
      <c r="AH35" s="70"/>
      <c r="AI35" s="70"/>
      <c r="AJ35" s="70"/>
      <c r="AK35" s="70"/>
      <c r="AL35" s="70"/>
      <c r="AM35" s="70" t="s">
        <v>4122</v>
      </c>
      <c r="AN35" s="70"/>
      <c r="AO35" s="70"/>
      <c r="AP35" s="70"/>
      <c r="AQ35" s="70"/>
      <c r="AR35" s="70"/>
      <c r="AS35" s="70"/>
      <c r="AT35" s="70"/>
      <c r="AU35" s="70"/>
      <c r="AV35" s="70"/>
      <c r="AW35" s="70"/>
      <c r="AX35" s="70"/>
      <c r="AY35" s="70"/>
      <c r="AZ35" s="70"/>
      <c r="BA35" s="70" t="s">
        <v>4122</v>
      </c>
      <c r="BB35" s="70"/>
      <c r="BC35" s="70"/>
      <c r="BD35" s="70"/>
      <c r="BE35" s="70"/>
      <c r="BF35" s="70"/>
      <c r="BG35" s="70"/>
      <c r="BH35" s="130"/>
      <c r="BI35" s="130"/>
      <c r="BJ35" s="130"/>
      <c r="BK35" s="130"/>
      <c r="BL35" s="130"/>
      <c r="BM35" s="130"/>
      <c r="BN35" s="130" t="s">
        <v>4122</v>
      </c>
      <c r="BO35" s="130"/>
      <c r="BP35" s="130"/>
      <c r="BQ35" s="130"/>
      <c r="BR35" s="130"/>
      <c r="BS35" s="113"/>
      <c r="BT35" s="113"/>
      <c r="BU35" s="113"/>
      <c r="BV35" s="113"/>
      <c r="BW35" s="113"/>
      <c r="BX35" s="113"/>
      <c r="BY35" s="113"/>
      <c r="BZ35" s="113"/>
      <c r="CA35" s="113"/>
      <c r="CB35" s="113"/>
      <c r="CC35" s="113"/>
      <c r="CD35" s="113"/>
      <c r="CE35" s="113"/>
      <c r="CF35" s="113"/>
      <c r="CG35" s="113"/>
      <c r="CH35" s="113"/>
      <c r="CI35" s="113"/>
      <c r="CJ35" s="113"/>
      <c r="CK35" s="113"/>
      <c r="CL35" s="113"/>
      <c r="CM35" s="113"/>
      <c r="CN35" s="113"/>
      <c r="CO35" s="113"/>
      <c r="CP35" s="113"/>
      <c r="CQ35" s="113"/>
      <c r="CR35" s="113"/>
      <c r="CS35" s="113"/>
      <c r="CT35" s="113"/>
      <c r="CU35" s="113"/>
      <c r="CV35" s="113"/>
    </row>
    <row r="36" spans="1:100" hidden="1" x14ac:dyDescent="0.25">
      <c r="A36" s="68">
        <v>108</v>
      </c>
      <c r="B36" s="70" t="s">
        <v>1960</v>
      </c>
      <c r="C36" s="70" t="s">
        <v>1961</v>
      </c>
      <c r="D36" s="70" t="s">
        <v>3843</v>
      </c>
      <c r="E36" s="70"/>
      <c r="F36" s="70" t="s">
        <v>1962</v>
      </c>
      <c r="G36" s="70">
        <v>2015</v>
      </c>
      <c r="H36" s="70" t="s">
        <v>1963</v>
      </c>
      <c r="I36" s="78" t="s">
        <v>80</v>
      </c>
      <c r="J36" s="78" t="s">
        <v>85</v>
      </c>
      <c r="K36" s="78" t="s">
        <v>80</v>
      </c>
      <c r="L36" s="78" t="s">
        <v>80</v>
      </c>
      <c r="M36" s="70" t="s">
        <v>3842</v>
      </c>
      <c r="N36" s="70">
        <v>0</v>
      </c>
      <c r="O36" s="70">
        <v>4</v>
      </c>
      <c r="P36" s="90" t="s">
        <v>3162</v>
      </c>
      <c r="Q36" s="104" t="s">
        <v>3256</v>
      </c>
      <c r="R36" s="108" t="s">
        <v>3476</v>
      </c>
      <c r="S36" s="90" t="s">
        <v>3243</v>
      </c>
      <c r="T36" s="70" t="s">
        <v>0</v>
      </c>
      <c r="U36" s="70" t="s">
        <v>38</v>
      </c>
      <c r="V36" s="70" t="s">
        <v>69</v>
      </c>
      <c r="W36" s="70" t="s">
        <v>3336</v>
      </c>
      <c r="X36" s="70">
        <v>5</v>
      </c>
      <c r="Y36" s="70">
        <v>3</v>
      </c>
      <c r="Z36" s="70">
        <v>5</v>
      </c>
      <c r="AA36" s="70">
        <v>5</v>
      </c>
      <c r="AB36" s="70">
        <v>3</v>
      </c>
      <c r="AC36" s="70">
        <v>5</v>
      </c>
      <c r="AD3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36" s="70" t="s">
        <v>59</v>
      </c>
      <c r="AF36" s="70"/>
      <c r="AG36" s="70"/>
      <c r="AH36" s="70"/>
      <c r="AI36" s="70"/>
      <c r="AJ36" s="70"/>
      <c r="AK36" s="70"/>
      <c r="AL36" s="70"/>
      <c r="AM36" s="70" t="s">
        <v>4122</v>
      </c>
      <c r="AN36" s="70"/>
      <c r="AO36" s="70"/>
      <c r="AP36" s="70"/>
      <c r="AQ36" s="70"/>
      <c r="AR36" s="70"/>
      <c r="AS36" s="70"/>
      <c r="AT36" s="70"/>
      <c r="AU36" s="70"/>
      <c r="AV36" s="70" t="s">
        <v>4122</v>
      </c>
      <c r="AW36" s="70"/>
      <c r="AX36" s="70"/>
      <c r="AY36" s="70"/>
      <c r="AZ36" s="70"/>
      <c r="BA36" s="70"/>
      <c r="BB36" s="70"/>
      <c r="BC36" s="70"/>
      <c r="BD36" s="70"/>
      <c r="BE36" s="70"/>
      <c r="BF36" s="70"/>
      <c r="BG36" s="70"/>
      <c r="BH36" s="130"/>
      <c r="BI36" s="130"/>
      <c r="BJ36" s="130"/>
      <c r="BK36" s="130" t="s">
        <v>4122</v>
      </c>
      <c r="BL36" s="130"/>
      <c r="BM36" s="130"/>
      <c r="BN36" s="130"/>
      <c r="BO36" s="130"/>
      <c r="BP36" s="130"/>
      <c r="BQ36" s="130"/>
      <c r="BR36" s="130"/>
    </row>
    <row r="37" spans="1:100" hidden="1" x14ac:dyDescent="0.25">
      <c r="A37" s="68">
        <v>36</v>
      </c>
      <c r="B37" s="70" t="s">
        <v>2159</v>
      </c>
      <c r="C37" s="70" t="s">
        <v>2160</v>
      </c>
      <c r="D37" s="70" t="s">
        <v>3727</v>
      </c>
      <c r="E37" s="70"/>
      <c r="F37" s="70" t="s">
        <v>2161</v>
      </c>
      <c r="G37" s="70">
        <v>2014</v>
      </c>
      <c r="H37" s="70" t="s">
        <v>2162</v>
      </c>
      <c r="I37" s="78" t="s">
        <v>71</v>
      </c>
      <c r="J37" s="78" t="s">
        <v>4033</v>
      </c>
      <c r="K37" s="78" t="s">
        <v>80</v>
      </c>
      <c r="L37" s="78" t="s">
        <v>80</v>
      </c>
      <c r="M37" s="70" t="s">
        <v>3728</v>
      </c>
      <c r="N37" s="70">
        <v>4</v>
      </c>
      <c r="O37" s="70">
        <v>4</v>
      </c>
      <c r="P37" s="90" t="s">
        <v>3157</v>
      </c>
      <c r="Q37" s="104" t="s">
        <v>3187</v>
      </c>
      <c r="R37" s="108" t="s">
        <v>3364</v>
      </c>
      <c r="S37" s="90" t="s">
        <v>3231</v>
      </c>
      <c r="T37" s="70" t="s">
        <v>0</v>
      </c>
      <c r="U37" s="70" t="s">
        <v>38</v>
      </c>
      <c r="V37" s="70" t="s">
        <v>69</v>
      </c>
      <c r="W37" s="70" t="s">
        <v>3336</v>
      </c>
      <c r="X37" s="70">
        <v>5</v>
      </c>
      <c r="Y37" s="70">
        <v>5</v>
      </c>
      <c r="Z37" s="70">
        <v>5</v>
      </c>
      <c r="AA37" s="70">
        <v>5</v>
      </c>
      <c r="AB37" s="70">
        <v>5</v>
      </c>
      <c r="AC37" s="70">
        <v>5</v>
      </c>
      <c r="AD3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37" s="70" t="s">
        <v>3365</v>
      </c>
      <c r="AF37" s="70"/>
      <c r="AG37" s="70"/>
      <c r="AH37" s="70"/>
      <c r="AI37" s="70"/>
      <c r="AJ37" s="70" t="s">
        <v>4122</v>
      </c>
      <c r="AK37" s="70"/>
      <c r="AL37" s="70"/>
      <c r="AM37" s="70"/>
      <c r="AN37" s="70"/>
      <c r="AO37" s="70"/>
      <c r="AP37" s="70"/>
      <c r="AQ37" s="70"/>
      <c r="AR37" s="70"/>
      <c r="AS37" s="70"/>
      <c r="AT37" s="70"/>
      <c r="AU37" s="70"/>
      <c r="AV37" s="70"/>
      <c r="AW37" s="70"/>
      <c r="AX37" s="70"/>
      <c r="AY37" s="70"/>
      <c r="AZ37" s="70"/>
      <c r="BA37" s="70"/>
      <c r="BB37" s="70" t="s">
        <v>4122</v>
      </c>
      <c r="BC37" s="70"/>
      <c r="BD37" s="70"/>
      <c r="BE37" s="70"/>
      <c r="BF37" s="70"/>
      <c r="BG37" s="70"/>
      <c r="BH37" s="130"/>
      <c r="BI37" s="130"/>
      <c r="BJ37" s="130"/>
      <c r="BK37" s="130"/>
      <c r="BL37" s="130"/>
      <c r="BM37" s="130"/>
      <c r="BN37" s="130" t="s">
        <v>4122</v>
      </c>
      <c r="BO37" s="130"/>
      <c r="BP37" s="130"/>
      <c r="BQ37" s="130"/>
      <c r="BR37" s="130"/>
    </row>
    <row r="38" spans="1:100" hidden="1" x14ac:dyDescent="0.25">
      <c r="A38" s="68">
        <v>37</v>
      </c>
      <c r="B38" s="70" t="s">
        <v>2361</v>
      </c>
      <c r="C38" s="70" t="s">
        <v>2362</v>
      </c>
      <c r="D38" s="70" t="s">
        <v>3729</v>
      </c>
      <c r="E38" s="70"/>
      <c r="F38" s="70" t="s">
        <v>2363</v>
      </c>
      <c r="G38" s="70">
        <v>2014</v>
      </c>
      <c r="H38" s="70" t="s">
        <v>2364</v>
      </c>
      <c r="I38" s="78" t="s">
        <v>82</v>
      </c>
      <c r="J38" s="78" t="s">
        <v>80</v>
      </c>
      <c r="K38" s="78" t="s">
        <v>80</v>
      </c>
      <c r="L38" s="78" t="s">
        <v>80</v>
      </c>
      <c r="M38" s="70" t="s">
        <v>3730</v>
      </c>
      <c r="N38" s="70">
        <v>2</v>
      </c>
      <c r="O38" s="70">
        <v>4</v>
      </c>
      <c r="P38" s="90" t="s">
        <v>3244</v>
      </c>
      <c r="Q38" s="104" t="s">
        <v>3183</v>
      </c>
      <c r="R38" s="108" t="s">
        <v>3366</v>
      </c>
      <c r="S38" s="90" t="s">
        <v>3243</v>
      </c>
      <c r="T38" s="70" t="s">
        <v>0</v>
      </c>
      <c r="U38" s="70" t="s">
        <v>38</v>
      </c>
      <c r="V38" s="70" t="s">
        <v>69</v>
      </c>
      <c r="W38" s="70" t="s">
        <v>3336</v>
      </c>
      <c r="X38" s="70">
        <v>5</v>
      </c>
      <c r="Y38" s="70">
        <v>5</v>
      </c>
      <c r="Z38" s="70">
        <v>5</v>
      </c>
      <c r="AA38" s="70">
        <v>5</v>
      </c>
      <c r="AB38" s="70">
        <v>5</v>
      </c>
      <c r="AC38" s="70">
        <v>5</v>
      </c>
      <c r="AD3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38" s="70" t="s">
        <v>66</v>
      </c>
      <c r="AF38" s="70"/>
      <c r="AG38" s="70"/>
      <c r="AH38" s="70"/>
      <c r="AI38" s="70"/>
      <c r="AJ38" s="70" t="s">
        <v>4122</v>
      </c>
      <c r="AK38" s="70"/>
      <c r="AL38" s="70"/>
      <c r="AM38" s="70"/>
      <c r="AN38" s="70"/>
      <c r="AO38" s="70"/>
      <c r="AP38" s="70"/>
      <c r="AQ38" s="70"/>
      <c r="AR38" s="70"/>
      <c r="AS38" s="70"/>
      <c r="AT38" s="70"/>
      <c r="AU38" s="70"/>
      <c r="AV38" s="70"/>
      <c r="AW38" s="70"/>
      <c r="AX38" s="70"/>
      <c r="AY38" s="70"/>
      <c r="AZ38" s="70"/>
      <c r="BA38" s="70"/>
      <c r="BB38" s="70" t="s">
        <v>4122</v>
      </c>
      <c r="BC38" s="70"/>
      <c r="BD38" s="70"/>
      <c r="BE38" s="70"/>
      <c r="BF38" s="70"/>
      <c r="BG38" s="70"/>
      <c r="BH38" s="130"/>
      <c r="BI38" s="130"/>
      <c r="BJ38" s="130"/>
      <c r="BK38" s="130"/>
      <c r="BL38" s="130"/>
      <c r="BM38" s="130"/>
      <c r="BN38" s="130"/>
      <c r="BO38" s="130" t="s">
        <v>4122</v>
      </c>
      <c r="BP38" s="130"/>
      <c r="BQ38" s="130"/>
      <c r="BR38" s="130"/>
    </row>
    <row r="39" spans="1:100" hidden="1" x14ac:dyDescent="0.25">
      <c r="A39" s="68">
        <v>7</v>
      </c>
      <c r="B39" s="70" t="s">
        <v>418</v>
      </c>
      <c r="C39" s="70" t="s">
        <v>419</v>
      </c>
      <c r="D39" s="70" t="s">
        <v>121</v>
      </c>
      <c r="E39" s="70" t="s">
        <v>924</v>
      </c>
      <c r="F39" s="70" t="s">
        <v>420</v>
      </c>
      <c r="G39" s="70">
        <v>2013</v>
      </c>
      <c r="H39" s="70" t="s">
        <v>421</v>
      </c>
      <c r="I39" s="78" t="s">
        <v>80</v>
      </c>
      <c r="J39" s="78" t="s">
        <v>80</v>
      </c>
      <c r="K39" s="78">
        <v>0.73</v>
      </c>
      <c r="L39" s="78">
        <v>5</v>
      </c>
      <c r="M39" s="70" t="s">
        <v>3672</v>
      </c>
      <c r="N39" s="70">
        <v>12</v>
      </c>
      <c r="O39" s="70">
        <v>5</v>
      </c>
      <c r="P39" s="90" t="s">
        <v>3282</v>
      </c>
      <c r="Q39" s="104" t="s">
        <v>3287</v>
      </c>
      <c r="R39" s="108" t="s">
        <v>3285</v>
      </c>
      <c r="S39" s="90" t="s">
        <v>3284</v>
      </c>
      <c r="T39" s="70" t="s">
        <v>6</v>
      </c>
      <c r="U39" s="70" t="s">
        <v>38</v>
      </c>
      <c r="V39" s="70" t="s">
        <v>69</v>
      </c>
      <c r="W39" s="70" t="s">
        <v>3286</v>
      </c>
      <c r="X39" s="70">
        <v>5</v>
      </c>
      <c r="Y39" s="70">
        <v>5</v>
      </c>
      <c r="Z39" s="70">
        <v>5</v>
      </c>
      <c r="AA39" s="70">
        <v>5</v>
      </c>
      <c r="AB39" s="70">
        <v>5</v>
      </c>
      <c r="AC39" s="70">
        <v>5</v>
      </c>
      <c r="AD3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39" s="70" t="s">
        <v>4130</v>
      </c>
      <c r="AF39" s="70"/>
      <c r="AG39" s="70"/>
      <c r="AH39" s="70"/>
      <c r="AI39" s="70"/>
      <c r="AJ39" s="70" t="s">
        <v>4122</v>
      </c>
      <c r="AK39" s="70"/>
      <c r="AL39" s="70"/>
      <c r="AM39" s="70"/>
      <c r="AN39" s="70"/>
      <c r="AO39" s="70"/>
      <c r="AP39" s="70"/>
      <c r="AQ39" s="70"/>
      <c r="AR39" s="70"/>
      <c r="AS39" s="70"/>
      <c r="AT39" s="70"/>
      <c r="AU39" s="70"/>
      <c r="AV39" s="70"/>
      <c r="AW39" s="70"/>
      <c r="AX39" s="70"/>
      <c r="AY39" s="70"/>
      <c r="AZ39" s="70"/>
      <c r="BA39" s="70"/>
      <c r="BB39" s="70"/>
      <c r="BC39" s="70"/>
      <c r="BD39" s="70" t="s">
        <v>4122</v>
      </c>
      <c r="BE39" s="70"/>
      <c r="BF39" s="70"/>
      <c r="BG39" s="70"/>
      <c r="BH39" s="130"/>
      <c r="BI39" s="130" t="s">
        <v>4122</v>
      </c>
      <c r="BJ39" s="130"/>
      <c r="BK39" s="130"/>
      <c r="BL39" s="130"/>
      <c r="BM39" s="130"/>
      <c r="BN39" s="130"/>
      <c r="BO39" s="130"/>
      <c r="BP39" s="130"/>
      <c r="BQ39" s="130"/>
      <c r="BR39" s="130"/>
    </row>
    <row r="40" spans="1:100" hidden="1" x14ac:dyDescent="0.25">
      <c r="A40" s="68">
        <v>80</v>
      </c>
      <c r="B40" s="70" t="s">
        <v>1973</v>
      </c>
      <c r="C40" s="70" t="s">
        <v>1974</v>
      </c>
      <c r="D40" s="70" t="s">
        <v>24</v>
      </c>
      <c r="E40" s="70"/>
      <c r="F40" s="70" t="s">
        <v>1975</v>
      </c>
      <c r="G40" s="70">
        <v>2014</v>
      </c>
      <c r="H40" s="70" t="s">
        <v>1976</v>
      </c>
      <c r="I40" s="78" t="s">
        <v>80</v>
      </c>
      <c r="J40" s="78" t="s">
        <v>80</v>
      </c>
      <c r="K40" s="78">
        <v>0.62</v>
      </c>
      <c r="L40" s="78">
        <v>4</v>
      </c>
      <c r="M40" s="70" t="s">
        <v>3799</v>
      </c>
      <c r="N40" s="70">
        <v>17</v>
      </c>
      <c r="O40" s="70">
        <v>5</v>
      </c>
      <c r="P40" s="90" t="s">
        <v>3244</v>
      </c>
      <c r="Q40" s="104" t="s">
        <v>3295</v>
      </c>
      <c r="R40" s="108" t="s">
        <v>3429</v>
      </c>
      <c r="S40" s="90" t="s">
        <v>3232</v>
      </c>
      <c r="T40" s="70" t="s">
        <v>1</v>
      </c>
      <c r="U40" s="70" t="s">
        <v>38</v>
      </c>
      <c r="V40" s="70" t="s">
        <v>69</v>
      </c>
      <c r="W40" s="70" t="s">
        <v>3430</v>
      </c>
      <c r="X40" s="70">
        <v>5</v>
      </c>
      <c r="Y40" s="70">
        <v>5</v>
      </c>
      <c r="Z40" s="70">
        <v>5</v>
      </c>
      <c r="AA40" s="70">
        <v>5</v>
      </c>
      <c r="AB40" s="70">
        <v>5</v>
      </c>
      <c r="AC40" s="70">
        <v>5</v>
      </c>
      <c r="AD4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40" s="70" t="s">
        <v>3355</v>
      </c>
      <c r="AF40" s="70"/>
      <c r="AG40" s="70" t="s">
        <v>4122</v>
      </c>
      <c r="AH40" s="70"/>
      <c r="AI40" s="70"/>
      <c r="AJ40" s="70" t="s">
        <v>4122</v>
      </c>
      <c r="AK40" s="70"/>
      <c r="AL40" s="70"/>
      <c r="AM40" s="70" t="s">
        <v>4122</v>
      </c>
      <c r="AN40" s="70"/>
      <c r="AO40" s="70"/>
      <c r="AP40" s="70"/>
      <c r="AQ40" s="70"/>
      <c r="AR40" s="70"/>
      <c r="AS40" s="70"/>
      <c r="AT40" s="70"/>
      <c r="AU40" s="70"/>
      <c r="AV40" s="70"/>
      <c r="AW40" s="70"/>
      <c r="AX40" s="70"/>
      <c r="AY40" s="70"/>
      <c r="AZ40" s="70"/>
      <c r="BA40" s="70"/>
      <c r="BB40" s="70"/>
      <c r="BC40" s="70"/>
      <c r="BD40" s="70"/>
      <c r="BE40" s="70" t="s">
        <v>4122</v>
      </c>
      <c r="BF40" s="70"/>
      <c r="BG40" s="70"/>
      <c r="BH40" s="130"/>
      <c r="BI40" s="130"/>
      <c r="BJ40" s="130"/>
      <c r="BK40" s="130" t="s">
        <v>4122</v>
      </c>
      <c r="BL40" s="130"/>
      <c r="BM40" s="130"/>
      <c r="BN40" s="130"/>
      <c r="BO40" s="130"/>
      <c r="BP40" s="130"/>
      <c r="BQ40" s="130"/>
      <c r="BR40" s="130"/>
    </row>
    <row r="41" spans="1:100" hidden="1" x14ac:dyDescent="0.25">
      <c r="A41" s="68">
        <v>19</v>
      </c>
      <c r="B41" s="70" t="s">
        <v>2465</v>
      </c>
      <c r="C41" s="70" t="s">
        <v>2466</v>
      </c>
      <c r="D41" s="70" t="s">
        <v>3698</v>
      </c>
      <c r="E41" s="70"/>
      <c r="F41" s="70" t="s">
        <v>2467</v>
      </c>
      <c r="G41" s="70">
        <v>2016</v>
      </c>
      <c r="H41" s="70" t="s">
        <v>2468</v>
      </c>
      <c r="I41" s="78" t="s">
        <v>80</v>
      </c>
      <c r="J41" s="78" t="s">
        <v>83</v>
      </c>
      <c r="K41" s="78" t="s">
        <v>80</v>
      </c>
      <c r="L41" s="78" t="s">
        <v>80</v>
      </c>
      <c r="M41" s="70" t="s">
        <v>3699</v>
      </c>
      <c r="N41" s="70">
        <v>11</v>
      </c>
      <c r="O41" s="70">
        <v>5</v>
      </c>
      <c r="P41" s="90" t="s">
        <v>3331</v>
      </c>
      <c r="Q41" s="104" t="s">
        <v>3265</v>
      </c>
      <c r="R41" s="108" t="s">
        <v>3204</v>
      </c>
      <c r="S41" s="90" t="s">
        <v>3332</v>
      </c>
      <c r="T41" s="70" t="s">
        <v>1</v>
      </c>
      <c r="U41" s="70" t="s">
        <v>38</v>
      </c>
      <c r="V41" s="70" t="s">
        <v>69</v>
      </c>
      <c r="W41" s="70" t="s">
        <v>3336</v>
      </c>
      <c r="X41" s="70">
        <v>5</v>
      </c>
      <c r="Y41" s="70">
        <v>5</v>
      </c>
      <c r="Z41" s="70">
        <v>5</v>
      </c>
      <c r="AA41" s="70">
        <v>5</v>
      </c>
      <c r="AB41" s="70">
        <v>5</v>
      </c>
      <c r="AC41" s="70">
        <v>5</v>
      </c>
      <c r="AD4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41" s="70" t="s">
        <v>57</v>
      </c>
      <c r="AF41" s="70"/>
      <c r="AG41" s="70"/>
      <c r="AH41" s="70"/>
      <c r="AI41" s="70"/>
      <c r="AJ41" s="70" t="s">
        <v>4122</v>
      </c>
      <c r="AK41" s="70"/>
      <c r="AL41" s="70"/>
      <c r="AM41" s="70"/>
      <c r="AN41" s="70"/>
      <c r="AO41" s="70"/>
      <c r="AP41" s="70"/>
      <c r="AQ41" s="70"/>
      <c r="AR41" s="70"/>
      <c r="AS41" s="70"/>
      <c r="AT41" s="70"/>
      <c r="AU41" s="70"/>
      <c r="AV41" s="70"/>
      <c r="AW41" s="70"/>
      <c r="AX41" s="70"/>
      <c r="AY41" s="70"/>
      <c r="AZ41" s="70"/>
      <c r="BA41" s="70"/>
      <c r="BB41" s="70"/>
      <c r="BC41" s="70"/>
      <c r="BD41" s="70"/>
      <c r="BE41" s="70"/>
      <c r="BF41" s="70" t="s">
        <v>4122</v>
      </c>
      <c r="BG41" s="70"/>
      <c r="BH41" s="130"/>
      <c r="BI41" s="130"/>
      <c r="BJ41" s="130"/>
      <c r="BK41" s="130"/>
      <c r="BL41" s="130"/>
      <c r="BM41" s="130"/>
      <c r="BN41" s="130" t="s">
        <v>4122</v>
      </c>
      <c r="BO41" s="130"/>
      <c r="BP41" s="130"/>
      <c r="BQ41" s="130"/>
      <c r="BR41" s="130"/>
    </row>
    <row r="42" spans="1:100" hidden="1" x14ac:dyDescent="0.25">
      <c r="A42" s="68">
        <v>38</v>
      </c>
      <c r="B42" s="70" t="s">
        <v>2453</v>
      </c>
      <c r="C42" s="70" t="s">
        <v>2454</v>
      </c>
      <c r="D42" s="70" t="s">
        <v>22</v>
      </c>
      <c r="E42" s="70"/>
      <c r="F42" s="70" t="s">
        <v>2455</v>
      </c>
      <c r="G42" s="70">
        <v>2018</v>
      </c>
      <c r="H42" s="70" t="s">
        <v>2456</v>
      </c>
      <c r="I42" s="78" t="s">
        <v>80</v>
      </c>
      <c r="J42" s="78" t="s">
        <v>80</v>
      </c>
      <c r="K42" s="78">
        <v>0.55000000000000004</v>
      </c>
      <c r="L42" s="78">
        <v>5</v>
      </c>
      <c r="M42" s="70" t="s">
        <v>3731</v>
      </c>
      <c r="N42" s="70">
        <v>18</v>
      </c>
      <c r="O42" s="70">
        <v>5</v>
      </c>
      <c r="P42" s="90" t="s">
        <v>3368</v>
      </c>
      <c r="Q42" s="104" t="s">
        <v>3289</v>
      </c>
      <c r="R42" s="108" t="s">
        <v>3366</v>
      </c>
      <c r="S42" s="90" t="s">
        <v>3231</v>
      </c>
      <c r="T42" s="70" t="s">
        <v>0</v>
      </c>
      <c r="U42" s="70" t="s">
        <v>38</v>
      </c>
      <c r="V42" s="70" t="s">
        <v>69</v>
      </c>
      <c r="W42" s="70" t="s">
        <v>3336</v>
      </c>
      <c r="X42" s="70">
        <v>5</v>
      </c>
      <c r="Y42" s="70">
        <v>5</v>
      </c>
      <c r="Z42" s="70">
        <v>5</v>
      </c>
      <c r="AA42" s="70">
        <v>5</v>
      </c>
      <c r="AB42" s="70">
        <v>5</v>
      </c>
      <c r="AC42" s="70">
        <v>5</v>
      </c>
      <c r="AD4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42" s="70" t="s">
        <v>61</v>
      </c>
      <c r="AF42" s="70"/>
      <c r="AG42" s="70"/>
      <c r="AH42" s="70"/>
      <c r="AI42" s="70"/>
      <c r="AJ42" s="70" t="s">
        <v>4122</v>
      </c>
      <c r="AK42" s="70"/>
      <c r="AL42" s="70"/>
      <c r="AM42" s="70"/>
      <c r="AN42" s="70"/>
      <c r="AO42" s="70"/>
      <c r="AP42" s="70"/>
      <c r="AQ42" s="70"/>
      <c r="AR42" s="70"/>
      <c r="AS42" s="70"/>
      <c r="AT42" s="70"/>
      <c r="AU42" s="70"/>
      <c r="AV42" s="70"/>
      <c r="AW42" s="70"/>
      <c r="AX42" s="70"/>
      <c r="AY42" s="70"/>
      <c r="AZ42" s="70"/>
      <c r="BA42" s="70"/>
      <c r="BB42" s="70" t="s">
        <v>4122</v>
      </c>
      <c r="BC42" s="70"/>
      <c r="BD42" s="70"/>
      <c r="BE42" s="70"/>
      <c r="BF42" s="70"/>
      <c r="BG42" s="70"/>
      <c r="BH42" s="130"/>
      <c r="BI42" s="130"/>
      <c r="BJ42" s="130"/>
      <c r="BK42" s="130"/>
      <c r="BL42" s="130"/>
      <c r="BM42" s="130"/>
      <c r="BN42" s="130"/>
      <c r="BO42" s="130" t="s">
        <v>4122</v>
      </c>
      <c r="BP42" s="130"/>
      <c r="BQ42" s="130"/>
      <c r="BR42" s="130"/>
    </row>
    <row r="43" spans="1:100" hidden="1" x14ac:dyDescent="0.25">
      <c r="A43" s="68">
        <v>39</v>
      </c>
      <c r="B43" s="70" t="s">
        <v>2469</v>
      </c>
      <c r="C43" s="70" t="s">
        <v>2470</v>
      </c>
      <c r="D43" s="70" t="s">
        <v>3686</v>
      </c>
      <c r="E43" s="70"/>
      <c r="F43" s="70" t="s">
        <v>2471</v>
      </c>
      <c r="G43" s="70">
        <v>2016</v>
      </c>
      <c r="H43" s="70" t="s">
        <v>2472</v>
      </c>
      <c r="I43" s="78" t="s">
        <v>80</v>
      </c>
      <c r="J43" s="78" t="s">
        <v>80</v>
      </c>
      <c r="K43" s="78">
        <v>0.17</v>
      </c>
      <c r="L43" s="78">
        <v>1</v>
      </c>
      <c r="M43" s="70" t="s">
        <v>3732</v>
      </c>
      <c r="N43" s="70">
        <v>12</v>
      </c>
      <c r="O43" s="70">
        <v>5</v>
      </c>
      <c r="P43" s="90" t="s">
        <v>3368</v>
      </c>
      <c r="Q43" s="104" t="s">
        <v>3289</v>
      </c>
      <c r="R43" s="108" t="s">
        <v>3369</v>
      </c>
      <c r="S43" s="90" t="s">
        <v>3232</v>
      </c>
      <c r="T43" s="70" t="s">
        <v>0</v>
      </c>
      <c r="U43" s="70" t="s">
        <v>38</v>
      </c>
      <c r="V43" s="70" t="s">
        <v>69</v>
      </c>
      <c r="W43" s="70" t="s">
        <v>3336</v>
      </c>
      <c r="X43" s="70">
        <v>5</v>
      </c>
      <c r="Y43" s="70">
        <v>5</v>
      </c>
      <c r="Z43" s="70">
        <v>5</v>
      </c>
      <c r="AA43" s="70">
        <v>5</v>
      </c>
      <c r="AB43" s="70">
        <v>5</v>
      </c>
      <c r="AC43" s="70">
        <v>5</v>
      </c>
      <c r="AD4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43" s="70" t="s">
        <v>61</v>
      </c>
      <c r="AF43" s="70"/>
      <c r="AG43" s="70"/>
      <c r="AH43" s="70"/>
      <c r="AI43" s="70"/>
      <c r="AJ43" s="70" t="s">
        <v>4122</v>
      </c>
      <c r="AK43" s="70"/>
      <c r="AL43" s="70"/>
      <c r="AM43" s="70"/>
      <c r="AN43" s="70"/>
      <c r="AO43" s="70"/>
      <c r="AP43" s="70"/>
      <c r="AQ43" s="70"/>
      <c r="AR43" s="70"/>
      <c r="AS43" s="70"/>
      <c r="AT43" s="70"/>
      <c r="AU43" s="70"/>
      <c r="AV43" s="70"/>
      <c r="AW43" s="70"/>
      <c r="AX43" s="70"/>
      <c r="AY43" s="70"/>
      <c r="AZ43" s="70"/>
      <c r="BA43" s="70"/>
      <c r="BB43" s="70" t="s">
        <v>4122</v>
      </c>
      <c r="BC43" s="70"/>
      <c r="BD43" s="70"/>
      <c r="BE43" s="70"/>
      <c r="BF43" s="70"/>
      <c r="BG43" s="70"/>
      <c r="BH43" s="130"/>
      <c r="BI43" s="130"/>
      <c r="BJ43" s="130"/>
      <c r="BK43" s="130"/>
      <c r="BL43" s="130"/>
      <c r="BM43" s="130"/>
      <c r="BN43" s="130"/>
      <c r="BO43" s="130" t="s">
        <v>4122</v>
      </c>
      <c r="BP43" s="130"/>
      <c r="BQ43" s="130"/>
      <c r="BR43" s="130"/>
    </row>
    <row r="44" spans="1:100" hidden="1" x14ac:dyDescent="0.25">
      <c r="A44" s="68">
        <v>106</v>
      </c>
      <c r="B44" s="70" t="s">
        <v>2557</v>
      </c>
      <c r="C44" s="70" t="s">
        <v>3000</v>
      </c>
      <c r="D44" s="70" t="s">
        <v>3840</v>
      </c>
      <c r="E44" s="70"/>
      <c r="F44" s="70" t="s">
        <v>3001</v>
      </c>
      <c r="G44" s="70">
        <v>2012</v>
      </c>
      <c r="H44" s="70" t="s">
        <v>3002</v>
      </c>
      <c r="I44" s="78" t="s">
        <v>71</v>
      </c>
      <c r="J44" s="78" t="s">
        <v>4033</v>
      </c>
      <c r="K44" s="78" t="s">
        <v>80</v>
      </c>
      <c r="L44" s="78" t="s">
        <v>80</v>
      </c>
      <c r="M44" s="70" t="s">
        <v>3839</v>
      </c>
      <c r="N44" s="70">
        <v>13</v>
      </c>
      <c r="O44" s="70">
        <v>4</v>
      </c>
      <c r="P44" s="90" t="s">
        <v>3273</v>
      </c>
      <c r="Q44" s="104" t="s">
        <v>3472</v>
      </c>
      <c r="R44" s="108" t="s">
        <v>3440</v>
      </c>
      <c r="S44" s="90" t="s">
        <v>3257</v>
      </c>
      <c r="T44" s="70" t="s">
        <v>0</v>
      </c>
      <c r="U44" s="70" t="s">
        <v>38</v>
      </c>
      <c r="V44" s="70" t="s">
        <v>70</v>
      </c>
      <c r="W44" s="70" t="s">
        <v>3336</v>
      </c>
      <c r="X44" s="70">
        <v>5</v>
      </c>
      <c r="Y44" s="70">
        <v>5</v>
      </c>
      <c r="Z44" s="70">
        <v>5</v>
      </c>
      <c r="AA44" s="70">
        <v>5</v>
      </c>
      <c r="AB44" s="70">
        <v>5</v>
      </c>
      <c r="AC44" s="70">
        <v>5</v>
      </c>
      <c r="AD4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44" s="70" t="s">
        <v>3473</v>
      </c>
      <c r="AF44" s="70"/>
      <c r="AG44" s="70"/>
      <c r="AH44" s="70"/>
      <c r="AI44" s="70"/>
      <c r="AJ44" s="70"/>
      <c r="AK44" s="70"/>
      <c r="AL44" s="70"/>
      <c r="AM44" s="70" t="s">
        <v>4122</v>
      </c>
      <c r="AN44" s="70"/>
      <c r="AO44" s="70"/>
      <c r="AP44" s="70"/>
      <c r="AQ44" s="70"/>
      <c r="AR44" s="70"/>
      <c r="AS44" s="70"/>
      <c r="AT44" s="70"/>
      <c r="AU44" s="70"/>
      <c r="AV44" s="70"/>
      <c r="AW44" s="70"/>
      <c r="AX44" s="70"/>
      <c r="AY44" s="70"/>
      <c r="AZ44" s="70"/>
      <c r="BA44" s="70"/>
      <c r="BB44" s="70"/>
      <c r="BC44" s="70"/>
      <c r="BD44" s="70" t="s">
        <v>4122</v>
      </c>
      <c r="BE44" s="70"/>
      <c r="BF44" s="70"/>
      <c r="BG44" s="70"/>
      <c r="BH44" s="130"/>
      <c r="BI44" s="130"/>
      <c r="BJ44" s="130"/>
      <c r="BK44" s="130" t="s">
        <v>4122</v>
      </c>
      <c r="BL44" s="130"/>
      <c r="BM44" s="130"/>
      <c r="BN44" s="130"/>
      <c r="BO44" s="130"/>
      <c r="BP44" s="130"/>
      <c r="BQ44" s="130"/>
      <c r="BR44" s="130"/>
    </row>
    <row r="45" spans="1:100" hidden="1" x14ac:dyDescent="0.25">
      <c r="A45" s="68">
        <v>43</v>
      </c>
      <c r="B45" s="70" t="s">
        <v>1015</v>
      </c>
      <c r="C45" s="70" t="s">
        <v>1016</v>
      </c>
      <c r="D45" s="70" t="s">
        <v>24</v>
      </c>
      <c r="E45" s="70"/>
      <c r="F45" s="70" t="s">
        <v>1017</v>
      </c>
      <c r="G45" s="70">
        <v>2019</v>
      </c>
      <c r="H45" s="70" t="s">
        <v>1018</v>
      </c>
      <c r="I45" s="78" t="s">
        <v>80</v>
      </c>
      <c r="J45" s="78" t="s">
        <v>80</v>
      </c>
      <c r="K45" s="78">
        <v>0.62</v>
      </c>
      <c r="L45" s="78">
        <v>4</v>
      </c>
      <c r="M45" s="70" t="s">
        <v>3738</v>
      </c>
      <c r="N45" s="70">
        <v>0</v>
      </c>
      <c r="O45" s="70">
        <v>5</v>
      </c>
      <c r="P45" s="90" t="s">
        <v>3376</v>
      </c>
      <c r="Q45" s="104" t="s">
        <v>3324</v>
      </c>
      <c r="R45" s="108" t="s">
        <v>3361</v>
      </c>
      <c r="S45" s="90" t="s">
        <v>3231</v>
      </c>
      <c r="T45" s="70" t="s">
        <v>1</v>
      </c>
      <c r="U45" s="70" t="s">
        <v>38</v>
      </c>
      <c r="V45" s="70" t="s">
        <v>69</v>
      </c>
      <c r="W45" s="70" t="s">
        <v>3336</v>
      </c>
      <c r="X45" s="70">
        <v>5</v>
      </c>
      <c r="Y45" s="70">
        <v>5</v>
      </c>
      <c r="Z45" s="70">
        <v>5</v>
      </c>
      <c r="AA45" s="70">
        <v>5</v>
      </c>
      <c r="AB45" s="70">
        <v>5</v>
      </c>
      <c r="AC45" s="70">
        <v>5</v>
      </c>
      <c r="AD4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45" s="70" t="s">
        <v>3335</v>
      </c>
      <c r="AF45" s="70"/>
      <c r="AG45" s="70"/>
      <c r="AH45" s="70"/>
      <c r="AI45" s="70"/>
      <c r="AJ45" s="70" t="s">
        <v>4122</v>
      </c>
      <c r="AK45" s="70"/>
      <c r="AL45" s="70"/>
      <c r="AM45" s="70"/>
      <c r="AN45" s="70"/>
      <c r="AO45" s="70"/>
      <c r="AP45" s="70"/>
      <c r="AQ45" s="70"/>
      <c r="AR45" s="70"/>
      <c r="AS45" s="70"/>
      <c r="AT45" s="70"/>
      <c r="AU45" s="70"/>
      <c r="AV45" s="70"/>
      <c r="AW45" s="70"/>
      <c r="AX45" s="70"/>
      <c r="AY45" s="70"/>
      <c r="AZ45" s="70"/>
      <c r="BA45" s="70"/>
      <c r="BB45" s="70" t="s">
        <v>4122</v>
      </c>
      <c r="BC45" s="70"/>
      <c r="BD45" s="70"/>
      <c r="BE45" s="70"/>
      <c r="BF45" s="70"/>
      <c r="BG45" s="70"/>
      <c r="BH45" s="130"/>
      <c r="BI45" s="130"/>
      <c r="BJ45" s="130"/>
      <c r="BK45" s="130"/>
      <c r="BL45" s="130"/>
      <c r="BM45" s="130"/>
      <c r="BN45" s="130" t="s">
        <v>4122</v>
      </c>
      <c r="BO45" s="130"/>
      <c r="BP45" s="130"/>
      <c r="BQ45" s="130"/>
      <c r="BR45" s="130"/>
    </row>
    <row r="46" spans="1:100" hidden="1" x14ac:dyDescent="0.25">
      <c r="A46" s="68">
        <v>16</v>
      </c>
      <c r="B46" s="70" t="s">
        <v>136</v>
      </c>
      <c r="C46" s="70" t="s">
        <v>137</v>
      </c>
      <c r="D46" s="70" t="s">
        <v>3883</v>
      </c>
      <c r="E46" s="70" t="s">
        <v>303</v>
      </c>
      <c r="F46" s="70" t="s">
        <v>304</v>
      </c>
      <c r="G46" s="70">
        <v>2016</v>
      </c>
      <c r="H46" s="70" t="s">
        <v>258</v>
      </c>
      <c r="I46" s="78" t="s">
        <v>84</v>
      </c>
      <c r="J46" s="78" t="s">
        <v>80</v>
      </c>
      <c r="K46" s="78" t="s">
        <v>80</v>
      </c>
      <c r="L46" s="78" t="s">
        <v>80</v>
      </c>
      <c r="M46" s="70" t="s">
        <v>3695</v>
      </c>
      <c r="N46" s="70">
        <v>10</v>
      </c>
      <c r="O46" s="70">
        <v>2</v>
      </c>
      <c r="P46" s="90" t="s">
        <v>3244</v>
      </c>
      <c r="Q46" s="104" t="s">
        <v>3181</v>
      </c>
      <c r="R46" s="108" t="s">
        <v>3210</v>
      </c>
      <c r="S46" s="90" t="s">
        <v>3318</v>
      </c>
      <c r="T46" s="70" t="s">
        <v>6</v>
      </c>
      <c r="U46" s="70" t="s">
        <v>38</v>
      </c>
      <c r="V46" s="70" t="s">
        <v>69</v>
      </c>
      <c r="W46" s="70" t="s">
        <v>3241</v>
      </c>
      <c r="X46" s="70">
        <v>4</v>
      </c>
      <c r="Y46" s="70">
        <v>5</v>
      </c>
      <c r="Z46" s="70">
        <v>5</v>
      </c>
      <c r="AA46" s="70">
        <v>5</v>
      </c>
      <c r="AB46" s="70">
        <v>5</v>
      </c>
      <c r="AC46" s="70">
        <v>5</v>
      </c>
      <c r="AD4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46" s="70" t="s">
        <v>3657</v>
      </c>
      <c r="AF46" s="70"/>
      <c r="AG46" s="70"/>
      <c r="AH46" s="70"/>
      <c r="AI46" s="70"/>
      <c r="AJ46" s="70" t="s">
        <v>4122</v>
      </c>
      <c r="AK46" s="70"/>
      <c r="AL46" s="70"/>
      <c r="AM46" s="70"/>
      <c r="AN46" s="70"/>
      <c r="AO46" s="70"/>
      <c r="AP46" s="70"/>
      <c r="AQ46" s="70"/>
      <c r="AR46" s="70"/>
      <c r="AS46" s="70"/>
      <c r="AT46" s="70"/>
      <c r="AU46" s="70"/>
      <c r="AV46" s="70"/>
      <c r="AW46" s="70"/>
      <c r="AX46" s="70"/>
      <c r="AY46" s="70"/>
      <c r="AZ46" s="70"/>
      <c r="BA46" s="70" t="s">
        <v>4122</v>
      </c>
      <c r="BB46" s="70"/>
      <c r="BC46" s="70"/>
      <c r="BD46" s="70"/>
      <c r="BE46" s="70"/>
      <c r="BF46" s="70"/>
      <c r="BG46" s="70"/>
      <c r="BH46" s="130"/>
      <c r="BI46" s="130"/>
      <c r="BJ46" s="130"/>
      <c r="BK46" s="130"/>
      <c r="BL46" s="130"/>
      <c r="BM46" s="130"/>
      <c r="BN46" s="130" t="s">
        <v>4122</v>
      </c>
      <c r="BO46" s="130"/>
      <c r="BP46" s="130"/>
      <c r="BQ46" s="130"/>
      <c r="BR46" s="130"/>
    </row>
    <row r="47" spans="1:100" hidden="1" x14ac:dyDescent="0.25">
      <c r="A47" s="68">
        <v>87</v>
      </c>
      <c r="B47" s="70" t="s">
        <v>3117</v>
      </c>
      <c r="C47" s="70" t="s">
        <v>1657</v>
      </c>
      <c r="D47" s="70" t="s">
        <v>24</v>
      </c>
      <c r="E47" s="70"/>
      <c r="F47" s="70" t="s">
        <v>3118</v>
      </c>
      <c r="G47" s="70">
        <v>2015</v>
      </c>
      <c r="H47" s="70" t="s">
        <v>3119</v>
      </c>
      <c r="I47" s="78" t="s">
        <v>80</v>
      </c>
      <c r="J47" s="78" t="s">
        <v>80</v>
      </c>
      <c r="K47" s="78">
        <v>0.62</v>
      </c>
      <c r="L47" s="78">
        <v>4</v>
      </c>
      <c r="M47" s="70" t="s">
        <v>3812</v>
      </c>
      <c r="N47" s="70">
        <v>29</v>
      </c>
      <c r="O47" s="70">
        <v>5</v>
      </c>
      <c r="P47" s="90" t="s">
        <v>3157</v>
      </c>
      <c r="Q47" s="104" t="s">
        <v>3441</v>
      </c>
      <c r="R47" s="108" t="s">
        <v>3440</v>
      </c>
      <c r="S47" s="90" t="s">
        <v>3239</v>
      </c>
      <c r="T47" s="70" t="s">
        <v>1</v>
      </c>
      <c r="U47" s="70" t="s">
        <v>38</v>
      </c>
      <c r="V47" s="70" t="s">
        <v>69</v>
      </c>
      <c r="W47" s="70" t="s">
        <v>3336</v>
      </c>
      <c r="X47" s="70">
        <v>5</v>
      </c>
      <c r="Y47" s="70">
        <v>5</v>
      </c>
      <c r="Z47" s="70">
        <v>5</v>
      </c>
      <c r="AA47" s="70">
        <v>5</v>
      </c>
      <c r="AB47" s="70">
        <v>5</v>
      </c>
      <c r="AC47" s="70">
        <v>5</v>
      </c>
      <c r="AD4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47" s="70" t="s">
        <v>59</v>
      </c>
      <c r="AF47" s="70"/>
      <c r="AG47" s="70"/>
      <c r="AH47" s="70" t="s">
        <v>4122</v>
      </c>
      <c r="AI47" s="70"/>
      <c r="AJ47" s="70"/>
      <c r="AK47" s="70"/>
      <c r="AL47" s="70"/>
      <c r="AM47" s="70"/>
      <c r="AN47" s="70"/>
      <c r="AO47" s="70"/>
      <c r="AP47" s="70"/>
      <c r="AQ47" s="70"/>
      <c r="AR47" s="70"/>
      <c r="AS47" s="70"/>
      <c r="AT47" s="70"/>
      <c r="AU47" s="70"/>
      <c r="AV47" s="70"/>
      <c r="AW47" s="70" t="s">
        <v>4122</v>
      </c>
      <c r="AX47" s="70"/>
      <c r="AY47" s="70"/>
      <c r="AZ47" s="70"/>
      <c r="BA47" s="70"/>
      <c r="BB47" s="70"/>
      <c r="BC47" s="70"/>
      <c r="BD47" s="70"/>
      <c r="BE47" s="70"/>
      <c r="BF47" s="70"/>
      <c r="BG47" s="70"/>
      <c r="BH47" s="130"/>
      <c r="BI47" s="130"/>
      <c r="BJ47" s="130"/>
      <c r="BK47" s="130" t="s">
        <v>4122</v>
      </c>
      <c r="BL47" s="130"/>
      <c r="BM47" s="130"/>
      <c r="BN47" s="130"/>
      <c r="BO47" s="130"/>
      <c r="BP47" s="130"/>
      <c r="BQ47" s="130"/>
      <c r="BR47" s="130"/>
    </row>
    <row r="48" spans="1:100" hidden="1" x14ac:dyDescent="0.25">
      <c r="A48" s="68">
        <v>154</v>
      </c>
      <c r="B48" s="70" t="s">
        <v>2329</v>
      </c>
      <c r="C48" s="70" t="s">
        <v>2330</v>
      </c>
      <c r="D48" s="70" t="s">
        <v>3916</v>
      </c>
      <c r="E48" s="70"/>
      <c r="F48" s="70" t="s">
        <v>2331</v>
      </c>
      <c r="G48" s="70">
        <v>2017</v>
      </c>
      <c r="H48" s="70" t="s">
        <v>2332</v>
      </c>
      <c r="I48" s="78" t="s">
        <v>80</v>
      </c>
      <c r="J48" s="78" t="s">
        <v>85</v>
      </c>
      <c r="K48" s="78" t="s">
        <v>80</v>
      </c>
      <c r="L48" s="78" t="s">
        <v>80</v>
      </c>
      <c r="M48" s="70" t="s">
        <v>3915</v>
      </c>
      <c r="N48" s="70">
        <v>10</v>
      </c>
      <c r="O48" s="70">
        <v>5</v>
      </c>
      <c r="P48" s="90" t="s">
        <v>3555</v>
      </c>
      <c r="Q48" s="104" t="s">
        <v>3556</v>
      </c>
      <c r="R48" s="108" t="s">
        <v>3210</v>
      </c>
      <c r="S48" s="90" t="s">
        <v>3257</v>
      </c>
      <c r="T48" s="70" t="s">
        <v>0</v>
      </c>
      <c r="U48" s="70" t="s">
        <v>38</v>
      </c>
      <c r="V48" s="70" t="s">
        <v>69</v>
      </c>
      <c r="W48" s="70" t="s">
        <v>3557</v>
      </c>
      <c r="X48" s="70">
        <v>5</v>
      </c>
      <c r="Y48" s="70">
        <v>5</v>
      </c>
      <c r="Z48" s="70">
        <v>5</v>
      </c>
      <c r="AA48" s="70">
        <v>5</v>
      </c>
      <c r="AB48" s="70">
        <v>5</v>
      </c>
      <c r="AC48" s="70">
        <v>5</v>
      </c>
      <c r="AD4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48" s="70" t="s">
        <v>3558</v>
      </c>
      <c r="AF48" s="70"/>
      <c r="AG48" s="70" t="s">
        <v>4122</v>
      </c>
      <c r="AH48" s="70"/>
      <c r="AI48" s="70"/>
      <c r="AJ48" s="70"/>
      <c r="AK48" s="70"/>
      <c r="AL48" s="70" t="s">
        <v>4122</v>
      </c>
      <c r="AM48" s="70" t="s">
        <v>4122</v>
      </c>
      <c r="AN48" s="70"/>
      <c r="AO48" s="70"/>
      <c r="AP48" s="70"/>
      <c r="AQ48" s="70"/>
      <c r="AR48" s="70"/>
      <c r="AS48" s="70"/>
      <c r="AT48" s="70"/>
      <c r="AU48" s="70"/>
      <c r="AV48" s="70"/>
      <c r="AW48" s="70"/>
      <c r="AX48" s="70"/>
      <c r="AY48" s="70"/>
      <c r="AZ48" s="70"/>
      <c r="BA48" s="70"/>
      <c r="BB48" s="70"/>
      <c r="BC48" s="70"/>
      <c r="BD48" s="70"/>
      <c r="BE48" s="70"/>
      <c r="BF48" s="70"/>
      <c r="BG48" s="70" t="s">
        <v>4122</v>
      </c>
      <c r="BH48" s="130"/>
      <c r="BI48" s="130"/>
      <c r="BJ48" s="130"/>
      <c r="BK48" s="130"/>
      <c r="BL48" s="130"/>
      <c r="BM48" s="130"/>
      <c r="BN48" s="130" t="s">
        <v>4122</v>
      </c>
      <c r="BO48" s="130"/>
      <c r="BP48" s="130"/>
      <c r="BQ48" s="130"/>
      <c r="BR48" s="130"/>
    </row>
    <row r="49" spans="1:70" hidden="1" x14ac:dyDescent="0.25">
      <c r="A49" s="68">
        <v>90</v>
      </c>
      <c r="B49" s="110" t="s">
        <v>1266</v>
      </c>
      <c r="C49" s="110" t="s">
        <v>1267</v>
      </c>
      <c r="D49" s="110" t="s">
        <v>3753</v>
      </c>
      <c r="E49" s="110"/>
      <c r="F49" s="110" t="s">
        <v>1268</v>
      </c>
      <c r="G49" s="110">
        <v>2018</v>
      </c>
      <c r="H49" s="110" t="s">
        <v>1269</v>
      </c>
      <c r="I49" s="111" t="s">
        <v>84</v>
      </c>
      <c r="J49" s="111" t="s">
        <v>80</v>
      </c>
      <c r="K49" s="111" t="s">
        <v>80</v>
      </c>
      <c r="L49" s="111" t="s">
        <v>80</v>
      </c>
      <c r="M49" s="110" t="s">
        <v>3814</v>
      </c>
      <c r="N49" s="110">
        <v>10</v>
      </c>
      <c r="O49" s="110">
        <v>4</v>
      </c>
      <c r="P49" s="110" t="s">
        <v>3385</v>
      </c>
      <c r="Q49" s="110" t="s">
        <v>3425</v>
      </c>
      <c r="R49" s="110" t="s">
        <v>4134</v>
      </c>
      <c r="S49" s="110" t="s">
        <v>3243</v>
      </c>
      <c r="T49" s="110" t="s">
        <v>0</v>
      </c>
      <c r="U49" s="110" t="s">
        <v>38</v>
      </c>
      <c r="V49" s="110" t="s">
        <v>69</v>
      </c>
      <c r="W49" s="110" t="s">
        <v>3336</v>
      </c>
      <c r="X49" s="110">
        <v>5</v>
      </c>
      <c r="Y49" s="110">
        <v>4</v>
      </c>
      <c r="Z49" s="110">
        <v>4</v>
      </c>
      <c r="AA49" s="110">
        <v>5</v>
      </c>
      <c r="AB49" s="110">
        <v>4</v>
      </c>
      <c r="AC49" s="110">
        <v>4</v>
      </c>
      <c r="AD4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49" s="110" t="s">
        <v>3448</v>
      </c>
      <c r="AF49" s="70"/>
      <c r="AG49" s="70"/>
      <c r="AH49" s="70" t="s">
        <v>4122</v>
      </c>
      <c r="AI49" s="70"/>
      <c r="AJ49" s="70"/>
      <c r="AK49" s="70"/>
      <c r="AL49" s="70"/>
      <c r="AM49" s="70"/>
      <c r="AN49" s="70"/>
      <c r="AO49" s="70"/>
      <c r="AP49" s="70"/>
      <c r="AQ49" s="70"/>
      <c r="AR49" s="70"/>
      <c r="AS49" s="70"/>
      <c r="AT49" s="70"/>
      <c r="AU49" s="70"/>
      <c r="AV49" s="70"/>
      <c r="AW49" s="70"/>
      <c r="AX49" s="70"/>
      <c r="AY49" s="70"/>
      <c r="AZ49" s="70"/>
      <c r="BA49" s="70"/>
      <c r="BB49" s="70"/>
      <c r="BC49" s="70"/>
      <c r="BD49" s="70"/>
      <c r="BE49" s="70" t="s">
        <v>4122</v>
      </c>
      <c r="BF49" s="70"/>
      <c r="BG49" s="70"/>
      <c r="BH49" s="130"/>
      <c r="BI49" s="130"/>
      <c r="BJ49" s="130" t="s">
        <v>4122</v>
      </c>
      <c r="BK49" s="130"/>
      <c r="BL49" s="130"/>
      <c r="BM49" s="130"/>
      <c r="BN49" s="130"/>
      <c r="BO49" s="130"/>
      <c r="BP49" s="130"/>
      <c r="BQ49" s="130"/>
      <c r="BR49" s="130"/>
    </row>
    <row r="50" spans="1:70" hidden="1" x14ac:dyDescent="0.25">
      <c r="A50" s="68">
        <v>176</v>
      </c>
      <c r="B50" s="110" t="s">
        <v>2790</v>
      </c>
      <c r="C50" s="110" t="s">
        <v>2791</v>
      </c>
      <c r="D50" s="110" t="s">
        <v>2792</v>
      </c>
      <c r="E50" s="110"/>
      <c r="F50" s="110" t="s">
        <v>2793</v>
      </c>
      <c r="G50" s="110">
        <v>2013</v>
      </c>
      <c r="H50" s="110" t="s">
        <v>2794</v>
      </c>
      <c r="I50" s="111" t="s">
        <v>80</v>
      </c>
      <c r="J50" s="111" t="s">
        <v>80</v>
      </c>
      <c r="K50" s="111">
        <v>0.56000000000000005</v>
      </c>
      <c r="L50" s="111">
        <v>4</v>
      </c>
      <c r="M50" s="110" t="s">
        <v>3948</v>
      </c>
      <c r="N50" s="110">
        <v>10</v>
      </c>
      <c r="O50" s="110">
        <v>3</v>
      </c>
      <c r="P50" s="110" t="s">
        <v>3595</v>
      </c>
      <c r="Q50" s="110" t="s">
        <v>3596</v>
      </c>
      <c r="R50" s="110" t="s">
        <v>3514</v>
      </c>
      <c r="S50" s="110" t="s">
        <v>3257</v>
      </c>
      <c r="T50" s="110" t="s">
        <v>1</v>
      </c>
      <c r="U50" s="110" t="s">
        <v>38</v>
      </c>
      <c r="V50" s="110" t="s">
        <v>69</v>
      </c>
      <c r="W50" s="110" t="s">
        <v>3336</v>
      </c>
      <c r="X50" s="110">
        <v>4</v>
      </c>
      <c r="Y50" s="110">
        <v>4</v>
      </c>
      <c r="Z50" s="110">
        <v>3</v>
      </c>
      <c r="AA50" s="110">
        <v>4</v>
      </c>
      <c r="AB50" s="110">
        <v>4</v>
      </c>
      <c r="AC50" s="110">
        <v>3</v>
      </c>
      <c r="AD50"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50" s="110" t="s">
        <v>3349</v>
      </c>
      <c r="AF50" s="70"/>
      <c r="AG50" s="70"/>
      <c r="AH50" s="70"/>
      <c r="AI50" s="70"/>
      <c r="AJ50" s="70" t="s">
        <v>4122</v>
      </c>
      <c r="AK50" s="70"/>
      <c r="AL50" s="70"/>
      <c r="AM50" s="70" t="s">
        <v>4122</v>
      </c>
      <c r="AN50" s="70"/>
      <c r="AO50" s="70"/>
      <c r="AP50" s="70"/>
      <c r="AQ50" s="70"/>
      <c r="AR50" s="70"/>
      <c r="AS50" s="70"/>
      <c r="AT50" s="70"/>
      <c r="AU50" s="70"/>
      <c r="AV50" s="70"/>
      <c r="AW50" s="70" t="s">
        <v>4122</v>
      </c>
      <c r="AX50" s="70"/>
      <c r="AY50" s="70"/>
      <c r="AZ50" s="70"/>
      <c r="BA50" s="70"/>
      <c r="BB50" s="70"/>
      <c r="BC50" s="70"/>
      <c r="BD50" s="70"/>
      <c r="BE50" s="70"/>
      <c r="BF50" s="70"/>
      <c r="BG50" s="70"/>
      <c r="BH50" s="130"/>
      <c r="BI50" s="130"/>
      <c r="BJ50" s="130" t="s">
        <v>4122</v>
      </c>
      <c r="BK50" s="130"/>
      <c r="BL50" s="130"/>
      <c r="BM50" s="130"/>
      <c r="BN50" s="130"/>
      <c r="BO50" s="130"/>
      <c r="BP50" s="130"/>
      <c r="BQ50" s="130"/>
      <c r="BR50" s="130"/>
    </row>
    <row r="51" spans="1:70" hidden="1" x14ac:dyDescent="0.25">
      <c r="A51" s="68">
        <v>179</v>
      </c>
      <c r="B51" s="70" t="s">
        <v>2181</v>
      </c>
      <c r="C51" s="70" t="s">
        <v>2182</v>
      </c>
      <c r="D51" s="70" t="s">
        <v>121</v>
      </c>
      <c r="E51" s="70"/>
      <c r="F51" s="70" t="s">
        <v>2183</v>
      </c>
      <c r="G51" s="70">
        <v>2018</v>
      </c>
      <c r="H51" s="70" t="s">
        <v>2184</v>
      </c>
      <c r="I51" s="78" t="s">
        <v>80</v>
      </c>
      <c r="J51" s="78" t="s">
        <v>80</v>
      </c>
      <c r="K51" s="78">
        <v>0.73</v>
      </c>
      <c r="L51" s="78">
        <v>5</v>
      </c>
      <c r="M51" s="70" t="s">
        <v>3953</v>
      </c>
      <c r="N51" s="70">
        <v>9</v>
      </c>
      <c r="O51" s="70">
        <v>5</v>
      </c>
      <c r="P51" s="90" t="s">
        <v>3244</v>
      </c>
      <c r="Q51" s="104" t="s">
        <v>3256</v>
      </c>
      <c r="R51" s="108" t="s">
        <v>3204</v>
      </c>
      <c r="S51" s="90" t="s">
        <v>3257</v>
      </c>
      <c r="T51" s="70" t="s">
        <v>0</v>
      </c>
      <c r="U51" s="70" t="s">
        <v>38</v>
      </c>
      <c r="V51" s="70" t="s">
        <v>69</v>
      </c>
      <c r="W51" s="70" t="s">
        <v>3336</v>
      </c>
      <c r="X51" s="70">
        <v>5</v>
      </c>
      <c r="Y51" s="70">
        <v>5</v>
      </c>
      <c r="Z51" s="70">
        <v>5</v>
      </c>
      <c r="AA51" s="70">
        <v>5</v>
      </c>
      <c r="AB51" s="70">
        <v>5</v>
      </c>
      <c r="AC51" s="70">
        <v>5</v>
      </c>
      <c r="AD5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51" s="70" t="s">
        <v>3315</v>
      </c>
      <c r="AF51" s="70"/>
      <c r="AG51" s="70"/>
      <c r="AH51" s="70"/>
      <c r="AI51" s="70"/>
      <c r="AJ51" s="70"/>
      <c r="AK51" s="70"/>
      <c r="AL51" s="70"/>
      <c r="AM51" s="70"/>
      <c r="AN51" s="70"/>
      <c r="AO51" s="70"/>
      <c r="AP51" s="70"/>
      <c r="AQ51" s="70"/>
      <c r="AR51" s="70"/>
      <c r="AS51" s="70" t="s">
        <v>4122</v>
      </c>
      <c r="AT51" s="70"/>
      <c r="AU51" s="70"/>
      <c r="AV51" s="70" t="s">
        <v>4122</v>
      </c>
      <c r="AW51" s="70"/>
      <c r="AX51" s="70"/>
      <c r="AY51" s="70"/>
      <c r="AZ51" s="70"/>
      <c r="BA51" s="70"/>
      <c r="BB51" s="70"/>
      <c r="BC51" s="70"/>
      <c r="BD51" s="70"/>
      <c r="BE51" s="70"/>
      <c r="BF51" s="70"/>
      <c r="BG51" s="70"/>
      <c r="BH51" s="130"/>
      <c r="BI51" s="130"/>
      <c r="BJ51" s="130"/>
      <c r="BK51" s="130"/>
      <c r="BL51" s="130"/>
      <c r="BM51" s="130"/>
      <c r="BN51" s="130" t="s">
        <v>4122</v>
      </c>
      <c r="BO51" s="130"/>
      <c r="BP51" s="130"/>
      <c r="BQ51" s="130"/>
      <c r="BR51" s="130"/>
    </row>
    <row r="52" spans="1:70" hidden="1" x14ac:dyDescent="0.25">
      <c r="A52" s="68">
        <v>191</v>
      </c>
      <c r="B52" s="70" t="s">
        <v>190</v>
      </c>
      <c r="C52" s="70" t="s">
        <v>191</v>
      </c>
      <c r="D52" s="70" t="s">
        <v>3753</v>
      </c>
      <c r="E52" s="70" t="s">
        <v>351</v>
      </c>
      <c r="F52" s="70" t="s">
        <v>352</v>
      </c>
      <c r="G52" s="70">
        <v>2018</v>
      </c>
      <c r="H52" s="70" t="s">
        <v>279</v>
      </c>
      <c r="I52" s="78" t="s">
        <v>84</v>
      </c>
      <c r="J52" s="78" t="s">
        <v>80</v>
      </c>
      <c r="K52" s="78" t="s">
        <v>80</v>
      </c>
      <c r="L52" s="78" t="s">
        <v>80</v>
      </c>
      <c r="M52" s="70" t="s">
        <v>3971</v>
      </c>
      <c r="N52" s="70">
        <v>9</v>
      </c>
      <c r="O52" s="70">
        <v>5</v>
      </c>
      <c r="P52" s="90" t="s">
        <v>3167</v>
      </c>
      <c r="Q52" s="104" t="s">
        <v>3609</v>
      </c>
      <c r="R52" s="108" t="s">
        <v>3436</v>
      </c>
      <c r="S52" s="90" t="s">
        <v>3608</v>
      </c>
      <c r="T52" s="70" t="s">
        <v>6</v>
      </c>
      <c r="U52" s="70" t="s">
        <v>38</v>
      </c>
      <c r="V52" s="70" t="s">
        <v>69</v>
      </c>
      <c r="W52" s="70" t="s">
        <v>3336</v>
      </c>
      <c r="X52" s="70">
        <v>5</v>
      </c>
      <c r="Y52" s="70">
        <v>5</v>
      </c>
      <c r="Z52" s="70">
        <v>5</v>
      </c>
      <c r="AA52" s="70">
        <v>5</v>
      </c>
      <c r="AB52" s="70">
        <v>5</v>
      </c>
      <c r="AC52" s="70">
        <v>5</v>
      </c>
      <c r="AD5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52" s="70" t="s">
        <v>56</v>
      </c>
      <c r="AF52" s="70"/>
      <c r="AG52" s="70"/>
      <c r="AH52" s="70"/>
      <c r="AI52" s="70"/>
      <c r="AJ52" s="70"/>
      <c r="AK52" s="70"/>
      <c r="AL52" s="70"/>
      <c r="AM52" s="70"/>
      <c r="AN52" s="70"/>
      <c r="AO52" s="70"/>
      <c r="AP52" s="70"/>
      <c r="AQ52" s="70"/>
      <c r="AR52" s="70"/>
      <c r="AS52" s="70" t="s">
        <v>4122</v>
      </c>
      <c r="AT52" s="70"/>
      <c r="AU52" s="70"/>
      <c r="AV52" s="70"/>
      <c r="AW52" s="70"/>
      <c r="AX52" s="70"/>
      <c r="AY52" s="70"/>
      <c r="AZ52" s="70"/>
      <c r="BA52" s="70"/>
      <c r="BB52" s="70" t="s">
        <v>4122</v>
      </c>
      <c r="BC52" s="70"/>
      <c r="BD52" s="70"/>
      <c r="BE52" s="70"/>
      <c r="BF52" s="70"/>
      <c r="BG52" s="70"/>
      <c r="BH52" s="130"/>
      <c r="BI52" s="130"/>
      <c r="BJ52" s="130"/>
      <c r="BK52" s="130"/>
      <c r="BL52" s="130" t="s">
        <v>4122</v>
      </c>
      <c r="BM52" s="130"/>
      <c r="BN52" s="130"/>
      <c r="BO52" s="130"/>
      <c r="BP52" s="130"/>
      <c r="BQ52" s="130"/>
      <c r="BR52" s="130"/>
    </row>
    <row r="53" spans="1:70" hidden="1" x14ac:dyDescent="0.25">
      <c r="A53" s="68">
        <v>102</v>
      </c>
      <c r="B53" s="70" t="s">
        <v>2036</v>
      </c>
      <c r="C53" s="70" t="s">
        <v>1047</v>
      </c>
      <c r="D53" s="70" t="s">
        <v>24</v>
      </c>
      <c r="E53" s="70"/>
      <c r="F53" s="70" t="s">
        <v>2037</v>
      </c>
      <c r="G53" s="70">
        <v>2013</v>
      </c>
      <c r="H53" s="70" t="s">
        <v>2038</v>
      </c>
      <c r="I53" s="78" t="s">
        <v>80</v>
      </c>
      <c r="J53" s="78" t="s">
        <v>80</v>
      </c>
      <c r="K53" s="78">
        <v>0.62</v>
      </c>
      <c r="L53" s="78">
        <v>4</v>
      </c>
      <c r="M53" s="70" t="s">
        <v>3832</v>
      </c>
      <c r="N53" s="70">
        <v>9</v>
      </c>
      <c r="O53" s="70">
        <v>3</v>
      </c>
      <c r="P53" s="90" t="s">
        <v>3385</v>
      </c>
      <c r="Q53" s="104" t="s">
        <v>3171</v>
      </c>
      <c r="R53" s="108" t="s">
        <v>3316</v>
      </c>
      <c r="S53" s="90" t="s">
        <v>3243</v>
      </c>
      <c r="T53" s="70" t="s">
        <v>0</v>
      </c>
      <c r="U53" s="70" t="s">
        <v>38</v>
      </c>
      <c r="V53" s="70" t="s">
        <v>69</v>
      </c>
      <c r="W53" s="70" t="s">
        <v>3336</v>
      </c>
      <c r="X53" s="70">
        <v>3</v>
      </c>
      <c r="Y53" s="70">
        <v>3</v>
      </c>
      <c r="Z53" s="70">
        <v>3</v>
      </c>
      <c r="AA53" s="70">
        <v>3</v>
      </c>
      <c r="AB53" s="70">
        <v>3</v>
      </c>
      <c r="AC53" s="70">
        <v>3</v>
      </c>
      <c r="AD5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53" s="70" t="s">
        <v>62</v>
      </c>
      <c r="AF53" s="70"/>
      <c r="AG53" s="70"/>
      <c r="AH53" s="70"/>
      <c r="AI53" s="70"/>
      <c r="AJ53" s="70"/>
      <c r="AK53" s="70"/>
      <c r="AL53" s="70" t="s">
        <v>4122</v>
      </c>
      <c r="AM53" s="70"/>
      <c r="AN53" s="70"/>
      <c r="AO53" s="70"/>
      <c r="AP53" s="70"/>
      <c r="AQ53" s="70"/>
      <c r="AR53" s="70"/>
      <c r="AS53" s="70"/>
      <c r="AT53" s="70"/>
      <c r="AU53" s="70"/>
      <c r="AV53" s="70" t="s">
        <v>4122</v>
      </c>
      <c r="AW53" s="70"/>
      <c r="AX53" s="70"/>
      <c r="AY53" s="70"/>
      <c r="AZ53" s="70"/>
      <c r="BA53" s="70"/>
      <c r="BB53" s="70"/>
      <c r="BC53" s="70"/>
      <c r="BD53" s="70"/>
      <c r="BE53" s="70"/>
      <c r="BF53" s="70" t="s">
        <v>4122</v>
      </c>
      <c r="BG53" s="70"/>
      <c r="BH53" s="130"/>
      <c r="BI53" s="130"/>
      <c r="BJ53" s="130"/>
      <c r="BK53" s="130"/>
      <c r="BL53" s="130"/>
      <c r="BM53" s="130"/>
      <c r="BN53" s="130" t="s">
        <v>4122</v>
      </c>
      <c r="BO53" s="130"/>
      <c r="BP53" s="130"/>
      <c r="BQ53" s="130"/>
      <c r="BR53" s="130"/>
    </row>
    <row r="54" spans="1:70" hidden="1" x14ac:dyDescent="0.25">
      <c r="A54" s="68">
        <v>148</v>
      </c>
      <c r="B54" s="70" t="s">
        <v>170</v>
      </c>
      <c r="C54" s="70" t="s">
        <v>171</v>
      </c>
      <c r="D54" s="70" t="s">
        <v>3905</v>
      </c>
      <c r="E54" s="70" t="s">
        <v>333</v>
      </c>
      <c r="F54" s="70" t="s">
        <v>334</v>
      </c>
      <c r="G54" s="70">
        <v>2015</v>
      </c>
      <c r="H54" s="70" t="s">
        <v>272</v>
      </c>
      <c r="I54" s="78" t="s">
        <v>80</v>
      </c>
      <c r="J54" s="78" t="s">
        <v>80</v>
      </c>
      <c r="K54" s="78" t="s">
        <v>80</v>
      </c>
      <c r="L54" s="78" t="s">
        <v>80</v>
      </c>
      <c r="M54" s="70" t="s">
        <v>3906</v>
      </c>
      <c r="N54" s="70">
        <v>9</v>
      </c>
      <c r="O54" s="70">
        <v>3</v>
      </c>
      <c r="P54" s="90" t="s">
        <v>3244</v>
      </c>
      <c r="Q54" s="104" t="s">
        <v>3196</v>
      </c>
      <c r="R54" s="108" t="s">
        <v>3316</v>
      </c>
      <c r="S54" s="90" t="s">
        <v>3223</v>
      </c>
      <c r="T54" s="70" t="s">
        <v>6</v>
      </c>
      <c r="U54" s="70" t="s">
        <v>38</v>
      </c>
      <c r="V54" s="70" t="s">
        <v>69</v>
      </c>
      <c r="W54" s="70" t="s">
        <v>3340</v>
      </c>
      <c r="X54" s="70">
        <v>5</v>
      </c>
      <c r="Y54" s="70">
        <v>5</v>
      </c>
      <c r="Z54" s="70">
        <v>3</v>
      </c>
      <c r="AA54" s="70">
        <v>3</v>
      </c>
      <c r="AB54" s="70">
        <v>5</v>
      </c>
      <c r="AC54" s="70">
        <v>3</v>
      </c>
      <c r="AD5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54" s="70" t="s">
        <v>3317</v>
      </c>
      <c r="AF54" s="70"/>
      <c r="AG54" s="70"/>
      <c r="AH54" s="70"/>
      <c r="AI54" s="70" t="s">
        <v>4122</v>
      </c>
      <c r="AJ54" s="70"/>
      <c r="AK54" s="70"/>
      <c r="AL54" s="70"/>
      <c r="AM54" s="70" t="s">
        <v>4122</v>
      </c>
      <c r="AN54" s="70"/>
      <c r="AO54" s="70"/>
      <c r="AP54" s="70"/>
      <c r="AQ54" s="70"/>
      <c r="AR54" s="70"/>
      <c r="AS54" s="70"/>
      <c r="AT54" s="70"/>
      <c r="AU54" s="70"/>
      <c r="AV54" s="70"/>
      <c r="AW54" s="70"/>
      <c r="AX54" s="70"/>
      <c r="AY54" s="70"/>
      <c r="AZ54" s="70"/>
      <c r="BA54" s="70"/>
      <c r="BB54" s="70"/>
      <c r="BC54" s="70" t="s">
        <v>4122</v>
      </c>
      <c r="BD54" s="70"/>
      <c r="BE54" s="70"/>
      <c r="BF54" s="70"/>
      <c r="BG54" s="70"/>
      <c r="BH54" s="130"/>
      <c r="BI54" s="130"/>
      <c r="BJ54" s="130"/>
      <c r="BK54" s="130"/>
      <c r="BL54" s="130"/>
      <c r="BM54" s="130"/>
      <c r="BN54" s="130" t="s">
        <v>4122</v>
      </c>
      <c r="BO54" s="130"/>
      <c r="BP54" s="130"/>
      <c r="BQ54" s="130"/>
      <c r="BR54" s="130"/>
    </row>
    <row r="55" spans="1:70" hidden="1" x14ac:dyDescent="0.25">
      <c r="A55" s="68">
        <v>95</v>
      </c>
      <c r="B55" s="110" t="s">
        <v>2318</v>
      </c>
      <c r="C55" s="110" t="s">
        <v>2828</v>
      </c>
      <c r="D55" s="110" t="s">
        <v>1193</v>
      </c>
      <c r="E55" s="110"/>
      <c r="F55" s="110" t="s">
        <v>2829</v>
      </c>
      <c r="G55" s="110">
        <v>2014</v>
      </c>
      <c r="H55" s="110" t="s">
        <v>2830</v>
      </c>
      <c r="I55" s="111" t="s">
        <v>80</v>
      </c>
      <c r="J55" s="111" t="s">
        <v>80</v>
      </c>
      <c r="K55" s="111">
        <v>0.62</v>
      </c>
      <c r="L55" s="111">
        <v>4</v>
      </c>
      <c r="M55" s="110" t="s">
        <v>3821</v>
      </c>
      <c r="N55" s="110">
        <v>8</v>
      </c>
      <c r="O55" s="110">
        <v>3</v>
      </c>
      <c r="P55" s="110" t="s">
        <v>3244</v>
      </c>
      <c r="Q55" s="110" t="s">
        <v>3278</v>
      </c>
      <c r="R55" s="110" t="s">
        <v>4138</v>
      </c>
      <c r="S55" s="110" t="s">
        <v>3395</v>
      </c>
      <c r="T55" s="110" t="s">
        <v>0</v>
      </c>
      <c r="U55" s="110" t="s">
        <v>38</v>
      </c>
      <c r="V55" s="110" t="s">
        <v>69</v>
      </c>
      <c r="W55" s="110" t="s">
        <v>3457</v>
      </c>
      <c r="X55" s="110">
        <v>4</v>
      </c>
      <c r="Y55" s="110">
        <v>4</v>
      </c>
      <c r="Z55" s="110">
        <v>4</v>
      </c>
      <c r="AA55" s="110">
        <v>4</v>
      </c>
      <c r="AB55" s="110">
        <v>4</v>
      </c>
      <c r="AC55" s="110">
        <v>4</v>
      </c>
      <c r="AD55"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55" s="110" t="s">
        <v>58</v>
      </c>
      <c r="AF55" s="70"/>
      <c r="AG55" s="70"/>
      <c r="AH55" s="70"/>
      <c r="AI55" s="70"/>
      <c r="AJ55" s="70"/>
      <c r="AK55" s="70"/>
      <c r="AL55" s="70"/>
      <c r="AM55" s="70" t="s">
        <v>4122</v>
      </c>
      <c r="AN55" s="70"/>
      <c r="AO55" s="70"/>
      <c r="AP55" s="70"/>
      <c r="AQ55" s="70"/>
      <c r="AR55" s="70"/>
      <c r="AS55" s="70"/>
      <c r="AT55" s="70"/>
      <c r="AU55" s="70"/>
      <c r="AV55" s="70"/>
      <c r="AW55" s="70"/>
      <c r="AX55" s="70"/>
      <c r="AY55" s="70"/>
      <c r="AZ55" s="70"/>
      <c r="BA55" s="70"/>
      <c r="BB55" s="70"/>
      <c r="BC55" s="70"/>
      <c r="BD55" s="70"/>
      <c r="BE55" s="70"/>
      <c r="BF55" s="70" t="s">
        <v>4122</v>
      </c>
      <c r="BG55" s="70"/>
      <c r="BH55" s="130"/>
      <c r="BI55" s="130" t="s">
        <v>4122</v>
      </c>
      <c r="BJ55" s="130"/>
      <c r="BK55" s="130"/>
      <c r="BL55" s="130"/>
      <c r="BM55" s="130"/>
      <c r="BN55" s="130"/>
      <c r="BO55" s="130"/>
      <c r="BP55" s="130"/>
      <c r="BQ55" s="130"/>
      <c r="BR55" s="130"/>
    </row>
    <row r="56" spans="1:70" hidden="1" x14ac:dyDescent="0.25">
      <c r="A56" s="68">
        <v>182</v>
      </c>
      <c r="B56" s="70" t="s">
        <v>1230</v>
      </c>
      <c r="C56" s="70" t="s">
        <v>1231</v>
      </c>
      <c r="D56" s="70" t="s">
        <v>24</v>
      </c>
      <c r="E56" s="70"/>
      <c r="F56" s="70" t="s">
        <v>1232</v>
      </c>
      <c r="G56" s="70">
        <v>2019</v>
      </c>
      <c r="H56" s="70" t="s">
        <v>1233</v>
      </c>
      <c r="I56" s="78" t="s">
        <v>80</v>
      </c>
      <c r="J56" s="78" t="s">
        <v>80</v>
      </c>
      <c r="K56" s="78">
        <v>0.62</v>
      </c>
      <c r="L56" s="78">
        <v>4</v>
      </c>
      <c r="M56" s="70" t="s">
        <v>3956</v>
      </c>
      <c r="N56" s="70">
        <v>1</v>
      </c>
      <c r="O56" s="70">
        <v>5</v>
      </c>
      <c r="P56" s="90" t="s">
        <v>3328</v>
      </c>
      <c r="Q56" s="104" t="s">
        <v>3174</v>
      </c>
      <c r="R56" s="108" t="s">
        <v>3601</v>
      </c>
      <c r="S56" s="90" t="s">
        <v>3586</v>
      </c>
      <c r="T56" s="70" t="s">
        <v>1</v>
      </c>
      <c r="U56" s="70" t="s">
        <v>38</v>
      </c>
      <c r="V56" s="70" t="s">
        <v>69</v>
      </c>
      <c r="W56" s="70" t="s">
        <v>3336</v>
      </c>
      <c r="X56" s="70">
        <v>5</v>
      </c>
      <c r="Y56" s="70">
        <v>5</v>
      </c>
      <c r="Z56" s="70">
        <v>5</v>
      </c>
      <c r="AA56" s="70">
        <v>5</v>
      </c>
      <c r="AB56" s="70">
        <v>5</v>
      </c>
      <c r="AC56" s="70">
        <v>5</v>
      </c>
      <c r="AD5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56" s="70" t="s">
        <v>3602</v>
      </c>
      <c r="AF56" s="70"/>
      <c r="AG56" s="70"/>
      <c r="AH56" s="70"/>
      <c r="AI56" s="70"/>
      <c r="AJ56" s="70"/>
      <c r="AK56" s="70"/>
      <c r="AL56" s="70"/>
      <c r="AM56" s="70"/>
      <c r="AN56" s="70"/>
      <c r="AO56" s="70"/>
      <c r="AP56" s="70"/>
      <c r="AQ56" s="70"/>
      <c r="AR56" s="70"/>
      <c r="AS56" s="70" t="s">
        <v>4122</v>
      </c>
      <c r="AT56" s="70"/>
      <c r="AU56" s="70"/>
      <c r="AV56" s="70"/>
      <c r="AW56" s="70" t="s">
        <v>4122</v>
      </c>
      <c r="AX56" s="70"/>
      <c r="AY56" s="70"/>
      <c r="AZ56" s="70"/>
      <c r="BA56" s="70"/>
      <c r="BB56" s="70"/>
      <c r="BC56" s="70"/>
      <c r="BD56" s="70"/>
      <c r="BE56" s="70"/>
      <c r="BF56" s="70"/>
      <c r="BG56" s="70"/>
      <c r="BH56" s="130"/>
      <c r="BI56" s="130"/>
      <c r="BJ56" s="130"/>
      <c r="BK56" s="130" t="s">
        <v>4122</v>
      </c>
      <c r="BL56" s="130"/>
      <c r="BM56" s="130"/>
      <c r="BN56" s="130"/>
      <c r="BO56" s="130"/>
      <c r="BP56" s="130"/>
      <c r="BQ56" s="130"/>
      <c r="BR56" s="130"/>
    </row>
    <row r="57" spans="1:70" hidden="1" x14ac:dyDescent="0.25">
      <c r="A57" s="68">
        <v>188</v>
      </c>
      <c r="B57" s="70" t="s">
        <v>1747</v>
      </c>
      <c r="C57" s="70" t="s">
        <v>1748</v>
      </c>
      <c r="D57" s="70" t="s">
        <v>22</v>
      </c>
      <c r="E57" s="70"/>
      <c r="F57" s="70" t="s">
        <v>1749</v>
      </c>
      <c r="G57" s="70">
        <v>2018</v>
      </c>
      <c r="H57" s="70"/>
      <c r="I57" s="78" t="s">
        <v>80</v>
      </c>
      <c r="J57" s="78" t="s">
        <v>80</v>
      </c>
      <c r="K57" s="78">
        <v>0.55000000000000004</v>
      </c>
      <c r="L57" s="78">
        <v>5</v>
      </c>
      <c r="M57" s="70" t="s">
        <v>3967</v>
      </c>
      <c r="N57" s="70">
        <v>8</v>
      </c>
      <c r="O57" s="70">
        <v>5</v>
      </c>
      <c r="P57" s="90" t="s">
        <v>3244</v>
      </c>
      <c r="Q57" s="104" t="s">
        <v>3190</v>
      </c>
      <c r="R57" s="108" t="s">
        <v>3606</v>
      </c>
      <c r="S57" s="90" t="s">
        <v>3257</v>
      </c>
      <c r="T57" s="70" t="s">
        <v>1</v>
      </c>
      <c r="U57" s="70" t="s">
        <v>38</v>
      </c>
      <c r="V57" s="70" t="s">
        <v>69</v>
      </c>
      <c r="W57" s="70" t="s">
        <v>3336</v>
      </c>
      <c r="X57" s="70">
        <v>5</v>
      </c>
      <c r="Y57" s="70">
        <v>5</v>
      </c>
      <c r="Z57" s="70">
        <v>5</v>
      </c>
      <c r="AA57" s="70">
        <v>5</v>
      </c>
      <c r="AB57" s="70">
        <v>5</v>
      </c>
      <c r="AC57" s="70">
        <v>5</v>
      </c>
      <c r="AD5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57" s="70" t="s">
        <v>3335</v>
      </c>
      <c r="AF57" s="70"/>
      <c r="AG57" s="70"/>
      <c r="AH57" s="70"/>
      <c r="AI57" s="70" t="s">
        <v>4122</v>
      </c>
      <c r="AJ57" s="70"/>
      <c r="AK57" s="70"/>
      <c r="AL57" s="70"/>
      <c r="AM57" s="70"/>
      <c r="AN57" s="70"/>
      <c r="AO57" s="70"/>
      <c r="AP57" s="70"/>
      <c r="AQ57" s="70"/>
      <c r="AR57" s="70" t="s">
        <v>4122</v>
      </c>
      <c r="AS57" s="70"/>
      <c r="AT57" s="70"/>
      <c r="AU57" s="70"/>
      <c r="AV57" s="70"/>
      <c r="AW57" s="70"/>
      <c r="AX57" s="70" t="s">
        <v>4122</v>
      </c>
      <c r="AY57" s="70"/>
      <c r="AZ57" s="70"/>
      <c r="BA57" s="70"/>
      <c r="BB57" s="70"/>
      <c r="BC57" s="70"/>
      <c r="BD57" s="70"/>
      <c r="BE57" s="70"/>
      <c r="BF57" s="70"/>
      <c r="BG57" s="70"/>
      <c r="BH57" s="130" t="s">
        <v>4122</v>
      </c>
      <c r="BI57" s="130"/>
      <c r="BJ57" s="130"/>
      <c r="BK57" s="130"/>
      <c r="BL57" s="130"/>
      <c r="BM57" s="130"/>
      <c r="BN57" s="130"/>
      <c r="BO57" s="130"/>
      <c r="BP57" s="130"/>
      <c r="BQ57" s="130"/>
      <c r="BR57" s="130"/>
    </row>
    <row r="58" spans="1:70" hidden="1" x14ac:dyDescent="0.25">
      <c r="A58" s="68">
        <v>63</v>
      </c>
      <c r="B58" s="70" t="s">
        <v>2252</v>
      </c>
      <c r="C58" s="70" t="s">
        <v>2253</v>
      </c>
      <c r="D58" s="70" t="s">
        <v>3753</v>
      </c>
      <c r="E58" s="70"/>
      <c r="F58" s="70" t="s">
        <v>2254</v>
      </c>
      <c r="G58" s="70">
        <v>2018</v>
      </c>
      <c r="H58" s="70" t="s">
        <v>2255</v>
      </c>
      <c r="I58" s="78" t="s">
        <v>84</v>
      </c>
      <c r="J58" s="78" t="s">
        <v>80</v>
      </c>
      <c r="K58" s="78" t="s">
        <v>80</v>
      </c>
      <c r="L58" s="78" t="s">
        <v>80</v>
      </c>
      <c r="M58" s="70" t="s">
        <v>3771</v>
      </c>
      <c r="N58" s="70">
        <v>1</v>
      </c>
      <c r="O58" s="70">
        <v>5</v>
      </c>
      <c r="P58" s="90" t="s">
        <v>3244</v>
      </c>
      <c r="Q58" s="104" t="s">
        <v>3171</v>
      </c>
      <c r="R58" s="108" t="s">
        <v>3411</v>
      </c>
      <c r="S58" s="90" t="s">
        <v>3239</v>
      </c>
      <c r="T58" s="70" t="s">
        <v>0</v>
      </c>
      <c r="U58" s="70" t="s">
        <v>38</v>
      </c>
      <c r="V58" s="70" t="s">
        <v>69</v>
      </c>
      <c r="W58" s="70" t="s">
        <v>3336</v>
      </c>
      <c r="X58" s="70">
        <v>5</v>
      </c>
      <c r="Y58" s="70">
        <v>5</v>
      </c>
      <c r="Z58" s="70">
        <v>5</v>
      </c>
      <c r="AA58" s="70">
        <v>5</v>
      </c>
      <c r="AB58" s="70">
        <v>5</v>
      </c>
      <c r="AC58" s="70">
        <v>5</v>
      </c>
      <c r="AD5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58" s="70" t="s">
        <v>3412</v>
      </c>
      <c r="AF58" s="70"/>
      <c r="AG58" s="70"/>
      <c r="AH58" s="70" t="s">
        <v>4122</v>
      </c>
      <c r="AI58" s="70"/>
      <c r="AJ58" s="70" t="s">
        <v>4122</v>
      </c>
      <c r="AK58" s="70"/>
      <c r="AL58" s="70"/>
      <c r="AM58" s="70"/>
      <c r="AN58" s="70"/>
      <c r="AO58" s="70"/>
      <c r="AP58" s="70"/>
      <c r="AQ58" s="70"/>
      <c r="AR58" s="70"/>
      <c r="AS58" s="70"/>
      <c r="AT58" s="70"/>
      <c r="AU58" s="70"/>
      <c r="AV58" s="70" t="s">
        <v>4122</v>
      </c>
      <c r="AW58" s="70"/>
      <c r="AX58" s="70"/>
      <c r="AY58" s="70"/>
      <c r="AZ58" s="70"/>
      <c r="BA58" s="70"/>
      <c r="BB58" s="70"/>
      <c r="BC58" s="70"/>
      <c r="BD58" s="70"/>
      <c r="BE58" s="70"/>
      <c r="BF58" s="70" t="s">
        <v>4122</v>
      </c>
      <c r="BG58" s="70"/>
      <c r="BH58" s="130" t="s">
        <v>4122</v>
      </c>
      <c r="BI58" s="130"/>
      <c r="BJ58" s="130"/>
      <c r="BK58" s="130"/>
      <c r="BL58" s="130"/>
      <c r="BM58" s="130"/>
      <c r="BN58" s="130" t="s">
        <v>4122</v>
      </c>
      <c r="BO58" s="130"/>
      <c r="BP58" s="130"/>
      <c r="BQ58" s="130"/>
      <c r="BR58" s="130"/>
    </row>
    <row r="59" spans="1:70" hidden="1" x14ac:dyDescent="0.25">
      <c r="A59" s="68">
        <v>104</v>
      </c>
      <c r="B59" s="70" t="s">
        <v>1453</v>
      </c>
      <c r="C59" s="70" t="s">
        <v>3835</v>
      </c>
      <c r="D59" s="70" t="s">
        <v>1193</v>
      </c>
      <c r="E59" s="70"/>
      <c r="F59" s="70" t="s">
        <v>1455</v>
      </c>
      <c r="G59" s="70">
        <v>2013</v>
      </c>
      <c r="H59" s="70" t="s">
        <v>1456</v>
      </c>
      <c r="I59" s="78" t="s">
        <v>80</v>
      </c>
      <c r="J59" s="78" t="s">
        <v>80</v>
      </c>
      <c r="K59" s="78">
        <v>0.62</v>
      </c>
      <c r="L59" s="78">
        <v>4</v>
      </c>
      <c r="M59" s="70" t="s">
        <v>3836</v>
      </c>
      <c r="N59" s="70">
        <v>8</v>
      </c>
      <c r="O59" s="70">
        <v>4</v>
      </c>
      <c r="P59" s="90" t="s">
        <v>3386</v>
      </c>
      <c r="Q59" s="104" t="s">
        <v>3469</v>
      </c>
      <c r="R59" s="108" t="s">
        <v>3202</v>
      </c>
      <c r="S59" s="90" t="s">
        <v>3237</v>
      </c>
      <c r="T59" s="70" t="s">
        <v>0</v>
      </c>
      <c r="U59" s="70" t="s">
        <v>38</v>
      </c>
      <c r="V59" s="70" t="s">
        <v>3263</v>
      </c>
      <c r="W59" s="70" t="s">
        <v>3336</v>
      </c>
      <c r="X59" s="70">
        <v>5</v>
      </c>
      <c r="Y59" s="70">
        <v>5</v>
      </c>
      <c r="Z59" s="70">
        <v>3</v>
      </c>
      <c r="AA59" s="70">
        <v>5</v>
      </c>
      <c r="AB59" s="70">
        <v>5</v>
      </c>
      <c r="AC59" s="70">
        <v>3</v>
      </c>
      <c r="AD5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59" s="70" t="s">
        <v>3470</v>
      </c>
      <c r="AF59" s="70"/>
      <c r="AG59" s="70"/>
      <c r="AH59" s="70"/>
      <c r="AI59" s="70"/>
      <c r="AJ59" s="70"/>
      <c r="AK59" s="70"/>
      <c r="AL59" s="70"/>
      <c r="AM59" s="70" t="s">
        <v>4122</v>
      </c>
      <c r="AN59" s="70"/>
      <c r="AO59" s="70"/>
      <c r="AP59" s="70"/>
      <c r="AQ59" s="70"/>
      <c r="AR59" s="70"/>
      <c r="AS59" s="70"/>
      <c r="AT59" s="70"/>
      <c r="AU59" s="70"/>
      <c r="AV59" s="70" t="s">
        <v>4122</v>
      </c>
      <c r="AW59" s="70"/>
      <c r="AX59" s="70"/>
      <c r="AY59" s="70"/>
      <c r="AZ59" s="70"/>
      <c r="BA59" s="70"/>
      <c r="BB59" s="70"/>
      <c r="BC59" s="70"/>
      <c r="BD59" s="70"/>
      <c r="BE59" s="70"/>
      <c r="BF59" s="70"/>
      <c r="BG59" s="70"/>
      <c r="BH59" s="130" t="s">
        <v>4122</v>
      </c>
      <c r="BI59" s="130"/>
      <c r="BJ59" s="130"/>
      <c r="BK59" s="130"/>
      <c r="BL59" s="130"/>
      <c r="BM59" s="130"/>
      <c r="BN59" s="130"/>
      <c r="BO59" s="130"/>
      <c r="BP59" s="130"/>
      <c r="BQ59" s="130"/>
      <c r="BR59" s="130"/>
    </row>
    <row r="60" spans="1:70" hidden="1" x14ac:dyDescent="0.25">
      <c r="A60" s="68">
        <v>49</v>
      </c>
      <c r="B60" s="70" t="s">
        <v>1865</v>
      </c>
      <c r="C60" s="70" t="s">
        <v>1866</v>
      </c>
      <c r="D60" s="70" t="s">
        <v>22</v>
      </c>
      <c r="E60" s="70"/>
      <c r="F60" s="70" t="s">
        <v>1867</v>
      </c>
      <c r="G60" s="70">
        <v>2019</v>
      </c>
      <c r="H60" s="70" t="s">
        <v>1868</v>
      </c>
      <c r="I60" s="78" t="s">
        <v>80</v>
      </c>
      <c r="J60" s="78" t="s">
        <v>80</v>
      </c>
      <c r="K60" s="78">
        <v>0.55000000000000004</v>
      </c>
      <c r="L60" s="78">
        <v>5</v>
      </c>
      <c r="M60" s="70" t="s">
        <v>3748</v>
      </c>
      <c r="N60" s="70">
        <v>1</v>
      </c>
      <c r="O60" s="70">
        <v>1</v>
      </c>
      <c r="P60" s="90" t="s">
        <v>3387</v>
      </c>
      <c r="Q60" s="104" t="s">
        <v>3388</v>
      </c>
      <c r="R60" s="108" t="s">
        <v>3389</v>
      </c>
      <c r="S60" s="90" t="s">
        <v>3187</v>
      </c>
      <c r="T60" s="70" t="s">
        <v>1</v>
      </c>
      <c r="U60" s="70" t="s">
        <v>38</v>
      </c>
      <c r="V60" s="70" t="s">
        <v>69</v>
      </c>
      <c r="W60" s="70" t="s">
        <v>3336</v>
      </c>
      <c r="X60" s="70">
        <v>5</v>
      </c>
      <c r="Y60" s="70">
        <v>5</v>
      </c>
      <c r="Z60" s="70">
        <v>5</v>
      </c>
      <c r="AA60" s="70">
        <v>5</v>
      </c>
      <c r="AB60" s="70">
        <v>5</v>
      </c>
      <c r="AC60" s="70">
        <v>5</v>
      </c>
      <c r="AD6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60" s="70" t="s">
        <v>59</v>
      </c>
      <c r="AF60" s="70"/>
      <c r="AG60" s="70"/>
      <c r="AH60" s="70"/>
      <c r="AI60" s="70"/>
      <c r="AJ60" s="70" t="s">
        <v>4122</v>
      </c>
      <c r="AK60" s="70"/>
      <c r="AL60" s="70"/>
      <c r="AM60" s="70"/>
      <c r="AN60" s="70"/>
      <c r="AO60" s="70"/>
      <c r="AP60" s="70"/>
      <c r="AQ60" s="70"/>
      <c r="AR60" s="70"/>
      <c r="AS60" s="70"/>
      <c r="AT60" s="70"/>
      <c r="AU60" s="70"/>
      <c r="AV60" s="70"/>
      <c r="AW60" s="70"/>
      <c r="AX60" s="70"/>
      <c r="AY60" s="70"/>
      <c r="AZ60" s="70"/>
      <c r="BA60" s="70"/>
      <c r="BB60" s="70"/>
      <c r="BC60" s="70"/>
      <c r="BD60" s="70"/>
      <c r="BE60" s="70"/>
      <c r="BF60" s="70" t="s">
        <v>4122</v>
      </c>
      <c r="BG60" s="70"/>
      <c r="BH60" s="130"/>
      <c r="BI60" s="130"/>
      <c r="BJ60" s="130"/>
      <c r="BK60" s="130" t="s">
        <v>4122</v>
      </c>
      <c r="BL60" s="130"/>
      <c r="BM60" s="130"/>
      <c r="BN60" s="130"/>
      <c r="BO60" s="130"/>
      <c r="BP60" s="130"/>
      <c r="BQ60" s="130"/>
      <c r="BR60" s="130"/>
    </row>
    <row r="61" spans="1:70" hidden="1" x14ac:dyDescent="0.25">
      <c r="A61" s="68">
        <v>50</v>
      </c>
      <c r="B61" s="70" t="s">
        <v>1652</v>
      </c>
      <c r="C61" s="70" t="s">
        <v>1653</v>
      </c>
      <c r="D61" s="70" t="s">
        <v>1654</v>
      </c>
      <c r="E61" s="70"/>
      <c r="F61" s="70" t="s">
        <v>1655</v>
      </c>
      <c r="G61" s="70">
        <v>2018</v>
      </c>
      <c r="H61" s="70" t="s">
        <v>1656</v>
      </c>
      <c r="I61" s="78" t="s">
        <v>80</v>
      </c>
      <c r="J61" s="78" t="s">
        <v>80</v>
      </c>
      <c r="K61" s="78">
        <v>0.44</v>
      </c>
      <c r="L61" s="78">
        <v>4</v>
      </c>
      <c r="M61" s="70" t="s">
        <v>3749</v>
      </c>
      <c r="N61" s="70">
        <v>0</v>
      </c>
      <c r="O61" s="70">
        <v>5</v>
      </c>
      <c r="P61" s="90" t="s">
        <v>3264</v>
      </c>
      <c r="Q61" s="104" t="s">
        <v>3174</v>
      </c>
      <c r="R61" s="108" t="s">
        <v>3389</v>
      </c>
      <c r="S61" s="90" t="s">
        <v>3232</v>
      </c>
      <c r="T61" s="70" t="s">
        <v>1</v>
      </c>
      <c r="U61" s="70" t="s">
        <v>38</v>
      </c>
      <c r="V61" s="70" t="s">
        <v>69</v>
      </c>
      <c r="W61" s="70" t="s">
        <v>3336</v>
      </c>
      <c r="X61" s="70">
        <v>5</v>
      </c>
      <c r="Y61" s="70">
        <v>5</v>
      </c>
      <c r="Z61" s="70">
        <v>5</v>
      </c>
      <c r="AA61" s="70">
        <v>5</v>
      </c>
      <c r="AB61" s="70">
        <v>5</v>
      </c>
      <c r="AC61" s="70">
        <v>5</v>
      </c>
      <c r="AD6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61" s="70" t="s">
        <v>3390</v>
      </c>
      <c r="AF61" s="70"/>
      <c r="AG61" s="70"/>
      <c r="AH61" s="70"/>
      <c r="AI61" s="70"/>
      <c r="AJ61" s="70" t="s">
        <v>4122</v>
      </c>
      <c r="AK61" s="70"/>
      <c r="AL61" s="70"/>
      <c r="AM61" s="70"/>
      <c r="AN61" s="70"/>
      <c r="AO61" s="70"/>
      <c r="AP61" s="70"/>
      <c r="AQ61" s="70"/>
      <c r="AR61" s="70"/>
      <c r="AS61" s="70"/>
      <c r="AT61" s="70"/>
      <c r="AU61" s="70"/>
      <c r="AV61" s="70"/>
      <c r="AW61" s="70" t="s">
        <v>4122</v>
      </c>
      <c r="AX61" s="70"/>
      <c r="AY61" s="70"/>
      <c r="AZ61" s="70"/>
      <c r="BA61" s="70"/>
      <c r="BB61" s="70"/>
      <c r="BC61" s="70"/>
      <c r="BD61" s="70"/>
      <c r="BE61" s="70"/>
      <c r="BF61" s="70"/>
      <c r="BG61" s="70"/>
      <c r="BH61" s="130"/>
      <c r="BI61" s="130"/>
      <c r="BJ61" s="130"/>
      <c r="BK61" s="130" t="s">
        <v>4122</v>
      </c>
      <c r="BL61" s="130"/>
      <c r="BM61" s="130"/>
      <c r="BN61" s="130"/>
      <c r="BO61" s="130"/>
      <c r="BP61" s="130"/>
      <c r="BQ61" s="130"/>
      <c r="BR61" s="130"/>
    </row>
    <row r="62" spans="1:70" hidden="1" x14ac:dyDescent="0.25">
      <c r="A62" s="68">
        <v>101</v>
      </c>
      <c r="B62" s="70" t="s">
        <v>546</v>
      </c>
      <c r="C62" s="70" t="s">
        <v>547</v>
      </c>
      <c r="D62" s="70" t="s">
        <v>3831</v>
      </c>
      <c r="E62" s="70"/>
      <c r="F62" s="70" t="s">
        <v>548</v>
      </c>
      <c r="G62" s="70">
        <v>2015</v>
      </c>
      <c r="H62" s="70" t="s">
        <v>549</v>
      </c>
      <c r="I62" s="78" t="s">
        <v>80</v>
      </c>
      <c r="J62" s="78" t="s">
        <v>88</v>
      </c>
      <c r="K62" s="78" t="s">
        <v>80</v>
      </c>
      <c r="L62" s="78" t="s">
        <v>80</v>
      </c>
      <c r="M62" s="70" t="s">
        <v>3830</v>
      </c>
      <c r="N62" s="70">
        <v>7</v>
      </c>
      <c r="O62" s="70">
        <v>4</v>
      </c>
      <c r="P62" s="90" t="s">
        <v>3386</v>
      </c>
      <c r="Q62" s="104" t="s">
        <v>3391</v>
      </c>
      <c r="R62" s="108" t="s">
        <v>3364</v>
      </c>
      <c r="S62" s="90" t="s">
        <v>3257</v>
      </c>
      <c r="T62" s="70" t="s">
        <v>0</v>
      </c>
      <c r="U62" s="70" t="s">
        <v>38</v>
      </c>
      <c r="V62" s="70" t="s">
        <v>69</v>
      </c>
      <c r="W62" s="70" t="s">
        <v>3336</v>
      </c>
      <c r="X62" s="70">
        <v>4</v>
      </c>
      <c r="Y62" s="70">
        <v>4</v>
      </c>
      <c r="Z62" s="70">
        <v>4</v>
      </c>
      <c r="AA62" s="70">
        <v>4</v>
      </c>
      <c r="AB62" s="70">
        <v>4</v>
      </c>
      <c r="AC62" s="70">
        <v>4</v>
      </c>
      <c r="AD6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62" s="70" t="s">
        <v>3315</v>
      </c>
      <c r="AF62" s="70" t="s">
        <v>4122</v>
      </c>
      <c r="AG62" s="70"/>
      <c r="AH62" s="70"/>
      <c r="AI62" s="70"/>
      <c r="AJ62" s="70"/>
      <c r="AK62" s="70"/>
      <c r="AL62" s="70"/>
      <c r="AM62" s="70" t="s">
        <v>4122</v>
      </c>
      <c r="AN62" s="70"/>
      <c r="AO62" s="70"/>
      <c r="AP62" s="70"/>
      <c r="AQ62" s="70"/>
      <c r="AR62" s="70"/>
      <c r="AS62" s="70"/>
      <c r="AT62" s="70"/>
      <c r="AU62" s="70"/>
      <c r="AV62" s="70"/>
      <c r="AW62" s="70"/>
      <c r="AX62" s="70"/>
      <c r="AY62" s="70"/>
      <c r="AZ62" s="70"/>
      <c r="BA62" s="70"/>
      <c r="BB62" s="70" t="s">
        <v>4122</v>
      </c>
      <c r="BC62" s="70"/>
      <c r="BD62" s="70"/>
      <c r="BE62" s="70"/>
      <c r="BF62" s="70"/>
      <c r="BG62" s="70"/>
      <c r="BH62" s="130"/>
      <c r="BI62" s="130"/>
      <c r="BJ62" s="130"/>
      <c r="BK62" s="130"/>
      <c r="BL62" s="130"/>
      <c r="BM62" s="130"/>
      <c r="BN62" s="130" t="s">
        <v>4122</v>
      </c>
      <c r="BO62" s="130"/>
      <c r="BP62" s="130"/>
      <c r="BQ62" s="130"/>
      <c r="BR62" s="130"/>
    </row>
    <row r="63" spans="1:70" hidden="1" x14ac:dyDescent="0.25">
      <c r="A63" s="68">
        <v>190</v>
      </c>
      <c r="B63" s="70" t="s">
        <v>188</v>
      </c>
      <c r="C63" s="70" t="s">
        <v>189</v>
      </c>
      <c r="D63" s="70" t="s">
        <v>3753</v>
      </c>
      <c r="E63" s="70" t="s">
        <v>349</v>
      </c>
      <c r="F63" s="70" t="s">
        <v>350</v>
      </c>
      <c r="G63" s="70">
        <v>2018</v>
      </c>
      <c r="H63" s="70" t="s">
        <v>278</v>
      </c>
      <c r="I63" s="78" t="s">
        <v>84</v>
      </c>
      <c r="J63" s="78" t="s">
        <v>80</v>
      </c>
      <c r="K63" s="78" t="s">
        <v>80</v>
      </c>
      <c r="L63" s="78" t="s">
        <v>80</v>
      </c>
      <c r="M63" s="70" t="s">
        <v>3970</v>
      </c>
      <c r="N63" s="70">
        <v>6</v>
      </c>
      <c r="O63" s="70">
        <v>5</v>
      </c>
      <c r="P63" s="90" t="s">
        <v>3325</v>
      </c>
      <c r="Q63" s="104" t="s">
        <v>3420</v>
      </c>
      <c r="R63" s="108" t="s">
        <v>3522</v>
      </c>
      <c r="S63" s="90" t="s">
        <v>3608</v>
      </c>
      <c r="T63" s="70" t="s">
        <v>6</v>
      </c>
      <c r="U63" s="70" t="s">
        <v>38</v>
      </c>
      <c r="V63" s="70" t="s">
        <v>69</v>
      </c>
      <c r="W63" s="70" t="s">
        <v>3336</v>
      </c>
      <c r="X63" s="70">
        <v>5</v>
      </c>
      <c r="Y63" s="70">
        <v>5</v>
      </c>
      <c r="Z63" s="70">
        <v>5</v>
      </c>
      <c r="AA63" s="70">
        <v>5</v>
      </c>
      <c r="AB63" s="70">
        <v>5</v>
      </c>
      <c r="AC63" s="70">
        <v>5</v>
      </c>
      <c r="AD6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63" s="70" t="s">
        <v>56</v>
      </c>
      <c r="AF63" s="70"/>
      <c r="AG63" s="70"/>
      <c r="AH63" s="70"/>
      <c r="AI63" s="70"/>
      <c r="AJ63" s="70"/>
      <c r="AK63" s="70"/>
      <c r="AL63" s="70"/>
      <c r="AM63" s="70"/>
      <c r="AN63" s="70"/>
      <c r="AO63" s="70"/>
      <c r="AP63" s="70"/>
      <c r="AQ63" s="70"/>
      <c r="AR63" s="70"/>
      <c r="AS63" s="70" t="s">
        <v>4122</v>
      </c>
      <c r="AT63" s="70"/>
      <c r="AU63" s="70"/>
      <c r="AV63" s="70"/>
      <c r="AW63" s="70"/>
      <c r="AX63" s="70"/>
      <c r="AY63" s="70"/>
      <c r="AZ63" s="70"/>
      <c r="BA63" s="70"/>
      <c r="BB63" s="70" t="s">
        <v>4122</v>
      </c>
      <c r="BC63" s="70"/>
      <c r="BD63" s="70"/>
      <c r="BE63" s="70"/>
      <c r="BF63" s="70"/>
      <c r="BG63" s="70"/>
      <c r="BH63" s="130"/>
      <c r="BI63" s="130"/>
      <c r="BJ63" s="130"/>
      <c r="BK63" s="130"/>
      <c r="BL63" s="130"/>
      <c r="BM63" s="130"/>
      <c r="BN63" s="130"/>
      <c r="BO63" s="130"/>
      <c r="BP63" s="130" t="s">
        <v>4122</v>
      </c>
      <c r="BQ63" s="130"/>
      <c r="BR63" s="130"/>
    </row>
    <row r="64" spans="1:70" hidden="1" x14ac:dyDescent="0.25">
      <c r="A64" s="68">
        <v>73</v>
      </c>
      <c r="B64" s="110" t="s">
        <v>1479</v>
      </c>
      <c r="C64" s="110" t="s">
        <v>1480</v>
      </c>
      <c r="D64" s="110" t="s">
        <v>3787</v>
      </c>
      <c r="E64" s="110"/>
      <c r="F64" s="110" t="s">
        <v>1482</v>
      </c>
      <c r="G64" s="110">
        <v>2015</v>
      </c>
      <c r="H64" s="110" t="s">
        <v>1483</v>
      </c>
      <c r="I64" s="111" t="s">
        <v>80</v>
      </c>
      <c r="J64" s="111" t="s">
        <v>80</v>
      </c>
      <c r="K64" s="111" t="s">
        <v>80</v>
      </c>
      <c r="L64" s="111">
        <v>1</v>
      </c>
      <c r="M64" s="110" t="s">
        <v>3786</v>
      </c>
      <c r="N64" s="110">
        <v>26</v>
      </c>
      <c r="O64" s="110">
        <v>5</v>
      </c>
      <c r="P64" s="110" t="s">
        <v>3244</v>
      </c>
      <c r="Q64" s="110" t="s">
        <v>3278</v>
      </c>
      <c r="R64" s="110" t="s">
        <v>4137</v>
      </c>
      <c r="S64" s="110" t="s">
        <v>3395</v>
      </c>
      <c r="T64" s="110" t="s">
        <v>1</v>
      </c>
      <c r="U64" s="110" t="s">
        <v>38</v>
      </c>
      <c r="V64" s="110" t="s">
        <v>69</v>
      </c>
      <c r="W64" s="110" t="s">
        <v>3241</v>
      </c>
      <c r="X64" s="110">
        <v>5</v>
      </c>
      <c r="Y64" s="110">
        <v>5</v>
      </c>
      <c r="Z64" s="110">
        <v>5</v>
      </c>
      <c r="AA64" s="110">
        <v>5</v>
      </c>
      <c r="AB64" s="110">
        <v>5</v>
      </c>
      <c r="AC64" s="110">
        <v>5</v>
      </c>
      <c r="AD6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64" s="110" t="s">
        <v>3335</v>
      </c>
      <c r="AF64" s="70"/>
      <c r="AG64" s="70"/>
      <c r="AH64" s="70"/>
      <c r="AI64" s="70"/>
      <c r="AJ64" s="70" t="s">
        <v>4122</v>
      </c>
      <c r="AK64" s="70"/>
      <c r="AL64" s="70"/>
      <c r="AM64" s="70" t="s">
        <v>4122</v>
      </c>
      <c r="AN64" s="70"/>
      <c r="AO64" s="70"/>
      <c r="AP64" s="70"/>
      <c r="AQ64" s="70"/>
      <c r="AR64" s="70"/>
      <c r="AS64" s="70"/>
      <c r="AT64" s="70"/>
      <c r="AU64" s="70"/>
      <c r="AV64" s="70"/>
      <c r="AW64" s="70"/>
      <c r="AX64" s="70"/>
      <c r="AY64" s="70"/>
      <c r="AZ64" s="70"/>
      <c r="BA64" s="70"/>
      <c r="BB64" s="70"/>
      <c r="BC64" s="70"/>
      <c r="BD64" s="70"/>
      <c r="BE64" s="70"/>
      <c r="BF64" s="70" t="s">
        <v>4122</v>
      </c>
      <c r="BG64" s="70"/>
      <c r="BH64" s="130"/>
      <c r="BI64" s="130"/>
      <c r="BJ64" s="130"/>
      <c r="BK64" s="130"/>
      <c r="BL64" s="130"/>
      <c r="BM64" s="130"/>
      <c r="BN64" s="130"/>
      <c r="BO64" s="130"/>
      <c r="BP64" s="130"/>
      <c r="BQ64" s="130" t="s">
        <v>4122</v>
      </c>
      <c r="BR64" s="130"/>
    </row>
    <row r="65" spans="1:70" hidden="1" x14ac:dyDescent="0.25">
      <c r="A65" s="68">
        <v>57</v>
      </c>
      <c r="B65" s="70" t="s">
        <v>2688</v>
      </c>
      <c r="C65" s="70" t="s">
        <v>2689</v>
      </c>
      <c r="D65" s="70" t="s">
        <v>3760</v>
      </c>
      <c r="E65" s="70"/>
      <c r="F65" s="70" t="s">
        <v>2690</v>
      </c>
      <c r="G65" s="70">
        <v>2017</v>
      </c>
      <c r="H65" s="70" t="s">
        <v>2691</v>
      </c>
      <c r="I65" s="78" t="s">
        <v>71</v>
      </c>
      <c r="J65" s="78" t="s">
        <v>4033</v>
      </c>
      <c r="K65" s="78" t="s">
        <v>80</v>
      </c>
      <c r="L65" s="78" t="s">
        <v>80</v>
      </c>
      <c r="M65" s="70" t="s">
        <v>3761</v>
      </c>
      <c r="N65" s="70">
        <v>6</v>
      </c>
      <c r="O65" s="70">
        <v>5</v>
      </c>
      <c r="P65" s="90" t="s">
        <v>3387</v>
      </c>
      <c r="Q65" s="104" t="s">
        <v>3353</v>
      </c>
      <c r="R65" s="108" t="s">
        <v>3361</v>
      </c>
      <c r="S65" s="90" t="s">
        <v>3257</v>
      </c>
      <c r="T65" s="70" t="s">
        <v>0</v>
      </c>
      <c r="U65" s="70" t="s">
        <v>38</v>
      </c>
      <c r="V65" s="70" t="s">
        <v>69</v>
      </c>
      <c r="W65" s="70" t="s">
        <v>3336</v>
      </c>
      <c r="X65" s="70">
        <v>5</v>
      </c>
      <c r="Y65" s="70">
        <v>5</v>
      </c>
      <c r="Z65" s="70">
        <v>5</v>
      </c>
      <c r="AA65" s="70">
        <v>5</v>
      </c>
      <c r="AB65" s="70">
        <v>5</v>
      </c>
      <c r="AC65" s="70">
        <v>5</v>
      </c>
      <c r="AD6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65" s="70" t="s">
        <v>3403</v>
      </c>
      <c r="AF65" s="70"/>
      <c r="AG65" s="70"/>
      <c r="AH65" s="70"/>
      <c r="AI65" s="70"/>
      <c r="AJ65" s="70" t="s">
        <v>4122</v>
      </c>
      <c r="AK65" s="70"/>
      <c r="AL65" s="70"/>
      <c r="AM65" s="70"/>
      <c r="AN65" s="70"/>
      <c r="AO65" s="70"/>
      <c r="AP65" s="70"/>
      <c r="AQ65" s="70"/>
      <c r="AR65" s="70"/>
      <c r="AS65" s="70"/>
      <c r="AT65" s="70"/>
      <c r="AU65" s="70"/>
      <c r="AV65" s="70"/>
      <c r="AW65" s="70"/>
      <c r="AX65" s="70"/>
      <c r="AY65" s="70"/>
      <c r="AZ65" s="70"/>
      <c r="BA65" s="70"/>
      <c r="BB65" s="70"/>
      <c r="BC65" s="70"/>
      <c r="BD65" s="70" t="s">
        <v>4122</v>
      </c>
      <c r="BE65" s="70"/>
      <c r="BF65" s="70"/>
      <c r="BG65" s="70"/>
      <c r="BH65" s="130"/>
      <c r="BI65" s="130"/>
      <c r="BJ65" s="130"/>
      <c r="BK65" s="130"/>
      <c r="BL65" s="130"/>
      <c r="BM65" s="130"/>
      <c r="BN65" s="130" t="s">
        <v>4122</v>
      </c>
      <c r="BO65" s="130"/>
      <c r="BP65" s="130"/>
      <c r="BQ65" s="130"/>
      <c r="BR65" s="130"/>
    </row>
    <row r="66" spans="1:70" hidden="1" x14ac:dyDescent="0.25">
      <c r="A66" s="68">
        <v>194</v>
      </c>
      <c r="B66" s="70" t="s">
        <v>1109</v>
      </c>
      <c r="C66" s="70" t="s">
        <v>1110</v>
      </c>
      <c r="D66" s="70" t="s">
        <v>3975</v>
      </c>
      <c r="E66" s="70"/>
      <c r="F66" s="70" t="s">
        <v>1111</v>
      </c>
      <c r="G66" s="70">
        <v>2018</v>
      </c>
      <c r="H66" s="70" t="s">
        <v>1112</v>
      </c>
      <c r="I66" s="78" t="s">
        <v>80</v>
      </c>
      <c r="J66" s="78" t="s">
        <v>80</v>
      </c>
      <c r="K66" s="78">
        <v>0.55000000000000004</v>
      </c>
      <c r="L66" s="78">
        <v>5</v>
      </c>
      <c r="M66" s="70" t="s">
        <v>3974</v>
      </c>
      <c r="N66" s="70">
        <v>5</v>
      </c>
      <c r="O66" s="70">
        <v>3</v>
      </c>
      <c r="P66" s="90" t="s">
        <v>3244</v>
      </c>
      <c r="Q66" s="104" t="s">
        <v>3256</v>
      </c>
      <c r="R66" s="108" t="s">
        <v>3361</v>
      </c>
      <c r="S66" s="90" t="s">
        <v>3257</v>
      </c>
      <c r="T66" s="70" t="s">
        <v>1</v>
      </c>
      <c r="U66" s="70" t="s">
        <v>38</v>
      </c>
      <c r="V66" s="70" t="s">
        <v>69</v>
      </c>
      <c r="W66" s="70" t="s">
        <v>3336</v>
      </c>
      <c r="X66" s="70">
        <v>4</v>
      </c>
      <c r="Y66" s="70">
        <v>5</v>
      </c>
      <c r="Z66" s="70">
        <v>3</v>
      </c>
      <c r="AA66" s="70">
        <v>3</v>
      </c>
      <c r="AB66" s="70">
        <v>5</v>
      </c>
      <c r="AC66" s="70">
        <v>3</v>
      </c>
      <c r="AD6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66" s="70" t="s">
        <v>61</v>
      </c>
      <c r="AF66" s="70"/>
      <c r="AG66" s="70"/>
      <c r="AH66" s="70"/>
      <c r="AI66" s="70"/>
      <c r="AJ66" s="70"/>
      <c r="AK66" s="70"/>
      <c r="AL66" s="70"/>
      <c r="AM66" s="70"/>
      <c r="AN66" s="70"/>
      <c r="AO66" s="70"/>
      <c r="AP66" s="70"/>
      <c r="AQ66" s="70"/>
      <c r="AR66" s="70"/>
      <c r="AS66" s="70" t="s">
        <v>4122</v>
      </c>
      <c r="AT66" s="70"/>
      <c r="AU66" s="70"/>
      <c r="AV66" s="70" t="s">
        <v>4122</v>
      </c>
      <c r="AW66" s="70"/>
      <c r="AX66" s="70"/>
      <c r="AY66" s="70"/>
      <c r="AZ66" s="70"/>
      <c r="BA66" s="70"/>
      <c r="BB66" s="70"/>
      <c r="BC66" s="70"/>
      <c r="BD66" s="70"/>
      <c r="BE66" s="70"/>
      <c r="BF66" s="70"/>
      <c r="BG66" s="70"/>
      <c r="BH66" s="130"/>
      <c r="BI66" s="130"/>
      <c r="BJ66" s="130"/>
      <c r="BK66" s="130"/>
      <c r="BL66" s="130"/>
      <c r="BM66" s="130"/>
      <c r="BN66" s="130" t="s">
        <v>4122</v>
      </c>
      <c r="BO66" s="130"/>
      <c r="BP66" s="130"/>
      <c r="BQ66" s="130"/>
      <c r="BR66" s="130"/>
    </row>
    <row r="67" spans="1:70" hidden="1" x14ac:dyDescent="0.25">
      <c r="A67" s="68">
        <v>52</v>
      </c>
      <c r="B67" s="70" t="s">
        <v>484</v>
      </c>
      <c r="C67" s="70" t="s">
        <v>485</v>
      </c>
      <c r="D67" s="70" t="s">
        <v>3751</v>
      </c>
      <c r="E67" s="70" t="s">
        <v>939</v>
      </c>
      <c r="F67" s="70" t="s">
        <v>486</v>
      </c>
      <c r="G67" s="70">
        <v>2018</v>
      </c>
      <c r="H67" s="70" t="s">
        <v>487</v>
      </c>
      <c r="I67" s="78" t="s">
        <v>71</v>
      </c>
      <c r="J67" s="78" t="s">
        <v>4033</v>
      </c>
      <c r="K67" s="78" t="s">
        <v>80</v>
      </c>
      <c r="L67" s="78" t="s">
        <v>80</v>
      </c>
      <c r="M67" s="70" t="s">
        <v>3752</v>
      </c>
      <c r="N67" s="70">
        <v>6</v>
      </c>
      <c r="O67" s="70">
        <v>5</v>
      </c>
      <c r="P67" s="90" t="s">
        <v>3157</v>
      </c>
      <c r="Q67" s="104" t="s">
        <v>3391</v>
      </c>
      <c r="R67" s="108" t="s">
        <v>3361</v>
      </c>
      <c r="S67" s="90" t="s">
        <v>3231</v>
      </c>
      <c r="T67" s="70" t="s">
        <v>0</v>
      </c>
      <c r="U67" s="70" t="s">
        <v>38</v>
      </c>
      <c r="V67" s="70" t="s">
        <v>69</v>
      </c>
      <c r="W67" s="70" t="s">
        <v>3336</v>
      </c>
      <c r="X67" s="70">
        <v>5</v>
      </c>
      <c r="Y67" s="70">
        <v>5</v>
      </c>
      <c r="Z67" s="70">
        <v>5</v>
      </c>
      <c r="AA67" s="70">
        <v>5</v>
      </c>
      <c r="AB67" s="70">
        <v>5</v>
      </c>
      <c r="AC67" s="70">
        <v>5</v>
      </c>
      <c r="AD6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67" s="70" t="s">
        <v>3392</v>
      </c>
      <c r="AF67" s="70"/>
      <c r="AG67" s="70"/>
      <c r="AH67" s="70"/>
      <c r="AI67" s="70"/>
      <c r="AJ67" s="70" t="s">
        <v>4122</v>
      </c>
      <c r="AK67" s="70"/>
      <c r="AL67" s="70"/>
      <c r="AM67" s="70"/>
      <c r="AN67" s="70"/>
      <c r="AO67" s="70"/>
      <c r="AP67" s="70"/>
      <c r="AQ67" s="70"/>
      <c r="AR67" s="70"/>
      <c r="AS67" s="70"/>
      <c r="AT67" s="70"/>
      <c r="AU67" s="70"/>
      <c r="AV67" s="70"/>
      <c r="AW67" s="70"/>
      <c r="AX67" s="70"/>
      <c r="AY67" s="70"/>
      <c r="AZ67" s="70"/>
      <c r="BA67" s="70"/>
      <c r="BB67" s="70" t="s">
        <v>4122</v>
      </c>
      <c r="BC67" s="70"/>
      <c r="BD67" s="70"/>
      <c r="BE67" s="70"/>
      <c r="BF67" s="70"/>
      <c r="BG67" s="70"/>
      <c r="BH67" s="130"/>
      <c r="BI67" s="130"/>
      <c r="BJ67" s="130"/>
      <c r="BK67" s="130"/>
      <c r="BL67" s="130"/>
      <c r="BM67" s="130"/>
      <c r="BN67" s="130" t="s">
        <v>4122</v>
      </c>
      <c r="BO67" s="130"/>
      <c r="BP67" s="130"/>
      <c r="BQ67" s="130"/>
      <c r="BR67" s="130"/>
    </row>
    <row r="68" spans="1:70" hidden="1" x14ac:dyDescent="0.25">
      <c r="A68" s="68">
        <v>121</v>
      </c>
      <c r="B68" s="70" t="s">
        <v>1060</v>
      </c>
      <c r="C68" s="70" t="s">
        <v>1061</v>
      </c>
      <c r="D68" s="70" t="s">
        <v>24</v>
      </c>
      <c r="E68" s="70"/>
      <c r="F68" s="70" t="s">
        <v>1062</v>
      </c>
      <c r="G68" s="70">
        <v>2017</v>
      </c>
      <c r="H68" s="70" t="s">
        <v>1063</v>
      </c>
      <c r="I68" s="78" t="s">
        <v>80</v>
      </c>
      <c r="J68" s="78" t="s">
        <v>80</v>
      </c>
      <c r="K68" s="78">
        <v>0.62</v>
      </c>
      <c r="L68" s="78">
        <v>4</v>
      </c>
      <c r="M68" s="70" t="s">
        <v>3863</v>
      </c>
      <c r="N68" s="70">
        <v>7</v>
      </c>
      <c r="O68" s="70">
        <v>5</v>
      </c>
      <c r="P68" s="90" t="s">
        <v>3496</v>
      </c>
      <c r="Q68" s="104" t="s">
        <v>3372</v>
      </c>
      <c r="R68" s="108" t="s">
        <v>3361</v>
      </c>
      <c r="S68" s="90" t="s">
        <v>3312</v>
      </c>
      <c r="T68" s="70" t="s">
        <v>1</v>
      </c>
      <c r="U68" s="70" t="s">
        <v>38</v>
      </c>
      <c r="V68" s="70" t="s">
        <v>69</v>
      </c>
      <c r="W68" s="70" t="s">
        <v>3336</v>
      </c>
      <c r="X68" s="70">
        <v>4</v>
      </c>
      <c r="Y68" s="70">
        <v>4</v>
      </c>
      <c r="Z68" s="70">
        <v>4</v>
      </c>
      <c r="AA68" s="70">
        <v>4</v>
      </c>
      <c r="AB68" s="70">
        <v>4</v>
      </c>
      <c r="AC68" s="70">
        <v>4</v>
      </c>
      <c r="AD6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68" s="70" t="s">
        <v>59</v>
      </c>
      <c r="AF68" s="70"/>
      <c r="AG68" s="70"/>
      <c r="AH68" s="70"/>
      <c r="AI68" s="70"/>
      <c r="AJ68" s="70"/>
      <c r="AK68" s="70"/>
      <c r="AL68" s="70"/>
      <c r="AM68" s="70" t="s">
        <v>4122</v>
      </c>
      <c r="AN68" s="70"/>
      <c r="AO68" s="70"/>
      <c r="AP68" s="70"/>
      <c r="AQ68" s="70"/>
      <c r="AR68" s="70"/>
      <c r="AS68" s="70"/>
      <c r="AT68" s="70"/>
      <c r="AU68" s="70"/>
      <c r="AV68" s="70"/>
      <c r="AW68" s="70"/>
      <c r="AX68" s="70"/>
      <c r="AY68" s="70"/>
      <c r="AZ68" s="70"/>
      <c r="BA68" s="70"/>
      <c r="BB68" s="70" t="s">
        <v>4122</v>
      </c>
      <c r="BC68" s="70"/>
      <c r="BD68" s="70"/>
      <c r="BE68" s="70"/>
      <c r="BF68" s="70"/>
      <c r="BG68" s="70"/>
      <c r="BH68" s="130"/>
      <c r="BI68" s="130"/>
      <c r="BJ68" s="130"/>
      <c r="BK68" s="130"/>
      <c r="BL68" s="130"/>
      <c r="BM68" s="130"/>
      <c r="BN68" s="130" t="s">
        <v>4122</v>
      </c>
      <c r="BO68" s="130"/>
      <c r="BP68" s="130"/>
      <c r="BQ68" s="130"/>
      <c r="BR68" s="130"/>
    </row>
    <row r="69" spans="1:70" hidden="1" x14ac:dyDescent="0.25">
      <c r="A69" s="68">
        <v>201</v>
      </c>
      <c r="B69" s="70" t="s">
        <v>1788</v>
      </c>
      <c r="C69" s="70" t="s">
        <v>1789</v>
      </c>
      <c r="D69" s="70" t="s">
        <v>1259</v>
      </c>
      <c r="E69" s="70"/>
      <c r="F69" s="70" t="s">
        <v>1790</v>
      </c>
      <c r="G69" s="70">
        <v>2018</v>
      </c>
      <c r="H69" s="70" t="s">
        <v>1791</v>
      </c>
      <c r="I69" s="78" t="s">
        <v>84</v>
      </c>
      <c r="J69" s="78" t="s">
        <v>80</v>
      </c>
      <c r="K69" s="78" t="s">
        <v>80</v>
      </c>
      <c r="L69" s="78" t="s">
        <v>80</v>
      </c>
      <c r="M69" s="70" t="s">
        <v>3983</v>
      </c>
      <c r="N69" s="70">
        <v>6</v>
      </c>
      <c r="O69" s="70">
        <v>4</v>
      </c>
      <c r="P69" s="90" t="s">
        <v>3387</v>
      </c>
      <c r="Q69" s="104" t="s">
        <v>3613</v>
      </c>
      <c r="R69" s="108" t="s">
        <v>3279</v>
      </c>
      <c r="S69" s="90" t="s">
        <v>3239</v>
      </c>
      <c r="T69" s="70" t="s">
        <v>0</v>
      </c>
      <c r="U69" s="70" t="s">
        <v>38</v>
      </c>
      <c r="V69" s="70" t="s">
        <v>69</v>
      </c>
      <c r="W69" s="70" t="s">
        <v>3336</v>
      </c>
      <c r="X69" s="70">
        <v>5</v>
      </c>
      <c r="Y69" s="70">
        <v>5</v>
      </c>
      <c r="Z69" s="70">
        <v>4</v>
      </c>
      <c r="AA69" s="70">
        <v>4</v>
      </c>
      <c r="AB69" s="70">
        <v>5</v>
      </c>
      <c r="AC69" s="70">
        <v>4</v>
      </c>
      <c r="AD6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69" s="70" t="s">
        <v>3532</v>
      </c>
      <c r="AF69" s="70"/>
      <c r="AG69" s="70"/>
      <c r="AH69" s="70"/>
      <c r="AI69" s="70"/>
      <c r="AJ69" s="70"/>
      <c r="AK69" s="70"/>
      <c r="AL69" s="70"/>
      <c r="AM69" s="70"/>
      <c r="AN69" s="70"/>
      <c r="AO69" s="70" t="s">
        <v>4122</v>
      </c>
      <c r="AP69" s="70" t="s">
        <v>4122</v>
      </c>
      <c r="AQ69" s="70"/>
      <c r="AR69" s="70"/>
      <c r="AS69" s="70"/>
      <c r="AT69" s="70"/>
      <c r="AU69" s="70"/>
      <c r="AV69" s="70"/>
      <c r="AW69" s="70"/>
      <c r="AX69" s="70"/>
      <c r="AY69" s="70" t="s">
        <v>4122</v>
      </c>
      <c r="AZ69" s="70"/>
      <c r="BA69" s="70"/>
      <c r="BB69" s="70"/>
      <c r="BC69" s="70"/>
      <c r="BD69" s="70"/>
      <c r="BE69" s="70"/>
      <c r="BF69" s="70"/>
      <c r="BG69" s="70"/>
      <c r="BH69" s="130"/>
      <c r="BI69" s="130"/>
      <c r="BJ69" s="130"/>
      <c r="BK69" s="130"/>
      <c r="BL69" s="130"/>
      <c r="BM69" s="130"/>
      <c r="BN69" s="130"/>
      <c r="BO69" s="130" t="s">
        <v>4122</v>
      </c>
      <c r="BP69" s="130"/>
      <c r="BQ69" s="130"/>
      <c r="BR69" s="130"/>
    </row>
    <row r="70" spans="1:70" hidden="1" x14ac:dyDescent="0.25">
      <c r="A70" s="68">
        <v>42</v>
      </c>
      <c r="B70" s="70" t="s">
        <v>1222</v>
      </c>
      <c r="C70" s="70" t="s">
        <v>1223</v>
      </c>
      <c r="D70" s="70" t="s">
        <v>22</v>
      </c>
      <c r="E70" s="70"/>
      <c r="F70" s="70" t="s">
        <v>1224</v>
      </c>
      <c r="G70" s="70">
        <v>2015</v>
      </c>
      <c r="H70" s="70" t="s">
        <v>1225</v>
      </c>
      <c r="I70" s="78" t="s">
        <v>80</v>
      </c>
      <c r="J70" s="78" t="s">
        <v>80</v>
      </c>
      <c r="K70" s="78">
        <v>0.55000000000000004</v>
      </c>
      <c r="L70" s="78">
        <v>5</v>
      </c>
      <c r="M70" s="70" t="s">
        <v>3737</v>
      </c>
      <c r="N70" s="70">
        <v>6</v>
      </c>
      <c r="O70" s="70">
        <v>4</v>
      </c>
      <c r="P70" s="90" t="s">
        <v>3244</v>
      </c>
      <c r="Q70" s="104" t="s">
        <v>3256</v>
      </c>
      <c r="R70" s="108" t="s">
        <v>3316</v>
      </c>
      <c r="S70" s="90" t="s">
        <v>3257</v>
      </c>
      <c r="T70" s="70" t="s">
        <v>0</v>
      </c>
      <c r="U70" s="70" t="s">
        <v>38</v>
      </c>
      <c r="V70" s="70" t="s">
        <v>69</v>
      </c>
      <c r="W70" s="70" t="s">
        <v>3375</v>
      </c>
      <c r="X70" s="70">
        <v>5</v>
      </c>
      <c r="Y70" s="70">
        <v>5</v>
      </c>
      <c r="Z70" s="70">
        <v>5</v>
      </c>
      <c r="AA70" s="70">
        <v>5</v>
      </c>
      <c r="AB70" s="70">
        <v>5</v>
      </c>
      <c r="AC70" s="70">
        <v>5</v>
      </c>
      <c r="AD7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70" s="70" t="s">
        <v>3335</v>
      </c>
      <c r="AF70" s="70"/>
      <c r="AG70" s="70"/>
      <c r="AH70" s="70"/>
      <c r="AI70" s="70"/>
      <c r="AJ70" s="70" t="s">
        <v>4122</v>
      </c>
      <c r="AK70" s="70"/>
      <c r="AL70" s="70"/>
      <c r="AM70" s="70"/>
      <c r="AN70" s="70"/>
      <c r="AO70" s="70"/>
      <c r="AP70" s="70"/>
      <c r="AQ70" s="70"/>
      <c r="AR70" s="70"/>
      <c r="AS70" s="70"/>
      <c r="AT70" s="70"/>
      <c r="AU70" s="70"/>
      <c r="AV70" s="70" t="s">
        <v>4122</v>
      </c>
      <c r="AW70" s="70"/>
      <c r="AX70" s="70"/>
      <c r="AY70" s="70"/>
      <c r="AZ70" s="70"/>
      <c r="BA70" s="70"/>
      <c r="BB70" s="70"/>
      <c r="BC70" s="70"/>
      <c r="BD70" s="70"/>
      <c r="BE70" s="70"/>
      <c r="BF70" s="70"/>
      <c r="BG70" s="70"/>
      <c r="BH70" s="130"/>
      <c r="BI70" s="130"/>
      <c r="BJ70" s="130"/>
      <c r="BK70" s="130"/>
      <c r="BL70" s="130"/>
      <c r="BM70" s="130"/>
      <c r="BN70" s="130" t="s">
        <v>4122</v>
      </c>
      <c r="BO70" s="130"/>
      <c r="BP70" s="130"/>
      <c r="BQ70" s="130"/>
      <c r="BR70" s="130"/>
    </row>
    <row r="71" spans="1:70" hidden="1" x14ac:dyDescent="0.25">
      <c r="A71" s="68">
        <v>218</v>
      </c>
      <c r="B71" s="110" t="s">
        <v>1135</v>
      </c>
      <c r="C71" s="110" t="s">
        <v>1136</v>
      </c>
      <c r="D71" s="110" t="s">
        <v>24</v>
      </c>
      <c r="E71" s="110"/>
      <c r="F71" s="110" t="s">
        <v>1137</v>
      </c>
      <c r="G71" s="110">
        <v>2018</v>
      </c>
      <c r="H71" s="110" t="s">
        <v>1138</v>
      </c>
      <c r="I71" s="111" t="s">
        <v>80</v>
      </c>
      <c r="J71" s="111" t="s">
        <v>80</v>
      </c>
      <c r="K71" s="111">
        <v>0.62</v>
      </c>
      <c r="L71" s="111">
        <v>4</v>
      </c>
      <c r="M71" s="110" t="s">
        <v>4008</v>
      </c>
      <c r="N71" s="110">
        <v>4</v>
      </c>
      <c r="O71" s="110">
        <v>5</v>
      </c>
      <c r="P71" s="110" t="s">
        <v>3161</v>
      </c>
      <c r="Q71" s="110" t="s">
        <v>3231</v>
      </c>
      <c r="R71" s="110" t="s">
        <v>3436</v>
      </c>
      <c r="S71" s="110" t="s">
        <v>3312</v>
      </c>
      <c r="T71" s="110" t="s">
        <v>6</v>
      </c>
      <c r="U71" s="110" t="s">
        <v>3622</v>
      </c>
      <c r="V71" s="110" t="s">
        <v>69</v>
      </c>
      <c r="W71" s="110" t="s">
        <v>3336</v>
      </c>
      <c r="X71" s="110">
        <v>5</v>
      </c>
      <c r="Y71" s="110">
        <v>5</v>
      </c>
      <c r="Z71" s="110">
        <v>5</v>
      </c>
      <c r="AA71" s="110">
        <v>5</v>
      </c>
      <c r="AB71" s="110">
        <v>5</v>
      </c>
      <c r="AC71" s="110">
        <v>5</v>
      </c>
      <c r="AD71"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71" s="110" t="s">
        <v>61</v>
      </c>
      <c r="AF71" s="70"/>
      <c r="AG71" s="70"/>
      <c r="AH71" s="70"/>
      <c r="AI71" s="70"/>
      <c r="AJ71" s="70"/>
      <c r="AK71" s="70"/>
      <c r="AL71" s="70"/>
      <c r="AM71" s="70"/>
      <c r="AN71" s="70"/>
      <c r="AO71" s="70"/>
      <c r="AP71" s="70"/>
      <c r="AQ71" s="70"/>
      <c r="AR71" s="70"/>
      <c r="AS71" s="70" t="s">
        <v>4122</v>
      </c>
      <c r="AT71" s="70"/>
      <c r="AU71" s="70"/>
      <c r="AV71" s="70"/>
      <c r="AW71" s="70"/>
      <c r="AX71" s="70"/>
      <c r="AY71" s="70"/>
      <c r="AZ71" s="70"/>
      <c r="BA71" s="70"/>
      <c r="BB71" s="70"/>
      <c r="BC71" s="70" t="s">
        <v>4122</v>
      </c>
      <c r="BD71" s="70"/>
      <c r="BE71" s="70"/>
      <c r="BF71" s="70"/>
      <c r="BG71" s="70"/>
      <c r="BH71" s="130"/>
      <c r="BI71" s="130"/>
      <c r="BJ71" s="130"/>
      <c r="BK71" s="130"/>
      <c r="BL71" s="130" t="s">
        <v>4122</v>
      </c>
      <c r="BM71" s="130"/>
      <c r="BN71" s="130"/>
      <c r="BO71" s="130"/>
      <c r="BP71" s="130"/>
      <c r="BQ71" s="130"/>
      <c r="BR71" s="130"/>
    </row>
    <row r="72" spans="1:70" hidden="1" x14ac:dyDescent="0.25">
      <c r="A72" s="68">
        <v>83</v>
      </c>
      <c r="B72" s="70" t="s">
        <v>522</v>
      </c>
      <c r="C72" s="70" t="s">
        <v>523</v>
      </c>
      <c r="D72" s="70" t="s">
        <v>3805</v>
      </c>
      <c r="E72" s="70" t="s">
        <v>949</v>
      </c>
      <c r="F72" s="70" t="s">
        <v>524</v>
      </c>
      <c r="G72" s="70">
        <v>2018</v>
      </c>
      <c r="H72" s="70" t="s">
        <v>525</v>
      </c>
      <c r="I72" s="78" t="s">
        <v>84</v>
      </c>
      <c r="J72" s="78" t="s">
        <v>88</v>
      </c>
      <c r="K72" s="78" t="s">
        <v>80</v>
      </c>
      <c r="L72" s="78" t="s">
        <v>80</v>
      </c>
      <c r="M72" s="70" t="s">
        <v>3804</v>
      </c>
      <c r="N72" s="70">
        <v>3</v>
      </c>
      <c r="O72" s="70">
        <v>5</v>
      </c>
      <c r="P72" s="90" t="s">
        <v>3167</v>
      </c>
      <c r="Q72" s="104" t="s">
        <v>3353</v>
      </c>
      <c r="R72" s="108" t="s">
        <v>3210</v>
      </c>
      <c r="S72" s="90" t="s">
        <v>3239</v>
      </c>
      <c r="T72" s="70" t="s">
        <v>0</v>
      </c>
      <c r="U72" s="70" t="s">
        <v>38</v>
      </c>
      <c r="V72" s="70" t="s">
        <v>69</v>
      </c>
      <c r="W72" s="70" t="s">
        <v>3336</v>
      </c>
      <c r="X72" s="70">
        <v>5</v>
      </c>
      <c r="Y72" s="70">
        <v>5</v>
      </c>
      <c r="Z72" s="70">
        <v>5</v>
      </c>
      <c r="AA72" s="70">
        <v>5</v>
      </c>
      <c r="AB72" s="70">
        <v>5</v>
      </c>
      <c r="AC72" s="70">
        <v>5</v>
      </c>
      <c r="AD7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72" s="70" t="s">
        <v>3431</v>
      </c>
      <c r="AF72" s="70"/>
      <c r="AG72" s="70"/>
      <c r="AH72" s="70"/>
      <c r="AI72" s="70"/>
      <c r="AJ72" s="70" t="s">
        <v>4122</v>
      </c>
      <c r="AK72" s="70"/>
      <c r="AL72" s="70" t="s">
        <v>4122</v>
      </c>
      <c r="AM72" s="70" t="s">
        <v>4122</v>
      </c>
      <c r="AN72" s="70"/>
      <c r="AO72" s="70"/>
      <c r="AP72" s="70"/>
      <c r="AQ72" s="70"/>
      <c r="AR72" s="70"/>
      <c r="AS72" s="70"/>
      <c r="AT72" s="70"/>
      <c r="AU72" s="70"/>
      <c r="AV72" s="70"/>
      <c r="AW72" s="70"/>
      <c r="AX72" s="70"/>
      <c r="AY72" s="70"/>
      <c r="AZ72" s="70"/>
      <c r="BA72" s="70"/>
      <c r="BB72" s="70"/>
      <c r="BC72" s="70"/>
      <c r="BD72" s="70" t="s">
        <v>4122</v>
      </c>
      <c r="BE72" s="70"/>
      <c r="BF72" s="70"/>
      <c r="BG72" s="70"/>
      <c r="BH72" s="130"/>
      <c r="BI72" s="130"/>
      <c r="BJ72" s="130"/>
      <c r="BK72" s="130"/>
      <c r="BL72" s="130"/>
      <c r="BM72" s="130"/>
      <c r="BN72" s="130" t="s">
        <v>4122</v>
      </c>
      <c r="BO72" s="130"/>
      <c r="BP72" s="130"/>
      <c r="BQ72" s="130"/>
      <c r="BR72" s="130"/>
    </row>
    <row r="73" spans="1:70" hidden="1" x14ac:dyDescent="0.25">
      <c r="A73" s="68">
        <v>47</v>
      </c>
      <c r="B73" s="110" t="s">
        <v>1661</v>
      </c>
      <c r="C73" s="110" t="s">
        <v>1869</v>
      </c>
      <c r="D73" s="110" t="s">
        <v>3745</v>
      </c>
      <c r="E73" s="110"/>
      <c r="F73" s="110" t="s">
        <v>1870</v>
      </c>
      <c r="G73" s="110">
        <v>2018</v>
      </c>
      <c r="H73" s="110" t="s">
        <v>1871</v>
      </c>
      <c r="I73" s="111" t="s">
        <v>80</v>
      </c>
      <c r="J73" s="111" t="s">
        <v>80</v>
      </c>
      <c r="K73" s="111" t="s">
        <v>80</v>
      </c>
      <c r="L73" s="111" t="s">
        <v>80</v>
      </c>
      <c r="M73" s="110" t="s">
        <v>3744</v>
      </c>
      <c r="N73" s="110">
        <v>5</v>
      </c>
      <c r="O73" s="110">
        <v>5</v>
      </c>
      <c r="P73" s="110" t="s">
        <v>3383</v>
      </c>
      <c r="Q73" s="110" t="s">
        <v>3384</v>
      </c>
      <c r="R73" s="110" t="s">
        <v>3253</v>
      </c>
      <c r="S73" s="110" t="s">
        <v>3356</v>
      </c>
      <c r="T73" s="110" t="s">
        <v>20</v>
      </c>
      <c r="U73" s="110" t="s">
        <v>38</v>
      </c>
      <c r="V73" s="110" t="s">
        <v>69</v>
      </c>
      <c r="W73" s="110" t="s">
        <v>3336</v>
      </c>
      <c r="X73" s="110">
        <v>5</v>
      </c>
      <c r="Y73" s="110">
        <v>5</v>
      </c>
      <c r="Z73" s="110">
        <v>5</v>
      </c>
      <c r="AA73" s="110">
        <v>5</v>
      </c>
      <c r="AB73" s="110">
        <v>5</v>
      </c>
      <c r="AC73" s="110">
        <v>5</v>
      </c>
      <c r="AD73"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73" s="110" t="s">
        <v>3317</v>
      </c>
      <c r="AF73" s="70"/>
      <c r="AG73" s="70"/>
      <c r="AH73" s="70"/>
      <c r="AI73" s="70"/>
      <c r="AJ73" s="70" t="s">
        <v>4122</v>
      </c>
      <c r="AK73" s="70"/>
      <c r="AL73" s="70"/>
      <c r="AM73" s="70"/>
      <c r="AN73" s="70"/>
      <c r="AO73" s="70"/>
      <c r="AP73" s="70"/>
      <c r="AQ73" s="70"/>
      <c r="AR73" s="70"/>
      <c r="AS73" s="70"/>
      <c r="AT73" s="70"/>
      <c r="AU73" s="70"/>
      <c r="AV73" s="70"/>
      <c r="AW73" s="70"/>
      <c r="AX73" s="70"/>
      <c r="AY73" s="70"/>
      <c r="AZ73" s="70" t="s">
        <v>4122</v>
      </c>
      <c r="BA73" s="70"/>
      <c r="BB73" s="70"/>
      <c r="BC73" s="70"/>
      <c r="BD73" s="70"/>
      <c r="BE73" s="70"/>
      <c r="BF73" s="70"/>
      <c r="BG73" s="70"/>
      <c r="BH73" s="130" t="s">
        <v>4122</v>
      </c>
      <c r="BI73" s="130"/>
      <c r="BJ73" s="130"/>
      <c r="BK73" s="130"/>
      <c r="BL73" s="130"/>
      <c r="BM73" s="130"/>
      <c r="BN73" s="130"/>
      <c r="BO73" s="130"/>
      <c r="BP73" s="130"/>
      <c r="BQ73" s="130"/>
      <c r="BR73" s="130"/>
    </row>
    <row r="74" spans="1:70" x14ac:dyDescent="0.25">
      <c r="A74" s="68">
        <v>197</v>
      </c>
      <c r="B74" s="70" t="s">
        <v>734</v>
      </c>
      <c r="C74" s="70" t="s">
        <v>735</v>
      </c>
      <c r="D74" s="70" t="s">
        <v>121</v>
      </c>
      <c r="E74" s="70"/>
      <c r="F74" s="70" t="s">
        <v>736</v>
      </c>
      <c r="G74" s="70">
        <v>2018</v>
      </c>
      <c r="H74" s="70" t="s">
        <v>737</v>
      </c>
      <c r="I74" s="78" t="s">
        <v>80</v>
      </c>
      <c r="J74" s="78" t="s">
        <v>80</v>
      </c>
      <c r="K74" s="78">
        <v>0.73</v>
      </c>
      <c r="L74" s="78">
        <v>5</v>
      </c>
      <c r="M74" s="70" t="s">
        <v>3978</v>
      </c>
      <c r="N74" s="70">
        <v>5</v>
      </c>
      <c r="O74" s="70">
        <v>5</v>
      </c>
      <c r="P74" s="90" t="s">
        <v>3385</v>
      </c>
      <c r="Q74" s="104" t="s">
        <v>3185</v>
      </c>
      <c r="R74" s="108" t="s">
        <v>3361</v>
      </c>
      <c r="S74" s="90" t="s">
        <v>3577</v>
      </c>
      <c r="T74" s="70" t="s">
        <v>0</v>
      </c>
      <c r="U74" s="70" t="s">
        <v>38</v>
      </c>
      <c r="V74" s="70" t="s">
        <v>69</v>
      </c>
      <c r="W74" s="70" t="s">
        <v>3336</v>
      </c>
      <c r="X74" s="70">
        <v>5</v>
      </c>
      <c r="Y74" s="70">
        <v>5</v>
      </c>
      <c r="Z74" s="70">
        <v>5</v>
      </c>
      <c r="AA74" s="70">
        <v>5</v>
      </c>
      <c r="AB74" s="70">
        <v>5</v>
      </c>
      <c r="AC74" s="70">
        <v>5</v>
      </c>
      <c r="AD7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74" s="70" t="s">
        <v>3611</v>
      </c>
      <c r="AF74" s="70"/>
      <c r="AG74" s="70"/>
      <c r="AH74" s="70"/>
      <c r="AI74" s="70"/>
      <c r="AJ74" s="70"/>
      <c r="AK74" s="70"/>
      <c r="AL74" s="70"/>
      <c r="AM74" s="70"/>
      <c r="AN74" s="70"/>
      <c r="AO74" s="70"/>
      <c r="AP74" s="70" t="s">
        <v>4122</v>
      </c>
      <c r="AQ74" s="70"/>
      <c r="AR74" s="70"/>
      <c r="AS74" s="70"/>
      <c r="AT74" s="70"/>
      <c r="AU74" s="70"/>
      <c r="AV74" s="70"/>
      <c r="AW74" s="70"/>
      <c r="AX74" s="70"/>
      <c r="AY74" s="70"/>
      <c r="AZ74" s="70"/>
      <c r="BA74" s="70" t="s">
        <v>4122</v>
      </c>
      <c r="BB74" s="70"/>
      <c r="BC74" s="70"/>
      <c r="BD74" s="70"/>
      <c r="BE74" s="70"/>
      <c r="BF74" s="70"/>
      <c r="BG74" s="70"/>
      <c r="BH74" s="130"/>
      <c r="BI74" s="130"/>
      <c r="BJ74" s="130"/>
      <c r="BK74" s="130"/>
      <c r="BL74" s="130"/>
      <c r="BM74" s="130"/>
      <c r="BN74" s="130" t="s">
        <v>4122</v>
      </c>
      <c r="BO74" s="130"/>
      <c r="BP74" s="130"/>
      <c r="BQ74" s="130"/>
      <c r="BR74" s="130"/>
    </row>
    <row r="75" spans="1:70" hidden="1" x14ac:dyDescent="0.25">
      <c r="A75" s="68">
        <v>96</v>
      </c>
      <c r="B75" s="110" t="s">
        <v>1516</v>
      </c>
      <c r="C75" s="110" t="s">
        <v>1517</v>
      </c>
      <c r="D75" s="110" t="s">
        <v>24</v>
      </c>
      <c r="E75" s="110"/>
      <c r="F75" s="110" t="s">
        <v>1518</v>
      </c>
      <c r="G75" s="110">
        <v>2017</v>
      </c>
      <c r="H75" s="110" t="s">
        <v>1519</v>
      </c>
      <c r="I75" s="111" t="s">
        <v>80</v>
      </c>
      <c r="J75" s="111" t="s">
        <v>80</v>
      </c>
      <c r="K75" s="111">
        <v>0.62</v>
      </c>
      <c r="L75" s="111">
        <v>4</v>
      </c>
      <c r="M75" s="110" t="s">
        <v>3822</v>
      </c>
      <c r="N75" s="110">
        <v>6</v>
      </c>
      <c r="O75" s="110">
        <v>5</v>
      </c>
      <c r="P75" s="110" t="s">
        <v>3244</v>
      </c>
      <c r="Q75" s="110" t="s">
        <v>3378</v>
      </c>
      <c r="R75" s="110" t="s">
        <v>4134</v>
      </c>
      <c r="S75" s="110" t="s">
        <v>3187</v>
      </c>
      <c r="T75" s="110" t="s">
        <v>1</v>
      </c>
      <c r="U75" s="110" t="s">
        <v>38</v>
      </c>
      <c r="V75" s="110" t="s">
        <v>69</v>
      </c>
      <c r="W75" s="110" t="s">
        <v>3336</v>
      </c>
      <c r="X75" s="110">
        <v>5</v>
      </c>
      <c r="Y75" s="110">
        <v>5</v>
      </c>
      <c r="Z75" s="110">
        <v>5</v>
      </c>
      <c r="AA75" s="110">
        <v>5</v>
      </c>
      <c r="AB75" s="110">
        <v>5</v>
      </c>
      <c r="AC75" s="110">
        <v>5</v>
      </c>
      <c r="AD75"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75" s="110" t="s">
        <v>3458</v>
      </c>
      <c r="AF75" s="70"/>
      <c r="AG75" s="70"/>
      <c r="AH75" s="70"/>
      <c r="AI75" s="70"/>
      <c r="AJ75" s="70"/>
      <c r="AK75" s="70"/>
      <c r="AL75" s="70"/>
      <c r="AM75" s="70" t="s">
        <v>4122</v>
      </c>
      <c r="AN75" s="70"/>
      <c r="AO75" s="70"/>
      <c r="AP75" s="70"/>
      <c r="AQ75" s="70"/>
      <c r="AR75" s="70"/>
      <c r="AS75" s="70"/>
      <c r="AT75" s="70"/>
      <c r="AU75" s="70"/>
      <c r="AV75" s="70"/>
      <c r="AW75" s="70" t="s">
        <v>4122</v>
      </c>
      <c r="AX75" s="70"/>
      <c r="AY75" s="70"/>
      <c r="AZ75" s="70"/>
      <c r="BA75" s="70"/>
      <c r="BB75" s="70"/>
      <c r="BC75" s="70"/>
      <c r="BD75" s="70"/>
      <c r="BE75" s="70"/>
      <c r="BF75" s="70"/>
      <c r="BG75" s="70"/>
      <c r="BH75" s="130"/>
      <c r="BI75" s="130"/>
      <c r="BJ75" s="130" t="s">
        <v>4122</v>
      </c>
      <c r="BK75" s="130"/>
      <c r="BL75" s="130"/>
      <c r="BM75" s="130"/>
      <c r="BN75" s="130"/>
      <c r="BO75" s="130"/>
      <c r="BP75" s="130"/>
      <c r="BQ75" s="130"/>
      <c r="BR75" s="130"/>
    </row>
    <row r="76" spans="1:70" hidden="1" x14ac:dyDescent="0.25">
      <c r="A76" s="68">
        <v>162</v>
      </c>
      <c r="B76" s="70" t="s">
        <v>2210</v>
      </c>
      <c r="C76" s="70" t="s">
        <v>2211</v>
      </c>
      <c r="D76" s="70" t="s">
        <v>121</v>
      </c>
      <c r="E76" s="70"/>
      <c r="F76" s="70" t="s">
        <v>2212</v>
      </c>
      <c r="G76" s="70">
        <v>2018</v>
      </c>
      <c r="H76" s="70" t="s">
        <v>2213</v>
      </c>
      <c r="I76" s="78" t="s">
        <v>80</v>
      </c>
      <c r="J76" s="78" t="s">
        <v>80</v>
      </c>
      <c r="K76" s="78">
        <v>0.73</v>
      </c>
      <c r="L76" s="78">
        <v>5</v>
      </c>
      <c r="M76" s="70" t="s">
        <v>3928</v>
      </c>
      <c r="N76" s="70">
        <v>5</v>
      </c>
      <c r="O76" s="70">
        <v>5</v>
      </c>
      <c r="P76" s="90" t="s">
        <v>3157</v>
      </c>
      <c r="Q76" s="104" t="s">
        <v>3572</v>
      </c>
      <c r="R76" s="108" t="s">
        <v>3570</v>
      </c>
      <c r="S76" s="90" t="s">
        <v>3257</v>
      </c>
      <c r="T76" s="70" t="s">
        <v>1</v>
      </c>
      <c r="U76" s="70" t="s">
        <v>38</v>
      </c>
      <c r="V76" s="70" t="s">
        <v>69</v>
      </c>
      <c r="W76" s="70" t="s">
        <v>3571</v>
      </c>
      <c r="X76" s="70">
        <v>5</v>
      </c>
      <c r="Y76" s="70">
        <v>5</v>
      </c>
      <c r="Z76" s="70">
        <v>5</v>
      </c>
      <c r="AA76" s="70">
        <v>5</v>
      </c>
      <c r="AB76" s="70">
        <v>5</v>
      </c>
      <c r="AC76" s="70">
        <v>5</v>
      </c>
      <c r="AD7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76" s="70" t="s">
        <v>57</v>
      </c>
      <c r="AF76" s="70"/>
      <c r="AG76" s="70"/>
      <c r="AH76" s="70"/>
      <c r="AI76" s="70"/>
      <c r="AJ76" s="70"/>
      <c r="AK76" s="70"/>
      <c r="AL76" s="70" t="s">
        <v>4122</v>
      </c>
      <c r="AM76" s="70" t="s">
        <v>4122</v>
      </c>
      <c r="AN76" s="70"/>
      <c r="AO76" s="70"/>
      <c r="AP76" s="70"/>
      <c r="AQ76" s="70"/>
      <c r="AR76" s="70"/>
      <c r="AS76" s="70"/>
      <c r="AT76" s="70"/>
      <c r="AU76" s="70"/>
      <c r="AV76" s="70" t="s">
        <v>4122</v>
      </c>
      <c r="AW76" s="70"/>
      <c r="AX76" s="70"/>
      <c r="AY76" s="70"/>
      <c r="AZ76" s="70"/>
      <c r="BA76" s="70"/>
      <c r="BB76" s="70"/>
      <c r="BC76" s="70"/>
      <c r="BD76" s="70"/>
      <c r="BE76" s="70"/>
      <c r="BF76" s="70"/>
      <c r="BG76" s="70"/>
      <c r="BH76" s="130" t="s">
        <v>4122</v>
      </c>
      <c r="BI76" s="130"/>
      <c r="BJ76" s="130"/>
      <c r="BK76" s="130"/>
      <c r="BL76" s="130"/>
      <c r="BM76" s="130"/>
      <c r="BN76" s="130"/>
      <c r="BO76" s="130"/>
      <c r="BP76" s="130"/>
      <c r="BQ76" s="130"/>
      <c r="BR76" s="130"/>
    </row>
    <row r="77" spans="1:70" hidden="1" x14ac:dyDescent="0.25">
      <c r="A77" s="68">
        <v>93</v>
      </c>
      <c r="B77" s="70" t="s">
        <v>2602</v>
      </c>
      <c r="C77" s="70" t="s">
        <v>2603</v>
      </c>
      <c r="D77" s="70" t="s">
        <v>3818</v>
      </c>
      <c r="E77" s="70"/>
      <c r="F77" s="70" t="s">
        <v>2604</v>
      </c>
      <c r="G77" s="70">
        <v>2017</v>
      </c>
      <c r="H77" s="70" t="s">
        <v>2605</v>
      </c>
      <c r="I77" s="78" t="s">
        <v>84</v>
      </c>
      <c r="J77" s="78" t="s">
        <v>80</v>
      </c>
      <c r="K77" s="78" t="s">
        <v>80</v>
      </c>
      <c r="L77" s="78" t="s">
        <v>80</v>
      </c>
      <c r="M77" s="70" t="s">
        <v>3817</v>
      </c>
      <c r="N77" s="70">
        <v>2</v>
      </c>
      <c r="O77" s="70">
        <v>5</v>
      </c>
      <c r="P77" s="90" t="s">
        <v>3159</v>
      </c>
      <c r="Q77" s="104" t="s">
        <v>3453</v>
      </c>
      <c r="R77" s="108" t="s">
        <v>3454</v>
      </c>
      <c r="S77" s="90" t="s">
        <v>3257</v>
      </c>
      <c r="T77" s="70" t="s">
        <v>0</v>
      </c>
      <c r="U77" s="70" t="s">
        <v>38</v>
      </c>
      <c r="V77" s="70" t="s">
        <v>69</v>
      </c>
      <c r="W77" s="70" t="s">
        <v>3280</v>
      </c>
      <c r="X77" s="70">
        <v>5</v>
      </c>
      <c r="Y77" s="70">
        <v>5</v>
      </c>
      <c r="Z77" s="70">
        <v>5</v>
      </c>
      <c r="AA77" s="70">
        <v>5</v>
      </c>
      <c r="AB77" s="70">
        <v>5</v>
      </c>
      <c r="AC77" s="70">
        <v>5</v>
      </c>
      <c r="AD7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77" s="70" t="s">
        <v>3455</v>
      </c>
      <c r="AF77" s="70"/>
      <c r="AG77" s="70"/>
      <c r="AH77" s="70"/>
      <c r="AI77" s="70"/>
      <c r="AJ77" s="70"/>
      <c r="AK77" s="70"/>
      <c r="AL77" s="70"/>
      <c r="AM77" s="70" t="s">
        <v>4122</v>
      </c>
      <c r="AN77" s="70"/>
      <c r="AO77" s="70"/>
      <c r="AP77" s="70"/>
      <c r="AQ77" s="70"/>
      <c r="AR77" s="70"/>
      <c r="AS77" s="70"/>
      <c r="AT77" s="70"/>
      <c r="AU77" s="70"/>
      <c r="AV77" s="70"/>
      <c r="AW77" s="70"/>
      <c r="AX77" s="70"/>
      <c r="AY77" s="70"/>
      <c r="AZ77" s="70"/>
      <c r="BA77" s="70"/>
      <c r="BB77" s="70"/>
      <c r="BC77" s="70"/>
      <c r="BD77" s="70"/>
      <c r="BE77" s="70"/>
      <c r="BF77" s="70"/>
      <c r="BG77" s="70" t="s">
        <v>4122</v>
      </c>
      <c r="BH77" s="130"/>
      <c r="BI77" s="130"/>
      <c r="BJ77" s="130"/>
      <c r="BK77" s="130"/>
      <c r="BL77" s="130"/>
      <c r="BM77" s="130" t="s">
        <v>4122</v>
      </c>
      <c r="BN77" s="130"/>
      <c r="BO77" s="130"/>
      <c r="BP77" s="130"/>
      <c r="BQ77" s="130"/>
      <c r="BR77" s="130"/>
    </row>
    <row r="78" spans="1:70" hidden="1" x14ac:dyDescent="0.25">
      <c r="A78" s="68">
        <v>175</v>
      </c>
      <c r="B78" s="70" t="s">
        <v>2107</v>
      </c>
      <c r="C78" s="70" t="s">
        <v>2108</v>
      </c>
      <c r="D78" s="70" t="s">
        <v>3947</v>
      </c>
      <c r="E78" s="70"/>
      <c r="F78" s="70" t="s">
        <v>2109</v>
      </c>
      <c r="G78" s="70">
        <v>2017</v>
      </c>
      <c r="H78" s="70" t="s">
        <v>2110</v>
      </c>
      <c r="I78" s="78" t="s">
        <v>80</v>
      </c>
      <c r="J78" s="78" t="s">
        <v>85</v>
      </c>
      <c r="K78" s="78" t="s">
        <v>80</v>
      </c>
      <c r="L78" s="78" t="s">
        <v>80</v>
      </c>
      <c r="M78" s="70" t="s">
        <v>3946</v>
      </c>
      <c r="N78" s="70">
        <v>0</v>
      </c>
      <c r="O78" s="70">
        <v>5</v>
      </c>
      <c r="P78" s="90" t="s">
        <v>3592</v>
      </c>
      <c r="Q78" s="104" t="s">
        <v>3467</v>
      </c>
      <c r="R78" s="108" t="s">
        <v>3389</v>
      </c>
      <c r="S78" s="90" t="s">
        <v>3528</v>
      </c>
      <c r="T78" s="70" t="s">
        <v>0</v>
      </c>
      <c r="U78" s="70" t="s">
        <v>38</v>
      </c>
      <c r="V78" s="70" t="s">
        <v>69</v>
      </c>
      <c r="W78" s="70" t="s">
        <v>3280</v>
      </c>
      <c r="X78" s="70">
        <v>5</v>
      </c>
      <c r="Y78" s="70">
        <v>5</v>
      </c>
      <c r="Z78" s="70">
        <v>5</v>
      </c>
      <c r="AA78" s="70">
        <v>5</v>
      </c>
      <c r="AB78" s="70">
        <v>5</v>
      </c>
      <c r="AC78" s="70">
        <v>5</v>
      </c>
      <c r="AD7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78" s="70" t="s">
        <v>3594</v>
      </c>
      <c r="AF78" s="70"/>
      <c r="AG78" s="70"/>
      <c r="AH78" s="70"/>
      <c r="AI78" s="70"/>
      <c r="AJ78" s="70"/>
      <c r="AK78" s="70"/>
      <c r="AL78" s="70"/>
      <c r="AM78" s="70" t="s">
        <v>4122</v>
      </c>
      <c r="AN78" s="70"/>
      <c r="AO78" s="70"/>
      <c r="AP78" s="70" t="s">
        <v>4122</v>
      </c>
      <c r="AQ78" s="70" t="s">
        <v>4122</v>
      </c>
      <c r="AR78" s="70"/>
      <c r="AS78" s="70"/>
      <c r="AT78" s="70"/>
      <c r="AU78" s="70"/>
      <c r="AV78" s="70"/>
      <c r="AW78" s="70"/>
      <c r="AX78" s="70"/>
      <c r="AY78" s="70"/>
      <c r="AZ78" s="70"/>
      <c r="BA78" s="70"/>
      <c r="BB78" s="70" t="s">
        <v>4122</v>
      </c>
      <c r="BC78" s="70"/>
      <c r="BD78" s="70"/>
      <c r="BE78" s="70"/>
      <c r="BF78" s="70"/>
      <c r="BG78" s="70"/>
      <c r="BH78" s="130"/>
      <c r="BI78" s="130"/>
      <c r="BJ78" s="130"/>
      <c r="BK78" s="130" t="s">
        <v>4122</v>
      </c>
      <c r="BL78" s="130"/>
      <c r="BM78" s="130"/>
      <c r="BN78" s="130"/>
      <c r="BO78" s="130"/>
      <c r="BP78" s="130"/>
      <c r="BQ78" s="130"/>
      <c r="BR78" s="130"/>
    </row>
    <row r="79" spans="1:70" hidden="1" x14ac:dyDescent="0.25">
      <c r="A79" s="68">
        <v>103</v>
      </c>
      <c r="B79" s="110" t="s">
        <v>2419</v>
      </c>
      <c r="C79" s="110" t="s">
        <v>2420</v>
      </c>
      <c r="D79" s="110" t="s">
        <v>3833</v>
      </c>
      <c r="E79" s="110"/>
      <c r="F79" s="110" t="s">
        <v>2421</v>
      </c>
      <c r="G79" s="110">
        <v>2016</v>
      </c>
      <c r="H79" s="110" t="s">
        <v>2422</v>
      </c>
      <c r="I79" s="111" t="s">
        <v>80</v>
      </c>
      <c r="J79" s="111" t="s">
        <v>85</v>
      </c>
      <c r="K79" s="111" t="s">
        <v>80</v>
      </c>
      <c r="L79" s="111">
        <v>1</v>
      </c>
      <c r="M79" s="110" t="s">
        <v>3834</v>
      </c>
      <c r="N79" s="110">
        <v>22</v>
      </c>
      <c r="O79" s="110">
        <v>3</v>
      </c>
      <c r="P79" s="110" t="s">
        <v>3163</v>
      </c>
      <c r="Q79" s="110" t="s">
        <v>3468</v>
      </c>
      <c r="R79" s="110" t="s">
        <v>3253</v>
      </c>
      <c r="S79" s="110" t="s">
        <v>3229</v>
      </c>
      <c r="T79" s="110" t="s">
        <v>0</v>
      </c>
      <c r="U79" s="110" t="s">
        <v>38</v>
      </c>
      <c r="V79" s="110" t="s">
        <v>69</v>
      </c>
      <c r="W79" s="110" t="s">
        <v>3280</v>
      </c>
      <c r="X79" s="110">
        <v>3</v>
      </c>
      <c r="Y79" s="110">
        <v>3</v>
      </c>
      <c r="Z79" s="110">
        <v>2</v>
      </c>
      <c r="AA79" s="110">
        <v>5</v>
      </c>
      <c r="AB79" s="110">
        <v>3</v>
      </c>
      <c r="AC79" s="110">
        <v>2</v>
      </c>
      <c r="AD7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79" s="110" t="s">
        <v>3349</v>
      </c>
      <c r="AF79" s="70"/>
      <c r="AG79" s="70"/>
      <c r="AH79" s="70"/>
      <c r="AI79" s="70"/>
      <c r="AJ79" s="70"/>
      <c r="AK79" s="70"/>
      <c r="AL79" s="70"/>
      <c r="AM79" s="70" t="s">
        <v>4122</v>
      </c>
      <c r="AN79" s="70"/>
      <c r="AO79" s="70"/>
      <c r="AP79" s="70"/>
      <c r="AQ79" s="70"/>
      <c r="AR79" s="70"/>
      <c r="AS79" s="70"/>
      <c r="AT79" s="70"/>
      <c r="AU79" s="70"/>
      <c r="AV79" s="70"/>
      <c r="AW79" s="70"/>
      <c r="AX79" s="70"/>
      <c r="AY79" s="70"/>
      <c r="AZ79" s="70"/>
      <c r="BA79" s="70"/>
      <c r="BB79" s="70"/>
      <c r="BC79" s="70" t="s">
        <v>4122</v>
      </c>
      <c r="BD79" s="70"/>
      <c r="BE79" s="70"/>
      <c r="BF79" s="70"/>
      <c r="BG79" s="70"/>
      <c r="BH79" s="130" t="s">
        <v>4122</v>
      </c>
      <c r="BI79" s="130"/>
      <c r="BJ79" s="130"/>
      <c r="BK79" s="130"/>
      <c r="BL79" s="130"/>
      <c r="BM79" s="130"/>
      <c r="BN79" s="130"/>
      <c r="BO79" s="130"/>
      <c r="BP79" s="130"/>
      <c r="BQ79" s="130"/>
      <c r="BR79" s="130"/>
    </row>
    <row r="80" spans="1:70" hidden="1" x14ac:dyDescent="0.25">
      <c r="A80" s="68">
        <v>60</v>
      </c>
      <c r="B80" s="70" t="s">
        <v>2570</v>
      </c>
      <c r="C80" s="70" t="s">
        <v>2571</v>
      </c>
      <c r="D80" s="70" t="s">
        <v>3767</v>
      </c>
      <c r="E80" s="70"/>
      <c r="F80" s="70" t="s">
        <v>2572</v>
      </c>
      <c r="G80" s="70">
        <v>2015</v>
      </c>
      <c r="H80" s="70" t="s">
        <v>2573</v>
      </c>
      <c r="I80" s="78" t="s">
        <v>71</v>
      </c>
      <c r="J80" s="78" t="s">
        <v>4033</v>
      </c>
      <c r="K80" s="78" t="s">
        <v>80</v>
      </c>
      <c r="L80" s="78" t="s">
        <v>80</v>
      </c>
      <c r="M80" s="70" t="s">
        <v>3766</v>
      </c>
      <c r="N80" s="70">
        <v>4</v>
      </c>
      <c r="O80" s="70">
        <v>5</v>
      </c>
      <c r="P80" s="90" t="s">
        <v>3376</v>
      </c>
      <c r="Q80" s="104" t="s">
        <v>3407</v>
      </c>
      <c r="R80" s="108" t="s">
        <v>3361</v>
      </c>
      <c r="S80" s="90" t="s">
        <v>3187</v>
      </c>
      <c r="T80" s="70" t="s">
        <v>0</v>
      </c>
      <c r="U80" s="70" t="s">
        <v>38</v>
      </c>
      <c r="V80" s="70" t="s">
        <v>69</v>
      </c>
      <c r="W80" s="70" t="s">
        <v>3336</v>
      </c>
      <c r="X80" s="70">
        <v>5</v>
      </c>
      <c r="Y80" s="70">
        <v>5</v>
      </c>
      <c r="Z80" s="70">
        <v>5</v>
      </c>
      <c r="AA80" s="70">
        <v>5</v>
      </c>
      <c r="AB80" s="70">
        <v>5</v>
      </c>
      <c r="AC80" s="70">
        <v>5</v>
      </c>
      <c r="AD8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0" s="70" t="s">
        <v>4128</v>
      </c>
      <c r="AF80" s="70"/>
      <c r="AG80" s="70"/>
      <c r="AH80" s="70"/>
      <c r="AI80" s="70"/>
      <c r="AJ80" s="70" t="s">
        <v>4122</v>
      </c>
      <c r="AK80" s="70"/>
      <c r="AL80" s="70"/>
      <c r="AM80" s="70"/>
      <c r="AN80" s="70"/>
      <c r="AO80" s="70"/>
      <c r="AP80" s="70"/>
      <c r="AQ80" s="70"/>
      <c r="AR80" s="70"/>
      <c r="AS80" s="70"/>
      <c r="AT80" s="70"/>
      <c r="AU80" s="70"/>
      <c r="AV80" s="70"/>
      <c r="AW80" s="70"/>
      <c r="AX80" s="70"/>
      <c r="AY80" s="70"/>
      <c r="AZ80" s="70"/>
      <c r="BA80" s="70"/>
      <c r="BB80" s="70" t="s">
        <v>4122</v>
      </c>
      <c r="BC80" s="70"/>
      <c r="BD80" s="70"/>
      <c r="BE80" s="70"/>
      <c r="BF80" s="70"/>
      <c r="BG80" s="70"/>
      <c r="BH80" s="130"/>
      <c r="BI80" s="130"/>
      <c r="BJ80" s="130"/>
      <c r="BK80" s="130"/>
      <c r="BL80" s="130"/>
      <c r="BM80" s="130"/>
      <c r="BN80" s="130" t="s">
        <v>4122</v>
      </c>
      <c r="BO80" s="130"/>
      <c r="BP80" s="130"/>
      <c r="BQ80" s="130"/>
      <c r="BR80" s="130"/>
    </row>
    <row r="81" spans="1:70" hidden="1" x14ac:dyDescent="0.25">
      <c r="A81" s="68">
        <v>140</v>
      </c>
      <c r="B81" s="70" t="s">
        <v>1505</v>
      </c>
      <c r="C81" s="70" t="s">
        <v>1506</v>
      </c>
      <c r="D81" s="70" t="s">
        <v>3893</v>
      </c>
      <c r="E81" s="70"/>
      <c r="F81" s="70" t="s">
        <v>1507</v>
      </c>
      <c r="G81" s="70">
        <v>2018</v>
      </c>
      <c r="H81" s="70" t="s">
        <v>1508</v>
      </c>
      <c r="I81" s="78" t="s">
        <v>4033</v>
      </c>
      <c r="J81" s="78" t="s">
        <v>4033</v>
      </c>
      <c r="K81" s="78" t="s">
        <v>80</v>
      </c>
      <c r="L81" s="78" t="s">
        <v>80</v>
      </c>
      <c r="M81" s="70" t="s">
        <v>3892</v>
      </c>
      <c r="N81" s="70">
        <v>5</v>
      </c>
      <c r="O81" s="70">
        <v>5</v>
      </c>
      <c r="P81" s="90" t="s">
        <v>3157</v>
      </c>
      <c r="Q81" s="104" t="s">
        <v>3530</v>
      </c>
      <c r="R81" s="108" t="s">
        <v>3202</v>
      </c>
      <c r="S81" s="90" t="s">
        <v>3256</v>
      </c>
      <c r="T81" s="70" t="s">
        <v>0</v>
      </c>
      <c r="U81" s="70" t="s">
        <v>38</v>
      </c>
      <c r="V81" s="70" t="s">
        <v>69</v>
      </c>
      <c r="W81" s="70" t="s">
        <v>3529</v>
      </c>
      <c r="X81" s="70">
        <v>5</v>
      </c>
      <c r="Y81" s="70">
        <v>5</v>
      </c>
      <c r="Z81" s="70">
        <v>3</v>
      </c>
      <c r="AA81" s="70">
        <v>5</v>
      </c>
      <c r="AB81" s="70">
        <v>5</v>
      </c>
      <c r="AC81" s="70">
        <v>3</v>
      </c>
      <c r="AD8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81" s="70" t="s">
        <v>3532</v>
      </c>
      <c r="AF81" s="70"/>
      <c r="AG81" s="70"/>
      <c r="AH81" s="70"/>
      <c r="AI81" s="70"/>
      <c r="AJ81" s="70"/>
      <c r="AK81" s="70"/>
      <c r="AL81" s="70"/>
      <c r="AM81" s="70" t="s">
        <v>4122</v>
      </c>
      <c r="AN81" s="70"/>
      <c r="AO81" s="70"/>
      <c r="AP81" s="70"/>
      <c r="AQ81" s="70"/>
      <c r="AR81" s="70"/>
      <c r="AS81" s="70"/>
      <c r="AT81" s="70"/>
      <c r="AU81" s="70" t="s">
        <v>4122</v>
      </c>
      <c r="AV81" s="70"/>
      <c r="AW81" s="70"/>
      <c r="AX81" s="70"/>
      <c r="AY81" s="70"/>
      <c r="AZ81" s="70"/>
      <c r="BA81" s="70"/>
      <c r="BB81" s="70"/>
      <c r="BC81" s="70"/>
      <c r="BD81" s="70"/>
      <c r="BE81" s="70"/>
      <c r="BF81" s="70"/>
      <c r="BG81" s="70"/>
      <c r="BH81" s="130" t="s">
        <v>4122</v>
      </c>
      <c r="BI81" s="130"/>
      <c r="BJ81" s="130"/>
      <c r="BK81" s="130"/>
      <c r="BL81" s="130"/>
      <c r="BM81" s="130"/>
      <c r="BN81" s="130"/>
      <c r="BO81" s="130"/>
      <c r="BP81" s="130"/>
      <c r="BQ81" s="130"/>
      <c r="BR81" s="130"/>
    </row>
    <row r="82" spans="1:70" hidden="1" x14ac:dyDescent="0.25">
      <c r="A82" s="68">
        <v>200</v>
      </c>
      <c r="B82" s="70" t="s">
        <v>3088</v>
      </c>
      <c r="C82" s="70" t="s">
        <v>3089</v>
      </c>
      <c r="D82" s="70" t="s">
        <v>3982</v>
      </c>
      <c r="E82" s="70"/>
      <c r="F82" s="70" t="s">
        <v>3090</v>
      </c>
      <c r="G82" s="70">
        <v>2016</v>
      </c>
      <c r="H82" s="70" t="s">
        <v>3091</v>
      </c>
      <c r="I82" s="78" t="s">
        <v>80</v>
      </c>
      <c r="J82" s="78" t="s">
        <v>88</v>
      </c>
      <c r="K82" s="78" t="s">
        <v>80</v>
      </c>
      <c r="L82" s="78" t="s">
        <v>80</v>
      </c>
      <c r="M82" s="70" t="s">
        <v>3981</v>
      </c>
      <c r="N82" s="70">
        <v>4</v>
      </c>
      <c r="O82" s="70">
        <v>5</v>
      </c>
      <c r="P82" s="90" t="s">
        <v>3244</v>
      </c>
      <c r="Q82" s="104" t="s">
        <v>3420</v>
      </c>
      <c r="R82" s="108" t="s">
        <v>3575</v>
      </c>
      <c r="S82" s="90" t="s">
        <v>3187</v>
      </c>
      <c r="T82" s="70" t="s">
        <v>2</v>
      </c>
      <c r="U82" s="70" t="s">
        <v>38</v>
      </c>
      <c r="V82" s="70" t="s">
        <v>69</v>
      </c>
      <c r="W82" s="70" t="s">
        <v>3607</v>
      </c>
      <c r="X82" s="70">
        <v>5</v>
      </c>
      <c r="Y82" s="70">
        <v>5</v>
      </c>
      <c r="Z82" s="70">
        <v>5</v>
      </c>
      <c r="AA82" s="70">
        <v>5</v>
      </c>
      <c r="AB82" s="70">
        <v>5</v>
      </c>
      <c r="AC82" s="70">
        <v>5</v>
      </c>
      <c r="AD8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2" s="70" t="s">
        <v>63</v>
      </c>
      <c r="AF82" s="70"/>
      <c r="AG82" s="70"/>
      <c r="AH82" s="70" t="s">
        <v>4122</v>
      </c>
      <c r="AI82" s="70"/>
      <c r="AJ82" s="70"/>
      <c r="AK82" s="70"/>
      <c r="AL82" s="70"/>
      <c r="AM82" s="70"/>
      <c r="AN82" s="70"/>
      <c r="AO82" s="70"/>
      <c r="AP82" s="70" t="s">
        <v>4122</v>
      </c>
      <c r="AQ82" s="70"/>
      <c r="AR82" s="70"/>
      <c r="AS82" s="70"/>
      <c r="AT82" s="70"/>
      <c r="AU82" s="70"/>
      <c r="AV82" s="70"/>
      <c r="AW82" s="70"/>
      <c r="AX82" s="70"/>
      <c r="AY82" s="70"/>
      <c r="AZ82" s="70"/>
      <c r="BA82" s="70"/>
      <c r="BB82" s="70" t="s">
        <v>4122</v>
      </c>
      <c r="BC82" s="70"/>
      <c r="BD82" s="70"/>
      <c r="BE82" s="70"/>
      <c r="BF82" s="70"/>
      <c r="BG82" s="70"/>
      <c r="BH82" s="130"/>
      <c r="BI82" s="130" t="s">
        <v>4122</v>
      </c>
      <c r="BJ82" s="130"/>
      <c r="BK82" s="130"/>
      <c r="BL82" s="130"/>
      <c r="BM82" s="130"/>
      <c r="BN82" s="130"/>
      <c r="BO82" s="130"/>
      <c r="BP82" s="130"/>
      <c r="BQ82" s="130"/>
      <c r="BR82" s="130"/>
    </row>
    <row r="83" spans="1:70" hidden="1" x14ac:dyDescent="0.25">
      <c r="A83" s="68">
        <v>40</v>
      </c>
      <c r="B83" s="70" t="s">
        <v>457</v>
      </c>
      <c r="C83" s="70" t="s">
        <v>458</v>
      </c>
      <c r="D83" s="70" t="s">
        <v>3733</v>
      </c>
      <c r="E83" s="70" t="s">
        <v>933</v>
      </c>
      <c r="F83" s="70" t="s">
        <v>459</v>
      </c>
      <c r="G83" s="70">
        <v>2015</v>
      </c>
      <c r="H83" s="70" t="s">
        <v>460</v>
      </c>
      <c r="I83" s="78" t="s">
        <v>80</v>
      </c>
      <c r="J83" s="78" t="s">
        <v>85</v>
      </c>
      <c r="K83" s="78" t="s">
        <v>80</v>
      </c>
      <c r="L83" s="78" t="s">
        <v>80</v>
      </c>
      <c r="M83" s="70" t="s">
        <v>3734</v>
      </c>
      <c r="N83" s="70">
        <v>4</v>
      </c>
      <c r="O83" s="70">
        <v>4</v>
      </c>
      <c r="P83" s="90" t="s">
        <v>3371</v>
      </c>
      <c r="Q83" s="104" t="s">
        <v>3372</v>
      </c>
      <c r="R83" s="108" t="s">
        <v>3373</v>
      </c>
      <c r="S83" s="90" t="s">
        <v>3229</v>
      </c>
      <c r="T83" s="70" t="s">
        <v>0</v>
      </c>
      <c r="U83" s="70" t="s">
        <v>38</v>
      </c>
      <c r="V83" s="70" t="s">
        <v>69</v>
      </c>
      <c r="W83" s="70" t="s">
        <v>3336</v>
      </c>
      <c r="X83" s="70">
        <v>5</v>
      </c>
      <c r="Y83" s="70">
        <v>5</v>
      </c>
      <c r="Z83" s="70">
        <v>5</v>
      </c>
      <c r="AA83" s="70">
        <v>5</v>
      </c>
      <c r="AB83" s="70">
        <v>5</v>
      </c>
      <c r="AC83" s="70">
        <v>5</v>
      </c>
      <c r="AD8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3" s="70" t="s">
        <v>62</v>
      </c>
      <c r="AF83" s="70"/>
      <c r="AG83" s="70"/>
      <c r="AH83" s="70"/>
      <c r="AI83" s="70"/>
      <c r="AJ83" s="70" t="s">
        <v>4122</v>
      </c>
      <c r="AK83" s="70"/>
      <c r="AL83" s="70"/>
      <c r="AM83" s="70"/>
      <c r="AN83" s="70"/>
      <c r="AO83" s="70"/>
      <c r="AP83" s="70"/>
      <c r="AQ83" s="70"/>
      <c r="AR83" s="70"/>
      <c r="AS83" s="70"/>
      <c r="AT83" s="70"/>
      <c r="AU83" s="70"/>
      <c r="AV83" s="70"/>
      <c r="AW83" s="70"/>
      <c r="AX83" s="70"/>
      <c r="AY83" s="70"/>
      <c r="AZ83" s="70"/>
      <c r="BA83" s="70"/>
      <c r="BB83" s="70" t="s">
        <v>4122</v>
      </c>
      <c r="BC83" s="70"/>
      <c r="BD83" s="70"/>
      <c r="BE83" s="70"/>
      <c r="BF83" s="70"/>
      <c r="BG83" s="70"/>
      <c r="BH83" s="130"/>
      <c r="BI83" s="130"/>
      <c r="BJ83" s="130"/>
      <c r="BK83" s="130"/>
      <c r="BL83" s="130"/>
      <c r="BM83" s="130"/>
      <c r="BN83" s="130"/>
      <c r="BO83" s="130"/>
      <c r="BP83" s="130"/>
      <c r="BQ83" s="130"/>
      <c r="BR83" s="130" t="s">
        <v>4122</v>
      </c>
    </row>
    <row r="84" spans="1:70" hidden="1" x14ac:dyDescent="0.25">
      <c r="A84" s="68">
        <v>113</v>
      </c>
      <c r="B84" s="70" t="s">
        <v>1279</v>
      </c>
      <c r="C84" s="70" t="s">
        <v>1280</v>
      </c>
      <c r="D84" s="70" t="s">
        <v>3852</v>
      </c>
      <c r="E84" s="70"/>
      <c r="F84" s="70" t="s">
        <v>1281</v>
      </c>
      <c r="G84" s="70">
        <v>2013</v>
      </c>
      <c r="H84" s="70" t="s">
        <v>1282</v>
      </c>
      <c r="I84" s="78" t="s">
        <v>82</v>
      </c>
      <c r="J84" s="78" t="s">
        <v>85</v>
      </c>
      <c r="K84" s="78" t="s">
        <v>80</v>
      </c>
      <c r="L84" s="78" t="s">
        <v>80</v>
      </c>
      <c r="M84" s="70" t="s">
        <v>3851</v>
      </c>
      <c r="N84" s="70">
        <v>12</v>
      </c>
      <c r="O84" s="70">
        <v>4</v>
      </c>
      <c r="P84" s="90" t="s">
        <v>3244</v>
      </c>
      <c r="Q84" s="104" t="s">
        <v>3487</v>
      </c>
      <c r="R84" s="108" t="s">
        <v>3361</v>
      </c>
      <c r="S84" s="90" t="s">
        <v>3257</v>
      </c>
      <c r="T84" s="70" t="s">
        <v>0</v>
      </c>
      <c r="U84" s="70" t="s">
        <v>38</v>
      </c>
      <c r="V84" s="70" t="s">
        <v>69</v>
      </c>
      <c r="W84" s="70" t="s">
        <v>3336</v>
      </c>
      <c r="X84" s="70">
        <v>4</v>
      </c>
      <c r="Y84" s="70">
        <v>4</v>
      </c>
      <c r="Z84" s="70">
        <v>4</v>
      </c>
      <c r="AA84" s="70">
        <v>4</v>
      </c>
      <c r="AB84" s="70">
        <v>4</v>
      </c>
      <c r="AC84" s="70">
        <v>4</v>
      </c>
      <c r="AD8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84" s="70" t="s">
        <v>57</v>
      </c>
      <c r="AF84" s="70"/>
      <c r="AG84" s="70"/>
      <c r="AH84" s="70"/>
      <c r="AI84" s="70"/>
      <c r="AJ84" s="70"/>
      <c r="AK84" s="70"/>
      <c r="AL84" s="70"/>
      <c r="AM84" s="70" t="s">
        <v>4122</v>
      </c>
      <c r="AN84" s="70"/>
      <c r="AO84" s="70"/>
      <c r="AP84" s="70"/>
      <c r="AQ84" s="70"/>
      <c r="AR84" s="70"/>
      <c r="AS84" s="70"/>
      <c r="AT84" s="70"/>
      <c r="AU84" s="70"/>
      <c r="AV84" s="70"/>
      <c r="AW84" s="70"/>
      <c r="AX84" s="70"/>
      <c r="AY84" s="70"/>
      <c r="AZ84" s="70"/>
      <c r="BA84" s="70" t="s">
        <v>4122</v>
      </c>
      <c r="BB84" s="70"/>
      <c r="BC84" s="70"/>
      <c r="BD84" s="70"/>
      <c r="BE84" s="70"/>
      <c r="BF84" s="70"/>
      <c r="BG84" s="70"/>
      <c r="BH84" s="130"/>
      <c r="BI84" s="130"/>
      <c r="BJ84" s="130"/>
      <c r="BK84" s="130"/>
      <c r="BL84" s="130"/>
      <c r="BM84" s="130"/>
      <c r="BN84" s="130" t="s">
        <v>4122</v>
      </c>
      <c r="BO84" s="130"/>
      <c r="BP84" s="130"/>
      <c r="BQ84" s="130"/>
      <c r="BR84" s="130"/>
    </row>
    <row r="85" spans="1:70" hidden="1" x14ac:dyDescent="0.25">
      <c r="A85" s="68">
        <v>68</v>
      </c>
      <c r="B85" s="70" t="s">
        <v>1293</v>
      </c>
      <c r="C85" s="70" t="s">
        <v>1294</v>
      </c>
      <c r="D85" s="70" t="s">
        <v>3778</v>
      </c>
      <c r="E85" s="70"/>
      <c r="F85" s="70" t="s">
        <v>1295</v>
      </c>
      <c r="G85" s="70">
        <v>2018</v>
      </c>
      <c r="H85" s="70" t="s">
        <v>1296</v>
      </c>
      <c r="I85" s="78" t="s">
        <v>80</v>
      </c>
      <c r="J85" s="78" t="s">
        <v>85</v>
      </c>
      <c r="K85" s="78" t="s">
        <v>80</v>
      </c>
      <c r="L85" s="78" t="s">
        <v>80</v>
      </c>
      <c r="M85" s="70" t="s">
        <v>3777</v>
      </c>
      <c r="N85" s="70">
        <v>3</v>
      </c>
      <c r="O85" s="70">
        <v>4</v>
      </c>
      <c r="P85" s="90" t="s">
        <v>3418</v>
      </c>
      <c r="Q85" s="104" t="s">
        <v>3351</v>
      </c>
      <c r="R85" s="108" t="s">
        <v>3204</v>
      </c>
      <c r="S85" s="90" t="s">
        <v>3257</v>
      </c>
      <c r="T85" s="70" t="s">
        <v>0</v>
      </c>
      <c r="U85" s="70" t="s">
        <v>38</v>
      </c>
      <c r="V85" s="70" t="s">
        <v>69</v>
      </c>
      <c r="W85" s="70" t="s">
        <v>3336</v>
      </c>
      <c r="X85" s="70">
        <v>5</v>
      </c>
      <c r="Y85" s="70">
        <v>5</v>
      </c>
      <c r="Z85" s="70">
        <v>5</v>
      </c>
      <c r="AA85" s="70">
        <v>5</v>
      </c>
      <c r="AB85" s="70">
        <v>5</v>
      </c>
      <c r="AC85" s="70">
        <v>5</v>
      </c>
      <c r="AD8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5" s="70" t="s">
        <v>3419</v>
      </c>
      <c r="AF85" s="70"/>
      <c r="AG85" s="70"/>
      <c r="AH85" s="70"/>
      <c r="AI85" s="70"/>
      <c r="AJ85" s="70" t="s">
        <v>4122</v>
      </c>
      <c r="AK85" s="70"/>
      <c r="AL85" s="70"/>
      <c r="AM85" s="70" t="s">
        <v>4122</v>
      </c>
      <c r="AN85" s="70"/>
      <c r="AO85" s="70"/>
      <c r="AP85" s="70"/>
      <c r="AQ85" s="70"/>
      <c r="AR85" s="70"/>
      <c r="AS85" s="70"/>
      <c r="AT85" s="70"/>
      <c r="AU85" s="70"/>
      <c r="AV85" s="70"/>
      <c r="AW85" s="70"/>
      <c r="AX85" s="70"/>
      <c r="AY85" s="70"/>
      <c r="AZ85" s="70"/>
      <c r="BA85" s="70"/>
      <c r="BB85" s="70"/>
      <c r="BC85" s="70"/>
      <c r="BD85" s="70" t="s">
        <v>4122</v>
      </c>
      <c r="BE85" s="70"/>
      <c r="BF85" s="70"/>
      <c r="BG85" s="70"/>
      <c r="BH85" s="130"/>
      <c r="BI85" s="130"/>
      <c r="BJ85" s="130"/>
      <c r="BK85" s="130"/>
      <c r="BL85" s="130"/>
      <c r="BM85" s="130"/>
      <c r="BN85" s="130" t="s">
        <v>4122</v>
      </c>
      <c r="BO85" s="130"/>
      <c r="BP85" s="130"/>
      <c r="BQ85" s="130"/>
      <c r="BR85" s="130"/>
    </row>
    <row r="86" spans="1:70" hidden="1" x14ac:dyDescent="0.25">
      <c r="A86" s="68">
        <v>123</v>
      </c>
      <c r="B86" s="70" t="s">
        <v>2943</v>
      </c>
      <c r="C86" s="70" t="s">
        <v>2971</v>
      </c>
      <c r="D86" s="70" t="s">
        <v>3733</v>
      </c>
      <c r="E86" s="70"/>
      <c r="F86" s="70" t="s">
        <v>746</v>
      </c>
      <c r="G86" s="70">
        <v>2015</v>
      </c>
      <c r="H86" s="70" t="s">
        <v>2972</v>
      </c>
      <c r="I86" s="78" t="s">
        <v>80</v>
      </c>
      <c r="J86" s="78" t="s">
        <v>85</v>
      </c>
      <c r="K86" s="78" t="s">
        <v>80</v>
      </c>
      <c r="L86" s="78" t="s">
        <v>80</v>
      </c>
      <c r="M86" s="70" t="s">
        <v>3865</v>
      </c>
      <c r="N86" s="70">
        <v>2</v>
      </c>
      <c r="O86" s="70">
        <v>5</v>
      </c>
      <c r="P86" s="90" t="s">
        <v>3157</v>
      </c>
      <c r="Q86" s="104" t="s">
        <v>3499</v>
      </c>
      <c r="R86" s="108" t="s">
        <v>3500</v>
      </c>
      <c r="S86" s="90" t="s">
        <v>3243</v>
      </c>
      <c r="T86" s="70" t="s">
        <v>2</v>
      </c>
      <c r="U86" s="70" t="s">
        <v>38</v>
      </c>
      <c r="V86" s="70" t="s">
        <v>69</v>
      </c>
      <c r="W86" s="70" t="s">
        <v>3336</v>
      </c>
      <c r="X86" s="70">
        <v>5</v>
      </c>
      <c r="Y86" s="70">
        <v>5</v>
      </c>
      <c r="Z86" s="70">
        <v>5</v>
      </c>
      <c r="AA86" s="70">
        <v>5</v>
      </c>
      <c r="AB86" s="70">
        <v>5</v>
      </c>
      <c r="AC86" s="70">
        <v>5</v>
      </c>
      <c r="AD8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6" s="70" t="s">
        <v>3501</v>
      </c>
      <c r="AF86" s="70"/>
      <c r="AG86" s="70"/>
      <c r="AH86" s="70"/>
      <c r="AI86" s="70"/>
      <c r="AJ86" s="70"/>
      <c r="AK86" s="70"/>
      <c r="AL86" s="70"/>
      <c r="AM86" s="70" t="s">
        <v>4122</v>
      </c>
      <c r="AN86" s="70"/>
      <c r="AO86" s="70"/>
      <c r="AP86" s="70"/>
      <c r="AQ86" s="70"/>
      <c r="AR86" s="70"/>
      <c r="AS86" s="70"/>
      <c r="AT86" s="70"/>
      <c r="AU86" s="70"/>
      <c r="AV86" s="70"/>
      <c r="AW86" s="70"/>
      <c r="AX86" s="70"/>
      <c r="AY86" s="70"/>
      <c r="AZ86" s="70" t="s">
        <v>4122</v>
      </c>
      <c r="BA86" s="70"/>
      <c r="BB86" s="70"/>
      <c r="BC86" s="70"/>
      <c r="BD86" s="70"/>
      <c r="BE86" s="70"/>
      <c r="BF86" s="70"/>
      <c r="BG86" s="70"/>
      <c r="BH86" s="130"/>
      <c r="BI86" s="130"/>
      <c r="BJ86" s="130"/>
      <c r="BK86" s="130"/>
      <c r="BL86" s="130"/>
      <c r="BM86" s="130" t="s">
        <v>4122</v>
      </c>
      <c r="BN86" s="130"/>
      <c r="BO86" s="130"/>
      <c r="BP86" s="130"/>
      <c r="BQ86" s="130"/>
      <c r="BR86" s="130"/>
    </row>
    <row r="87" spans="1:70" hidden="1" x14ac:dyDescent="0.25">
      <c r="A87" s="68">
        <v>53</v>
      </c>
      <c r="B87" s="70" t="s">
        <v>488</v>
      </c>
      <c r="C87" s="70" t="s">
        <v>489</v>
      </c>
      <c r="D87" s="70" t="s">
        <v>3753</v>
      </c>
      <c r="E87" s="70" t="s">
        <v>940</v>
      </c>
      <c r="F87" s="70" t="s">
        <v>490</v>
      </c>
      <c r="G87" s="70">
        <v>2018</v>
      </c>
      <c r="H87" s="70"/>
      <c r="I87" s="78" t="s">
        <v>84</v>
      </c>
      <c r="J87" s="78" t="s">
        <v>80</v>
      </c>
      <c r="K87" s="78" t="s">
        <v>80</v>
      </c>
      <c r="L87" s="78" t="s">
        <v>80</v>
      </c>
      <c r="M87" s="70" t="s">
        <v>3754</v>
      </c>
      <c r="N87" s="70">
        <v>0</v>
      </c>
      <c r="O87" s="70">
        <v>4</v>
      </c>
      <c r="P87" s="90" t="s">
        <v>3157</v>
      </c>
      <c r="Q87" s="104" t="s">
        <v>3394</v>
      </c>
      <c r="R87" s="108" t="s">
        <v>3393</v>
      </c>
      <c r="S87" s="90"/>
      <c r="T87" s="70"/>
      <c r="U87" s="70"/>
      <c r="V87" s="70"/>
      <c r="W87" s="70" t="s">
        <v>3336</v>
      </c>
      <c r="X87" s="70">
        <v>5</v>
      </c>
      <c r="Y87" s="70">
        <v>5</v>
      </c>
      <c r="Z87" s="70">
        <v>5</v>
      </c>
      <c r="AA87" s="70">
        <v>5</v>
      </c>
      <c r="AB87" s="70">
        <v>5</v>
      </c>
      <c r="AC87" s="70">
        <v>5</v>
      </c>
      <c r="AD8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87" s="70" t="s">
        <v>60</v>
      </c>
      <c r="AF87" s="70"/>
      <c r="AG87" s="70"/>
      <c r="AH87" s="70"/>
      <c r="AI87" s="70"/>
      <c r="AJ87" s="70" t="s">
        <v>4122</v>
      </c>
      <c r="AK87" s="70"/>
      <c r="AL87" s="70"/>
      <c r="AM87" s="70"/>
      <c r="AN87" s="70"/>
      <c r="AO87" s="70"/>
      <c r="AP87" s="70"/>
      <c r="AQ87" s="70"/>
      <c r="AR87" s="70"/>
      <c r="AS87" s="70"/>
      <c r="AT87" s="70"/>
      <c r="AU87" s="70"/>
      <c r="AV87" s="70"/>
      <c r="AW87" s="70"/>
      <c r="AX87" s="70"/>
      <c r="AY87" s="70"/>
      <c r="AZ87" s="70" t="s">
        <v>4122</v>
      </c>
      <c r="BA87" s="70"/>
      <c r="BB87" s="70"/>
      <c r="BC87" s="70"/>
      <c r="BD87" s="70"/>
      <c r="BE87" s="70"/>
      <c r="BF87" s="70"/>
      <c r="BG87" s="70"/>
      <c r="BH87" s="130"/>
      <c r="BI87" s="130" t="s">
        <v>4122</v>
      </c>
      <c r="BJ87" s="130"/>
      <c r="BK87" s="130" t="s">
        <v>4122</v>
      </c>
      <c r="BL87" s="130"/>
      <c r="BM87" s="130"/>
      <c r="BN87" s="130"/>
      <c r="BO87" s="130"/>
      <c r="BP87" s="130" t="s">
        <v>4122</v>
      </c>
      <c r="BQ87" s="130"/>
      <c r="BR87" s="130"/>
    </row>
    <row r="88" spans="1:70" hidden="1" x14ac:dyDescent="0.25">
      <c r="A88" s="68">
        <v>114</v>
      </c>
      <c r="B88" s="70" t="s">
        <v>1048</v>
      </c>
      <c r="C88" s="70" t="s">
        <v>1049</v>
      </c>
      <c r="D88" s="70" t="s">
        <v>24</v>
      </c>
      <c r="E88" s="70"/>
      <c r="F88" s="70" t="s">
        <v>1050</v>
      </c>
      <c r="G88" s="70">
        <v>2016</v>
      </c>
      <c r="H88" s="70" t="s">
        <v>1051</v>
      </c>
      <c r="I88" s="78" t="s">
        <v>80</v>
      </c>
      <c r="J88" s="78" t="s">
        <v>80</v>
      </c>
      <c r="K88" s="78">
        <v>0.62</v>
      </c>
      <c r="L88" s="78">
        <v>4</v>
      </c>
      <c r="M88" s="70" t="s">
        <v>3853</v>
      </c>
      <c r="N88" s="70">
        <v>4</v>
      </c>
      <c r="O88" s="70">
        <v>4</v>
      </c>
      <c r="P88" s="90" t="s">
        <v>3157</v>
      </c>
      <c r="Q88" s="104" t="s">
        <v>3256</v>
      </c>
      <c r="R88" s="108" t="s">
        <v>3204</v>
      </c>
      <c r="S88" s="90" t="s">
        <v>3243</v>
      </c>
      <c r="T88" s="70" t="s">
        <v>0</v>
      </c>
      <c r="U88" s="70" t="s">
        <v>38</v>
      </c>
      <c r="V88" s="70" t="s">
        <v>69</v>
      </c>
      <c r="W88" s="70" t="s">
        <v>3336</v>
      </c>
      <c r="X88" s="70">
        <v>4</v>
      </c>
      <c r="Y88" s="70">
        <v>4</v>
      </c>
      <c r="Z88" s="70">
        <v>4</v>
      </c>
      <c r="AA88" s="70">
        <v>4</v>
      </c>
      <c r="AB88" s="70">
        <v>4</v>
      </c>
      <c r="AC88" s="70">
        <v>4</v>
      </c>
      <c r="AD8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88" s="70" t="s">
        <v>65</v>
      </c>
      <c r="AF88" s="70"/>
      <c r="AG88" s="70"/>
      <c r="AH88" s="70"/>
      <c r="AI88" s="70"/>
      <c r="AJ88" s="70"/>
      <c r="AK88" s="70"/>
      <c r="AL88" s="70"/>
      <c r="AM88" s="70" t="s">
        <v>4122</v>
      </c>
      <c r="AN88" s="70"/>
      <c r="AO88" s="70"/>
      <c r="AP88" s="70"/>
      <c r="AQ88" s="70"/>
      <c r="AR88" s="70"/>
      <c r="AS88" s="70"/>
      <c r="AT88" s="70"/>
      <c r="AU88" s="70"/>
      <c r="AV88" s="70" t="s">
        <v>4122</v>
      </c>
      <c r="AW88" s="70"/>
      <c r="AX88" s="70"/>
      <c r="AY88" s="70"/>
      <c r="AZ88" s="70"/>
      <c r="BA88" s="70"/>
      <c r="BB88" s="70"/>
      <c r="BC88" s="70"/>
      <c r="BD88" s="70"/>
      <c r="BE88" s="70"/>
      <c r="BF88" s="70"/>
      <c r="BG88" s="70"/>
      <c r="BH88" s="130"/>
      <c r="BI88" s="130"/>
      <c r="BJ88" s="130"/>
      <c r="BK88" s="130"/>
      <c r="BL88" s="130"/>
      <c r="BM88" s="130"/>
      <c r="BN88" s="130" t="s">
        <v>4122</v>
      </c>
      <c r="BO88" s="130"/>
      <c r="BP88" s="130"/>
      <c r="BQ88" s="130"/>
      <c r="BR88" s="130"/>
    </row>
    <row r="89" spans="1:70" hidden="1" x14ac:dyDescent="0.25">
      <c r="A89" s="68">
        <v>202</v>
      </c>
      <c r="B89" s="70" t="s">
        <v>1700</v>
      </c>
      <c r="C89" s="70" t="s">
        <v>1701</v>
      </c>
      <c r="D89" s="70" t="s">
        <v>3985</v>
      </c>
      <c r="E89" s="70"/>
      <c r="F89" s="70" t="s">
        <v>1702</v>
      </c>
      <c r="G89" s="70">
        <v>2016</v>
      </c>
      <c r="H89" s="70" t="s">
        <v>1703</v>
      </c>
      <c r="I89" s="78" t="s">
        <v>80</v>
      </c>
      <c r="J89" s="78" t="s">
        <v>88</v>
      </c>
      <c r="K89" s="78" t="s">
        <v>80</v>
      </c>
      <c r="L89" s="78" t="s">
        <v>80</v>
      </c>
      <c r="M89" s="70" t="s">
        <v>3984</v>
      </c>
      <c r="N89" s="70">
        <v>3</v>
      </c>
      <c r="O89" s="70">
        <v>4</v>
      </c>
      <c r="P89" s="90" t="s">
        <v>3244</v>
      </c>
      <c r="Q89" s="104" t="s">
        <v>3614</v>
      </c>
      <c r="R89" s="108" t="s">
        <v>3615</v>
      </c>
      <c r="S89" s="90" t="s">
        <v>3239</v>
      </c>
      <c r="T89" s="70" t="s">
        <v>0</v>
      </c>
      <c r="U89" s="70" t="s">
        <v>38</v>
      </c>
      <c r="V89" s="70" t="s">
        <v>3263</v>
      </c>
      <c r="W89" s="70" t="s">
        <v>3336</v>
      </c>
      <c r="X89" s="70">
        <v>4</v>
      </c>
      <c r="Y89" s="70">
        <v>4</v>
      </c>
      <c r="Z89" s="70">
        <v>3</v>
      </c>
      <c r="AA89" s="70">
        <v>4</v>
      </c>
      <c r="AB89" s="70">
        <v>4</v>
      </c>
      <c r="AC89" s="70">
        <v>3</v>
      </c>
      <c r="AD8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89" s="70" t="s">
        <v>3616</v>
      </c>
      <c r="AF89" s="70"/>
      <c r="AG89" s="70"/>
      <c r="AH89" s="70"/>
      <c r="AI89" s="70"/>
      <c r="AJ89" s="70"/>
      <c r="AK89" s="70"/>
      <c r="AL89" s="70"/>
      <c r="AM89" s="70"/>
      <c r="AN89" s="70"/>
      <c r="AO89" s="70" t="s">
        <v>4122</v>
      </c>
      <c r="AP89" s="70" t="s">
        <v>4122</v>
      </c>
      <c r="AQ89" s="70"/>
      <c r="AR89" s="70"/>
      <c r="AS89" s="70"/>
      <c r="AT89" s="70"/>
      <c r="AU89" s="70"/>
      <c r="AV89" s="70"/>
      <c r="AW89" s="70"/>
      <c r="AX89" s="70"/>
      <c r="AY89" s="70"/>
      <c r="AZ89" s="70"/>
      <c r="BA89" s="70"/>
      <c r="BB89" s="70"/>
      <c r="BC89" s="70"/>
      <c r="BD89" s="70"/>
      <c r="BE89" s="70"/>
      <c r="BF89" s="70" t="s">
        <v>4122</v>
      </c>
      <c r="BG89" s="70"/>
      <c r="BH89" s="130"/>
      <c r="BI89" s="130"/>
      <c r="BJ89" s="130"/>
      <c r="BK89" s="130"/>
      <c r="BL89" s="130"/>
      <c r="BM89" s="130"/>
      <c r="BN89" s="130" t="s">
        <v>4122</v>
      </c>
      <c r="BO89" s="130"/>
      <c r="BP89" s="130"/>
      <c r="BQ89" s="130"/>
      <c r="BR89" s="130"/>
    </row>
    <row r="90" spans="1:70" hidden="1" x14ac:dyDescent="0.25">
      <c r="A90" s="68">
        <v>107</v>
      </c>
      <c r="B90" s="70" t="s">
        <v>2672</v>
      </c>
      <c r="C90" s="70" t="s">
        <v>2673</v>
      </c>
      <c r="D90" s="70" t="s">
        <v>3751</v>
      </c>
      <c r="E90" s="70"/>
      <c r="F90" s="70" t="s">
        <v>2674</v>
      </c>
      <c r="G90" s="70">
        <v>2018</v>
      </c>
      <c r="H90" s="70" t="s">
        <v>2675</v>
      </c>
      <c r="I90" s="78" t="s">
        <v>71</v>
      </c>
      <c r="J90" s="78" t="s">
        <v>4033</v>
      </c>
      <c r="K90" s="78" t="s">
        <v>80</v>
      </c>
      <c r="L90" s="78" t="s">
        <v>80</v>
      </c>
      <c r="M90" s="70" t="s">
        <v>3841</v>
      </c>
      <c r="N90" s="70">
        <v>4</v>
      </c>
      <c r="O90" s="70">
        <v>5</v>
      </c>
      <c r="P90" s="90" t="s">
        <v>3244</v>
      </c>
      <c r="Q90" s="104" t="s">
        <v>3474</v>
      </c>
      <c r="R90" s="108" t="s">
        <v>3361</v>
      </c>
      <c r="S90" s="90" t="s">
        <v>3243</v>
      </c>
      <c r="T90" s="70" t="s">
        <v>0</v>
      </c>
      <c r="U90" s="70" t="s">
        <v>38</v>
      </c>
      <c r="V90" s="70" t="s">
        <v>69</v>
      </c>
      <c r="W90" s="70" t="s">
        <v>3336</v>
      </c>
      <c r="X90" s="70">
        <v>5</v>
      </c>
      <c r="Y90" s="70">
        <v>5</v>
      </c>
      <c r="Z90" s="70">
        <v>5</v>
      </c>
      <c r="AA90" s="70">
        <v>5</v>
      </c>
      <c r="AB90" s="70">
        <v>5</v>
      </c>
      <c r="AC90" s="70">
        <v>5</v>
      </c>
      <c r="AD9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90" s="70" t="s">
        <v>3475</v>
      </c>
      <c r="AF90" s="70"/>
      <c r="AG90" s="70"/>
      <c r="AH90" s="70"/>
      <c r="AI90" s="70"/>
      <c r="AJ90" s="70"/>
      <c r="AK90" s="70"/>
      <c r="AL90" s="70"/>
      <c r="AM90" s="70" t="s">
        <v>4122</v>
      </c>
      <c r="AN90" s="70"/>
      <c r="AO90" s="70"/>
      <c r="AP90" s="70"/>
      <c r="AQ90" s="70"/>
      <c r="AR90" s="70"/>
      <c r="AS90" s="70"/>
      <c r="AT90" s="70"/>
      <c r="AU90" s="70"/>
      <c r="AV90" s="70" t="s">
        <v>4122</v>
      </c>
      <c r="AW90" s="70"/>
      <c r="AX90" s="70"/>
      <c r="AY90" s="70"/>
      <c r="AZ90" s="70"/>
      <c r="BA90" s="70"/>
      <c r="BB90" s="70"/>
      <c r="BC90" s="70"/>
      <c r="BD90" s="70"/>
      <c r="BE90" s="70"/>
      <c r="BF90" s="70"/>
      <c r="BG90" s="70"/>
      <c r="BH90" s="130"/>
      <c r="BI90" s="130"/>
      <c r="BJ90" s="130"/>
      <c r="BK90" s="130"/>
      <c r="BL90" s="130"/>
      <c r="BM90" s="130"/>
      <c r="BN90" s="130" t="s">
        <v>4122</v>
      </c>
      <c r="BO90" s="130"/>
      <c r="BP90" s="130"/>
      <c r="BQ90" s="130"/>
      <c r="BR90" s="130"/>
    </row>
    <row r="91" spans="1:70" hidden="1" x14ac:dyDescent="0.25">
      <c r="A91" s="68">
        <v>109</v>
      </c>
      <c r="B91" s="70" t="s">
        <v>1728</v>
      </c>
      <c r="C91" s="70" t="s">
        <v>1729</v>
      </c>
      <c r="D91" s="70" t="s">
        <v>3845</v>
      </c>
      <c r="E91" s="70"/>
      <c r="F91" s="70" t="s">
        <v>1730</v>
      </c>
      <c r="G91" s="70">
        <v>2017</v>
      </c>
      <c r="H91" s="70" t="s">
        <v>1731</v>
      </c>
      <c r="I91" s="78" t="s">
        <v>71</v>
      </c>
      <c r="J91" s="78" t="s">
        <v>85</v>
      </c>
      <c r="K91" s="78" t="s">
        <v>80</v>
      </c>
      <c r="L91" s="78" t="s">
        <v>80</v>
      </c>
      <c r="M91" s="70" t="s">
        <v>3844</v>
      </c>
      <c r="N91" s="70">
        <v>3</v>
      </c>
      <c r="O91" s="70">
        <v>5</v>
      </c>
      <c r="P91" s="90" t="s">
        <v>3352</v>
      </c>
      <c r="Q91" s="104" t="s">
        <v>3477</v>
      </c>
      <c r="R91" s="108" t="s">
        <v>3478</v>
      </c>
      <c r="S91" s="90" t="s">
        <v>3257</v>
      </c>
      <c r="T91" s="70" t="s">
        <v>0</v>
      </c>
      <c r="U91" s="70" t="s">
        <v>38</v>
      </c>
      <c r="V91" s="70" t="s">
        <v>69</v>
      </c>
      <c r="W91" s="70" t="s">
        <v>3336</v>
      </c>
      <c r="X91" s="70">
        <v>5</v>
      </c>
      <c r="Y91" s="70">
        <v>5</v>
      </c>
      <c r="Z91" s="70">
        <v>5</v>
      </c>
      <c r="AA91" s="70">
        <v>5</v>
      </c>
      <c r="AB91" s="70">
        <v>5</v>
      </c>
      <c r="AC91" s="70">
        <v>5</v>
      </c>
      <c r="AD9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91" s="70" t="s">
        <v>59</v>
      </c>
      <c r="AF91" s="70"/>
      <c r="AG91" s="70"/>
      <c r="AH91" s="70"/>
      <c r="AI91" s="70"/>
      <c r="AJ91" s="70"/>
      <c r="AK91" s="70"/>
      <c r="AL91" s="70"/>
      <c r="AM91" s="70" t="s">
        <v>4122</v>
      </c>
      <c r="AN91" s="70"/>
      <c r="AO91" s="70"/>
      <c r="AP91" s="70"/>
      <c r="AQ91" s="70"/>
      <c r="AR91" s="70"/>
      <c r="AS91" s="70"/>
      <c r="AT91" s="70" t="s">
        <v>4122</v>
      </c>
      <c r="AU91" s="70"/>
      <c r="AV91" s="70"/>
      <c r="AW91" s="70"/>
      <c r="AX91" s="70"/>
      <c r="AY91" s="70"/>
      <c r="AZ91" s="70"/>
      <c r="BA91" s="70"/>
      <c r="BB91" s="70"/>
      <c r="BC91" s="70"/>
      <c r="BD91" s="70"/>
      <c r="BE91" s="70"/>
      <c r="BF91" s="70"/>
      <c r="BG91" s="70"/>
      <c r="BH91" s="130"/>
      <c r="BI91" s="130"/>
      <c r="BJ91" s="130" t="s">
        <v>4122</v>
      </c>
      <c r="BK91" s="130"/>
      <c r="BL91" s="130"/>
      <c r="BM91" s="130"/>
      <c r="BN91" s="130"/>
      <c r="BO91" s="130"/>
      <c r="BP91" s="130"/>
      <c r="BQ91" s="130"/>
      <c r="BR91" s="130"/>
    </row>
    <row r="92" spans="1:70" hidden="1" x14ac:dyDescent="0.25">
      <c r="A92" s="68">
        <v>71</v>
      </c>
      <c r="B92" s="110" t="s">
        <v>1194</v>
      </c>
      <c r="C92" s="110" t="s">
        <v>1195</v>
      </c>
      <c r="D92" s="110" t="s">
        <v>3783</v>
      </c>
      <c r="E92" s="110"/>
      <c r="F92" s="110" t="s">
        <v>1196</v>
      </c>
      <c r="G92" s="110">
        <v>2013</v>
      </c>
      <c r="H92" s="110" t="s">
        <v>1197</v>
      </c>
      <c r="I92" s="111" t="s">
        <v>80</v>
      </c>
      <c r="J92" s="111" t="s">
        <v>80</v>
      </c>
      <c r="K92" s="111" t="s">
        <v>80</v>
      </c>
      <c r="L92" s="111" t="s">
        <v>80</v>
      </c>
      <c r="M92" s="110" t="s">
        <v>3782</v>
      </c>
      <c r="N92" s="110">
        <v>3</v>
      </c>
      <c r="O92" s="110">
        <v>2</v>
      </c>
      <c r="P92" s="110" t="s">
        <v>3386</v>
      </c>
      <c r="Q92" s="110" t="s">
        <v>3681</v>
      </c>
      <c r="R92" s="110" t="s">
        <v>4134</v>
      </c>
      <c r="S92" s="110" t="s">
        <v>3243</v>
      </c>
      <c r="T92" s="110" t="s">
        <v>20</v>
      </c>
      <c r="U92" s="110" t="s">
        <v>38</v>
      </c>
      <c r="V92" s="110" t="s">
        <v>69</v>
      </c>
      <c r="W92" s="110" t="s">
        <v>3336</v>
      </c>
      <c r="X92" s="110">
        <v>5</v>
      </c>
      <c r="Y92" s="110">
        <v>3</v>
      </c>
      <c r="Z92" s="110">
        <v>2</v>
      </c>
      <c r="AA92" s="110">
        <v>3</v>
      </c>
      <c r="AB92" s="110">
        <v>3</v>
      </c>
      <c r="AC92" s="110">
        <v>2</v>
      </c>
      <c r="AD92"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92" s="110" t="s">
        <v>3335</v>
      </c>
      <c r="AF92" s="70"/>
      <c r="AG92" s="70"/>
      <c r="AH92" s="70"/>
      <c r="AI92" s="70"/>
      <c r="AJ92" s="70" t="s">
        <v>4122</v>
      </c>
      <c r="AK92" s="70"/>
      <c r="AL92" s="70"/>
      <c r="AM92" s="70" t="s">
        <v>4122</v>
      </c>
      <c r="AN92" s="70"/>
      <c r="AO92" s="70"/>
      <c r="AP92" s="70"/>
      <c r="AQ92" s="70"/>
      <c r="AR92" s="70"/>
      <c r="AS92" s="70"/>
      <c r="AT92" s="70"/>
      <c r="AU92" s="70"/>
      <c r="AV92" s="70"/>
      <c r="AW92" s="70"/>
      <c r="AX92" s="70"/>
      <c r="AY92" s="70"/>
      <c r="AZ92" s="70"/>
      <c r="BA92" s="70"/>
      <c r="BB92" s="70" t="s">
        <v>4122</v>
      </c>
      <c r="BC92" s="70"/>
      <c r="BD92" s="70"/>
      <c r="BE92" s="70"/>
      <c r="BF92" s="70"/>
      <c r="BG92" s="70"/>
      <c r="BH92" s="130"/>
      <c r="BI92" s="130"/>
      <c r="BJ92" s="130" t="s">
        <v>4122</v>
      </c>
      <c r="BK92" s="130"/>
      <c r="BL92" s="130"/>
      <c r="BM92" s="130"/>
      <c r="BN92" s="130"/>
      <c r="BO92" s="130"/>
      <c r="BP92" s="130"/>
      <c r="BQ92" s="130"/>
      <c r="BR92" s="130"/>
    </row>
    <row r="93" spans="1:70" hidden="1" x14ac:dyDescent="0.25">
      <c r="A93" s="68">
        <v>131</v>
      </c>
      <c r="B93" s="70" t="s">
        <v>1068</v>
      </c>
      <c r="C93" s="70" t="s">
        <v>1069</v>
      </c>
      <c r="D93" s="70" t="s">
        <v>22</v>
      </c>
      <c r="E93" s="70"/>
      <c r="F93" s="70" t="s">
        <v>1070</v>
      </c>
      <c r="G93" s="70">
        <v>2013</v>
      </c>
      <c r="H93" s="70" t="s">
        <v>1071</v>
      </c>
      <c r="I93" s="78" t="s">
        <v>80</v>
      </c>
      <c r="J93" s="78" t="s">
        <v>80</v>
      </c>
      <c r="K93" s="78">
        <v>0.55000000000000004</v>
      </c>
      <c r="L93" s="78">
        <v>5</v>
      </c>
      <c r="M93" s="70" t="s">
        <v>3878</v>
      </c>
      <c r="N93" s="70">
        <v>3</v>
      </c>
      <c r="O93" s="70">
        <v>3</v>
      </c>
      <c r="P93" s="90" t="s">
        <v>3244</v>
      </c>
      <c r="Q93" s="104" t="s">
        <v>3295</v>
      </c>
      <c r="R93" s="108" t="s">
        <v>3514</v>
      </c>
      <c r="S93" s="90" t="s">
        <v>3239</v>
      </c>
      <c r="T93" s="70" t="s">
        <v>1</v>
      </c>
      <c r="U93" s="70" t="s">
        <v>38</v>
      </c>
      <c r="V93" s="70" t="s">
        <v>69</v>
      </c>
      <c r="W93" s="70" t="s">
        <v>3515</v>
      </c>
      <c r="X93" s="70">
        <v>5</v>
      </c>
      <c r="Y93" s="70">
        <v>4</v>
      </c>
      <c r="Z93" s="70">
        <v>4</v>
      </c>
      <c r="AA93" s="70">
        <v>4</v>
      </c>
      <c r="AB93" s="70">
        <v>4</v>
      </c>
      <c r="AC93" s="70">
        <v>4</v>
      </c>
      <c r="AD9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93" s="70" t="s">
        <v>58</v>
      </c>
      <c r="AF93" s="70"/>
      <c r="AG93" s="70"/>
      <c r="AH93" s="70"/>
      <c r="AI93" s="70"/>
      <c r="AJ93" s="70"/>
      <c r="AK93" s="70"/>
      <c r="AL93" s="70"/>
      <c r="AM93" s="70" t="s">
        <v>4122</v>
      </c>
      <c r="AN93" s="70"/>
      <c r="AO93" s="70"/>
      <c r="AP93" s="70"/>
      <c r="AQ93" s="70"/>
      <c r="AR93" s="70"/>
      <c r="AS93" s="70"/>
      <c r="AT93" s="70"/>
      <c r="AU93" s="70"/>
      <c r="AV93" s="70"/>
      <c r="AW93" s="70"/>
      <c r="AX93" s="70"/>
      <c r="AY93" s="70"/>
      <c r="AZ93" s="70"/>
      <c r="BA93" s="70"/>
      <c r="BB93" s="70"/>
      <c r="BC93" s="70"/>
      <c r="BD93" s="70"/>
      <c r="BE93" s="70" t="s">
        <v>4122</v>
      </c>
      <c r="BF93" s="70"/>
      <c r="BG93" s="70"/>
      <c r="BH93" s="130"/>
      <c r="BI93" s="130"/>
      <c r="BJ93" s="130" t="s">
        <v>4122</v>
      </c>
      <c r="BK93" s="130"/>
      <c r="BL93" s="130"/>
      <c r="BM93" s="130"/>
      <c r="BN93" s="130"/>
      <c r="BO93" s="130"/>
      <c r="BP93" s="130"/>
      <c r="BQ93" s="130"/>
      <c r="BR93" s="130"/>
    </row>
    <row r="94" spans="1:70" hidden="1" x14ac:dyDescent="0.25">
      <c r="A94" s="68">
        <v>66</v>
      </c>
      <c r="B94" s="70" t="s">
        <v>1910</v>
      </c>
      <c r="C94" s="70" t="s">
        <v>1911</v>
      </c>
      <c r="D94" s="70" t="s">
        <v>1912</v>
      </c>
      <c r="E94" s="70"/>
      <c r="F94" s="70" t="s">
        <v>1913</v>
      </c>
      <c r="G94" s="70">
        <v>2018</v>
      </c>
      <c r="H94" s="70" t="s">
        <v>1914</v>
      </c>
      <c r="I94" s="78" t="s">
        <v>80</v>
      </c>
      <c r="J94" s="78" t="s">
        <v>80</v>
      </c>
      <c r="K94" s="78">
        <v>0.21</v>
      </c>
      <c r="L94" s="78">
        <v>3</v>
      </c>
      <c r="M94" s="70" t="s">
        <v>3775</v>
      </c>
      <c r="N94" s="70">
        <v>3</v>
      </c>
      <c r="O94" s="70">
        <v>5</v>
      </c>
      <c r="P94" s="90" t="s">
        <v>3160</v>
      </c>
      <c r="Q94" s="104" t="s">
        <v>3182</v>
      </c>
      <c r="R94" s="108" t="s">
        <v>3204</v>
      </c>
      <c r="S94" s="90" t="s">
        <v>3243</v>
      </c>
      <c r="T94" s="70" t="s">
        <v>1</v>
      </c>
      <c r="U94" s="70" t="s">
        <v>38</v>
      </c>
      <c r="V94" s="70" t="s">
        <v>69</v>
      </c>
      <c r="W94" s="70" t="s">
        <v>3336</v>
      </c>
      <c r="X94" s="70">
        <v>5</v>
      </c>
      <c r="Y94" s="70">
        <v>5</v>
      </c>
      <c r="Z94" s="70">
        <v>5</v>
      </c>
      <c r="AA94" s="70">
        <v>5</v>
      </c>
      <c r="AB94" s="70">
        <v>5</v>
      </c>
      <c r="AC94" s="70">
        <v>5</v>
      </c>
      <c r="AD9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94" s="70" t="s">
        <v>61</v>
      </c>
      <c r="AF94" s="70"/>
      <c r="AG94" s="70"/>
      <c r="AH94" s="70" t="s">
        <v>4122</v>
      </c>
      <c r="AI94" s="70"/>
      <c r="AJ94" s="70" t="s">
        <v>4122</v>
      </c>
      <c r="AK94" s="70"/>
      <c r="AL94" s="70"/>
      <c r="AM94" s="70"/>
      <c r="AN94" s="70"/>
      <c r="AO94" s="70"/>
      <c r="AP94" s="70"/>
      <c r="AQ94" s="70"/>
      <c r="AR94" s="70"/>
      <c r="AS94" s="70"/>
      <c r="AT94" s="70"/>
      <c r="AU94" s="70"/>
      <c r="AV94" s="70"/>
      <c r="AW94" s="70"/>
      <c r="AX94" s="70"/>
      <c r="AY94" s="70"/>
      <c r="AZ94" s="70"/>
      <c r="BA94" s="70"/>
      <c r="BB94" s="70" t="s">
        <v>4122</v>
      </c>
      <c r="BC94" s="70"/>
      <c r="BD94" s="70"/>
      <c r="BE94" s="70"/>
      <c r="BF94" s="70"/>
      <c r="BG94" s="70"/>
      <c r="BH94" s="130"/>
      <c r="BI94" s="130"/>
      <c r="BJ94" s="130"/>
      <c r="BK94" s="130"/>
      <c r="BL94" s="130"/>
      <c r="BM94" s="130"/>
      <c r="BN94" s="130" t="s">
        <v>4122</v>
      </c>
      <c r="BO94" s="130"/>
      <c r="BP94" s="130"/>
      <c r="BQ94" s="130"/>
      <c r="BR94" s="130"/>
    </row>
    <row r="95" spans="1:70" hidden="1" x14ac:dyDescent="0.25">
      <c r="A95" s="68">
        <v>64</v>
      </c>
      <c r="B95" s="70" t="s">
        <v>2502</v>
      </c>
      <c r="C95" s="70" t="s">
        <v>2503</v>
      </c>
      <c r="D95" s="70" t="s">
        <v>3773</v>
      </c>
      <c r="E95" s="70"/>
      <c r="F95" s="70" t="s">
        <v>2504</v>
      </c>
      <c r="G95" s="70">
        <v>2018</v>
      </c>
      <c r="H95" s="70" t="s">
        <v>2505</v>
      </c>
      <c r="I95" s="78" t="s">
        <v>80</v>
      </c>
      <c r="J95" s="78" t="s">
        <v>80</v>
      </c>
      <c r="K95" s="78" t="s">
        <v>80</v>
      </c>
      <c r="L95" s="78" t="s">
        <v>80</v>
      </c>
      <c r="M95" s="70" t="s">
        <v>3772</v>
      </c>
      <c r="N95" s="70">
        <v>3</v>
      </c>
      <c r="O95" s="70">
        <v>5</v>
      </c>
      <c r="P95" s="90" t="s">
        <v>3413</v>
      </c>
      <c r="Q95" s="104" t="s">
        <v>3420</v>
      </c>
      <c r="R95" s="108" t="s">
        <v>3364</v>
      </c>
      <c r="S95" s="90" t="s">
        <v>3187</v>
      </c>
      <c r="T95" s="70" t="s">
        <v>0</v>
      </c>
      <c r="U95" s="70" t="s">
        <v>38</v>
      </c>
      <c r="V95" s="70" t="s">
        <v>69</v>
      </c>
      <c r="W95" s="70" t="s">
        <v>3336</v>
      </c>
      <c r="X95" s="70">
        <v>5</v>
      </c>
      <c r="Y95" s="70">
        <v>5</v>
      </c>
      <c r="Z95" s="70">
        <v>4</v>
      </c>
      <c r="AA95" s="70">
        <v>5</v>
      </c>
      <c r="AB95" s="70">
        <v>5</v>
      </c>
      <c r="AC95" s="70">
        <v>4</v>
      </c>
      <c r="AD9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95" s="70" t="s">
        <v>3414</v>
      </c>
      <c r="AF95" s="70"/>
      <c r="AG95" s="70"/>
      <c r="AH95" s="70" t="s">
        <v>4122</v>
      </c>
      <c r="AI95" s="70"/>
      <c r="AJ95" s="70" t="s">
        <v>4122</v>
      </c>
      <c r="AK95" s="70"/>
      <c r="AL95" s="70"/>
      <c r="AM95" s="70"/>
      <c r="AN95" s="70"/>
      <c r="AO95" s="70"/>
      <c r="AP95" s="70"/>
      <c r="AQ95" s="70"/>
      <c r="AR95" s="70"/>
      <c r="AS95" s="70"/>
      <c r="AT95" s="70"/>
      <c r="AU95" s="70"/>
      <c r="AV95" s="70"/>
      <c r="AW95" s="70"/>
      <c r="AX95" s="70"/>
      <c r="AY95" s="70"/>
      <c r="AZ95" s="70"/>
      <c r="BA95" s="70"/>
      <c r="BB95" s="70" t="s">
        <v>4122</v>
      </c>
      <c r="BC95" s="70"/>
      <c r="BD95" s="70"/>
      <c r="BE95" s="70"/>
      <c r="BF95" s="70"/>
      <c r="BG95" s="70"/>
      <c r="BH95" s="130"/>
      <c r="BI95" s="130"/>
      <c r="BJ95" s="130"/>
      <c r="BK95" s="130"/>
      <c r="BL95" s="130"/>
      <c r="BM95" s="130"/>
      <c r="BN95" s="130" t="s">
        <v>4122</v>
      </c>
      <c r="BO95" s="130"/>
      <c r="BP95" s="130"/>
      <c r="BQ95" s="130"/>
      <c r="BR95" s="130"/>
    </row>
    <row r="96" spans="1:70" hidden="1" x14ac:dyDescent="0.25">
      <c r="A96" s="68">
        <v>132</v>
      </c>
      <c r="B96" s="110" t="s">
        <v>592</v>
      </c>
      <c r="C96" s="110" t="s">
        <v>593</v>
      </c>
      <c r="D96" s="110" t="s">
        <v>3880</v>
      </c>
      <c r="E96" s="110"/>
      <c r="F96" s="110" t="s">
        <v>594</v>
      </c>
      <c r="G96" s="110">
        <v>2016</v>
      </c>
      <c r="H96" s="110" t="s">
        <v>595</v>
      </c>
      <c r="I96" s="111" t="s">
        <v>71</v>
      </c>
      <c r="J96" s="111" t="s">
        <v>88</v>
      </c>
      <c r="K96" s="111" t="s">
        <v>80</v>
      </c>
      <c r="L96" s="111" t="s">
        <v>80</v>
      </c>
      <c r="M96" s="110" t="s">
        <v>3879</v>
      </c>
      <c r="N96" s="110">
        <v>1</v>
      </c>
      <c r="O96" s="110">
        <v>4</v>
      </c>
      <c r="P96" s="110" t="s">
        <v>3244</v>
      </c>
      <c r="Q96" s="110" t="s">
        <v>3517</v>
      </c>
      <c r="R96" s="110" t="s">
        <v>4138</v>
      </c>
      <c r="S96" s="110" t="s">
        <v>3221</v>
      </c>
      <c r="T96" s="110" t="s">
        <v>0</v>
      </c>
      <c r="U96" s="110" t="s">
        <v>38</v>
      </c>
      <c r="V96" s="110" t="s">
        <v>69</v>
      </c>
      <c r="W96" s="110" t="s">
        <v>3516</v>
      </c>
      <c r="X96" s="110">
        <v>5</v>
      </c>
      <c r="Y96" s="110">
        <v>5</v>
      </c>
      <c r="Z96" s="110">
        <v>5</v>
      </c>
      <c r="AA96" s="110">
        <v>5</v>
      </c>
      <c r="AB96" s="110">
        <v>5</v>
      </c>
      <c r="AC96" s="110">
        <v>5</v>
      </c>
      <c r="AD96"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96" s="110" t="s">
        <v>3355</v>
      </c>
      <c r="AF96" s="70"/>
      <c r="AG96" s="70"/>
      <c r="AH96" s="70"/>
      <c r="AI96" s="70"/>
      <c r="AJ96" s="70"/>
      <c r="AK96" s="70"/>
      <c r="AL96" s="70"/>
      <c r="AM96" s="70" t="s">
        <v>4122</v>
      </c>
      <c r="AN96" s="70"/>
      <c r="AO96" s="70"/>
      <c r="AP96" s="70"/>
      <c r="AQ96" s="70"/>
      <c r="AR96" s="70"/>
      <c r="AS96" s="70"/>
      <c r="AT96" s="70"/>
      <c r="AU96" s="70"/>
      <c r="AV96" s="70"/>
      <c r="AW96" s="70"/>
      <c r="AX96" s="70"/>
      <c r="AY96" s="70" t="s">
        <v>4122</v>
      </c>
      <c r="AZ96" s="70"/>
      <c r="BA96" s="70"/>
      <c r="BB96" s="70"/>
      <c r="BC96" s="70"/>
      <c r="BD96" s="70"/>
      <c r="BE96" s="70"/>
      <c r="BF96" s="70"/>
      <c r="BG96" s="70"/>
      <c r="BH96" s="130"/>
      <c r="BI96" s="130" t="s">
        <v>4122</v>
      </c>
      <c r="BJ96" s="130"/>
      <c r="BK96" s="130"/>
      <c r="BL96" s="130"/>
      <c r="BM96" s="130"/>
      <c r="BN96" s="130"/>
      <c r="BO96" s="130"/>
      <c r="BP96" s="130"/>
      <c r="BQ96" s="130"/>
      <c r="BR96" s="130"/>
    </row>
    <row r="97" spans="1:70" hidden="1" x14ac:dyDescent="0.25">
      <c r="A97" s="68">
        <v>116</v>
      </c>
      <c r="B97" s="110" t="s">
        <v>2223</v>
      </c>
      <c r="C97" s="110" t="s">
        <v>2224</v>
      </c>
      <c r="D97" s="110" t="s">
        <v>3856</v>
      </c>
      <c r="E97" s="110"/>
      <c r="F97" s="110" t="s">
        <v>2225</v>
      </c>
      <c r="G97" s="110">
        <v>2016</v>
      </c>
      <c r="H97" s="110" t="s">
        <v>2226</v>
      </c>
      <c r="I97" s="111" t="s">
        <v>80</v>
      </c>
      <c r="J97" s="111" t="s">
        <v>80</v>
      </c>
      <c r="K97" s="111" t="s">
        <v>80</v>
      </c>
      <c r="L97" s="111" t="s">
        <v>80</v>
      </c>
      <c r="M97" s="110" t="s">
        <v>3855</v>
      </c>
      <c r="N97" s="110">
        <v>3</v>
      </c>
      <c r="O97" s="110">
        <v>5</v>
      </c>
      <c r="P97" s="110" t="s">
        <v>3273</v>
      </c>
      <c r="Q97" s="110" t="s">
        <v>3490</v>
      </c>
      <c r="R97" s="110" t="s">
        <v>4134</v>
      </c>
      <c r="S97" s="110" t="s">
        <v>3187</v>
      </c>
      <c r="T97" s="110" t="s">
        <v>0</v>
      </c>
      <c r="U97" s="110" t="s">
        <v>38</v>
      </c>
      <c r="V97" s="110" t="s">
        <v>69</v>
      </c>
      <c r="W97" s="110" t="s">
        <v>3336</v>
      </c>
      <c r="X97" s="110">
        <v>5</v>
      </c>
      <c r="Y97" s="110">
        <v>5</v>
      </c>
      <c r="Z97" s="110">
        <v>5</v>
      </c>
      <c r="AA97" s="110">
        <v>5</v>
      </c>
      <c r="AB97" s="110">
        <v>5</v>
      </c>
      <c r="AC97" s="110">
        <v>5</v>
      </c>
      <c r="AD97"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97" s="110" t="s">
        <v>3315</v>
      </c>
      <c r="AF97" s="70"/>
      <c r="AG97" s="70"/>
      <c r="AH97" s="70"/>
      <c r="AI97" s="70"/>
      <c r="AJ97" s="70"/>
      <c r="AK97" s="70"/>
      <c r="AL97" s="70"/>
      <c r="AM97" s="70" t="s">
        <v>4122</v>
      </c>
      <c r="AN97" s="70"/>
      <c r="AO97" s="70"/>
      <c r="AP97" s="70"/>
      <c r="AQ97" s="70"/>
      <c r="AR97" s="70"/>
      <c r="AS97" s="70"/>
      <c r="AT97" s="70"/>
      <c r="AU97" s="70"/>
      <c r="AV97" s="70"/>
      <c r="AW97" s="70"/>
      <c r="AX97" s="70"/>
      <c r="AY97" s="70"/>
      <c r="AZ97" s="70"/>
      <c r="BA97" s="70"/>
      <c r="BB97" s="70" t="s">
        <v>4122</v>
      </c>
      <c r="BC97" s="70"/>
      <c r="BD97" s="70"/>
      <c r="BE97" s="70"/>
      <c r="BF97" s="70"/>
      <c r="BG97" s="70"/>
      <c r="BH97" s="130"/>
      <c r="BI97" s="130"/>
      <c r="BJ97" s="130" t="s">
        <v>4122</v>
      </c>
      <c r="BK97" s="130"/>
      <c r="BL97" s="130"/>
      <c r="BM97" s="130"/>
      <c r="BN97" s="130"/>
      <c r="BO97" s="130"/>
      <c r="BP97" s="130"/>
      <c r="BQ97" s="130"/>
      <c r="BR97" s="130"/>
    </row>
    <row r="98" spans="1:70" hidden="1" x14ac:dyDescent="0.25">
      <c r="A98" s="68">
        <v>72</v>
      </c>
      <c r="B98" s="110" t="s">
        <v>1214</v>
      </c>
      <c r="C98" s="110" t="s">
        <v>1215</v>
      </c>
      <c r="D98" s="110" t="s">
        <v>3785</v>
      </c>
      <c r="E98" s="110"/>
      <c r="F98" s="110" t="s">
        <v>1216</v>
      </c>
      <c r="G98" s="110">
        <v>2016</v>
      </c>
      <c r="H98" s="110" t="s">
        <v>1217</v>
      </c>
      <c r="I98" s="111" t="s">
        <v>80</v>
      </c>
      <c r="J98" s="111" t="s">
        <v>80</v>
      </c>
      <c r="K98" s="111" t="s">
        <v>80</v>
      </c>
      <c r="L98" s="111" t="s">
        <v>80</v>
      </c>
      <c r="M98" s="110" t="s">
        <v>3784</v>
      </c>
      <c r="N98" s="110">
        <v>3</v>
      </c>
      <c r="O98" s="110">
        <v>3</v>
      </c>
      <c r="P98" s="110" t="s">
        <v>3244</v>
      </c>
      <c r="Q98" s="110" t="s">
        <v>3278</v>
      </c>
      <c r="R98" s="110" t="s">
        <v>3253</v>
      </c>
      <c r="S98" s="110" t="s">
        <v>3395</v>
      </c>
      <c r="T98" s="110" t="s">
        <v>0</v>
      </c>
      <c r="U98" s="110" t="s">
        <v>38</v>
      </c>
      <c r="V98" s="110" t="s">
        <v>3263</v>
      </c>
      <c r="W98" s="110" t="s">
        <v>3336</v>
      </c>
      <c r="X98" s="110">
        <v>4</v>
      </c>
      <c r="Y98" s="110">
        <v>4</v>
      </c>
      <c r="Z98" s="110">
        <v>4</v>
      </c>
      <c r="AA98" s="110">
        <v>4</v>
      </c>
      <c r="AB98" s="110">
        <v>4</v>
      </c>
      <c r="AC98" s="110">
        <v>4</v>
      </c>
      <c r="AD98"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98" s="110" t="s">
        <v>54</v>
      </c>
      <c r="AF98" s="70"/>
      <c r="AG98" s="70"/>
      <c r="AH98" s="70"/>
      <c r="AI98" s="70"/>
      <c r="AJ98" s="70" t="s">
        <v>4122</v>
      </c>
      <c r="AK98" s="70"/>
      <c r="AL98" s="70"/>
      <c r="AM98" s="70" t="s">
        <v>4122</v>
      </c>
      <c r="AN98" s="70"/>
      <c r="AO98" s="70"/>
      <c r="AP98" s="70"/>
      <c r="AQ98" s="70"/>
      <c r="AR98" s="70"/>
      <c r="AS98" s="70"/>
      <c r="AT98" s="70"/>
      <c r="AU98" s="70"/>
      <c r="AV98" s="70"/>
      <c r="AW98" s="70"/>
      <c r="AX98" s="70"/>
      <c r="AY98" s="70"/>
      <c r="AZ98" s="70"/>
      <c r="BA98" s="70"/>
      <c r="BB98" s="70"/>
      <c r="BC98" s="70"/>
      <c r="BD98" s="70"/>
      <c r="BE98" s="70"/>
      <c r="BF98" s="70" t="s">
        <v>4122</v>
      </c>
      <c r="BG98" s="70"/>
      <c r="BH98" s="130" t="s">
        <v>4122</v>
      </c>
      <c r="BI98" s="130"/>
      <c r="BJ98" s="130"/>
      <c r="BK98" s="130"/>
      <c r="BL98" s="130"/>
      <c r="BM98" s="130"/>
      <c r="BN98" s="130"/>
      <c r="BO98" s="130"/>
      <c r="BP98" s="130"/>
      <c r="BQ98" s="130"/>
      <c r="BR98" s="130"/>
    </row>
    <row r="99" spans="1:70" hidden="1" x14ac:dyDescent="0.25">
      <c r="A99" s="68">
        <v>84</v>
      </c>
      <c r="B99" s="110" t="s">
        <v>1254</v>
      </c>
      <c r="C99" s="110" t="s">
        <v>1741</v>
      </c>
      <c r="D99" s="110" t="s">
        <v>3806</v>
      </c>
      <c r="E99" s="110"/>
      <c r="F99" s="110" t="s">
        <v>1742</v>
      </c>
      <c r="G99" s="110">
        <v>2014</v>
      </c>
      <c r="H99" s="110" t="s">
        <v>1743</v>
      </c>
      <c r="I99" s="111" t="s">
        <v>80</v>
      </c>
      <c r="J99" s="111" t="s">
        <v>88</v>
      </c>
      <c r="K99" s="111" t="s">
        <v>80</v>
      </c>
      <c r="L99" s="111" t="s">
        <v>80</v>
      </c>
      <c r="M99" s="110" t="s">
        <v>3807</v>
      </c>
      <c r="N99" s="110">
        <v>3</v>
      </c>
      <c r="O99" s="110">
        <v>5</v>
      </c>
      <c r="P99" s="110" t="s">
        <v>3244</v>
      </c>
      <c r="Q99" s="110" t="s">
        <v>3432</v>
      </c>
      <c r="R99" s="110" t="s">
        <v>4137</v>
      </c>
      <c r="S99" s="110" t="s">
        <v>3243</v>
      </c>
      <c r="T99" s="110" t="s">
        <v>20</v>
      </c>
      <c r="U99" s="110" t="s">
        <v>38</v>
      </c>
      <c r="V99" s="110" t="s">
        <v>69</v>
      </c>
      <c r="W99" s="110" t="s">
        <v>3433</v>
      </c>
      <c r="X99" s="110">
        <v>5</v>
      </c>
      <c r="Y99" s="110">
        <v>5</v>
      </c>
      <c r="Z99" s="110">
        <v>5</v>
      </c>
      <c r="AA99" s="110">
        <v>5</v>
      </c>
      <c r="AB99" s="110">
        <v>5</v>
      </c>
      <c r="AC99" s="110">
        <v>5</v>
      </c>
      <c r="AD9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99" s="110" t="s">
        <v>56</v>
      </c>
      <c r="AF99" s="70"/>
      <c r="AG99" s="70"/>
      <c r="AH99" s="70"/>
      <c r="AI99" s="70"/>
      <c r="AJ99" s="70" t="s">
        <v>4122</v>
      </c>
      <c r="AK99" s="70"/>
      <c r="AL99" s="70"/>
      <c r="AM99" s="70" t="s">
        <v>4122</v>
      </c>
      <c r="AN99" s="70"/>
      <c r="AO99" s="70"/>
      <c r="AP99" s="70" t="s">
        <v>4122</v>
      </c>
      <c r="AQ99" s="70"/>
      <c r="AR99" s="70"/>
      <c r="AS99" s="70"/>
      <c r="AT99" s="70"/>
      <c r="AU99" s="70"/>
      <c r="AV99" s="70"/>
      <c r="AW99" s="70"/>
      <c r="AX99" s="70"/>
      <c r="AY99" s="70"/>
      <c r="AZ99" s="70"/>
      <c r="BA99" s="70" t="s">
        <v>4122</v>
      </c>
      <c r="BB99" s="70"/>
      <c r="BC99" s="70"/>
      <c r="BD99" s="70"/>
      <c r="BE99" s="70" t="s">
        <v>4122</v>
      </c>
      <c r="BF99" s="70"/>
      <c r="BG99" s="70"/>
      <c r="BH99" s="130"/>
      <c r="BI99" s="130"/>
      <c r="BJ99" s="130"/>
      <c r="BK99" s="130"/>
      <c r="BL99" s="130"/>
      <c r="BM99" s="130"/>
      <c r="BN99" s="130"/>
      <c r="BO99" s="130"/>
      <c r="BP99" s="130"/>
      <c r="BQ99" s="130" t="s">
        <v>4122</v>
      </c>
      <c r="BR99" s="130"/>
    </row>
    <row r="100" spans="1:70" hidden="1" x14ac:dyDescent="0.25">
      <c r="A100" s="68">
        <v>6</v>
      </c>
      <c r="B100" s="70" t="s">
        <v>413</v>
      </c>
      <c r="C100" s="70" t="s">
        <v>414</v>
      </c>
      <c r="D100" s="70" t="s">
        <v>0</v>
      </c>
      <c r="E100" s="70" t="s">
        <v>923</v>
      </c>
      <c r="F100" s="70" t="s">
        <v>415</v>
      </c>
      <c r="G100" s="70">
        <v>2016</v>
      </c>
      <c r="H100" s="70" t="s">
        <v>416</v>
      </c>
      <c r="I100" s="78" t="s">
        <v>82</v>
      </c>
      <c r="J100" s="78" t="s">
        <v>85</v>
      </c>
      <c r="K100" s="78" t="s">
        <v>80</v>
      </c>
      <c r="L100" s="78" t="s">
        <v>80</v>
      </c>
      <c r="M100" s="70" t="s">
        <v>3677</v>
      </c>
      <c r="N100" s="70">
        <v>3</v>
      </c>
      <c r="O100" s="70">
        <v>5</v>
      </c>
      <c r="P100" s="90" t="s">
        <v>3273</v>
      </c>
      <c r="Q100" s="104" t="s">
        <v>3275</v>
      </c>
      <c r="R100" s="108" t="s">
        <v>3404</v>
      </c>
      <c r="S100" s="90" t="s">
        <v>3312</v>
      </c>
      <c r="T100" s="70" t="s">
        <v>6</v>
      </c>
      <c r="U100" s="70" t="s">
        <v>38</v>
      </c>
      <c r="V100" s="70" t="s">
        <v>69</v>
      </c>
      <c r="W100" s="70" t="s">
        <v>3336</v>
      </c>
      <c r="X100" s="70">
        <v>5</v>
      </c>
      <c r="Y100" s="70">
        <v>5</v>
      </c>
      <c r="Z100" s="70">
        <v>5</v>
      </c>
      <c r="AA100" s="70">
        <v>5</v>
      </c>
      <c r="AB100" s="70">
        <v>5</v>
      </c>
      <c r="AC100" s="70">
        <v>5</v>
      </c>
      <c r="AD10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00" s="70" t="s">
        <v>53</v>
      </c>
      <c r="AF100" s="70"/>
      <c r="AG100" s="70" t="s">
        <v>4122</v>
      </c>
      <c r="AH100" s="70"/>
      <c r="AI100" s="70"/>
      <c r="AJ100" s="70"/>
      <c r="AK100" s="70"/>
      <c r="AL100" s="70"/>
      <c r="AM100" s="70"/>
      <c r="AN100" s="70" t="s">
        <v>4122</v>
      </c>
      <c r="AO100" s="70"/>
      <c r="AP100" s="70"/>
      <c r="AQ100" s="70"/>
      <c r="AR100" s="70"/>
      <c r="AS100" s="70"/>
      <c r="AT100" s="70"/>
      <c r="AU100" s="70"/>
      <c r="AV100" s="70"/>
      <c r="AW100" s="70" t="s">
        <v>4122</v>
      </c>
      <c r="AX100" s="70"/>
      <c r="AY100" s="70"/>
      <c r="AZ100" s="70"/>
      <c r="BA100" s="70"/>
      <c r="BB100" s="70"/>
      <c r="BC100" s="70"/>
      <c r="BD100" s="70"/>
      <c r="BE100" s="70"/>
      <c r="BF100" s="70"/>
      <c r="BG100" s="70"/>
      <c r="BH100" s="130"/>
      <c r="BI100" s="130"/>
      <c r="BJ100" s="130"/>
      <c r="BK100" s="130"/>
      <c r="BL100" s="130"/>
      <c r="BM100" s="130"/>
      <c r="BN100" s="130"/>
      <c r="BO100" s="130" t="s">
        <v>4122</v>
      </c>
      <c r="BP100" s="130"/>
      <c r="BQ100" s="130"/>
      <c r="BR100" s="130"/>
    </row>
    <row r="101" spans="1:70" hidden="1" x14ac:dyDescent="0.25">
      <c r="A101" s="68">
        <v>18</v>
      </c>
      <c r="B101" s="70" t="s">
        <v>971</v>
      </c>
      <c r="C101" s="70" t="s">
        <v>972</v>
      </c>
      <c r="D101" s="70" t="s">
        <v>953</v>
      </c>
      <c r="E101" s="70"/>
      <c r="F101" s="70" t="s">
        <v>973</v>
      </c>
      <c r="G101" s="70">
        <v>2019</v>
      </c>
      <c r="H101" s="70" t="s">
        <v>974</v>
      </c>
      <c r="I101" s="78" t="s">
        <v>80</v>
      </c>
      <c r="J101" s="78" t="s">
        <v>80</v>
      </c>
      <c r="K101" s="78">
        <v>0.32</v>
      </c>
      <c r="L101" s="78">
        <v>3</v>
      </c>
      <c r="M101" s="70" t="s">
        <v>3697</v>
      </c>
      <c r="N101" s="70">
        <v>2</v>
      </c>
      <c r="O101" s="70">
        <v>4</v>
      </c>
      <c r="P101" s="90" t="s">
        <v>3328</v>
      </c>
      <c r="Q101" s="104" t="s">
        <v>3329</v>
      </c>
      <c r="R101" s="108" t="s">
        <v>3204</v>
      </c>
      <c r="S101" s="90" t="s">
        <v>3327</v>
      </c>
      <c r="T101" s="70" t="s">
        <v>1</v>
      </c>
      <c r="U101" s="70" t="s">
        <v>38</v>
      </c>
      <c r="V101" s="70" t="s">
        <v>69</v>
      </c>
      <c r="W101" s="70" t="s">
        <v>3326</v>
      </c>
      <c r="X101" s="70">
        <v>5</v>
      </c>
      <c r="Y101" s="70">
        <v>5</v>
      </c>
      <c r="Z101" s="70">
        <v>5</v>
      </c>
      <c r="AA101" s="70">
        <v>5</v>
      </c>
      <c r="AB101" s="70">
        <v>5</v>
      </c>
      <c r="AC101" s="70">
        <v>5</v>
      </c>
      <c r="AD10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01" s="70" t="s">
        <v>3658</v>
      </c>
      <c r="AF101" s="70"/>
      <c r="AG101" s="70"/>
      <c r="AH101" s="70"/>
      <c r="AI101" s="70"/>
      <c r="AJ101" s="70" t="s">
        <v>4122</v>
      </c>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t="s">
        <v>4122</v>
      </c>
      <c r="BG101" s="70"/>
      <c r="BH101" s="130"/>
      <c r="BI101" s="130"/>
      <c r="BJ101" s="130"/>
      <c r="BK101" s="130"/>
      <c r="BL101" s="130"/>
      <c r="BM101" s="130"/>
      <c r="BN101" s="130" t="s">
        <v>4122</v>
      </c>
      <c r="BO101" s="130"/>
      <c r="BP101" s="130"/>
      <c r="BQ101" s="130"/>
      <c r="BR101" s="130"/>
    </row>
    <row r="102" spans="1:70" hidden="1" x14ac:dyDescent="0.25">
      <c r="A102" s="68">
        <v>26</v>
      </c>
      <c r="B102" s="70" t="s">
        <v>2783</v>
      </c>
      <c r="C102" s="70" t="s">
        <v>2784</v>
      </c>
      <c r="D102" s="70" t="s">
        <v>3710</v>
      </c>
      <c r="E102" s="70"/>
      <c r="F102" s="70" t="s">
        <v>2785</v>
      </c>
      <c r="G102" s="70">
        <v>2017</v>
      </c>
      <c r="H102" s="70" t="s">
        <v>2786</v>
      </c>
      <c r="I102" s="78" t="s">
        <v>84</v>
      </c>
      <c r="J102" s="78" t="s">
        <v>85</v>
      </c>
      <c r="K102" s="78" t="s">
        <v>80</v>
      </c>
      <c r="L102" s="78" t="s">
        <v>80</v>
      </c>
      <c r="M102" s="70" t="s">
        <v>3711</v>
      </c>
      <c r="N102" s="70">
        <v>2</v>
      </c>
      <c r="O102" s="70">
        <v>5</v>
      </c>
      <c r="P102" s="90" t="s">
        <v>3273</v>
      </c>
      <c r="Q102" s="104" t="s">
        <v>3201</v>
      </c>
      <c r="R102" s="108" t="s">
        <v>3209</v>
      </c>
      <c r="S102" s="90" t="s">
        <v>3228</v>
      </c>
      <c r="T102" s="70" t="s">
        <v>0</v>
      </c>
      <c r="U102" s="70" t="s">
        <v>38</v>
      </c>
      <c r="V102" s="70" t="s">
        <v>69</v>
      </c>
      <c r="W102" s="70" t="s">
        <v>3280</v>
      </c>
      <c r="X102" s="70">
        <v>5</v>
      </c>
      <c r="Y102" s="70">
        <v>5</v>
      </c>
      <c r="Z102" s="70">
        <v>5</v>
      </c>
      <c r="AA102" s="70">
        <v>5</v>
      </c>
      <c r="AB102" s="70">
        <v>5</v>
      </c>
      <c r="AC102" s="70">
        <v>5</v>
      </c>
      <c r="AD10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02" s="70" t="s">
        <v>61</v>
      </c>
      <c r="AF102" s="70"/>
      <c r="AG102" s="70"/>
      <c r="AH102" s="70"/>
      <c r="AI102" s="70"/>
      <c r="AJ102" s="70" t="s">
        <v>4122</v>
      </c>
      <c r="AK102" s="70"/>
      <c r="AL102" s="70"/>
      <c r="AM102" s="70"/>
      <c r="AN102" s="70"/>
      <c r="AO102" s="70"/>
      <c r="AP102" s="70"/>
      <c r="AQ102" s="70"/>
      <c r="AR102" s="70"/>
      <c r="AS102" s="70"/>
      <c r="AT102" s="70"/>
      <c r="AU102" s="70"/>
      <c r="AV102" s="70"/>
      <c r="AW102" s="70"/>
      <c r="AX102" s="70"/>
      <c r="AY102" s="70"/>
      <c r="AZ102" s="70"/>
      <c r="BA102" s="70"/>
      <c r="BB102" s="70" t="s">
        <v>4122</v>
      </c>
      <c r="BC102" s="70"/>
      <c r="BD102" s="70"/>
      <c r="BE102" s="70"/>
      <c r="BF102" s="70"/>
      <c r="BG102" s="70"/>
      <c r="BH102" s="130"/>
      <c r="BI102" s="130"/>
      <c r="BJ102" s="130"/>
      <c r="BK102" s="130"/>
      <c r="BL102" s="130"/>
      <c r="BM102" s="130"/>
      <c r="BN102" s="130" t="s">
        <v>4122</v>
      </c>
      <c r="BO102" s="130"/>
      <c r="BP102" s="130"/>
      <c r="BQ102" s="130"/>
      <c r="BR102" s="130"/>
    </row>
    <row r="103" spans="1:70" hidden="1" x14ac:dyDescent="0.25">
      <c r="A103" s="68">
        <v>184</v>
      </c>
      <c r="B103" s="70" t="s">
        <v>1724</v>
      </c>
      <c r="C103" s="70" t="s">
        <v>1725</v>
      </c>
      <c r="D103" s="70" t="s">
        <v>3960</v>
      </c>
      <c r="E103" s="70"/>
      <c r="F103" s="70" t="s">
        <v>1726</v>
      </c>
      <c r="G103" s="70">
        <v>2016</v>
      </c>
      <c r="H103" s="70" t="s">
        <v>1727</v>
      </c>
      <c r="I103" s="78" t="s">
        <v>71</v>
      </c>
      <c r="J103" s="78" t="s">
        <v>85</v>
      </c>
      <c r="K103" s="78" t="s">
        <v>80</v>
      </c>
      <c r="L103" s="78" t="s">
        <v>80</v>
      </c>
      <c r="M103" s="70" t="s">
        <v>3959</v>
      </c>
      <c r="N103" s="70">
        <v>3</v>
      </c>
      <c r="O103" s="70">
        <v>5</v>
      </c>
      <c r="P103" s="90" t="s">
        <v>3157</v>
      </c>
      <c r="Q103" s="104" t="s">
        <v>3176</v>
      </c>
      <c r="R103" s="108" t="s">
        <v>3361</v>
      </c>
      <c r="S103" s="90" t="s">
        <v>3577</v>
      </c>
      <c r="T103" s="70" t="s">
        <v>0</v>
      </c>
      <c r="U103" s="70" t="s">
        <v>38</v>
      </c>
      <c r="V103" s="70" t="s">
        <v>69</v>
      </c>
      <c r="W103" s="70" t="s">
        <v>3336</v>
      </c>
      <c r="X103" s="70">
        <v>5</v>
      </c>
      <c r="Y103" s="70">
        <v>5</v>
      </c>
      <c r="Z103" s="70">
        <v>5</v>
      </c>
      <c r="AA103" s="70">
        <v>5</v>
      </c>
      <c r="AB103" s="70">
        <v>5</v>
      </c>
      <c r="AC103" s="70">
        <v>5</v>
      </c>
      <c r="AD10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03" s="70" t="s">
        <v>3483</v>
      </c>
      <c r="AF103" s="70"/>
      <c r="AG103" s="70"/>
      <c r="AH103" s="70"/>
      <c r="AI103" s="70"/>
      <c r="AJ103" s="70"/>
      <c r="AK103" s="70"/>
      <c r="AL103" s="70"/>
      <c r="AM103" s="70"/>
      <c r="AN103" s="70" t="s">
        <v>4122</v>
      </c>
      <c r="AO103" s="70"/>
      <c r="AP103" s="70"/>
      <c r="AQ103" s="70"/>
      <c r="AR103" s="70"/>
      <c r="AS103" s="70"/>
      <c r="AT103" s="70"/>
      <c r="AU103" s="70"/>
      <c r="AV103" s="70" t="s">
        <v>4122</v>
      </c>
      <c r="AW103" s="70"/>
      <c r="AX103" s="70"/>
      <c r="AY103" s="70"/>
      <c r="AZ103" s="70"/>
      <c r="BA103" s="70"/>
      <c r="BB103" s="70"/>
      <c r="BC103" s="70"/>
      <c r="BD103" s="70"/>
      <c r="BE103" s="70"/>
      <c r="BF103" s="70"/>
      <c r="BG103" s="70"/>
      <c r="BH103" s="130"/>
      <c r="BI103" s="130"/>
      <c r="BJ103" s="130"/>
      <c r="BK103" s="130"/>
      <c r="BL103" s="130"/>
      <c r="BM103" s="130"/>
      <c r="BN103" s="130" t="s">
        <v>4122</v>
      </c>
      <c r="BO103" s="130"/>
      <c r="BP103" s="130"/>
      <c r="BQ103" s="130"/>
      <c r="BR103" s="130"/>
    </row>
    <row r="104" spans="1:70" hidden="1" x14ac:dyDescent="0.25">
      <c r="A104" s="68">
        <v>222</v>
      </c>
      <c r="B104" s="70" t="s">
        <v>1147</v>
      </c>
      <c r="C104" s="70" t="s">
        <v>1148</v>
      </c>
      <c r="D104" s="70" t="s">
        <v>22</v>
      </c>
      <c r="E104" s="70"/>
      <c r="F104" s="70" t="s">
        <v>1149</v>
      </c>
      <c r="G104" s="70">
        <v>2017</v>
      </c>
      <c r="H104" s="70" t="s">
        <v>1150</v>
      </c>
      <c r="I104" s="78" t="s">
        <v>80</v>
      </c>
      <c r="J104" s="78" t="s">
        <v>80</v>
      </c>
      <c r="K104" s="78">
        <v>0.55000000000000004</v>
      </c>
      <c r="L104" s="78">
        <v>5</v>
      </c>
      <c r="M104" s="70" t="s">
        <v>4012</v>
      </c>
      <c r="N104" s="70">
        <v>2</v>
      </c>
      <c r="O104" s="70">
        <v>5</v>
      </c>
      <c r="P104" s="90" t="s">
        <v>3157</v>
      </c>
      <c r="Q104" s="104" t="s">
        <v>3630</v>
      </c>
      <c r="R104" s="108" t="s">
        <v>3361</v>
      </c>
      <c r="S104" s="90" t="s">
        <v>3528</v>
      </c>
      <c r="T104" s="70" t="s">
        <v>0</v>
      </c>
      <c r="U104" s="70" t="s">
        <v>38</v>
      </c>
      <c r="V104" s="70" t="s">
        <v>69</v>
      </c>
      <c r="W104" s="70" t="s">
        <v>3631</v>
      </c>
      <c r="X104" s="70">
        <v>5</v>
      </c>
      <c r="Y104" s="70">
        <v>5</v>
      </c>
      <c r="Z104" s="70">
        <v>5</v>
      </c>
      <c r="AA104" s="70">
        <v>5</v>
      </c>
      <c r="AB104" s="70">
        <v>5</v>
      </c>
      <c r="AC104" s="70">
        <v>5</v>
      </c>
      <c r="AD10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04" s="70" t="s">
        <v>3632</v>
      </c>
      <c r="AF104" s="70"/>
      <c r="AG104" s="70"/>
      <c r="AH104" s="70"/>
      <c r="AI104" s="70"/>
      <c r="AJ104" s="70"/>
      <c r="AK104" s="70"/>
      <c r="AL104" s="70"/>
      <c r="AM104" s="70"/>
      <c r="AN104" s="70"/>
      <c r="AO104" s="70"/>
      <c r="AP104" s="70"/>
      <c r="AQ104" s="70"/>
      <c r="AR104" s="70"/>
      <c r="AS104" s="70" t="s">
        <v>4122</v>
      </c>
      <c r="AT104" s="70"/>
      <c r="AU104" s="70"/>
      <c r="AV104" s="70"/>
      <c r="AW104" s="70"/>
      <c r="AX104" s="70"/>
      <c r="AY104" s="70"/>
      <c r="AZ104" s="70"/>
      <c r="BA104" s="70"/>
      <c r="BB104" s="70" t="s">
        <v>4122</v>
      </c>
      <c r="BC104" s="70"/>
      <c r="BD104" s="70"/>
      <c r="BE104" s="70"/>
      <c r="BF104" s="70"/>
      <c r="BG104" s="70"/>
      <c r="BH104" s="130"/>
      <c r="BI104" s="130"/>
      <c r="BJ104" s="130"/>
      <c r="BK104" s="130"/>
      <c r="BL104" s="130"/>
      <c r="BM104" s="130"/>
      <c r="BN104" s="130" t="s">
        <v>4122</v>
      </c>
      <c r="BO104" s="130"/>
      <c r="BP104" s="130"/>
      <c r="BQ104" s="130"/>
      <c r="BR104" s="130"/>
    </row>
    <row r="105" spans="1:70" hidden="1" x14ac:dyDescent="0.25">
      <c r="A105" s="68">
        <v>133</v>
      </c>
      <c r="B105" s="110" t="s">
        <v>1072</v>
      </c>
      <c r="C105" s="110" t="s">
        <v>1073</v>
      </c>
      <c r="D105" s="110" t="s">
        <v>22</v>
      </c>
      <c r="E105" s="110"/>
      <c r="F105" s="110" t="s">
        <v>1074</v>
      </c>
      <c r="G105" s="110">
        <v>2014</v>
      </c>
      <c r="H105" s="110" t="s">
        <v>1075</v>
      </c>
      <c r="I105" s="111" t="s">
        <v>80</v>
      </c>
      <c r="J105" s="111" t="s">
        <v>80</v>
      </c>
      <c r="K105" s="111">
        <v>0.55000000000000004</v>
      </c>
      <c r="L105" s="111">
        <v>5</v>
      </c>
      <c r="M105" s="110" t="s">
        <v>3881</v>
      </c>
      <c r="N105" s="110">
        <v>5</v>
      </c>
      <c r="O105" s="110">
        <v>4</v>
      </c>
      <c r="P105" s="110" t="s">
        <v>3244</v>
      </c>
      <c r="Q105" s="110" t="s">
        <v>3278</v>
      </c>
      <c r="R105" s="110" t="s">
        <v>4137</v>
      </c>
      <c r="S105" s="110" t="s">
        <v>3312</v>
      </c>
      <c r="T105" s="110" t="s">
        <v>0</v>
      </c>
      <c r="U105" s="110" t="s">
        <v>38</v>
      </c>
      <c r="V105" s="110" t="s">
        <v>69</v>
      </c>
      <c r="W105" s="110" t="s">
        <v>3520</v>
      </c>
      <c r="X105" s="110">
        <v>4</v>
      </c>
      <c r="Y105" s="110">
        <v>4</v>
      </c>
      <c r="Z105" s="110">
        <v>4</v>
      </c>
      <c r="AA105" s="110">
        <v>4</v>
      </c>
      <c r="AB105" s="110">
        <v>4</v>
      </c>
      <c r="AC105" s="110">
        <v>4</v>
      </c>
      <c r="AD105"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05" s="110" t="s">
        <v>57</v>
      </c>
      <c r="AF105" s="70"/>
      <c r="AG105" s="70"/>
      <c r="AH105" s="70"/>
      <c r="AI105" s="70"/>
      <c r="AJ105" s="70"/>
      <c r="AK105" s="70"/>
      <c r="AL105" s="70"/>
      <c r="AM105" s="70" t="s">
        <v>4122</v>
      </c>
      <c r="AN105" s="70"/>
      <c r="AO105" s="70"/>
      <c r="AP105" s="70"/>
      <c r="AQ105" s="70"/>
      <c r="AR105" s="70"/>
      <c r="AS105" s="70"/>
      <c r="AT105" s="70"/>
      <c r="AU105" s="70"/>
      <c r="AV105" s="70"/>
      <c r="AW105" s="70"/>
      <c r="AX105" s="70"/>
      <c r="AY105" s="70"/>
      <c r="AZ105" s="70"/>
      <c r="BA105" s="70"/>
      <c r="BB105" s="70"/>
      <c r="BC105" s="70"/>
      <c r="BD105" s="70"/>
      <c r="BE105" s="70"/>
      <c r="BF105" s="70" t="s">
        <v>4122</v>
      </c>
      <c r="BG105" s="70"/>
      <c r="BH105" s="130"/>
      <c r="BI105" s="130"/>
      <c r="BJ105" s="130"/>
      <c r="BK105" s="130"/>
      <c r="BL105" s="130"/>
      <c r="BM105" s="130"/>
      <c r="BN105" s="130"/>
      <c r="BO105" s="130"/>
      <c r="BP105" s="130"/>
      <c r="BQ105" s="130" t="s">
        <v>4122</v>
      </c>
      <c r="BR105" s="130"/>
    </row>
    <row r="106" spans="1:70" hidden="1" x14ac:dyDescent="0.25">
      <c r="A106" s="68">
        <v>115</v>
      </c>
      <c r="B106" s="110" t="s">
        <v>1052</v>
      </c>
      <c r="C106" s="110" t="s">
        <v>1053</v>
      </c>
      <c r="D106" s="110" t="s">
        <v>24</v>
      </c>
      <c r="E106" s="110"/>
      <c r="F106" s="110" t="s">
        <v>1054</v>
      </c>
      <c r="G106" s="110">
        <v>2018</v>
      </c>
      <c r="H106" s="110" t="s">
        <v>1055</v>
      </c>
      <c r="I106" s="111" t="s">
        <v>80</v>
      </c>
      <c r="J106" s="111" t="s">
        <v>80</v>
      </c>
      <c r="K106" s="111">
        <v>0.62</v>
      </c>
      <c r="L106" s="111">
        <v>4</v>
      </c>
      <c r="M106" s="110" t="s">
        <v>3854</v>
      </c>
      <c r="N106" s="110">
        <v>3</v>
      </c>
      <c r="O106" s="110">
        <v>4</v>
      </c>
      <c r="P106" s="110" t="s">
        <v>3488</v>
      </c>
      <c r="Q106" s="110" t="s">
        <v>3295</v>
      </c>
      <c r="R106" s="110" t="s">
        <v>3253</v>
      </c>
      <c r="S106" s="110" t="s">
        <v>3187</v>
      </c>
      <c r="T106" s="110" t="s">
        <v>1</v>
      </c>
      <c r="U106" s="110" t="s">
        <v>38</v>
      </c>
      <c r="V106" s="110" t="s">
        <v>69</v>
      </c>
      <c r="W106" s="110" t="s">
        <v>3280</v>
      </c>
      <c r="X106" s="110">
        <v>5</v>
      </c>
      <c r="Y106" s="110">
        <v>5</v>
      </c>
      <c r="Z106" s="110">
        <v>4</v>
      </c>
      <c r="AA106" s="110">
        <v>5</v>
      </c>
      <c r="AB106" s="110">
        <v>5</v>
      </c>
      <c r="AC106" s="110">
        <v>4</v>
      </c>
      <c r="AD106"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06" s="110" t="s">
        <v>3489</v>
      </c>
      <c r="AF106" s="70"/>
      <c r="AG106" s="70"/>
      <c r="AH106" s="70"/>
      <c r="AI106" s="70"/>
      <c r="AJ106" s="70"/>
      <c r="AK106" s="70"/>
      <c r="AL106" s="70"/>
      <c r="AM106" s="70" t="s">
        <v>4122</v>
      </c>
      <c r="AN106" s="70"/>
      <c r="AO106" s="70"/>
      <c r="AP106" s="70"/>
      <c r="AQ106" s="70"/>
      <c r="AR106" s="70"/>
      <c r="AS106" s="70"/>
      <c r="AT106" s="70"/>
      <c r="AU106" s="70"/>
      <c r="AV106" s="70"/>
      <c r="AW106" s="70"/>
      <c r="AX106" s="70"/>
      <c r="AY106" s="70"/>
      <c r="AZ106" s="70"/>
      <c r="BA106" s="70"/>
      <c r="BB106" s="70"/>
      <c r="BC106" s="70"/>
      <c r="BD106" s="70"/>
      <c r="BE106" s="70" t="s">
        <v>4122</v>
      </c>
      <c r="BF106" s="70"/>
      <c r="BG106" s="70"/>
      <c r="BH106" s="130" t="s">
        <v>4122</v>
      </c>
      <c r="BI106" s="130"/>
      <c r="BJ106" s="130"/>
      <c r="BK106" s="130"/>
      <c r="BL106" s="130"/>
      <c r="BM106" s="130"/>
      <c r="BN106" s="130"/>
      <c r="BO106" s="130"/>
      <c r="BP106" s="130"/>
      <c r="BQ106" s="130"/>
      <c r="BR106" s="130"/>
    </row>
    <row r="107" spans="1:70" hidden="1" x14ac:dyDescent="0.25">
      <c r="A107" s="68">
        <v>198</v>
      </c>
      <c r="B107" s="70" t="s">
        <v>1542</v>
      </c>
      <c r="C107" s="70" t="s">
        <v>1543</v>
      </c>
      <c r="D107" s="70" t="s">
        <v>121</v>
      </c>
      <c r="E107" s="70"/>
      <c r="F107" s="70" t="s">
        <v>1544</v>
      </c>
      <c r="G107" s="70">
        <v>2019</v>
      </c>
      <c r="H107" s="70" t="s">
        <v>1545</v>
      </c>
      <c r="I107" s="78" t="s">
        <v>80</v>
      </c>
      <c r="J107" s="78" t="s">
        <v>80</v>
      </c>
      <c r="K107" s="78">
        <v>0.73</v>
      </c>
      <c r="L107" s="78">
        <v>5</v>
      </c>
      <c r="M107" s="70" t="s">
        <v>3979</v>
      </c>
      <c r="N107" s="70">
        <v>3</v>
      </c>
      <c r="O107" s="70">
        <v>5</v>
      </c>
      <c r="P107" s="90" t="s">
        <v>3282</v>
      </c>
      <c r="Q107" s="104" t="s">
        <v>3432</v>
      </c>
      <c r="R107" s="108" t="s">
        <v>3522</v>
      </c>
      <c r="S107" s="90" t="s">
        <v>3257</v>
      </c>
      <c r="T107" s="70" t="s">
        <v>1</v>
      </c>
      <c r="U107" s="70" t="s">
        <v>38</v>
      </c>
      <c r="V107" s="70" t="s">
        <v>69</v>
      </c>
      <c r="W107" s="70" t="s">
        <v>3336</v>
      </c>
      <c r="X107" s="70">
        <v>5</v>
      </c>
      <c r="Y107" s="70">
        <v>5</v>
      </c>
      <c r="Z107" s="70">
        <v>5</v>
      </c>
      <c r="AA107" s="70">
        <v>5</v>
      </c>
      <c r="AB107" s="70">
        <v>5</v>
      </c>
      <c r="AC107" s="70">
        <v>5</v>
      </c>
      <c r="AD10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07" s="70" t="s">
        <v>3611</v>
      </c>
      <c r="AF107" s="70"/>
      <c r="AG107" s="70"/>
      <c r="AH107" s="70" t="s">
        <v>4122</v>
      </c>
      <c r="AI107" s="70"/>
      <c r="AJ107" s="70"/>
      <c r="AK107" s="70"/>
      <c r="AL107" s="70"/>
      <c r="AM107" s="70"/>
      <c r="AN107" s="70"/>
      <c r="AO107" s="70"/>
      <c r="AP107" s="70" t="s">
        <v>4122</v>
      </c>
      <c r="AQ107" s="70"/>
      <c r="AR107" s="70"/>
      <c r="AS107" s="70"/>
      <c r="AT107" s="70"/>
      <c r="AU107" s="70"/>
      <c r="AV107" s="70"/>
      <c r="AW107" s="70"/>
      <c r="AX107" s="70"/>
      <c r="AY107" s="70"/>
      <c r="AZ107" s="70"/>
      <c r="BA107" s="70" t="s">
        <v>4122</v>
      </c>
      <c r="BB107" s="70"/>
      <c r="BC107" s="70"/>
      <c r="BD107" s="70"/>
      <c r="BE107" s="70" t="s">
        <v>4122</v>
      </c>
      <c r="BF107" s="70"/>
      <c r="BG107" s="70"/>
      <c r="BH107" s="130"/>
      <c r="BI107" s="130"/>
      <c r="BJ107" s="130"/>
      <c r="BK107" s="130"/>
      <c r="BL107" s="130"/>
      <c r="BM107" s="130"/>
      <c r="BN107" s="130"/>
      <c r="BO107" s="130"/>
      <c r="BP107" s="130" t="s">
        <v>4122</v>
      </c>
      <c r="BQ107" s="130"/>
      <c r="BR107" s="130"/>
    </row>
    <row r="108" spans="1:70" hidden="1" x14ac:dyDescent="0.25">
      <c r="A108" s="68">
        <v>147</v>
      </c>
      <c r="B108" s="70" t="s">
        <v>2973</v>
      </c>
      <c r="C108" s="70" t="s">
        <v>2974</v>
      </c>
      <c r="D108" s="70" t="s">
        <v>3904</v>
      </c>
      <c r="E108" s="70"/>
      <c r="F108" s="70" t="s">
        <v>2975</v>
      </c>
      <c r="G108" s="70">
        <v>2018</v>
      </c>
      <c r="H108" s="70" t="s">
        <v>2976</v>
      </c>
      <c r="I108" s="78" t="s">
        <v>71</v>
      </c>
      <c r="J108" s="78" t="s">
        <v>85</v>
      </c>
      <c r="K108" s="78" t="s">
        <v>80</v>
      </c>
      <c r="L108" s="78" t="s">
        <v>80</v>
      </c>
      <c r="M108" s="70" t="s">
        <v>3903</v>
      </c>
      <c r="N108" s="70">
        <v>3</v>
      </c>
      <c r="O108" s="70">
        <v>5</v>
      </c>
      <c r="P108" s="90" t="s">
        <v>3680</v>
      </c>
      <c r="Q108" s="104" t="s">
        <v>3420</v>
      </c>
      <c r="R108" s="108" t="s">
        <v>3316</v>
      </c>
      <c r="S108" s="90" t="s">
        <v>3187</v>
      </c>
      <c r="T108" s="70" t="s">
        <v>2</v>
      </c>
      <c r="U108" s="70" t="s">
        <v>38</v>
      </c>
      <c r="V108" s="70" t="s">
        <v>69</v>
      </c>
      <c r="W108" s="70" t="s">
        <v>3542</v>
      </c>
      <c r="X108" s="70">
        <v>5</v>
      </c>
      <c r="Y108" s="70">
        <v>5</v>
      </c>
      <c r="Z108" s="70">
        <v>5</v>
      </c>
      <c r="AA108" s="70">
        <v>5</v>
      </c>
      <c r="AB108" s="70">
        <v>5</v>
      </c>
      <c r="AC108" s="70">
        <v>5</v>
      </c>
      <c r="AD10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08" s="70" t="s">
        <v>3545</v>
      </c>
      <c r="AF108" s="70"/>
      <c r="AG108" s="70"/>
      <c r="AH108" s="70"/>
      <c r="AI108" s="70" t="s">
        <v>4122</v>
      </c>
      <c r="AJ108" s="70"/>
      <c r="AK108" s="70"/>
      <c r="AL108" s="70"/>
      <c r="AM108" s="70" t="s">
        <v>4122</v>
      </c>
      <c r="AN108" s="70"/>
      <c r="AO108" s="70"/>
      <c r="AP108" s="70"/>
      <c r="AQ108" s="70"/>
      <c r="AR108" s="70"/>
      <c r="AS108" s="70"/>
      <c r="AT108" s="70"/>
      <c r="AU108" s="70"/>
      <c r="AV108" s="70"/>
      <c r="AW108" s="70"/>
      <c r="AX108" s="70"/>
      <c r="AY108" s="70"/>
      <c r="AZ108" s="70"/>
      <c r="BA108" s="70"/>
      <c r="BB108" s="70" t="s">
        <v>4122</v>
      </c>
      <c r="BC108" s="70"/>
      <c r="BD108" s="70"/>
      <c r="BE108" s="70"/>
      <c r="BF108" s="70"/>
      <c r="BG108" s="70"/>
      <c r="BH108" s="130"/>
      <c r="BI108" s="130"/>
      <c r="BJ108" s="130"/>
      <c r="BK108" s="130"/>
      <c r="BL108" s="130"/>
      <c r="BM108" s="130"/>
      <c r="BN108" s="130" t="s">
        <v>4122</v>
      </c>
      <c r="BO108" s="130"/>
      <c r="BP108" s="130"/>
      <c r="BQ108" s="130"/>
      <c r="BR108" s="130"/>
    </row>
    <row r="109" spans="1:70" hidden="1" x14ac:dyDescent="0.25">
      <c r="A109" s="68">
        <v>152</v>
      </c>
      <c r="B109" s="110" t="s">
        <v>1493</v>
      </c>
      <c r="C109" s="110" t="s">
        <v>1494</v>
      </c>
      <c r="D109" s="110" t="s">
        <v>3913</v>
      </c>
      <c r="E109" s="110"/>
      <c r="F109" s="110" t="s">
        <v>1495</v>
      </c>
      <c r="G109" s="110">
        <v>2013</v>
      </c>
      <c r="H109" s="110" t="s">
        <v>1496</v>
      </c>
      <c r="I109" s="111" t="s">
        <v>80</v>
      </c>
      <c r="J109" s="111" t="s">
        <v>80</v>
      </c>
      <c r="K109" s="111" t="s">
        <v>80</v>
      </c>
      <c r="L109" s="111" t="s">
        <v>80</v>
      </c>
      <c r="M109" s="110" t="s">
        <v>3912</v>
      </c>
      <c r="N109" s="110">
        <v>3</v>
      </c>
      <c r="O109" s="110">
        <v>5</v>
      </c>
      <c r="P109" s="110" t="s">
        <v>3328</v>
      </c>
      <c r="Q109" s="110" t="s">
        <v>3553</v>
      </c>
      <c r="R109" s="110" t="s">
        <v>4138</v>
      </c>
      <c r="S109" s="110" t="s">
        <v>3187</v>
      </c>
      <c r="T109" s="110" t="s">
        <v>0</v>
      </c>
      <c r="U109" s="110" t="s">
        <v>38</v>
      </c>
      <c r="V109" s="110" t="s">
        <v>69</v>
      </c>
      <c r="W109" s="110" t="s">
        <v>3336</v>
      </c>
      <c r="X109" s="110">
        <v>5</v>
      </c>
      <c r="Y109" s="110">
        <v>5</v>
      </c>
      <c r="Z109" s="110">
        <v>5</v>
      </c>
      <c r="AA109" s="110">
        <v>5</v>
      </c>
      <c r="AB109" s="110">
        <v>5</v>
      </c>
      <c r="AC109" s="110">
        <v>5</v>
      </c>
      <c r="AD10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09" s="110" t="s">
        <v>3464</v>
      </c>
      <c r="AF109" s="70"/>
      <c r="AG109" s="70" t="s">
        <v>4122</v>
      </c>
      <c r="AH109" s="70"/>
      <c r="AI109" s="70"/>
      <c r="AJ109" s="70"/>
      <c r="AK109" s="70"/>
      <c r="AL109" s="70"/>
      <c r="AM109" s="70" t="s">
        <v>4122</v>
      </c>
      <c r="AN109" s="70"/>
      <c r="AO109" s="70"/>
      <c r="AP109" s="70"/>
      <c r="AQ109" s="70"/>
      <c r="AR109" s="70"/>
      <c r="AS109" s="70"/>
      <c r="AT109" s="70"/>
      <c r="AU109" s="70" t="s">
        <v>4122</v>
      </c>
      <c r="AV109" s="70"/>
      <c r="AW109" s="70"/>
      <c r="AX109" s="70"/>
      <c r="AY109" s="70"/>
      <c r="AZ109" s="70"/>
      <c r="BA109" s="70"/>
      <c r="BB109" s="70"/>
      <c r="BC109" s="70"/>
      <c r="BD109" s="70"/>
      <c r="BE109" s="70"/>
      <c r="BF109" s="70"/>
      <c r="BG109" s="70"/>
      <c r="BH109" s="130"/>
      <c r="BI109" s="130" t="s">
        <v>4122</v>
      </c>
      <c r="BJ109" s="130"/>
      <c r="BK109" s="130"/>
      <c r="BL109" s="130"/>
      <c r="BM109" s="130"/>
      <c r="BN109" s="130"/>
      <c r="BO109" s="130"/>
      <c r="BP109" s="130"/>
      <c r="BQ109" s="130"/>
      <c r="BR109" s="130"/>
    </row>
    <row r="110" spans="1:70" hidden="1" x14ac:dyDescent="0.25">
      <c r="A110" s="68">
        <v>149</v>
      </c>
      <c r="B110" s="70" t="s">
        <v>628</v>
      </c>
      <c r="C110" s="70" t="s">
        <v>629</v>
      </c>
      <c r="D110" s="70" t="s">
        <v>3908</v>
      </c>
      <c r="E110" s="70"/>
      <c r="F110" s="70" t="s">
        <v>630</v>
      </c>
      <c r="G110" s="70">
        <v>2012</v>
      </c>
      <c r="H110" s="70" t="s">
        <v>631</v>
      </c>
      <c r="I110" s="78" t="s">
        <v>82</v>
      </c>
      <c r="J110" s="78" t="s">
        <v>85</v>
      </c>
      <c r="K110" s="78" t="s">
        <v>80</v>
      </c>
      <c r="L110" s="78" t="s">
        <v>80</v>
      </c>
      <c r="M110" s="70" t="s">
        <v>3907</v>
      </c>
      <c r="N110" s="70">
        <v>3</v>
      </c>
      <c r="O110" s="70">
        <v>4</v>
      </c>
      <c r="P110" s="90" t="s">
        <v>3386</v>
      </c>
      <c r="Q110" s="104" t="s">
        <v>3190</v>
      </c>
      <c r="R110" s="108" t="s">
        <v>3546</v>
      </c>
      <c r="S110" s="90" t="s">
        <v>3243</v>
      </c>
      <c r="T110" s="70" t="s">
        <v>0</v>
      </c>
      <c r="U110" s="70" t="s">
        <v>38</v>
      </c>
      <c r="V110" s="70" t="s">
        <v>69</v>
      </c>
      <c r="W110" s="70" t="s">
        <v>3547</v>
      </c>
      <c r="X110" s="70">
        <v>5</v>
      </c>
      <c r="Y110" s="70">
        <v>5</v>
      </c>
      <c r="Z110" s="70">
        <v>5</v>
      </c>
      <c r="AA110" s="70">
        <v>5</v>
      </c>
      <c r="AB110" s="70">
        <v>5</v>
      </c>
      <c r="AC110" s="70">
        <v>5</v>
      </c>
      <c r="AD11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10" s="70" t="s">
        <v>57</v>
      </c>
      <c r="AF110" s="70"/>
      <c r="AG110" s="70"/>
      <c r="AH110" s="70"/>
      <c r="AI110" s="70" t="s">
        <v>4122</v>
      </c>
      <c r="AJ110" s="70"/>
      <c r="AK110" s="70"/>
      <c r="AL110" s="70"/>
      <c r="AM110" s="70" t="s">
        <v>4122</v>
      </c>
      <c r="AN110" s="70"/>
      <c r="AO110" s="70"/>
      <c r="AP110" s="70"/>
      <c r="AQ110" s="70"/>
      <c r="AR110" s="70"/>
      <c r="AS110" s="70"/>
      <c r="AT110" s="70"/>
      <c r="AU110" s="70"/>
      <c r="AV110" s="70"/>
      <c r="AW110" s="70"/>
      <c r="AX110" s="70" t="s">
        <v>4122</v>
      </c>
      <c r="AY110" s="70"/>
      <c r="AZ110" s="70"/>
      <c r="BA110" s="70"/>
      <c r="BB110" s="70"/>
      <c r="BC110" s="70"/>
      <c r="BD110" s="70"/>
      <c r="BE110" s="70"/>
      <c r="BF110" s="70"/>
      <c r="BG110" s="70"/>
      <c r="BH110" s="130" t="s">
        <v>4122</v>
      </c>
      <c r="BI110" s="130"/>
      <c r="BJ110" s="130"/>
      <c r="BK110" s="130"/>
      <c r="BL110" s="130"/>
      <c r="BM110" s="130"/>
      <c r="BN110" s="130"/>
      <c r="BO110" s="130"/>
      <c r="BP110" s="130"/>
      <c r="BQ110" s="130"/>
      <c r="BR110" s="130"/>
    </row>
    <row r="111" spans="1:70" hidden="1" x14ac:dyDescent="0.25">
      <c r="A111" s="68">
        <v>146</v>
      </c>
      <c r="B111" s="110" t="s">
        <v>2549</v>
      </c>
      <c r="C111" s="110" t="s">
        <v>2550</v>
      </c>
      <c r="D111" s="110" t="s">
        <v>3902</v>
      </c>
      <c r="E111" s="110"/>
      <c r="F111" s="110" t="s">
        <v>2551</v>
      </c>
      <c r="G111" s="110">
        <v>2013</v>
      </c>
      <c r="H111" s="110" t="s">
        <v>2552</v>
      </c>
      <c r="I111" s="111" t="s">
        <v>84</v>
      </c>
      <c r="J111" s="111" t="s">
        <v>80</v>
      </c>
      <c r="K111" s="111" t="s">
        <v>80</v>
      </c>
      <c r="L111" s="111" t="s">
        <v>80</v>
      </c>
      <c r="M111" s="110" t="s">
        <v>3901</v>
      </c>
      <c r="N111" s="110">
        <v>3</v>
      </c>
      <c r="O111" s="110">
        <v>2</v>
      </c>
      <c r="P111" s="110" t="s">
        <v>3541</v>
      </c>
      <c r="Q111" s="110" t="s">
        <v>3380</v>
      </c>
      <c r="R111" s="110" t="s">
        <v>3253</v>
      </c>
      <c r="S111" s="110" t="s">
        <v>3257</v>
      </c>
      <c r="T111" s="110" t="s">
        <v>0</v>
      </c>
      <c r="U111" s="110" t="s">
        <v>38</v>
      </c>
      <c r="V111" s="110" t="s">
        <v>69</v>
      </c>
      <c r="W111" s="110" t="s">
        <v>3336</v>
      </c>
      <c r="X111" s="110">
        <v>5</v>
      </c>
      <c r="Y111" s="110">
        <v>5</v>
      </c>
      <c r="Z111" s="110">
        <v>1</v>
      </c>
      <c r="AA111" s="110">
        <v>4</v>
      </c>
      <c r="AB111" s="110">
        <v>5</v>
      </c>
      <c r="AC111" s="110">
        <v>1</v>
      </c>
      <c r="AD111"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11" s="110" t="s">
        <v>3315</v>
      </c>
      <c r="AF111" s="70"/>
      <c r="AG111" s="70"/>
      <c r="AH111" s="70"/>
      <c r="AI111" s="70"/>
      <c r="AJ111" s="70"/>
      <c r="AK111" s="70"/>
      <c r="AL111" s="70"/>
      <c r="AM111" s="70" t="s">
        <v>4122</v>
      </c>
      <c r="AN111" s="70"/>
      <c r="AO111" s="70"/>
      <c r="AP111" s="70"/>
      <c r="AQ111" s="70" t="s">
        <v>4122</v>
      </c>
      <c r="AR111" s="70"/>
      <c r="AS111" s="70"/>
      <c r="AT111" s="70"/>
      <c r="AU111" s="70"/>
      <c r="AV111" s="70"/>
      <c r="AW111" s="70" t="s">
        <v>4122</v>
      </c>
      <c r="AX111" s="70"/>
      <c r="AY111" s="70"/>
      <c r="AZ111" s="70"/>
      <c r="BA111" s="70"/>
      <c r="BB111" s="70"/>
      <c r="BC111" s="70"/>
      <c r="BD111" s="70"/>
      <c r="BE111" s="70"/>
      <c r="BF111" s="70"/>
      <c r="BG111" s="70"/>
      <c r="BH111" s="130" t="s">
        <v>4122</v>
      </c>
      <c r="BI111" s="130"/>
      <c r="BJ111" s="130"/>
      <c r="BK111" s="130"/>
      <c r="BL111" s="130"/>
      <c r="BM111" s="130"/>
      <c r="BN111" s="130"/>
      <c r="BO111" s="130"/>
      <c r="BP111" s="130"/>
      <c r="BQ111" s="130"/>
      <c r="BR111" s="130"/>
    </row>
    <row r="112" spans="1:70" hidden="1" x14ac:dyDescent="0.25">
      <c r="A112" s="68">
        <v>44</v>
      </c>
      <c r="B112" s="70" t="s">
        <v>1419</v>
      </c>
      <c r="C112" s="70" t="s">
        <v>1420</v>
      </c>
      <c r="D112" s="70" t="s">
        <v>3719</v>
      </c>
      <c r="E112" s="70"/>
      <c r="F112" s="70" t="s">
        <v>1421</v>
      </c>
      <c r="G112" s="70">
        <v>2017</v>
      </c>
      <c r="H112" s="70" t="s">
        <v>1422</v>
      </c>
      <c r="I112" s="78" t="s">
        <v>80</v>
      </c>
      <c r="J112" s="78" t="s">
        <v>85</v>
      </c>
      <c r="K112" s="78" t="s">
        <v>80</v>
      </c>
      <c r="L112" s="78" t="s">
        <v>80</v>
      </c>
      <c r="M112" s="70" t="s">
        <v>3739</v>
      </c>
      <c r="N112" s="70">
        <v>2</v>
      </c>
      <c r="O112" s="70">
        <v>5</v>
      </c>
      <c r="P112" s="90" t="s">
        <v>3157</v>
      </c>
      <c r="Q112" s="104" t="s">
        <v>3362</v>
      </c>
      <c r="R112" s="108" t="s">
        <v>3361</v>
      </c>
      <c r="S112" s="90" t="s">
        <v>3231</v>
      </c>
      <c r="T112" s="70" t="s">
        <v>0</v>
      </c>
      <c r="U112" s="70" t="s">
        <v>38</v>
      </c>
      <c r="V112" s="70" t="s">
        <v>69</v>
      </c>
      <c r="W112" s="70" t="s">
        <v>3241</v>
      </c>
      <c r="X112" s="70">
        <v>5</v>
      </c>
      <c r="Y112" s="70">
        <v>5</v>
      </c>
      <c r="Z112" s="70">
        <v>5</v>
      </c>
      <c r="AA112" s="70">
        <v>5</v>
      </c>
      <c r="AB112" s="70">
        <v>5</v>
      </c>
      <c r="AC112" s="70">
        <v>5</v>
      </c>
      <c r="AD11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12" s="70" t="s">
        <v>61</v>
      </c>
      <c r="AF112" s="70"/>
      <c r="AG112" s="70"/>
      <c r="AH112" s="70"/>
      <c r="AI112" s="70"/>
      <c r="AJ112" s="70" t="s">
        <v>4122</v>
      </c>
      <c r="AK112" s="70"/>
      <c r="AL112" s="70"/>
      <c r="AM112" s="70"/>
      <c r="AN112" s="70"/>
      <c r="AO112" s="70"/>
      <c r="AP112" s="70"/>
      <c r="AQ112" s="70"/>
      <c r="AR112" s="70"/>
      <c r="AS112" s="70"/>
      <c r="AT112" s="70"/>
      <c r="AU112" s="70"/>
      <c r="AV112" s="70"/>
      <c r="AW112" s="70"/>
      <c r="AX112" s="70"/>
      <c r="AY112" s="70"/>
      <c r="AZ112" s="70"/>
      <c r="BA112" s="70" t="s">
        <v>4122</v>
      </c>
      <c r="BB112" s="70"/>
      <c r="BC112" s="70"/>
      <c r="BD112" s="70"/>
      <c r="BE112" s="70"/>
      <c r="BF112" s="70"/>
      <c r="BG112" s="70"/>
      <c r="BH112" s="130"/>
      <c r="BI112" s="130"/>
      <c r="BJ112" s="130"/>
      <c r="BK112" s="130"/>
      <c r="BL112" s="130"/>
      <c r="BM112" s="130"/>
      <c r="BN112" s="130" t="s">
        <v>4122</v>
      </c>
      <c r="BO112" s="130"/>
      <c r="BP112" s="130"/>
      <c r="BQ112" s="130"/>
      <c r="BR112" s="130"/>
    </row>
    <row r="113" spans="1:100" hidden="1" x14ac:dyDescent="0.25">
      <c r="A113" s="68">
        <v>112</v>
      </c>
      <c r="B113" s="70" t="s">
        <v>2402</v>
      </c>
      <c r="C113" s="70" t="s">
        <v>2403</v>
      </c>
      <c r="D113" s="70" t="s">
        <v>3818</v>
      </c>
      <c r="E113" s="70"/>
      <c r="F113" s="70" t="s">
        <v>2404</v>
      </c>
      <c r="G113" s="70">
        <v>2017</v>
      </c>
      <c r="H113" s="70" t="s">
        <v>2405</v>
      </c>
      <c r="I113" s="78" t="s">
        <v>84</v>
      </c>
      <c r="J113" s="78" t="s">
        <v>80</v>
      </c>
      <c r="K113" s="78" t="s">
        <v>80</v>
      </c>
      <c r="L113" s="78" t="s">
        <v>80</v>
      </c>
      <c r="M113" s="70" t="s">
        <v>3850</v>
      </c>
      <c r="N113" s="70">
        <v>3</v>
      </c>
      <c r="O113" s="70">
        <v>4</v>
      </c>
      <c r="P113" s="90" t="s">
        <v>3244</v>
      </c>
      <c r="Q113" s="104" t="s">
        <v>3190</v>
      </c>
      <c r="R113" s="108" t="s">
        <v>3485</v>
      </c>
      <c r="S113" s="90" t="s">
        <v>3257</v>
      </c>
      <c r="T113" s="70" t="s">
        <v>0</v>
      </c>
      <c r="U113" s="70" t="s">
        <v>38</v>
      </c>
      <c r="V113" s="70" t="s">
        <v>69</v>
      </c>
      <c r="W113" s="70" t="s">
        <v>3336</v>
      </c>
      <c r="X113" s="70">
        <v>5</v>
      </c>
      <c r="Y113" s="70">
        <v>4</v>
      </c>
      <c r="Z113" s="70">
        <v>4</v>
      </c>
      <c r="AA113" s="70">
        <v>4</v>
      </c>
      <c r="AB113" s="70">
        <v>4</v>
      </c>
      <c r="AC113" s="70">
        <v>4</v>
      </c>
      <c r="AD11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13" s="70" t="s">
        <v>3315</v>
      </c>
      <c r="AF113" s="70"/>
      <c r="AG113" s="70"/>
      <c r="AH113" s="70"/>
      <c r="AI113" s="70"/>
      <c r="AJ113" s="70"/>
      <c r="AK113" s="70"/>
      <c r="AL113" s="70"/>
      <c r="AM113" s="70" t="s">
        <v>4122</v>
      </c>
      <c r="AN113" s="70"/>
      <c r="AO113" s="70"/>
      <c r="AP113" s="70"/>
      <c r="AQ113" s="70"/>
      <c r="AR113" s="70"/>
      <c r="AS113" s="70"/>
      <c r="AT113" s="70"/>
      <c r="AU113" s="70"/>
      <c r="AV113" s="70"/>
      <c r="AW113" s="70"/>
      <c r="AX113" s="70" t="s">
        <v>4122</v>
      </c>
      <c r="AY113" s="70"/>
      <c r="AZ113" s="70"/>
      <c r="BA113" s="70"/>
      <c r="BB113" s="70"/>
      <c r="BC113" s="70"/>
      <c r="BD113" s="70"/>
      <c r="BE113" s="70"/>
      <c r="BF113" s="70"/>
      <c r="BG113" s="70"/>
      <c r="BH113" s="130"/>
      <c r="BI113" s="130"/>
      <c r="BJ113" s="130"/>
      <c r="BK113" s="130"/>
      <c r="BL113" s="130"/>
      <c r="BM113" s="130"/>
      <c r="BN113" s="130"/>
      <c r="BO113" s="130" t="s">
        <v>4122</v>
      </c>
      <c r="BP113" s="130"/>
      <c r="BQ113" s="130"/>
      <c r="BR113" s="130"/>
    </row>
    <row r="114" spans="1:100" hidden="1" x14ac:dyDescent="0.25">
      <c r="A114" s="68">
        <v>76</v>
      </c>
      <c r="B114" s="110" t="s">
        <v>514</v>
      </c>
      <c r="C114" s="110" t="s">
        <v>515</v>
      </c>
      <c r="D114" s="110" t="s">
        <v>3793</v>
      </c>
      <c r="E114" s="110" t="s">
        <v>947</v>
      </c>
      <c r="F114" s="110" t="s">
        <v>516</v>
      </c>
      <c r="G114" s="110">
        <v>2015</v>
      </c>
      <c r="H114" s="110" t="s">
        <v>517</v>
      </c>
      <c r="I114" s="111" t="s">
        <v>80</v>
      </c>
      <c r="J114" s="111" t="s">
        <v>83</v>
      </c>
      <c r="K114" s="111" t="s">
        <v>80</v>
      </c>
      <c r="L114" s="111" t="s">
        <v>80</v>
      </c>
      <c r="M114" s="110" t="s">
        <v>3792</v>
      </c>
      <c r="N114" s="110">
        <v>2</v>
      </c>
      <c r="O114" s="110">
        <v>5</v>
      </c>
      <c r="P114" s="110" t="s">
        <v>3370</v>
      </c>
      <c r="Q114" s="110" t="s">
        <v>3351</v>
      </c>
      <c r="R114" s="110" t="s">
        <v>4134</v>
      </c>
      <c r="S114" s="110" t="s">
        <v>3257</v>
      </c>
      <c r="T114" s="110" t="s">
        <v>0</v>
      </c>
      <c r="U114" s="110" t="s">
        <v>38</v>
      </c>
      <c r="V114" s="110" t="s">
        <v>69</v>
      </c>
      <c r="W114" s="110" t="s">
        <v>3336</v>
      </c>
      <c r="X114" s="110">
        <v>5</v>
      </c>
      <c r="Y114" s="110">
        <v>5</v>
      </c>
      <c r="Z114" s="110">
        <v>5</v>
      </c>
      <c r="AA114" s="110">
        <v>5</v>
      </c>
      <c r="AB114" s="110">
        <v>5</v>
      </c>
      <c r="AC114" s="110">
        <v>5</v>
      </c>
      <c r="AD11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14" s="110" t="s">
        <v>3424</v>
      </c>
      <c r="AF114" s="70"/>
      <c r="AG114" s="70"/>
      <c r="AH114" s="70"/>
      <c r="AI114" s="70"/>
      <c r="AJ114" s="70" t="s">
        <v>4122</v>
      </c>
      <c r="AK114" s="70"/>
      <c r="AL114" s="70"/>
      <c r="AM114" s="70" t="s">
        <v>4122</v>
      </c>
      <c r="AN114" s="70"/>
      <c r="AO114" s="70"/>
      <c r="AP114" s="70"/>
      <c r="AQ114" s="70"/>
      <c r="AR114" s="70"/>
      <c r="AS114" s="70"/>
      <c r="AT114" s="70"/>
      <c r="AU114" s="70"/>
      <c r="AV114" s="70"/>
      <c r="AW114" s="70"/>
      <c r="AX114" s="70"/>
      <c r="AY114" s="70"/>
      <c r="AZ114" s="70"/>
      <c r="BA114" s="70"/>
      <c r="BB114" s="70"/>
      <c r="BC114" s="70"/>
      <c r="BD114" s="70" t="s">
        <v>4122</v>
      </c>
      <c r="BE114" s="70"/>
      <c r="BF114" s="70"/>
      <c r="BG114" s="70"/>
      <c r="BH114" s="130"/>
      <c r="BI114" s="130"/>
      <c r="BJ114" s="130" t="s">
        <v>4122</v>
      </c>
      <c r="BK114" s="130"/>
      <c r="BL114" s="130"/>
      <c r="BM114" s="130"/>
      <c r="BN114" s="130"/>
      <c r="BO114" s="130"/>
      <c r="BP114" s="130"/>
      <c r="BQ114" s="130"/>
      <c r="BR114" s="130"/>
    </row>
    <row r="115" spans="1:100" hidden="1" x14ac:dyDescent="0.25">
      <c r="A115" s="68">
        <v>75</v>
      </c>
      <c r="B115" s="110" t="s">
        <v>510</v>
      </c>
      <c r="C115" s="110" t="s">
        <v>511</v>
      </c>
      <c r="D115" s="110" t="s">
        <v>3790</v>
      </c>
      <c r="E115" s="110" t="s">
        <v>946</v>
      </c>
      <c r="F115" s="110" t="s">
        <v>512</v>
      </c>
      <c r="G115" s="110">
        <v>2013</v>
      </c>
      <c r="H115" s="110" t="s">
        <v>513</v>
      </c>
      <c r="I115" s="111" t="s">
        <v>80</v>
      </c>
      <c r="J115" s="111" t="s">
        <v>80</v>
      </c>
      <c r="K115" s="111" t="s">
        <v>80</v>
      </c>
      <c r="L115" s="111" t="s">
        <v>80</v>
      </c>
      <c r="M115" s="110" t="s">
        <v>3791</v>
      </c>
      <c r="N115" s="110">
        <v>2</v>
      </c>
      <c r="O115" s="110">
        <v>3</v>
      </c>
      <c r="P115" s="110" t="s">
        <v>3168</v>
      </c>
      <c r="Q115" s="110" t="s">
        <v>3423</v>
      </c>
      <c r="R115" s="110" t="s">
        <v>4134</v>
      </c>
      <c r="S115" s="110" t="s">
        <v>3243</v>
      </c>
      <c r="T115" s="110" t="s">
        <v>0</v>
      </c>
      <c r="U115" s="110" t="s">
        <v>38</v>
      </c>
      <c r="V115" s="110" t="s">
        <v>69</v>
      </c>
      <c r="W115" s="110" t="s">
        <v>3336</v>
      </c>
      <c r="X115" s="110">
        <v>4</v>
      </c>
      <c r="Y115" s="110">
        <v>4</v>
      </c>
      <c r="Z115" s="110">
        <v>4</v>
      </c>
      <c r="AA115" s="110">
        <v>4</v>
      </c>
      <c r="AB115" s="110">
        <v>4</v>
      </c>
      <c r="AC115" s="110">
        <v>4</v>
      </c>
      <c r="AD115"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15" s="110" t="s">
        <v>54</v>
      </c>
      <c r="AF115" s="70"/>
      <c r="AG115" s="70"/>
      <c r="AH115" s="70"/>
      <c r="AI115" s="70"/>
      <c r="AJ115" s="70" t="s">
        <v>4122</v>
      </c>
      <c r="AK115" s="70"/>
      <c r="AL115" s="70"/>
      <c r="AM115" s="70" t="s">
        <v>4122</v>
      </c>
      <c r="AN115" s="70"/>
      <c r="AO115" s="70"/>
      <c r="AP115" s="70"/>
      <c r="AQ115" s="70"/>
      <c r="AR115" s="70"/>
      <c r="AS115" s="70"/>
      <c r="AT115" s="70"/>
      <c r="AU115" s="70" t="s">
        <v>4122</v>
      </c>
      <c r="AV115" s="70"/>
      <c r="AW115" s="70"/>
      <c r="AX115" s="70"/>
      <c r="AY115" s="70"/>
      <c r="AZ115" s="70"/>
      <c r="BA115" s="70"/>
      <c r="BB115" s="70"/>
      <c r="BC115" s="70"/>
      <c r="BD115" s="70"/>
      <c r="BE115" s="70"/>
      <c r="BF115" s="70"/>
      <c r="BG115" s="70"/>
      <c r="BH115" s="130"/>
      <c r="BI115" s="130"/>
      <c r="BJ115" s="130" t="s">
        <v>4122</v>
      </c>
      <c r="BK115" s="130"/>
      <c r="BL115" s="130"/>
      <c r="BM115" s="130"/>
      <c r="BN115" s="130"/>
      <c r="BO115" s="130"/>
      <c r="BP115" s="130"/>
      <c r="BQ115" s="130"/>
      <c r="BR115" s="130"/>
    </row>
    <row r="116" spans="1:100" hidden="1" x14ac:dyDescent="0.25">
      <c r="A116" s="68">
        <v>5</v>
      </c>
      <c r="B116" s="70" t="s">
        <v>2866</v>
      </c>
      <c r="C116" s="70" t="s">
        <v>2867</v>
      </c>
      <c r="D116" s="70" t="s">
        <v>0</v>
      </c>
      <c r="E116" s="70" t="s">
        <v>3276</v>
      </c>
      <c r="F116" s="70" t="s">
        <v>2868</v>
      </c>
      <c r="G116" s="70">
        <v>2015</v>
      </c>
      <c r="H116" s="70" t="s">
        <v>2869</v>
      </c>
      <c r="I116" s="78" t="s">
        <v>82</v>
      </c>
      <c r="J116" s="78" t="s">
        <v>85</v>
      </c>
      <c r="K116" s="78" t="s">
        <v>80</v>
      </c>
      <c r="L116" s="78" t="s">
        <v>80</v>
      </c>
      <c r="M116" s="70" t="s">
        <v>3676</v>
      </c>
      <c r="N116" s="70">
        <v>2</v>
      </c>
      <c r="O116" s="70">
        <v>5</v>
      </c>
      <c r="P116" s="90" t="s">
        <v>3157</v>
      </c>
      <c r="Q116" s="104" t="s">
        <v>3183</v>
      </c>
      <c r="R116" s="108" t="s">
        <v>3210</v>
      </c>
      <c r="S116" s="90" t="s">
        <v>3277</v>
      </c>
      <c r="T116" s="70" t="s">
        <v>6</v>
      </c>
      <c r="U116" s="70" t="s">
        <v>38</v>
      </c>
      <c r="V116" s="70" t="s">
        <v>69</v>
      </c>
      <c r="W116" s="70" t="s">
        <v>3336</v>
      </c>
      <c r="X116" s="70">
        <v>5</v>
      </c>
      <c r="Y116" s="70">
        <v>5</v>
      </c>
      <c r="Z116" s="70">
        <v>5</v>
      </c>
      <c r="AA116" s="70">
        <v>5</v>
      </c>
      <c r="AB116" s="70">
        <v>5</v>
      </c>
      <c r="AC116" s="70">
        <v>5</v>
      </c>
      <c r="AD11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16" s="70" t="s">
        <v>3335</v>
      </c>
      <c r="AF116" s="70"/>
      <c r="AG116" s="70" t="s">
        <v>4122</v>
      </c>
      <c r="AH116" s="70"/>
      <c r="AI116" s="70"/>
      <c r="AJ116" s="70"/>
      <c r="AK116" s="70"/>
      <c r="AL116" s="70"/>
      <c r="AM116" s="70"/>
      <c r="AN116" s="70"/>
      <c r="AO116" s="70"/>
      <c r="AP116" s="70"/>
      <c r="AQ116" s="70"/>
      <c r="AR116" s="70"/>
      <c r="AS116" s="70"/>
      <c r="AT116" s="70"/>
      <c r="AU116" s="70"/>
      <c r="AV116" s="70"/>
      <c r="AW116" s="70"/>
      <c r="AX116" s="70"/>
      <c r="AY116" s="70"/>
      <c r="AZ116" s="70"/>
      <c r="BA116" s="70"/>
      <c r="BB116" s="70" t="s">
        <v>4122</v>
      </c>
      <c r="BC116" s="70"/>
      <c r="BD116" s="70"/>
      <c r="BE116" s="70"/>
      <c r="BF116" s="70"/>
      <c r="BG116" s="70"/>
      <c r="BH116" s="130"/>
      <c r="BI116" s="130"/>
      <c r="BJ116" s="130"/>
      <c r="BK116" s="130"/>
      <c r="BL116" s="130"/>
      <c r="BM116" s="130"/>
      <c r="BN116" s="130" t="s">
        <v>4122</v>
      </c>
      <c r="BO116" s="130"/>
      <c r="BP116" s="130"/>
      <c r="BQ116" s="130"/>
      <c r="BR116" s="130"/>
    </row>
    <row r="117" spans="1:100" hidden="1" x14ac:dyDescent="0.25">
      <c r="A117" s="68">
        <v>129</v>
      </c>
      <c r="B117" s="70" t="s">
        <v>2653</v>
      </c>
      <c r="C117" s="70" t="s">
        <v>2654</v>
      </c>
      <c r="D117" s="70" t="s">
        <v>3876</v>
      </c>
      <c r="E117" s="70"/>
      <c r="F117" s="70" t="s">
        <v>2655</v>
      </c>
      <c r="G117" s="70">
        <v>2016</v>
      </c>
      <c r="H117" s="70" t="s">
        <v>2656</v>
      </c>
      <c r="I117" s="78" t="s">
        <v>71</v>
      </c>
      <c r="J117" s="78" t="s">
        <v>85</v>
      </c>
      <c r="K117" s="78" t="s">
        <v>80</v>
      </c>
      <c r="L117" s="78" t="s">
        <v>80</v>
      </c>
      <c r="M117" s="70" t="s">
        <v>3875</v>
      </c>
      <c r="N117" s="70">
        <v>3</v>
      </c>
      <c r="O117" s="70">
        <v>4</v>
      </c>
      <c r="P117" s="90" t="s">
        <v>3513</v>
      </c>
      <c r="Q117" s="104" t="s">
        <v>3196</v>
      </c>
      <c r="R117" s="108" t="s">
        <v>3202</v>
      </c>
      <c r="S117" s="90" t="s">
        <v>3239</v>
      </c>
      <c r="T117" s="70" t="s">
        <v>0</v>
      </c>
      <c r="U117" s="70" t="s">
        <v>38</v>
      </c>
      <c r="V117" s="70" t="s">
        <v>3263</v>
      </c>
      <c r="W117" s="70" t="s">
        <v>3336</v>
      </c>
      <c r="X117" s="70">
        <v>4</v>
      </c>
      <c r="Y117" s="70">
        <v>4</v>
      </c>
      <c r="Z117" s="70">
        <v>2</v>
      </c>
      <c r="AA117" s="70">
        <v>4</v>
      </c>
      <c r="AB117" s="70">
        <v>4</v>
      </c>
      <c r="AC117" s="70">
        <v>2</v>
      </c>
      <c r="AD11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17" s="70" t="s">
        <v>3335</v>
      </c>
      <c r="AF117" s="70"/>
      <c r="AG117" s="70"/>
      <c r="AH117" s="70"/>
      <c r="AI117" s="70"/>
      <c r="AJ117" s="70"/>
      <c r="AK117" s="70"/>
      <c r="AL117" s="70"/>
      <c r="AM117" s="70" t="s">
        <v>4122</v>
      </c>
      <c r="AN117" s="70"/>
      <c r="AO117" s="70"/>
      <c r="AP117" s="70"/>
      <c r="AQ117" s="70"/>
      <c r="AR117" s="70"/>
      <c r="AS117" s="70"/>
      <c r="AT117" s="70"/>
      <c r="AU117" s="70"/>
      <c r="AV117" s="70"/>
      <c r="AW117" s="70"/>
      <c r="AX117" s="70"/>
      <c r="AY117" s="70"/>
      <c r="AZ117" s="70"/>
      <c r="BA117" s="70"/>
      <c r="BB117" s="70"/>
      <c r="BC117" s="70" t="s">
        <v>4122</v>
      </c>
      <c r="BD117" s="70"/>
      <c r="BE117" s="70"/>
      <c r="BF117" s="70"/>
      <c r="BG117" s="70"/>
      <c r="BH117" s="130" t="s">
        <v>4122</v>
      </c>
      <c r="BI117" s="130"/>
      <c r="BJ117" s="130"/>
      <c r="BK117" s="130"/>
      <c r="BL117" s="130"/>
      <c r="BM117" s="130"/>
      <c r="BN117" s="130"/>
      <c r="BO117" s="130"/>
      <c r="BP117" s="130"/>
      <c r="BQ117" s="130"/>
      <c r="BR117" s="130"/>
    </row>
    <row r="118" spans="1:100" hidden="1" x14ac:dyDescent="0.25">
      <c r="A118" s="68">
        <v>142</v>
      </c>
      <c r="B118" s="70" t="s">
        <v>1686</v>
      </c>
      <c r="C118" s="70" t="s">
        <v>1687</v>
      </c>
      <c r="D118" s="70" t="s">
        <v>1688</v>
      </c>
      <c r="E118" s="70"/>
      <c r="F118" s="70" t="s">
        <v>1689</v>
      </c>
      <c r="G118" s="70">
        <v>2019</v>
      </c>
      <c r="H118" s="70" t="s">
        <v>1690</v>
      </c>
      <c r="I118" s="78" t="s">
        <v>80</v>
      </c>
      <c r="J118" s="78" t="s">
        <v>80</v>
      </c>
      <c r="K118" s="78">
        <v>1.1200000000000001</v>
      </c>
      <c r="L118" s="78">
        <v>5</v>
      </c>
      <c r="M118" s="70" t="s">
        <v>3896</v>
      </c>
      <c r="N118" s="70">
        <v>0</v>
      </c>
      <c r="O118" s="70">
        <v>5</v>
      </c>
      <c r="P118" s="90" t="s">
        <v>3157</v>
      </c>
      <c r="Q118" s="104" t="s">
        <v>3533</v>
      </c>
      <c r="R118" s="108" t="s">
        <v>3534</v>
      </c>
      <c r="S118" s="90" t="s">
        <v>3232</v>
      </c>
      <c r="T118" s="70" t="s">
        <v>0</v>
      </c>
      <c r="U118" s="70" t="s">
        <v>38</v>
      </c>
      <c r="V118" s="70" t="s">
        <v>69</v>
      </c>
      <c r="W118" s="70" t="s">
        <v>3336</v>
      </c>
      <c r="X118" s="70">
        <v>5</v>
      </c>
      <c r="Y118" s="70">
        <v>5</v>
      </c>
      <c r="Z118" s="70">
        <v>5</v>
      </c>
      <c r="AA118" s="70">
        <v>5</v>
      </c>
      <c r="AB118" s="70">
        <v>5</v>
      </c>
      <c r="AC118" s="70">
        <v>5</v>
      </c>
      <c r="AD11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18" s="70" t="s">
        <v>3335</v>
      </c>
      <c r="AF118" s="70"/>
      <c r="AG118" s="70"/>
      <c r="AH118" s="70"/>
      <c r="AI118" s="70"/>
      <c r="AJ118" s="70"/>
      <c r="AK118" s="70"/>
      <c r="AL118" s="70"/>
      <c r="AM118" s="70" t="s">
        <v>4122</v>
      </c>
      <c r="AN118" s="70"/>
      <c r="AO118" s="70"/>
      <c r="AP118" s="70"/>
      <c r="AQ118" s="70"/>
      <c r="AR118" s="70"/>
      <c r="AS118" s="70"/>
      <c r="AT118" s="70"/>
      <c r="AU118" s="70"/>
      <c r="AV118" s="70"/>
      <c r="AW118" s="70" t="s">
        <v>4122</v>
      </c>
      <c r="AX118" s="70"/>
      <c r="AY118" s="70"/>
      <c r="AZ118" s="70"/>
      <c r="BA118" s="70"/>
      <c r="BB118" s="70"/>
      <c r="BC118" s="70"/>
      <c r="BD118" s="70"/>
      <c r="BE118" s="70"/>
      <c r="BF118" s="70"/>
      <c r="BG118" s="70"/>
      <c r="BH118" s="130"/>
      <c r="BI118" s="130"/>
      <c r="BJ118" s="130"/>
      <c r="BK118" s="130" t="s">
        <v>4122</v>
      </c>
      <c r="BL118" s="130"/>
      <c r="BM118" s="130"/>
      <c r="BN118" s="130"/>
      <c r="BO118" s="130"/>
      <c r="BP118" s="130"/>
      <c r="BQ118" s="130"/>
      <c r="BR118" s="130"/>
    </row>
    <row r="119" spans="1:100" hidden="1" x14ac:dyDescent="0.25">
      <c r="A119" s="68">
        <v>220</v>
      </c>
      <c r="B119" s="70" t="s">
        <v>216</v>
      </c>
      <c r="C119" s="70" t="s">
        <v>217</v>
      </c>
      <c r="D119" s="70" t="s">
        <v>3818</v>
      </c>
      <c r="E119" s="70" t="s">
        <v>375</v>
      </c>
      <c r="F119" s="70" t="s">
        <v>376</v>
      </c>
      <c r="G119" s="70">
        <v>2017</v>
      </c>
      <c r="H119" s="70" t="s">
        <v>288</v>
      </c>
      <c r="I119" s="78" t="s">
        <v>84</v>
      </c>
      <c r="J119" s="78" t="s">
        <v>80</v>
      </c>
      <c r="K119" s="78" t="s">
        <v>80</v>
      </c>
      <c r="L119" s="78" t="s">
        <v>80</v>
      </c>
      <c r="M119" s="70" t="s">
        <v>4010</v>
      </c>
      <c r="N119" s="70">
        <v>2</v>
      </c>
      <c r="O119" s="70">
        <v>5</v>
      </c>
      <c r="P119" s="90" t="s">
        <v>3157</v>
      </c>
      <c r="Q119" s="104" t="s">
        <v>3420</v>
      </c>
      <c r="R119" s="108" t="s">
        <v>3357</v>
      </c>
      <c r="S119" s="90" t="s">
        <v>3626</v>
      </c>
      <c r="T119" s="70" t="s">
        <v>0</v>
      </c>
      <c r="U119" s="70" t="s">
        <v>3622</v>
      </c>
      <c r="V119" s="70" t="s">
        <v>69</v>
      </c>
      <c r="W119" s="70" t="s">
        <v>3246</v>
      </c>
      <c r="X119" s="70">
        <v>5</v>
      </c>
      <c r="Y119" s="70">
        <v>5</v>
      </c>
      <c r="Z119" s="70">
        <v>5</v>
      </c>
      <c r="AA119" s="70">
        <v>5</v>
      </c>
      <c r="AB119" s="70">
        <v>5</v>
      </c>
      <c r="AC119" s="70">
        <v>5</v>
      </c>
      <c r="AD11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19" s="70" t="s">
        <v>61</v>
      </c>
      <c r="AF119" s="70"/>
      <c r="AG119" s="70"/>
      <c r="AH119" s="70"/>
      <c r="AI119" s="70"/>
      <c r="AJ119" s="70"/>
      <c r="AK119" s="70"/>
      <c r="AL119" s="70"/>
      <c r="AM119" s="70"/>
      <c r="AN119" s="70"/>
      <c r="AO119" s="70"/>
      <c r="AP119" s="70"/>
      <c r="AQ119" s="70"/>
      <c r="AR119" s="70"/>
      <c r="AS119" s="70" t="s">
        <v>4122</v>
      </c>
      <c r="AT119" s="70"/>
      <c r="AU119" s="70"/>
      <c r="AV119" s="70"/>
      <c r="AW119" s="70"/>
      <c r="AX119" s="70"/>
      <c r="AY119" s="70"/>
      <c r="AZ119" s="70"/>
      <c r="BA119" s="70"/>
      <c r="BB119" s="70" t="s">
        <v>4122</v>
      </c>
      <c r="BC119" s="70"/>
      <c r="BD119" s="70"/>
      <c r="BE119" s="70"/>
      <c r="BF119" s="70"/>
      <c r="BG119" s="70"/>
      <c r="BH119" s="130"/>
      <c r="BI119" s="130"/>
      <c r="BJ119" s="130"/>
      <c r="BK119" s="130"/>
      <c r="BL119" s="130"/>
      <c r="BM119" s="130"/>
      <c r="BN119" s="130" t="s">
        <v>4122</v>
      </c>
      <c r="BO119" s="130"/>
      <c r="BP119" s="130"/>
      <c r="BQ119" s="130"/>
      <c r="BR119" s="130"/>
    </row>
    <row r="120" spans="1:100" hidden="1" x14ac:dyDescent="0.25">
      <c r="A120" s="68">
        <v>195</v>
      </c>
      <c r="B120" s="70" t="s">
        <v>2043</v>
      </c>
      <c r="C120" s="70" t="s">
        <v>2044</v>
      </c>
      <c r="D120" s="70" t="s">
        <v>3733</v>
      </c>
      <c r="E120" s="70"/>
      <c r="F120" s="70" t="s">
        <v>2045</v>
      </c>
      <c r="G120" s="70">
        <v>2016</v>
      </c>
      <c r="H120" s="70" t="s">
        <v>2046</v>
      </c>
      <c r="I120" s="78" t="s">
        <v>80</v>
      </c>
      <c r="J120" s="78" t="s">
        <v>85</v>
      </c>
      <c r="K120" s="78" t="s">
        <v>80</v>
      </c>
      <c r="L120" s="78" t="s">
        <v>80</v>
      </c>
      <c r="M120" s="70" t="s">
        <v>3976</v>
      </c>
      <c r="N120" s="70">
        <v>2</v>
      </c>
      <c r="O120" s="70">
        <v>4</v>
      </c>
      <c r="P120" s="90" t="s">
        <v>3406</v>
      </c>
      <c r="Q120" s="104" t="s">
        <v>3256</v>
      </c>
      <c r="R120" s="108" t="s">
        <v>3202</v>
      </c>
      <c r="S120" s="90" t="s">
        <v>3239</v>
      </c>
      <c r="T120" s="70" t="s">
        <v>0</v>
      </c>
      <c r="U120" s="70" t="s">
        <v>38</v>
      </c>
      <c r="V120" s="70" t="s">
        <v>69</v>
      </c>
      <c r="W120" s="70" t="s">
        <v>3336</v>
      </c>
      <c r="X120" s="70">
        <v>4</v>
      </c>
      <c r="Y120" s="70">
        <v>4</v>
      </c>
      <c r="Z120" s="70">
        <v>3</v>
      </c>
      <c r="AA120" s="70">
        <v>4</v>
      </c>
      <c r="AB120" s="70">
        <v>4</v>
      </c>
      <c r="AC120" s="70">
        <v>3</v>
      </c>
      <c r="AD12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20" s="70" t="s">
        <v>3365</v>
      </c>
      <c r="AF120" s="70"/>
      <c r="AG120" s="70"/>
      <c r="AH120" s="70"/>
      <c r="AI120" s="70"/>
      <c r="AJ120" s="70"/>
      <c r="AK120" s="70"/>
      <c r="AL120" s="70"/>
      <c r="AM120" s="70"/>
      <c r="AN120" s="70"/>
      <c r="AO120" s="70"/>
      <c r="AP120" s="70" t="s">
        <v>4122</v>
      </c>
      <c r="AQ120" s="70"/>
      <c r="AR120" s="70"/>
      <c r="AS120" s="70" t="s">
        <v>4122</v>
      </c>
      <c r="AT120" s="70"/>
      <c r="AU120" s="70"/>
      <c r="AV120" s="70" t="s">
        <v>4122</v>
      </c>
      <c r="AW120" s="70"/>
      <c r="AX120" s="70"/>
      <c r="AY120" s="70"/>
      <c r="AZ120" s="70"/>
      <c r="BA120" s="70"/>
      <c r="BB120" s="70"/>
      <c r="BC120" s="70"/>
      <c r="BD120" s="70"/>
      <c r="BE120" s="70"/>
      <c r="BF120" s="70"/>
      <c r="BG120" s="70"/>
      <c r="BH120" s="130" t="s">
        <v>4122</v>
      </c>
      <c r="BI120" s="130"/>
      <c r="BJ120" s="130"/>
      <c r="BK120" s="130"/>
      <c r="BL120" s="130"/>
      <c r="BM120" s="130"/>
      <c r="BN120" s="130"/>
      <c r="BO120" s="130"/>
      <c r="BP120" s="130"/>
      <c r="BQ120" s="130"/>
      <c r="BR120" s="130"/>
    </row>
    <row r="121" spans="1:100" hidden="1" x14ac:dyDescent="0.25">
      <c r="A121" s="68">
        <v>150</v>
      </c>
      <c r="B121" s="70" t="s">
        <v>636</v>
      </c>
      <c r="C121" s="70" t="s">
        <v>637</v>
      </c>
      <c r="D121" s="70" t="s">
        <v>3894</v>
      </c>
      <c r="E121" s="70"/>
      <c r="F121" s="70" t="s">
        <v>638</v>
      </c>
      <c r="G121" s="70">
        <v>2016</v>
      </c>
      <c r="H121" s="70"/>
      <c r="I121" s="78" t="s">
        <v>4033</v>
      </c>
      <c r="J121" s="78" t="s">
        <v>4033</v>
      </c>
      <c r="K121" s="78" t="s">
        <v>80</v>
      </c>
      <c r="L121" s="78" t="s">
        <v>80</v>
      </c>
      <c r="M121" s="70" t="s">
        <v>3909</v>
      </c>
      <c r="N121" s="70">
        <v>8</v>
      </c>
      <c r="O121" s="70">
        <v>4</v>
      </c>
      <c r="P121" s="90" t="s">
        <v>3244</v>
      </c>
      <c r="Q121" s="104" t="s">
        <v>3551</v>
      </c>
      <c r="R121" s="108" t="s">
        <v>3552</v>
      </c>
      <c r="S121" s="90" t="s">
        <v>3345</v>
      </c>
      <c r="T121" s="70" t="s">
        <v>0</v>
      </c>
      <c r="U121" s="70" t="s">
        <v>38</v>
      </c>
      <c r="V121" s="70" t="s">
        <v>69</v>
      </c>
      <c r="W121" s="70" t="s">
        <v>3336</v>
      </c>
      <c r="X121" s="70">
        <v>5</v>
      </c>
      <c r="Y121" s="70">
        <v>5</v>
      </c>
      <c r="Z121" s="70">
        <v>5</v>
      </c>
      <c r="AA121" s="70">
        <v>5</v>
      </c>
      <c r="AB121" s="70">
        <v>5</v>
      </c>
      <c r="AC121" s="70">
        <v>5</v>
      </c>
      <c r="AD12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21" s="70" t="s">
        <v>3550</v>
      </c>
      <c r="AF121" s="70"/>
      <c r="AG121" s="70" t="s">
        <v>4122</v>
      </c>
      <c r="AH121" s="70"/>
      <c r="AI121" s="70"/>
      <c r="AJ121" s="70"/>
      <c r="AK121" s="70"/>
      <c r="AL121" s="70"/>
      <c r="AM121" s="70" t="s">
        <v>4122</v>
      </c>
      <c r="AN121" s="70"/>
      <c r="AO121" s="70"/>
      <c r="AP121" s="70"/>
      <c r="AQ121" s="70"/>
      <c r="AR121" s="70"/>
      <c r="AS121" s="70"/>
      <c r="AT121" s="70"/>
      <c r="AU121" s="70"/>
      <c r="AV121" s="70"/>
      <c r="AW121" s="70"/>
      <c r="AX121" s="70"/>
      <c r="AY121" s="70"/>
      <c r="AZ121" s="70"/>
      <c r="BA121" s="70" t="s">
        <v>4122</v>
      </c>
      <c r="BB121" s="70"/>
      <c r="BC121" s="70"/>
      <c r="BD121" s="70"/>
      <c r="BE121" s="70"/>
      <c r="BF121" s="70"/>
      <c r="BG121" s="70"/>
      <c r="BH121" s="130"/>
      <c r="BI121" s="130"/>
      <c r="BJ121" s="130"/>
      <c r="BK121" s="130" t="s">
        <v>4122</v>
      </c>
      <c r="BL121" s="130"/>
      <c r="BM121" s="130"/>
      <c r="BN121" s="130"/>
      <c r="BO121" s="130"/>
      <c r="BP121" s="130"/>
      <c r="BQ121" s="130"/>
      <c r="BR121" s="130"/>
    </row>
    <row r="122" spans="1:100" hidden="1" x14ac:dyDescent="0.25">
      <c r="A122" s="68">
        <v>12</v>
      </c>
      <c r="B122" s="70" t="s">
        <v>1566</v>
      </c>
      <c r="C122" s="70" t="s">
        <v>1567</v>
      </c>
      <c r="D122" s="70" t="s">
        <v>4</v>
      </c>
      <c r="E122" s="70"/>
      <c r="F122" s="70" t="s">
        <v>1568</v>
      </c>
      <c r="G122" s="70">
        <v>2018</v>
      </c>
      <c r="H122" s="70" t="s">
        <v>1569</v>
      </c>
      <c r="I122" s="78" t="s">
        <v>80</v>
      </c>
      <c r="J122" s="78" t="s">
        <v>80</v>
      </c>
      <c r="K122" s="78">
        <v>0.32</v>
      </c>
      <c r="L122" s="78">
        <v>4</v>
      </c>
      <c r="M122" s="70" t="s">
        <v>3688</v>
      </c>
      <c r="N122" s="70">
        <v>2</v>
      </c>
      <c r="O122" s="70">
        <v>4</v>
      </c>
      <c r="P122" s="90" t="s">
        <v>3306</v>
      </c>
      <c r="Q122" s="104" t="s">
        <v>3198</v>
      </c>
      <c r="R122" s="108" t="s">
        <v>3308</v>
      </c>
      <c r="S122" s="90" t="s">
        <v>3232</v>
      </c>
      <c r="T122" s="70" t="s">
        <v>1</v>
      </c>
      <c r="U122" s="70" t="s">
        <v>38</v>
      </c>
      <c r="V122" s="70" t="s">
        <v>69</v>
      </c>
      <c r="W122" s="70" t="s">
        <v>3336</v>
      </c>
      <c r="X122" s="70">
        <v>5</v>
      </c>
      <c r="Y122" s="70">
        <v>5</v>
      </c>
      <c r="Z122" s="70">
        <v>5</v>
      </c>
      <c r="AA122" s="70">
        <v>5</v>
      </c>
      <c r="AB122" s="70">
        <v>5</v>
      </c>
      <c r="AC122" s="70">
        <v>5</v>
      </c>
      <c r="AD12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22" s="70" t="s">
        <v>4129</v>
      </c>
      <c r="AF122" s="70"/>
      <c r="AG122" s="70"/>
      <c r="AH122" s="70"/>
      <c r="AI122" s="70"/>
      <c r="AJ122" s="70" t="s">
        <v>4122</v>
      </c>
      <c r="AK122" s="70"/>
      <c r="AL122" s="70"/>
      <c r="AM122" s="70"/>
      <c r="AN122" s="70"/>
      <c r="AO122" s="70"/>
      <c r="AP122" s="70"/>
      <c r="AQ122" s="70"/>
      <c r="AR122" s="70"/>
      <c r="AS122" s="70"/>
      <c r="AT122" s="70"/>
      <c r="AU122" s="70"/>
      <c r="AV122" s="70"/>
      <c r="AW122" s="70"/>
      <c r="AX122" s="70"/>
      <c r="AY122" s="70"/>
      <c r="AZ122" s="70"/>
      <c r="BA122" s="70" t="s">
        <v>4122</v>
      </c>
      <c r="BB122" s="70"/>
      <c r="BC122" s="70"/>
      <c r="BD122" s="70"/>
      <c r="BE122" s="70"/>
      <c r="BF122" s="70"/>
      <c r="BG122" s="70"/>
      <c r="BH122" s="130"/>
      <c r="BI122" s="130"/>
      <c r="BJ122" s="130"/>
      <c r="BK122" s="130"/>
      <c r="BL122" s="130"/>
      <c r="BM122" s="130"/>
      <c r="BN122" s="130"/>
      <c r="BO122" s="130" t="s">
        <v>4122</v>
      </c>
      <c r="BP122" s="130"/>
      <c r="BQ122" s="130"/>
      <c r="BR122" s="130"/>
    </row>
    <row r="123" spans="1:100" ht="23.25" hidden="1" customHeight="1" x14ac:dyDescent="0.25">
      <c r="A123" s="68">
        <v>206</v>
      </c>
      <c r="B123" s="70" t="s">
        <v>2152</v>
      </c>
      <c r="C123" s="70" t="s">
        <v>208</v>
      </c>
      <c r="D123" s="70" t="s">
        <v>3818</v>
      </c>
      <c r="E123" s="70"/>
      <c r="F123" s="70" t="s">
        <v>2153</v>
      </c>
      <c r="G123" s="70">
        <v>2017</v>
      </c>
      <c r="H123" s="70" t="s">
        <v>2154</v>
      </c>
      <c r="I123" s="78" t="s">
        <v>84</v>
      </c>
      <c r="J123" s="78" t="s">
        <v>80</v>
      </c>
      <c r="K123" s="78" t="s">
        <v>80</v>
      </c>
      <c r="L123" s="78" t="s">
        <v>80</v>
      </c>
      <c r="M123" s="70" t="s">
        <v>3991</v>
      </c>
      <c r="N123" s="70">
        <v>2</v>
      </c>
      <c r="O123" s="70">
        <v>5</v>
      </c>
      <c r="P123" s="90" t="s">
        <v>3513</v>
      </c>
      <c r="Q123" s="104" t="s">
        <v>3468</v>
      </c>
      <c r="R123" s="108" t="s">
        <v>3206</v>
      </c>
      <c r="S123" s="90" t="s">
        <v>3577</v>
      </c>
      <c r="T123" s="70" t="s">
        <v>0</v>
      </c>
      <c r="U123" s="70" t="s">
        <v>38</v>
      </c>
      <c r="V123" s="70" t="s">
        <v>69</v>
      </c>
      <c r="W123" s="70" t="s">
        <v>3336</v>
      </c>
      <c r="X123" s="70">
        <v>5</v>
      </c>
      <c r="Y123" s="70">
        <v>5</v>
      </c>
      <c r="Z123" s="70">
        <v>5</v>
      </c>
      <c r="AA123" s="70">
        <v>5</v>
      </c>
      <c r="AB123" s="70">
        <v>5</v>
      </c>
      <c r="AC123" s="70">
        <v>5</v>
      </c>
      <c r="AD12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23" s="70" t="s">
        <v>3621</v>
      </c>
      <c r="AF123" s="70"/>
      <c r="AG123" s="70"/>
      <c r="AH123" s="70"/>
      <c r="AI123" s="70"/>
      <c r="AJ123" s="70"/>
      <c r="AK123" s="70"/>
      <c r="AL123" s="70"/>
      <c r="AM123" s="70"/>
      <c r="AN123" s="70"/>
      <c r="AO123" s="70"/>
      <c r="AP123" s="70"/>
      <c r="AQ123" s="70" t="s">
        <v>4122</v>
      </c>
      <c r="AR123" s="70"/>
      <c r="AS123" s="70"/>
      <c r="AT123" s="70"/>
      <c r="AU123" s="70"/>
      <c r="AV123" s="70"/>
      <c r="AW123" s="70"/>
      <c r="AX123" s="70"/>
      <c r="AY123" s="70"/>
      <c r="AZ123" s="70"/>
      <c r="BA123" s="70"/>
      <c r="BB123" s="70"/>
      <c r="BC123" s="70" t="s">
        <v>4122</v>
      </c>
      <c r="BD123" s="70"/>
      <c r="BE123" s="70"/>
      <c r="BF123" s="70"/>
      <c r="BG123" s="70"/>
      <c r="BH123" s="130"/>
      <c r="BI123" s="130"/>
      <c r="BJ123" s="130"/>
      <c r="BK123" s="130"/>
      <c r="BL123" s="130"/>
      <c r="BM123" s="130"/>
      <c r="BN123" s="130" t="s">
        <v>4122</v>
      </c>
      <c r="BO123" s="130"/>
      <c r="BP123" s="130"/>
      <c r="BQ123" s="130"/>
      <c r="BR123" s="130"/>
    </row>
    <row r="124" spans="1:100" hidden="1" x14ac:dyDescent="0.25">
      <c r="A124" s="68">
        <v>91</v>
      </c>
      <c r="B124" s="70" t="s">
        <v>1678</v>
      </c>
      <c r="C124" s="70" t="s">
        <v>1679</v>
      </c>
      <c r="D124" s="70" t="s">
        <v>1193</v>
      </c>
      <c r="E124" s="70"/>
      <c r="F124" s="70" t="s">
        <v>1680</v>
      </c>
      <c r="G124" s="70">
        <v>2019</v>
      </c>
      <c r="H124" s="70" t="s">
        <v>1681</v>
      </c>
      <c r="I124" s="78" t="s">
        <v>80</v>
      </c>
      <c r="J124" s="78" t="s">
        <v>80</v>
      </c>
      <c r="K124" s="78">
        <v>0.62</v>
      </c>
      <c r="L124" s="78">
        <v>4</v>
      </c>
      <c r="M124" s="70" t="s">
        <v>3815</v>
      </c>
      <c r="N124" s="70">
        <v>2</v>
      </c>
      <c r="O124" s="70">
        <v>4</v>
      </c>
      <c r="P124" s="90" t="s">
        <v>3385</v>
      </c>
      <c r="Q124" s="104" t="s">
        <v>3295</v>
      </c>
      <c r="R124" s="108" t="s">
        <v>3361</v>
      </c>
      <c r="S124" s="90" t="s">
        <v>3257</v>
      </c>
      <c r="T124" s="70" t="s">
        <v>1</v>
      </c>
      <c r="U124" s="70" t="s">
        <v>38</v>
      </c>
      <c r="V124" s="70" t="s">
        <v>69</v>
      </c>
      <c r="W124" s="70" t="s">
        <v>3450</v>
      </c>
      <c r="X124" s="70">
        <v>4</v>
      </c>
      <c r="Y124" s="70">
        <v>4</v>
      </c>
      <c r="Z124" s="70">
        <v>4</v>
      </c>
      <c r="AA124" s="70">
        <v>4</v>
      </c>
      <c r="AB124" s="70">
        <v>4</v>
      </c>
      <c r="AC124" s="70">
        <v>4</v>
      </c>
      <c r="AD12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24" s="70" t="s">
        <v>57</v>
      </c>
      <c r="AF124" s="70"/>
      <c r="AG124" s="70"/>
      <c r="AH124" s="70" t="s">
        <v>4122</v>
      </c>
      <c r="AI124" s="70"/>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t="s">
        <v>4122</v>
      </c>
      <c r="BF124" s="70"/>
      <c r="BG124" s="70"/>
      <c r="BH124" s="130"/>
      <c r="BI124" s="130"/>
      <c r="BJ124" s="130"/>
      <c r="BK124" s="130"/>
      <c r="BL124" s="130"/>
      <c r="BM124" s="130"/>
      <c r="BN124" s="130" t="s">
        <v>4122</v>
      </c>
      <c r="BO124" s="130"/>
      <c r="BP124" s="130"/>
      <c r="BQ124" s="130"/>
      <c r="BR124" s="130"/>
    </row>
    <row r="125" spans="1:100" ht="15" hidden="1" customHeight="1" x14ac:dyDescent="0.25">
      <c r="A125" s="68">
        <v>85</v>
      </c>
      <c r="B125" s="110" t="s">
        <v>2835</v>
      </c>
      <c r="C125" s="110" t="s">
        <v>2836</v>
      </c>
      <c r="D125" s="110" t="s">
        <v>3809</v>
      </c>
      <c r="E125" s="110"/>
      <c r="F125" s="110" t="s">
        <v>2837</v>
      </c>
      <c r="G125" s="110">
        <v>2012</v>
      </c>
      <c r="H125" s="110" t="s">
        <v>2838</v>
      </c>
      <c r="I125" s="111" t="s">
        <v>82</v>
      </c>
      <c r="J125" s="111" t="s">
        <v>85</v>
      </c>
      <c r="K125" s="111" t="s">
        <v>80</v>
      </c>
      <c r="L125" s="111" t="s">
        <v>80</v>
      </c>
      <c r="M125" s="110" t="s">
        <v>3808</v>
      </c>
      <c r="N125" s="110">
        <v>2</v>
      </c>
      <c r="O125" s="110">
        <v>4</v>
      </c>
      <c r="P125" s="110" t="s">
        <v>3244</v>
      </c>
      <c r="Q125" s="110" t="s">
        <v>3190</v>
      </c>
      <c r="R125" s="110" t="s">
        <v>4134</v>
      </c>
      <c r="S125" s="110" t="s">
        <v>3257</v>
      </c>
      <c r="T125" s="110" t="s">
        <v>0</v>
      </c>
      <c r="U125" s="110" t="s">
        <v>38</v>
      </c>
      <c r="V125" s="110" t="s">
        <v>69</v>
      </c>
      <c r="W125" s="110" t="s">
        <v>3434</v>
      </c>
      <c r="X125" s="110">
        <v>5</v>
      </c>
      <c r="Y125" s="110">
        <v>5</v>
      </c>
      <c r="Z125" s="110">
        <v>5</v>
      </c>
      <c r="AA125" s="110">
        <v>5</v>
      </c>
      <c r="AB125" s="110">
        <v>5</v>
      </c>
      <c r="AC125" s="110">
        <v>5</v>
      </c>
      <c r="AD125"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25" s="110" t="s">
        <v>57</v>
      </c>
      <c r="AF125" s="70"/>
      <c r="AG125" s="70"/>
      <c r="AH125" s="70"/>
      <c r="AI125" s="70"/>
      <c r="AJ125" s="70" t="s">
        <v>4122</v>
      </c>
      <c r="AK125" s="70"/>
      <c r="AL125" s="70"/>
      <c r="AM125" s="70" t="s">
        <v>4122</v>
      </c>
      <c r="AN125" s="70"/>
      <c r="AO125" s="70"/>
      <c r="AP125" s="70" t="s">
        <v>4122</v>
      </c>
      <c r="AQ125" s="70"/>
      <c r="AR125" s="70"/>
      <c r="AS125" s="70"/>
      <c r="AT125" s="70"/>
      <c r="AU125" s="70"/>
      <c r="AV125" s="70"/>
      <c r="AW125" s="70"/>
      <c r="AX125" s="70" t="s">
        <v>4122</v>
      </c>
      <c r="AY125" s="70"/>
      <c r="AZ125" s="70"/>
      <c r="BA125" s="70"/>
      <c r="BB125" s="70"/>
      <c r="BC125" s="70"/>
      <c r="BD125" s="70"/>
      <c r="BE125" s="70"/>
      <c r="BF125" s="70"/>
      <c r="BG125" s="70"/>
      <c r="BH125" s="130"/>
      <c r="BI125" s="130"/>
      <c r="BJ125" s="130" t="s">
        <v>4122</v>
      </c>
      <c r="BK125" s="130"/>
      <c r="BL125" s="130"/>
      <c r="BM125" s="130"/>
      <c r="BN125" s="130"/>
      <c r="BO125" s="130"/>
      <c r="BP125" s="130"/>
      <c r="BQ125" s="130"/>
      <c r="BR125" s="130"/>
    </row>
    <row r="126" spans="1:100" hidden="1" x14ac:dyDescent="0.25">
      <c r="A126" s="68">
        <v>144</v>
      </c>
      <c r="B126" s="70" t="s">
        <v>168</v>
      </c>
      <c r="C126" s="70" t="s">
        <v>169</v>
      </c>
      <c r="D126" s="70" t="s">
        <v>3899</v>
      </c>
      <c r="E126" s="70" t="s">
        <v>331</v>
      </c>
      <c r="F126" s="70" t="s">
        <v>332</v>
      </c>
      <c r="G126" s="70">
        <v>2015</v>
      </c>
      <c r="H126" s="70" t="s">
        <v>271</v>
      </c>
      <c r="I126" s="78" t="s">
        <v>80</v>
      </c>
      <c r="J126" s="78" t="s">
        <v>4033</v>
      </c>
      <c r="K126" s="78" t="s">
        <v>80</v>
      </c>
      <c r="L126" s="78" t="s">
        <v>80</v>
      </c>
      <c r="M126" s="70" t="s">
        <v>3898</v>
      </c>
      <c r="N126" s="70">
        <v>2</v>
      </c>
      <c r="O126" s="70">
        <v>5</v>
      </c>
      <c r="P126" s="90" t="s">
        <v>3244</v>
      </c>
      <c r="Q126" s="104" t="s">
        <v>3190</v>
      </c>
      <c r="R126" s="108" t="s">
        <v>3537</v>
      </c>
      <c r="S126" s="90" t="s">
        <v>3238</v>
      </c>
      <c r="T126" s="70" t="s">
        <v>6</v>
      </c>
      <c r="U126" s="70" t="s">
        <v>38</v>
      </c>
      <c r="V126" s="70" t="s">
        <v>69</v>
      </c>
      <c r="W126" s="70" t="s">
        <v>3336</v>
      </c>
      <c r="X126" s="70">
        <v>5</v>
      </c>
      <c r="Y126" s="70">
        <v>5</v>
      </c>
      <c r="Z126" s="70">
        <v>5</v>
      </c>
      <c r="AA126" s="70">
        <v>5</v>
      </c>
      <c r="AB126" s="70">
        <v>5</v>
      </c>
      <c r="AC126" s="70">
        <v>5</v>
      </c>
      <c r="AD12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26" s="70" t="s">
        <v>3538</v>
      </c>
      <c r="AF126" s="70"/>
      <c r="AG126" s="70"/>
      <c r="AH126" s="70"/>
      <c r="AI126" s="70"/>
      <c r="AJ126" s="70"/>
      <c r="AK126" s="70"/>
      <c r="AL126" s="70"/>
      <c r="AM126" s="70"/>
      <c r="AN126" s="70" t="s">
        <v>4122</v>
      </c>
      <c r="AO126" s="70"/>
      <c r="AP126" s="70"/>
      <c r="AQ126" s="70"/>
      <c r="AR126" s="70"/>
      <c r="AS126" s="70"/>
      <c r="AT126" s="70"/>
      <c r="AU126" s="70"/>
      <c r="AV126" s="70"/>
      <c r="AW126" s="70"/>
      <c r="AX126" s="70" t="s">
        <v>4122</v>
      </c>
      <c r="AY126" s="70"/>
      <c r="AZ126" s="70"/>
      <c r="BA126" s="70"/>
      <c r="BB126" s="70"/>
      <c r="BC126" s="70"/>
      <c r="BD126" s="70"/>
      <c r="BE126" s="70"/>
      <c r="BF126" s="70"/>
      <c r="BG126" s="70"/>
      <c r="BH126" s="130"/>
      <c r="BI126" s="130"/>
      <c r="BJ126" s="130"/>
      <c r="BK126" s="130"/>
      <c r="BL126" s="130" t="s">
        <v>4122</v>
      </c>
      <c r="BM126" s="130"/>
      <c r="BN126" s="130"/>
      <c r="BO126" s="130"/>
      <c r="BP126" s="130"/>
      <c r="BQ126" s="130"/>
      <c r="BR126" s="130"/>
    </row>
    <row r="127" spans="1:100" s="8" customFormat="1" hidden="1" x14ac:dyDescent="0.25">
      <c r="A127" s="68">
        <v>54</v>
      </c>
      <c r="B127" s="110" t="s">
        <v>2748</v>
      </c>
      <c r="C127" s="110" t="s">
        <v>2749</v>
      </c>
      <c r="D127" s="110" t="s">
        <v>953</v>
      </c>
      <c r="E127" s="110"/>
      <c r="F127" s="110" t="s">
        <v>2750</v>
      </c>
      <c r="G127" s="110">
        <v>2018</v>
      </c>
      <c r="H127" s="110" t="s">
        <v>2751</v>
      </c>
      <c r="I127" s="111" t="s">
        <v>80</v>
      </c>
      <c r="J127" s="111" t="s">
        <v>80</v>
      </c>
      <c r="K127" s="111">
        <v>0.32</v>
      </c>
      <c r="L127" s="111">
        <v>3</v>
      </c>
      <c r="M127" s="110" t="s">
        <v>3755</v>
      </c>
      <c r="N127" s="110">
        <v>2</v>
      </c>
      <c r="O127" s="110">
        <v>5</v>
      </c>
      <c r="P127" s="110" t="s">
        <v>3386</v>
      </c>
      <c r="Q127" s="110" t="s">
        <v>3278</v>
      </c>
      <c r="R127" s="110" t="s">
        <v>4135</v>
      </c>
      <c r="S127" s="110" t="s">
        <v>3395</v>
      </c>
      <c r="T127" s="110" t="s">
        <v>1</v>
      </c>
      <c r="U127" s="110" t="s">
        <v>38</v>
      </c>
      <c r="V127" s="110" t="s">
        <v>69</v>
      </c>
      <c r="W127" s="110" t="s">
        <v>3396</v>
      </c>
      <c r="X127" s="110">
        <v>5</v>
      </c>
      <c r="Y127" s="110">
        <v>5</v>
      </c>
      <c r="Z127" s="110">
        <v>5</v>
      </c>
      <c r="AA127" s="110">
        <v>5</v>
      </c>
      <c r="AB127" s="110">
        <v>5</v>
      </c>
      <c r="AC127" s="110">
        <v>5</v>
      </c>
      <c r="AD127"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27" s="110" t="s">
        <v>3349</v>
      </c>
      <c r="AF127" s="70"/>
      <c r="AG127" s="70"/>
      <c r="AH127" s="70"/>
      <c r="AI127" s="70"/>
      <c r="AJ127" s="70" t="s">
        <v>4122</v>
      </c>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t="s">
        <v>4122</v>
      </c>
      <c r="BG127" s="70"/>
      <c r="BH127" s="130"/>
      <c r="BI127" s="130"/>
      <c r="BJ127" s="130" t="s">
        <v>4122</v>
      </c>
      <c r="BK127" s="130"/>
      <c r="BL127" s="130"/>
      <c r="BM127" s="130"/>
      <c r="BN127" s="130"/>
      <c r="BO127" s="130"/>
      <c r="BP127" s="130"/>
      <c r="BQ127" s="130"/>
      <c r="BR127" s="130"/>
      <c r="BS127" s="113"/>
      <c r="BT127" s="113"/>
      <c r="BU127" s="113"/>
      <c r="BV127" s="113"/>
      <c r="BW127" s="113"/>
      <c r="BX127" s="113"/>
      <c r="BY127" s="113"/>
      <c r="BZ127" s="113"/>
      <c r="CA127" s="113"/>
      <c r="CB127" s="113"/>
      <c r="CC127" s="113"/>
      <c r="CD127" s="113"/>
      <c r="CE127" s="113"/>
      <c r="CF127" s="113"/>
      <c r="CG127" s="113"/>
      <c r="CH127" s="113"/>
      <c r="CI127" s="113"/>
      <c r="CJ127" s="113"/>
      <c r="CK127" s="113"/>
      <c r="CL127" s="113"/>
      <c r="CM127" s="113"/>
      <c r="CN127" s="113"/>
      <c r="CO127" s="113"/>
      <c r="CP127" s="113"/>
      <c r="CQ127" s="113"/>
      <c r="CR127" s="113"/>
      <c r="CS127" s="113"/>
      <c r="CT127" s="113"/>
      <c r="CU127" s="113"/>
      <c r="CV127" s="113"/>
    </row>
    <row r="128" spans="1:100" s="8" customFormat="1" hidden="1" x14ac:dyDescent="0.25">
      <c r="A128" s="68">
        <v>134</v>
      </c>
      <c r="B128" s="70" t="s">
        <v>2526</v>
      </c>
      <c r="C128" s="70" t="s">
        <v>2527</v>
      </c>
      <c r="D128" s="70" t="s">
        <v>3883</v>
      </c>
      <c r="E128" s="70"/>
      <c r="F128" s="70" t="s">
        <v>2528</v>
      </c>
      <c r="G128" s="70">
        <v>2016</v>
      </c>
      <c r="H128" s="70" t="s">
        <v>2529</v>
      </c>
      <c r="I128" s="78" t="s">
        <v>84</v>
      </c>
      <c r="J128" s="78" t="s">
        <v>80</v>
      </c>
      <c r="K128" s="78" t="s">
        <v>80</v>
      </c>
      <c r="L128" s="78" t="s">
        <v>80</v>
      </c>
      <c r="M128" s="70" t="s">
        <v>3882</v>
      </c>
      <c r="N128" s="70">
        <v>11</v>
      </c>
      <c r="O128" s="70">
        <v>4</v>
      </c>
      <c r="P128" s="90" t="s">
        <v>3348</v>
      </c>
      <c r="Q128" s="104" t="s">
        <v>3521</v>
      </c>
      <c r="R128" s="108" t="s">
        <v>3522</v>
      </c>
      <c r="S128" s="90" t="s">
        <v>3237</v>
      </c>
      <c r="T128" s="70" t="s">
        <v>0</v>
      </c>
      <c r="U128" s="70" t="s">
        <v>38</v>
      </c>
      <c r="V128" s="70" t="s">
        <v>69</v>
      </c>
      <c r="W128" s="70" t="s">
        <v>3280</v>
      </c>
      <c r="X128" s="70">
        <v>5</v>
      </c>
      <c r="Y128" s="70">
        <v>5</v>
      </c>
      <c r="Z128" s="70">
        <v>5</v>
      </c>
      <c r="AA128" s="70">
        <v>5</v>
      </c>
      <c r="AB128" s="70">
        <v>5</v>
      </c>
      <c r="AC128" s="70">
        <v>5</v>
      </c>
      <c r="AD12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28" s="70" t="s">
        <v>3523</v>
      </c>
      <c r="AF128" s="70"/>
      <c r="AG128" s="70"/>
      <c r="AH128" s="70"/>
      <c r="AI128" s="70"/>
      <c r="AJ128" s="70"/>
      <c r="AK128" s="70"/>
      <c r="AL128" s="70"/>
      <c r="AM128" s="70" t="s">
        <v>4122</v>
      </c>
      <c r="AN128" s="70"/>
      <c r="AO128" s="70"/>
      <c r="AP128" s="70"/>
      <c r="AQ128" s="70"/>
      <c r="AR128" s="70"/>
      <c r="AS128" s="70"/>
      <c r="AT128" s="70"/>
      <c r="AU128" s="70"/>
      <c r="AV128" s="70"/>
      <c r="AW128" s="70"/>
      <c r="AX128" s="70"/>
      <c r="AY128" s="70"/>
      <c r="AZ128" s="70"/>
      <c r="BA128" s="70" t="s">
        <v>4122</v>
      </c>
      <c r="BB128" s="70"/>
      <c r="BC128" s="70"/>
      <c r="BD128" s="70"/>
      <c r="BE128" s="70"/>
      <c r="BF128" s="70"/>
      <c r="BG128" s="70"/>
      <c r="BH128" s="130"/>
      <c r="BI128" s="130"/>
      <c r="BJ128" s="130"/>
      <c r="BK128" s="130"/>
      <c r="BL128" s="130"/>
      <c r="BM128" s="130"/>
      <c r="BN128" s="130"/>
      <c r="BO128" s="130"/>
      <c r="BP128" s="130" t="s">
        <v>4122</v>
      </c>
      <c r="BQ128" s="130"/>
      <c r="BR128" s="130"/>
      <c r="BS128" s="113"/>
      <c r="BT128" s="113"/>
      <c r="BU128" s="113"/>
      <c r="BV128" s="113"/>
      <c r="BW128" s="113"/>
      <c r="BX128" s="113"/>
      <c r="BY128" s="113"/>
      <c r="BZ128" s="113"/>
      <c r="CA128" s="113"/>
      <c r="CB128" s="113"/>
      <c r="CC128" s="113"/>
      <c r="CD128" s="113"/>
      <c r="CE128" s="113"/>
      <c r="CF128" s="113"/>
      <c r="CG128" s="113"/>
      <c r="CH128" s="113"/>
      <c r="CI128" s="113"/>
      <c r="CJ128" s="113"/>
      <c r="CK128" s="113"/>
      <c r="CL128" s="113"/>
      <c r="CM128" s="113"/>
      <c r="CN128" s="113"/>
      <c r="CO128" s="113"/>
      <c r="CP128" s="113"/>
      <c r="CQ128" s="113"/>
      <c r="CR128" s="113"/>
      <c r="CS128" s="113"/>
      <c r="CT128" s="113"/>
      <c r="CU128" s="113"/>
      <c r="CV128" s="113"/>
    </row>
    <row r="129" spans="1:100" s="8" customFormat="1" hidden="1" x14ac:dyDescent="0.25">
      <c r="A129" s="68">
        <v>156</v>
      </c>
      <c r="B129" s="70" t="s">
        <v>643</v>
      </c>
      <c r="C129" s="70" t="s">
        <v>644</v>
      </c>
      <c r="D129" s="70" t="s">
        <v>3917</v>
      </c>
      <c r="E129" s="70"/>
      <c r="F129" s="70" t="s">
        <v>645</v>
      </c>
      <c r="G129" s="70">
        <v>2017</v>
      </c>
      <c r="H129" s="70" t="s">
        <v>646</v>
      </c>
      <c r="I129" s="78" t="s">
        <v>4033</v>
      </c>
      <c r="J129" s="78" t="s">
        <v>4033</v>
      </c>
      <c r="K129" s="78" t="s">
        <v>80</v>
      </c>
      <c r="L129" s="78" t="s">
        <v>80</v>
      </c>
      <c r="M129" s="70" t="s">
        <v>3918</v>
      </c>
      <c r="N129" s="70">
        <v>2</v>
      </c>
      <c r="O129" s="70">
        <v>3</v>
      </c>
      <c r="P129" s="90" t="s">
        <v>3244</v>
      </c>
      <c r="Q129" s="104" t="s">
        <v>3560</v>
      </c>
      <c r="R129" s="108" t="s">
        <v>3454</v>
      </c>
      <c r="S129" s="90" t="s">
        <v>3239</v>
      </c>
      <c r="T129" s="70" t="s">
        <v>0</v>
      </c>
      <c r="U129" s="70" t="s">
        <v>38</v>
      </c>
      <c r="V129" s="70" t="s">
        <v>69</v>
      </c>
      <c r="W129" s="70" t="s">
        <v>3336</v>
      </c>
      <c r="X129" s="70">
        <v>5</v>
      </c>
      <c r="Y129" s="70">
        <v>5</v>
      </c>
      <c r="Z129" s="70">
        <v>5</v>
      </c>
      <c r="AA129" s="70">
        <v>5</v>
      </c>
      <c r="AB129" s="70">
        <v>5</v>
      </c>
      <c r="AC129" s="70">
        <v>5</v>
      </c>
      <c r="AD12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29" s="70" t="s">
        <v>3561</v>
      </c>
      <c r="AF129" s="70"/>
      <c r="AG129" s="70"/>
      <c r="AH129" s="70"/>
      <c r="AI129" s="70"/>
      <c r="AJ129" s="70"/>
      <c r="AK129" s="70" t="s">
        <v>4122</v>
      </c>
      <c r="AL129" s="70"/>
      <c r="AM129" s="70" t="s">
        <v>4122</v>
      </c>
      <c r="AN129" s="70"/>
      <c r="AO129" s="70"/>
      <c r="AP129" s="70"/>
      <c r="AQ129" s="70"/>
      <c r="AR129" s="70"/>
      <c r="AS129" s="70"/>
      <c r="AT129" s="70"/>
      <c r="AU129" s="70" t="s">
        <v>4122</v>
      </c>
      <c r="AV129" s="70"/>
      <c r="AW129" s="70"/>
      <c r="AX129" s="70"/>
      <c r="AY129" s="70"/>
      <c r="AZ129" s="70"/>
      <c r="BA129" s="70"/>
      <c r="BB129" s="70"/>
      <c r="BC129" s="70"/>
      <c r="BD129" s="70"/>
      <c r="BE129" s="70"/>
      <c r="BF129" s="70"/>
      <c r="BG129" s="70"/>
      <c r="BH129" s="130"/>
      <c r="BI129" s="130"/>
      <c r="BJ129" s="130"/>
      <c r="BK129" s="130"/>
      <c r="BL129" s="130"/>
      <c r="BM129" s="130" t="s">
        <v>4122</v>
      </c>
      <c r="BN129" s="130"/>
      <c r="BO129" s="130"/>
      <c r="BP129" s="130"/>
      <c r="BQ129" s="130"/>
      <c r="BR129" s="130"/>
      <c r="BS129" s="113"/>
      <c r="BT129" s="113"/>
      <c r="BU129" s="113"/>
      <c r="BV129" s="113"/>
      <c r="BW129" s="113"/>
      <c r="BX129" s="113"/>
      <c r="BY129" s="113"/>
      <c r="BZ129" s="113"/>
      <c r="CA129" s="113"/>
      <c r="CB129" s="113"/>
      <c r="CC129" s="113"/>
      <c r="CD129" s="113"/>
      <c r="CE129" s="113"/>
      <c r="CF129" s="113"/>
      <c r="CG129" s="113"/>
      <c r="CH129" s="113"/>
      <c r="CI129" s="113"/>
      <c r="CJ129" s="113"/>
      <c r="CK129" s="113"/>
      <c r="CL129" s="113"/>
      <c r="CM129" s="113"/>
      <c r="CN129" s="113"/>
      <c r="CO129" s="113"/>
      <c r="CP129" s="113"/>
      <c r="CQ129" s="113"/>
      <c r="CR129" s="113"/>
      <c r="CS129" s="113"/>
      <c r="CT129" s="113"/>
      <c r="CU129" s="113"/>
      <c r="CV129" s="113"/>
    </row>
    <row r="130" spans="1:100" s="8" customFormat="1" hidden="1" x14ac:dyDescent="0.25">
      <c r="A130" s="68">
        <v>214</v>
      </c>
      <c r="B130" s="70" t="s">
        <v>1484</v>
      </c>
      <c r="C130" s="70" t="s">
        <v>1485</v>
      </c>
      <c r="D130" s="70" t="s">
        <v>4002</v>
      </c>
      <c r="E130" s="70"/>
      <c r="F130" s="70" t="s">
        <v>1486</v>
      </c>
      <c r="G130" s="70">
        <v>2016</v>
      </c>
      <c r="H130" s="70" t="s">
        <v>1487</v>
      </c>
      <c r="I130" s="78" t="s">
        <v>80</v>
      </c>
      <c r="J130" s="78" t="s">
        <v>80</v>
      </c>
      <c r="K130" s="78" t="s">
        <v>80</v>
      </c>
      <c r="L130" s="78" t="s">
        <v>80</v>
      </c>
      <c r="M130" s="70" t="s">
        <v>4001</v>
      </c>
      <c r="N130" s="70">
        <v>2</v>
      </c>
      <c r="O130" s="70">
        <v>4</v>
      </c>
      <c r="P130" s="90" t="s">
        <v>3352</v>
      </c>
      <c r="Q130" s="104" t="s">
        <v>3624</v>
      </c>
      <c r="R130" s="108" t="s">
        <v>3617</v>
      </c>
      <c r="S130" s="90" t="s">
        <v>3586</v>
      </c>
      <c r="T130" s="70" t="s">
        <v>6</v>
      </c>
      <c r="U130" s="70" t="s">
        <v>3622</v>
      </c>
      <c r="V130" s="70" t="s">
        <v>69</v>
      </c>
      <c r="W130" s="70" t="s">
        <v>3336</v>
      </c>
      <c r="X130" s="70">
        <v>4</v>
      </c>
      <c r="Y130" s="70">
        <v>4</v>
      </c>
      <c r="Z130" s="70">
        <v>4</v>
      </c>
      <c r="AA130" s="70">
        <v>4</v>
      </c>
      <c r="AB130" s="70">
        <v>4</v>
      </c>
      <c r="AC130" s="70">
        <v>4</v>
      </c>
      <c r="AD13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30" s="70" t="s">
        <v>3335</v>
      </c>
      <c r="AF130" s="70"/>
      <c r="AG130" s="70"/>
      <c r="AH130" s="70"/>
      <c r="AI130" s="70"/>
      <c r="AJ130" s="70"/>
      <c r="AK130" s="70"/>
      <c r="AL130" s="70"/>
      <c r="AM130" s="70"/>
      <c r="AN130" s="70"/>
      <c r="AO130" s="70"/>
      <c r="AP130" s="70"/>
      <c r="AQ130" s="70"/>
      <c r="AR130" s="70"/>
      <c r="AS130" s="70" t="s">
        <v>4122</v>
      </c>
      <c r="AT130" s="70"/>
      <c r="AU130" s="70"/>
      <c r="AV130" s="70"/>
      <c r="AW130" s="70"/>
      <c r="AX130" s="70"/>
      <c r="AY130" s="70"/>
      <c r="AZ130" s="70" t="s">
        <v>4122</v>
      </c>
      <c r="BA130" s="70"/>
      <c r="BB130" s="70"/>
      <c r="BC130" s="70"/>
      <c r="BD130" s="70"/>
      <c r="BE130" s="70"/>
      <c r="BF130" s="70"/>
      <c r="BG130" s="70"/>
      <c r="BH130" s="130"/>
      <c r="BI130" s="130"/>
      <c r="BJ130" s="130"/>
      <c r="BK130" s="130" t="s">
        <v>4122</v>
      </c>
      <c r="BL130" s="130"/>
      <c r="BM130" s="130"/>
      <c r="BN130" s="130"/>
      <c r="BO130" s="130"/>
      <c r="BP130" s="130" t="s">
        <v>4122</v>
      </c>
      <c r="BQ130" s="130"/>
      <c r="BR130" s="130"/>
      <c r="BS130" s="113"/>
      <c r="BT130" s="113"/>
      <c r="BU130" s="113"/>
      <c r="BV130" s="113"/>
      <c r="BW130" s="113"/>
      <c r="BX130" s="113"/>
      <c r="BY130" s="113"/>
      <c r="BZ130" s="113"/>
      <c r="CA130" s="113"/>
      <c r="CB130" s="113"/>
      <c r="CC130" s="113"/>
      <c r="CD130" s="113"/>
      <c r="CE130" s="113"/>
      <c r="CF130" s="113"/>
      <c r="CG130" s="113"/>
      <c r="CH130" s="113"/>
      <c r="CI130" s="113"/>
      <c r="CJ130" s="113"/>
      <c r="CK130" s="113"/>
      <c r="CL130" s="113"/>
      <c r="CM130" s="113"/>
      <c r="CN130" s="113"/>
      <c r="CO130" s="113"/>
      <c r="CP130" s="113"/>
      <c r="CQ130" s="113"/>
      <c r="CR130" s="113"/>
      <c r="CS130" s="113"/>
      <c r="CT130" s="113"/>
      <c r="CU130" s="113"/>
      <c r="CV130" s="113"/>
    </row>
    <row r="131" spans="1:100" s="8" customFormat="1" hidden="1" x14ac:dyDescent="0.25">
      <c r="A131" s="68">
        <v>135</v>
      </c>
      <c r="B131" s="110" t="s">
        <v>2202</v>
      </c>
      <c r="C131" s="110" t="s">
        <v>2203</v>
      </c>
      <c r="D131" s="110" t="s">
        <v>3885</v>
      </c>
      <c r="E131" s="110"/>
      <c r="F131" s="110" t="s">
        <v>2204</v>
      </c>
      <c r="G131" s="110">
        <v>2013</v>
      </c>
      <c r="H131" s="110" t="s">
        <v>2205</v>
      </c>
      <c r="I131" s="111" t="s">
        <v>80</v>
      </c>
      <c r="J131" s="111" t="s">
        <v>80</v>
      </c>
      <c r="K131" s="111" t="s">
        <v>80</v>
      </c>
      <c r="L131" s="111" t="s">
        <v>80</v>
      </c>
      <c r="M131" s="110" t="s">
        <v>3884</v>
      </c>
      <c r="N131" s="110">
        <v>1</v>
      </c>
      <c r="O131" s="110">
        <v>3</v>
      </c>
      <c r="P131" s="110" t="s">
        <v>3244</v>
      </c>
      <c r="Q131" s="110" t="s">
        <v>3492</v>
      </c>
      <c r="R131" s="110" t="s">
        <v>3491</v>
      </c>
      <c r="S131" s="110" t="s">
        <v>3187</v>
      </c>
      <c r="T131" s="110" t="s">
        <v>0</v>
      </c>
      <c r="U131" s="110" t="s">
        <v>38</v>
      </c>
      <c r="V131" s="110" t="s">
        <v>69</v>
      </c>
      <c r="W131" s="110" t="s">
        <v>3336</v>
      </c>
      <c r="X131" s="110">
        <v>4</v>
      </c>
      <c r="Y131" s="110">
        <v>4</v>
      </c>
      <c r="Z131" s="110">
        <v>4</v>
      </c>
      <c r="AA131" s="110">
        <v>4</v>
      </c>
      <c r="AB131" s="110">
        <v>4</v>
      </c>
      <c r="AC131" s="110">
        <v>4</v>
      </c>
      <c r="AD131"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31" s="110" t="s">
        <v>3335</v>
      </c>
      <c r="AF131" s="70"/>
      <c r="AG131" s="70"/>
      <c r="AH131" s="70"/>
      <c r="AI131" s="70"/>
      <c r="AJ131" s="70"/>
      <c r="AK131" s="70"/>
      <c r="AL131" s="70"/>
      <c r="AM131" s="70" t="s">
        <v>4122</v>
      </c>
      <c r="AN131" s="70"/>
      <c r="AO131" s="70"/>
      <c r="AP131" s="70"/>
      <c r="AQ131" s="70"/>
      <c r="AR131" s="70"/>
      <c r="AS131" s="70"/>
      <c r="AT131" s="70"/>
      <c r="AU131" s="70"/>
      <c r="AV131" s="70"/>
      <c r="AW131" s="70"/>
      <c r="AX131" s="70"/>
      <c r="AY131" s="70"/>
      <c r="AZ131" s="70"/>
      <c r="BA131" s="70"/>
      <c r="BB131" s="70"/>
      <c r="BC131" s="70"/>
      <c r="BD131" s="70"/>
      <c r="BE131" s="70"/>
      <c r="BF131" s="70"/>
      <c r="BG131" s="70" t="s">
        <v>4122</v>
      </c>
      <c r="BH131" s="130"/>
      <c r="BI131" s="130"/>
      <c r="BJ131" s="130"/>
      <c r="BK131" s="130"/>
      <c r="BL131" s="130"/>
      <c r="BM131" s="130"/>
      <c r="BN131" s="130"/>
      <c r="BO131" s="130"/>
      <c r="BP131" s="130"/>
      <c r="BQ131" s="130"/>
      <c r="BR131" s="130" t="s">
        <v>4122</v>
      </c>
      <c r="BS131" s="113"/>
      <c r="BT131" s="113"/>
      <c r="BU131" s="113"/>
      <c r="BV131" s="113"/>
      <c r="BW131" s="113"/>
      <c r="BX131" s="113"/>
      <c r="BY131" s="113"/>
      <c r="BZ131" s="113"/>
      <c r="CA131" s="113"/>
      <c r="CB131" s="113"/>
      <c r="CC131" s="113"/>
      <c r="CD131" s="113"/>
      <c r="CE131" s="113"/>
      <c r="CF131" s="113"/>
      <c r="CG131" s="113"/>
      <c r="CH131" s="113"/>
      <c r="CI131" s="113"/>
      <c r="CJ131" s="113"/>
      <c r="CK131" s="113"/>
      <c r="CL131" s="113"/>
      <c r="CM131" s="113"/>
      <c r="CN131" s="113"/>
      <c r="CO131" s="113"/>
      <c r="CP131" s="113"/>
      <c r="CQ131" s="113"/>
      <c r="CR131" s="113"/>
      <c r="CS131" s="113"/>
      <c r="CT131" s="113"/>
      <c r="CU131" s="113"/>
      <c r="CV131" s="113"/>
    </row>
    <row r="132" spans="1:100" s="8" customFormat="1" ht="21.75" hidden="1" customHeight="1" x14ac:dyDescent="0.25">
      <c r="A132" s="68">
        <v>211</v>
      </c>
      <c r="B132" s="70" t="s">
        <v>2445</v>
      </c>
      <c r="C132" s="70" t="s">
        <v>2446</v>
      </c>
      <c r="D132" s="70" t="s">
        <v>962</v>
      </c>
      <c r="E132" s="70"/>
      <c r="F132" s="70" t="s">
        <v>2447</v>
      </c>
      <c r="G132" s="70">
        <v>2019</v>
      </c>
      <c r="H132" s="70" t="s">
        <v>2448</v>
      </c>
      <c r="I132" s="78" t="s">
        <v>80</v>
      </c>
      <c r="J132" s="78" t="s">
        <v>80</v>
      </c>
      <c r="K132" s="78">
        <v>4.54</v>
      </c>
      <c r="L132" s="78">
        <v>5</v>
      </c>
      <c r="M132" s="70" t="s">
        <v>3997</v>
      </c>
      <c r="N132" s="70">
        <v>2</v>
      </c>
      <c r="O132" s="70">
        <v>1</v>
      </c>
      <c r="P132" s="90" t="s">
        <v>3325</v>
      </c>
      <c r="Q132" s="104" t="s">
        <v>3182</v>
      </c>
      <c r="R132" s="108" t="s">
        <v>3209</v>
      </c>
      <c r="S132" s="90" t="s">
        <v>3234</v>
      </c>
      <c r="T132" s="70" t="s">
        <v>1</v>
      </c>
      <c r="U132" s="70" t="s">
        <v>42</v>
      </c>
      <c r="V132" s="70" t="s">
        <v>69</v>
      </c>
      <c r="W132" s="70" t="s">
        <v>3512</v>
      </c>
      <c r="X132" s="70">
        <v>3</v>
      </c>
      <c r="Y132" s="70">
        <v>3</v>
      </c>
      <c r="Z132" s="70">
        <v>3</v>
      </c>
      <c r="AA132" s="70">
        <v>3</v>
      </c>
      <c r="AB132" s="70">
        <v>3</v>
      </c>
      <c r="AC132" s="70">
        <v>3</v>
      </c>
      <c r="AD13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32" s="70" t="s">
        <v>3335</v>
      </c>
      <c r="AF132" s="70"/>
      <c r="AG132" s="70"/>
      <c r="AH132" s="70"/>
      <c r="AI132" s="70"/>
      <c r="AJ132" s="70"/>
      <c r="AK132" s="70"/>
      <c r="AL132" s="70"/>
      <c r="AM132" s="70"/>
      <c r="AN132" s="70"/>
      <c r="AO132" s="70"/>
      <c r="AP132" s="70"/>
      <c r="AQ132" s="70"/>
      <c r="AR132" s="70" t="s">
        <v>4122</v>
      </c>
      <c r="AS132" s="70"/>
      <c r="AT132" s="70"/>
      <c r="AU132" s="70"/>
      <c r="AV132" s="70"/>
      <c r="AW132" s="70"/>
      <c r="AX132" s="70"/>
      <c r="AY132" s="70"/>
      <c r="AZ132" s="70"/>
      <c r="BA132" s="70"/>
      <c r="BB132" s="70" t="s">
        <v>4122</v>
      </c>
      <c r="BC132" s="70"/>
      <c r="BD132" s="70"/>
      <c r="BE132" s="70"/>
      <c r="BF132" s="70"/>
      <c r="BG132" s="70"/>
      <c r="BH132" s="130"/>
      <c r="BI132" s="130"/>
      <c r="BJ132" s="130"/>
      <c r="BK132" s="130"/>
      <c r="BL132" s="130"/>
      <c r="BM132" s="130"/>
      <c r="BN132" s="130" t="s">
        <v>4122</v>
      </c>
      <c r="BO132" s="130"/>
      <c r="BP132" s="130"/>
      <c r="BQ132" s="130"/>
      <c r="BR132" s="130"/>
      <c r="BS132" s="113"/>
      <c r="BT132" s="113"/>
      <c r="BU132" s="113"/>
      <c r="BV132" s="113"/>
      <c r="BW132" s="113"/>
      <c r="BX132" s="113"/>
      <c r="BY132" s="113"/>
      <c r="BZ132" s="113"/>
      <c r="CA132" s="113"/>
      <c r="CB132" s="113"/>
      <c r="CC132" s="113"/>
      <c r="CD132" s="113"/>
      <c r="CE132" s="113"/>
      <c r="CF132" s="113"/>
      <c r="CG132" s="113"/>
      <c r="CH132" s="113"/>
      <c r="CI132" s="113"/>
      <c r="CJ132" s="113"/>
      <c r="CK132" s="113"/>
      <c r="CL132" s="113"/>
      <c r="CM132" s="113"/>
      <c r="CN132" s="113"/>
      <c r="CO132" s="113"/>
      <c r="CP132" s="113"/>
      <c r="CQ132" s="113"/>
      <c r="CR132" s="113"/>
      <c r="CS132" s="113"/>
      <c r="CT132" s="113"/>
      <c r="CU132" s="113"/>
      <c r="CV132" s="113"/>
    </row>
    <row r="133" spans="1:100" s="8" customFormat="1" hidden="1" x14ac:dyDescent="0.25">
      <c r="A133" s="68">
        <v>177</v>
      </c>
      <c r="B133" s="70" t="s">
        <v>692</v>
      </c>
      <c r="C133" s="70" t="s">
        <v>693</v>
      </c>
      <c r="D133" s="70" t="s">
        <v>3950</v>
      </c>
      <c r="E133" s="70"/>
      <c r="F133" s="70" t="s">
        <v>1622</v>
      </c>
      <c r="G133" s="70">
        <v>2019</v>
      </c>
      <c r="H133" s="70" t="s">
        <v>1623</v>
      </c>
      <c r="I133" s="78" t="s">
        <v>80</v>
      </c>
      <c r="J133" s="78" t="s">
        <v>88</v>
      </c>
      <c r="K133" s="78" t="s">
        <v>80</v>
      </c>
      <c r="L133" s="78" t="s">
        <v>80</v>
      </c>
      <c r="M133" s="70" t="s">
        <v>3949</v>
      </c>
      <c r="N133" s="70">
        <v>2</v>
      </c>
      <c r="O133" s="70">
        <v>5</v>
      </c>
      <c r="P133" s="90" t="s">
        <v>3598</v>
      </c>
      <c r="Q133" s="104" t="s">
        <v>3420</v>
      </c>
      <c r="R133" s="108" t="s">
        <v>3204</v>
      </c>
      <c r="S133" s="90" t="s">
        <v>3367</v>
      </c>
      <c r="T133" s="70" t="s">
        <v>0</v>
      </c>
      <c r="U133" s="70" t="s">
        <v>38</v>
      </c>
      <c r="V133" s="70" t="s">
        <v>69</v>
      </c>
      <c r="W133" s="70" t="s">
        <v>3512</v>
      </c>
      <c r="X133" s="70">
        <v>5</v>
      </c>
      <c r="Y133" s="70">
        <v>5</v>
      </c>
      <c r="Z133" s="70">
        <v>5</v>
      </c>
      <c r="AA133" s="70">
        <v>5</v>
      </c>
      <c r="AB133" s="70">
        <v>5</v>
      </c>
      <c r="AC133" s="70">
        <v>5</v>
      </c>
      <c r="AD13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33" s="70" t="s">
        <v>54</v>
      </c>
      <c r="AF133" s="70"/>
      <c r="AG133" s="70"/>
      <c r="AH133" s="70"/>
      <c r="AI133" s="70" t="s">
        <v>4122</v>
      </c>
      <c r="AJ133" s="70"/>
      <c r="AK133" s="70"/>
      <c r="AL133" s="70"/>
      <c r="AM133" s="70" t="s">
        <v>4122</v>
      </c>
      <c r="AN133" s="70"/>
      <c r="AO133" s="70"/>
      <c r="AP133" s="70"/>
      <c r="AQ133" s="70"/>
      <c r="AR133" s="70" t="s">
        <v>4122</v>
      </c>
      <c r="AS133" s="70"/>
      <c r="AT133" s="70"/>
      <c r="AU133" s="70"/>
      <c r="AV133" s="70"/>
      <c r="AW133" s="70"/>
      <c r="AX133" s="70"/>
      <c r="AY133" s="70"/>
      <c r="AZ133" s="70"/>
      <c r="BA133" s="70"/>
      <c r="BB133" s="70" t="s">
        <v>4122</v>
      </c>
      <c r="BC133" s="70"/>
      <c r="BD133" s="70"/>
      <c r="BE133" s="70"/>
      <c r="BF133" s="70"/>
      <c r="BG133" s="70"/>
      <c r="BH133" s="130"/>
      <c r="BI133" s="130"/>
      <c r="BJ133" s="130"/>
      <c r="BK133" s="130"/>
      <c r="BL133" s="130"/>
      <c r="BM133" s="130"/>
      <c r="BN133" s="130" t="s">
        <v>4122</v>
      </c>
      <c r="BO133" s="130"/>
      <c r="BP133" s="130"/>
      <c r="BQ133" s="130"/>
      <c r="BR133" s="130"/>
      <c r="BS133" s="113"/>
      <c r="BT133" s="113"/>
      <c r="BU133" s="113"/>
      <c r="BV133" s="113"/>
      <c r="BW133" s="113"/>
      <c r="BX133" s="113"/>
      <c r="BY133" s="113"/>
      <c r="BZ133" s="113"/>
      <c r="CA133" s="113"/>
      <c r="CB133" s="113"/>
      <c r="CC133" s="113"/>
      <c r="CD133" s="113"/>
      <c r="CE133" s="113"/>
      <c r="CF133" s="113"/>
      <c r="CG133" s="113"/>
      <c r="CH133" s="113"/>
      <c r="CI133" s="113"/>
      <c r="CJ133" s="113"/>
      <c r="CK133" s="113"/>
      <c r="CL133" s="113"/>
      <c r="CM133" s="113"/>
      <c r="CN133" s="113"/>
      <c r="CO133" s="113"/>
      <c r="CP133" s="113"/>
      <c r="CQ133" s="113"/>
      <c r="CR133" s="113"/>
      <c r="CS133" s="113"/>
      <c r="CT133" s="113"/>
      <c r="CU133" s="113"/>
      <c r="CV133" s="113"/>
    </row>
    <row r="134" spans="1:100" hidden="1" x14ac:dyDescent="0.25">
      <c r="A134" s="68">
        <v>208</v>
      </c>
      <c r="B134" s="110" t="s">
        <v>2473</v>
      </c>
      <c r="C134" s="110" t="s">
        <v>2474</v>
      </c>
      <c r="D134" s="110" t="s">
        <v>3994</v>
      </c>
      <c r="E134" s="110"/>
      <c r="F134" s="110" t="s">
        <v>2475</v>
      </c>
      <c r="G134" s="110">
        <v>2014</v>
      </c>
      <c r="H134" s="110" t="s">
        <v>2476</v>
      </c>
      <c r="I134" s="111" t="s">
        <v>80</v>
      </c>
      <c r="J134" s="111" t="s">
        <v>83</v>
      </c>
      <c r="K134" s="111" t="s">
        <v>80</v>
      </c>
      <c r="L134" s="111" t="s">
        <v>80</v>
      </c>
      <c r="M134" s="110" t="s">
        <v>3993</v>
      </c>
      <c r="N134" s="110">
        <v>2</v>
      </c>
      <c r="O134" s="110">
        <v>3</v>
      </c>
      <c r="P134" s="110" t="s">
        <v>3679</v>
      </c>
      <c r="Q134" s="110" t="s">
        <v>3289</v>
      </c>
      <c r="R134" s="110" t="s">
        <v>4134</v>
      </c>
      <c r="S134" s="110" t="s">
        <v>3312</v>
      </c>
      <c r="T134" s="110" t="s">
        <v>6</v>
      </c>
      <c r="U134" s="110" t="s">
        <v>41</v>
      </c>
      <c r="V134" s="110" t="s">
        <v>69</v>
      </c>
      <c r="W134" s="110" t="s">
        <v>3512</v>
      </c>
      <c r="X134" s="110">
        <v>3</v>
      </c>
      <c r="Y134" s="110">
        <v>3</v>
      </c>
      <c r="Z134" s="110">
        <v>3</v>
      </c>
      <c r="AA134" s="110">
        <v>3</v>
      </c>
      <c r="AB134" s="110">
        <v>3</v>
      </c>
      <c r="AC134" s="110">
        <v>3</v>
      </c>
      <c r="AD13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34" s="110" t="s">
        <v>57</v>
      </c>
      <c r="AF134" s="70"/>
      <c r="AG134" s="70"/>
      <c r="AH134" s="70"/>
      <c r="AI134" s="70"/>
      <c r="AJ134" s="70"/>
      <c r="AK134" s="70"/>
      <c r="AL134" s="70"/>
      <c r="AM134" s="70"/>
      <c r="AN134" s="70"/>
      <c r="AO134" s="70"/>
      <c r="AP134" s="70"/>
      <c r="AQ134" s="70" t="s">
        <v>4122</v>
      </c>
      <c r="AR134" s="70"/>
      <c r="AS134" s="70"/>
      <c r="AT134" s="70"/>
      <c r="AU134" s="70"/>
      <c r="AV134" s="70"/>
      <c r="AW134" s="70"/>
      <c r="AX134" s="70"/>
      <c r="AY134" s="70"/>
      <c r="AZ134" s="70"/>
      <c r="BA134" s="70"/>
      <c r="BB134" s="70" t="s">
        <v>4122</v>
      </c>
      <c r="BC134" s="70"/>
      <c r="BD134" s="70"/>
      <c r="BE134" s="70"/>
      <c r="BF134" s="70"/>
      <c r="BG134" s="70"/>
      <c r="BH134" s="130"/>
      <c r="BI134" s="130"/>
      <c r="BJ134" s="130" t="s">
        <v>4122</v>
      </c>
      <c r="BK134" s="130"/>
      <c r="BL134" s="130"/>
      <c r="BM134" s="130"/>
      <c r="BN134" s="130"/>
      <c r="BO134" s="130"/>
      <c r="BP134" s="130"/>
      <c r="BQ134" s="130"/>
      <c r="BR134" s="130"/>
    </row>
    <row r="135" spans="1:100" hidden="1" x14ac:dyDescent="0.25">
      <c r="A135" s="68">
        <v>27</v>
      </c>
      <c r="B135" s="70" t="s">
        <v>433</v>
      </c>
      <c r="C135" s="70" t="s">
        <v>434</v>
      </c>
      <c r="D135" s="70" t="s">
        <v>3712</v>
      </c>
      <c r="E135" s="70" t="s">
        <v>928</v>
      </c>
      <c r="F135" s="70" t="s">
        <v>435</v>
      </c>
      <c r="G135" s="70">
        <v>2015</v>
      </c>
      <c r="H135" s="70" t="s">
        <v>436</v>
      </c>
      <c r="I135" s="78" t="s">
        <v>80</v>
      </c>
      <c r="J135" s="78" t="s">
        <v>83</v>
      </c>
      <c r="K135" s="78" t="s">
        <v>80</v>
      </c>
      <c r="L135" s="78" t="s">
        <v>80</v>
      </c>
      <c r="M135" s="70" t="s">
        <v>3713</v>
      </c>
      <c r="N135" s="70">
        <v>1</v>
      </c>
      <c r="O135" s="70">
        <v>4</v>
      </c>
      <c r="P135" s="90" t="s">
        <v>3348</v>
      </c>
      <c r="Q135" s="104" t="s">
        <v>3199</v>
      </c>
      <c r="R135" s="108" t="s">
        <v>3209</v>
      </c>
      <c r="S135" s="90" t="s">
        <v>3232</v>
      </c>
      <c r="T135" s="70" t="s">
        <v>0</v>
      </c>
      <c r="U135" s="70" t="s">
        <v>38</v>
      </c>
      <c r="V135" s="70" t="s">
        <v>69</v>
      </c>
      <c r="W135" s="70" t="s">
        <v>3280</v>
      </c>
      <c r="X135" s="70">
        <v>5</v>
      </c>
      <c r="Y135" s="70">
        <v>4</v>
      </c>
      <c r="Z135" s="70">
        <v>4</v>
      </c>
      <c r="AA135" s="70">
        <v>4</v>
      </c>
      <c r="AB135" s="70">
        <v>4</v>
      </c>
      <c r="AC135" s="70">
        <v>4</v>
      </c>
      <c r="AD13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35" s="70" t="s">
        <v>3349</v>
      </c>
      <c r="AF135" s="70"/>
      <c r="AG135" s="70"/>
      <c r="AH135" s="70"/>
      <c r="AI135" s="70"/>
      <c r="AJ135" s="70" t="s">
        <v>4122</v>
      </c>
      <c r="AK135" s="70"/>
      <c r="AL135" s="70"/>
      <c r="AM135" s="70"/>
      <c r="AN135" s="70"/>
      <c r="AO135" s="70"/>
      <c r="AP135" s="70"/>
      <c r="AQ135" s="70"/>
      <c r="AR135" s="70"/>
      <c r="AS135" s="70"/>
      <c r="AT135" s="70"/>
      <c r="AU135" s="70"/>
      <c r="AV135" s="70"/>
      <c r="AW135" s="70"/>
      <c r="AX135" s="70"/>
      <c r="AY135" s="70"/>
      <c r="AZ135" s="70"/>
      <c r="BA135" s="70" t="s">
        <v>4122</v>
      </c>
      <c r="BB135" s="70"/>
      <c r="BC135" s="70"/>
      <c r="BD135" s="70"/>
      <c r="BE135" s="70"/>
      <c r="BF135" s="70"/>
      <c r="BG135" s="70"/>
      <c r="BH135" s="130"/>
      <c r="BI135" s="130"/>
      <c r="BJ135" s="130"/>
      <c r="BK135" s="130"/>
      <c r="BL135" s="130"/>
      <c r="BM135" s="130"/>
      <c r="BN135" s="130" t="s">
        <v>4122</v>
      </c>
      <c r="BO135" s="130"/>
      <c r="BP135" s="130"/>
      <c r="BQ135" s="130"/>
      <c r="BR135" s="130"/>
    </row>
    <row r="136" spans="1:100" hidden="1" x14ac:dyDescent="0.25">
      <c r="A136" s="68">
        <v>199</v>
      </c>
      <c r="B136" s="70" t="s">
        <v>2775</v>
      </c>
      <c r="C136" s="70" t="s">
        <v>2776</v>
      </c>
      <c r="D136" s="70" t="s">
        <v>29</v>
      </c>
      <c r="E136" s="70"/>
      <c r="F136" s="70" t="s">
        <v>2777</v>
      </c>
      <c r="G136" s="70">
        <v>2016</v>
      </c>
      <c r="H136" s="70" t="s">
        <v>2778</v>
      </c>
      <c r="I136" s="78" t="s">
        <v>80</v>
      </c>
      <c r="J136" s="78" t="s">
        <v>81</v>
      </c>
      <c r="K136" s="78" t="s">
        <v>80</v>
      </c>
      <c r="L136" s="78" t="s">
        <v>80</v>
      </c>
      <c r="M136" s="70" t="s">
        <v>3980</v>
      </c>
      <c r="N136" s="70">
        <v>2</v>
      </c>
      <c r="O136" s="70">
        <v>3</v>
      </c>
      <c r="P136" s="90" t="s">
        <v>3244</v>
      </c>
      <c r="Q136" s="104" t="s">
        <v>3612</v>
      </c>
      <c r="R136" s="108" t="s">
        <v>3279</v>
      </c>
      <c r="S136" s="90" t="s">
        <v>3239</v>
      </c>
      <c r="T136" s="70" t="s">
        <v>0</v>
      </c>
      <c r="U136" s="70" t="s">
        <v>38</v>
      </c>
      <c r="V136" s="70" t="s">
        <v>69</v>
      </c>
      <c r="W136" s="70" t="s">
        <v>3512</v>
      </c>
      <c r="X136" s="70">
        <v>5</v>
      </c>
      <c r="Y136" s="70">
        <v>5</v>
      </c>
      <c r="Z136" s="70">
        <v>5</v>
      </c>
      <c r="AA136" s="70">
        <v>5</v>
      </c>
      <c r="AB136" s="70">
        <v>5</v>
      </c>
      <c r="AC136" s="70">
        <v>5</v>
      </c>
      <c r="AD13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36" s="70" t="s">
        <v>58</v>
      </c>
      <c r="AF136" s="70"/>
      <c r="AG136" s="70"/>
      <c r="AH136" s="70" t="s">
        <v>4122</v>
      </c>
      <c r="AI136" s="70"/>
      <c r="AJ136" s="70"/>
      <c r="AK136" s="70"/>
      <c r="AL136" s="70"/>
      <c r="AM136" s="70"/>
      <c r="AN136" s="70"/>
      <c r="AO136" s="70"/>
      <c r="AP136" s="70" t="s">
        <v>4122</v>
      </c>
      <c r="AQ136" s="70"/>
      <c r="AR136" s="70"/>
      <c r="AS136" s="70"/>
      <c r="AT136" s="70"/>
      <c r="AU136" s="70"/>
      <c r="AV136" s="70"/>
      <c r="AW136" s="70"/>
      <c r="AX136" s="70"/>
      <c r="AY136" s="70"/>
      <c r="AZ136" s="70"/>
      <c r="BA136" s="70"/>
      <c r="BB136" s="70"/>
      <c r="BC136" s="70"/>
      <c r="BD136" s="70"/>
      <c r="BE136" s="70" t="s">
        <v>4122</v>
      </c>
      <c r="BF136" s="70"/>
      <c r="BG136" s="70"/>
      <c r="BH136" s="130"/>
      <c r="BI136" s="130"/>
      <c r="BJ136" s="130"/>
      <c r="BK136" s="130"/>
      <c r="BL136" s="130"/>
      <c r="BM136" s="130"/>
      <c r="BN136" s="130"/>
      <c r="BO136" s="130" t="s">
        <v>4122</v>
      </c>
      <c r="BP136" s="130"/>
      <c r="BQ136" s="130"/>
      <c r="BR136" s="130"/>
    </row>
    <row r="137" spans="1:100" hidden="1" x14ac:dyDescent="0.25">
      <c r="A137" s="68">
        <v>161</v>
      </c>
      <c r="B137" s="70" t="s">
        <v>1845</v>
      </c>
      <c r="C137" s="70" t="s">
        <v>1846</v>
      </c>
      <c r="D137" s="70" t="s">
        <v>3927</v>
      </c>
      <c r="E137" s="70"/>
      <c r="F137" s="70" t="s">
        <v>1847</v>
      </c>
      <c r="G137" s="70">
        <v>2016</v>
      </c>
      <c r="H137" s="70" t="s">
        <v>1848</v>
      </c>
      <c r="I137" s="78" t="s">
        <v>80</v>
      </c>
      <c r="J137" s="78" t="s">
        <v>83</v>
      </c>
      <c r="K137" s="78" t="s">
        <v>80</v>
      </c>
      <c r="L137" s="78" t="s">
        <v>80</v>
      </c>
      <c r="M137" s="70" t="s">
        <v>3926</v>
      </c>
      <c r="N137" s="70">
        <v>2</v>
      </c>
      <c r="O137" s="70">
        <v>5</v>
      </c>
      <c r="P137" s="90" t="s">
        <v>3385</v>
      </c>
      <c r="Q137" s="104" t="s">
        <v>3372</v>
      </c>
      <c r="R137" s="108" t="s">
        <v>3316</v>
      </c>
      <c r="S137" s="90" t="s">
        <v>3312</v>
      </c>
      <c r="T137" s="70" t="s">
        <v>0</v>
      </c>
      <c r="U137" s="70" t="s">
        <v>38</v>
      </c>
      <c r="V137" s="70" t="s">
        <v>69</v>
      </c>
      <c r="W137" s="70" t="s">
        <v>3336</v>
      </c>
      <c r="X137" s="70">
        <v>5</v>
      </c>
      <c r="Y137" s="70">
        <v>5</v>
      </c>
      <c r="Z137" s="70">
        <v>5</v>
      </c>
      <c r="AA137" s="70">
        <v>5</v>
      </c>
      <c r="AB137" s="70">
        <v>5</v>
      </c>
      <c r="AC137" s="70">
        <v>5</v>
      </c>
      <c r="AD13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37" s="70" t="s">
        <v>3315</v>
      </c>
      <c r="AF137" s="70"/>
      <c r="AG137" s="70"/>
      <c r="AH137" s="70"/>
      <c r="AI137" s="70"/>
      <c r="AJ137" s="70"/>
      <c r="AK137" s="70"/>
      <c r="AL137" s="70" t="s">
        <v>4122</v>
      </c>
      <c r="AM137" s="70" t="s">
        <v>4122</v>
      </c>
      <c r="AN137" s="70"/>
      <c r="AO137" s="70"/>
      <c r="AP137" s="70"/>
      <c r="AQ137" s="70"/>
      <c r="AR137" s="70"/>
      <c r="AS137" s="70"/>
      <c r="AT137" s="70"/>
      <c r="AU137" s="70"/>
      <c r="AV137" s="70"/>
      <c r="AW137" s="70"/>
      <c r="AX137" s="70"/>
      <c r="AY137" s="70"/>
      <c r="AZ137" s="70"/>
      <c r="BA137" s="70"/>
      <c r="BB137" s="70" t="s">
        <v>4122</v>
      </c>
      <c r="BC137" s="70"/>
      <c r="BD137" s="70"/>
      <c r="BE137" s="70"/>
      <c r="BF137" s="70"/>
      <c r="BG137" s="70"/>
      <c r="BH137" s="130"/>
      <c r="BI137" s="130"/>
      <c r="BJ137" s="130"/>
      <c r="BK137" s="130"/>
      <c r="BL137" s="130"/>
      <c r="BM137" s="130"/>
      <c r="BN137" s="130" t="s">
        <v>4122</v>
      </c>
      <c r="BO137" s="130"/>
      <c r="BP137" s="130"/>
      <c r="BQ137" s="130"/>
      <c r="BR137" s="130"/>
    </row>
    <row r="138" spans="1:100" hidden="1" x14ac:dyDescent="0.25">
      <c r="A138" s="68">
        <v>209</v>
      </c>
      <c r="B138" s="70" t="s">
        <v>775</v>
      </c>
      <c r="C138" s="70" t="s">
        <v>1636</v>
      </c>
      <c r="D138" s="70" t="s">
        <v>1637</v>
      </c>
      <c r="E138" s="70"/>
      <c r="F138" s="70" t="s">
        <v>1638</v>
      </c>
      <c r="G138" s="70">
        <v>2018</v>
      </c>
      <c r="H138" s="70" t="s">
        <v>1639</v>
      </c>
      <c r="I138" s="78" t="s">
        <v>80</v>
      </c>
      <c r="J138" s="78" t="s">
        <v>80</v>
      </c>
      <c r="K138" s="78">
        <v>0.35</v>
      </c>
      <c r="L138" s="78">
        <v>4</v>
      </c>
      <c r="M138" s="70" t="s">
        <v>3995</v>
      </c>
      <c r="N138" s="70">
        <v>2</v>
      </c>
      <c r="O138" s="70">
        <v>4</v>
      </c>
      <c r="P138" s="90" t="s">
        <v>3555</v>
      </c>
      <c r="Q138" s="104" t="s">
        <v>3174</v>
      </c>
      <c r="R138" s="108" t="s">
        <v>3361</v>
      </c>
      <c r="S138" s="90" t="s">
        <v>3623</v>
      </c>
      <c r="T138" s="70" t="s">
        <v>1</v>
      </c>
      <c r="U138" s="70" t="s">
        <v>38</v>
      </c>
      <c r="V138" s="70" t="s">
        <v>69</v>
      </c>
      <c r="W138" s="70" t="s">
        <v>3296</v>
      </c>
      <c r="X138" s="70">
        <v>4</v>
      </c>
      <c r="Y138" s="70">
        <v>4</v>
      </c>
      <c r="Z138" s="70">
        <v>4</v>
      </c>
      <c r="AA138" s="70">
        <v>4</v>
      </c>
      <c r="AB138" s="70">
        <v>4</v>
      </c>
      <c r="AC138" s="70">
        <v>4</v>
      </c>
      <c r="AD13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38" s="70" t="s">
        <v>3317</v>
      </c>
      <c r="AF138" s="70"/>
      <c r="AG138" s="70"/>
      <c r="AH138" s="70"/>
      <c r="AI138" s="70"/>
      <c r="AJ138" s="70"/>
      <c r="AK138" s="70"/>
      <c r="AL138" s="70"/>
      <c r="AM138" s="70"/>
      <c r="AN138" s="70"/>
      <c r="AO138" s="70"/>
      <c r="AP138" s="70"/>
      <c r="AQ138" s="70" t="s">
        <v>4122</v>
      </c>
      <c r="AR138" s="70"/>
      <c r="AS138" s="70"/>
      <c r="AT138" s="70"/>
      <c r="AU138" s="70"/>
      <c r="AV138" s="70"/>
      <c r="AW138" s="70" t="s">
        <v>4122</v>
      </c>
      <c r="AX138" s="70"/>
      <c r="AY138" s="70"/>
      <c r="AZ138" s="70"/>
      <c r="BA138" s="70"/>
      <c r="BB138" s="70"/>
      <c r="BC138" s="70"/>
      <c r="BD138" s="70"/>
      <c r="BE138" s="70"/>
      <c r="BF138" s="70"/>
      <c r="BG138" s="70"/>
      <c r="BH138" s="130"/>
      <c r="BI138" s="130"/>
      <c r="BJ138" s="130"/>
      <c r="BK138" s="130"/>
      <c r="BL138" s="130"/>
      <c r="BM138" s="130"/>
      <c r="BN138" s="130" t="s">
        <v>4122</v>
      </c>
      <c r="BO138" s="130"/>
      <c r="BP138" s="130"/>
      <c r="BQ138" s="130"/>
      <c r="BR138" s="130"/>
    </row>
    <row r="139" spans="1:100" hidden="1" x14ac:dyDescent="0.25">
      <c r="A139" s="68">
        <v>136</v>
      </c>
      <c r="B139" s="70" t="s">
        <v>2377</v>
      </c>
      <c r="C139" s="70" t="s">
        <v>2378</v>
      </c>
      <c r="D139" s="70" t="s">
        <v>1300</v>
      </c>
      <c r="E139" s="70"/>
      <c r="F139" s="70" t="s">
        <v>2379</v>
      </c>
      <c r="G139" s="70">
        <v>2017</v>
      </c>
      <c r="H139" s="70" t="s">
        <v>2380</v>
      </c>
      <c r="I139" s="78" t="s">
        <v>80</v>
      </c>
      <c r="J139" s="78" t="s">
        <v>80</v>
      </c>
      <c r="K139" s="78">
        <v>0.28000000000000003</v>
      </c>
      <c r="L139" s="78">
        <v>3</v>
      </c>
      <c r="M139" s="70" t="s">
        <v>3886</v>
      </c>
      <c r="N139" s="70">
        <v>5</v>
      </c>
      <c r="O139" s="70">
        <v>5</v>
      </c>
      <c r="P139" s="90" t="s">
        <v>3370</v>
      </c>
      <c r="Q139" s="104" t="s">
        <v>3256</v>
      </c>
      <c r="R139" s="108" t="s">
        <v>3279</v>
      </c>
      <c r="S139" s="90" t="s">
        <v>3524</v>
      </c>
      <c r="T139" s="70" t="s">
        <v>1</v>
      </c>
      <c r="U139" s="70" t="s">
        <v>38</v>
      </c>
      <c r="V139" s="70" t="s">
        <v>69</v>
      </c>
      <c r="W139" s="70" t="s">
        <v>3336</v>
      </c>
      <c r="X139" s="70">
        <v>5</v>
      </c>
      <c r="Y139" s="70">
        <v>5</v>
      </c>
      <c r="Z139" s="70">
        <v>5</v>
      </c>
      <c r="AA139" s="70">
        <v>5</v>
      </c>
      <c r="AB139" s="70">
        <v>5</v>
      </c>
      <c r="AC139" s="70">
        <v>5</v>
      </c>
      <c r="AD13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39" s="70" t="s">
        <v>3525</v>
      </c>
      <c r="AF139" s="70"/>
      <c r="AG139" s="70"/>
      <c r="AH139" s="70"/>
      <c r="AI139" s="70"/>
      <c r="AJ139" s="70"/>
      <c r="AK139" s="70"/>
      <c r="AL139" s="70"/>
      <c r="AM139" s="70" t="s">
        <v>4122</v>
      </c>
      <c r="AN139" s="70"/>
      <c r="AO139" s="70"/>
      <c r="AP139" s="70"/>
      <c r="AQ139" s="70"/>
      <c r="AR139" s="70"/>
      <c r="AS139" s="70"/>
      <c r="AT139" s="70"/>
      <c r="AU139" s="70"/>
      <c r="AV139" s="70" t="s">
        <v>4122</v>
      </c>
      <c r="AW139" s="70"/>
      <c r="AX139" s="70"/>
      <c r="AY139" s="70"/>
      <c r="AZ139" s="70"/>
      <c r="BA139" s="70"/>
      <c r="BB139" s="70"/>
      <c r="BC139" s="70"/>
      <c r="BD139" s="70"/>
      <c r="BE139" s="70"/>
      <c r="BF139" s="70"/>
      <c r="BG139" s="70"/>
      <c r="BH139" s="130"/>
      <c r="BI139" s="130"/>
      <c r="BJ139" s="130"/>
      <c r="BK139" s="130"/>
      <c r="BL139" s="130"/>
      <c r="BM139" s="130"/>
      <c r="BN139" s="130"/>
      <c r="BO139" s="130" t="s">
        <v>4122</v>
      </c>
      <c r="BP139" s="130"/>
      <c r="BQ139" s="130"/>
      <c r="BR139" s="130"/>
    </row>
    <row r="140" spans="1:100" hidden="1" x14ac:dyDescent="0.25">
      <c r="A140" s="68">
        <v>137</v>
      </c>
      <c r="B140" s="110" t="s">
        <v>604</v>
      </c>
      <c r="C140" s="110" t="s">
        <v>1658</v>
      </c>
      <c r="D140" s="110" t="s">
        <v>3889</v>
      </c>
      <c r="E140" s="110"/>
      <c r="F140" s="110" t="s">
        <v>1659</v>
      </c>
      <c r="G140" s="110">
        <v>2017</v>
      </c>
      <c r="H140" s="110" t="s">
        <v>1660</v>
      </c>
      <c r="I140" s="111" t="s">
        <v>84</v>
      </c>
      <c r="J140" s="111" t="s">
        <v>80</v>
      </c>
      <c r="K140" s="111" t="s">
        <v>80</v>
      </c>
      <c r="L140" s="111" t="s">
        <v>80</v>
      </c>
      <c r="M140" s="110" t="s">
        <v>3890</v>
      </c>
      <c r="N140" s="110">
        <v>0</v>
      </c>
      <c r="O140" s="110">
        <v>5</v>
      </c>
      <c r="P140" s="110" t="s">
        <v>3385</v>
      </c>
      <c r="Q140" s="110" t="s">
        <v>3526</v>
      </c>
      <c r="R140" s="110" t="s">
        <v>3253</v>
      </c>
      <c r="S140" s="110" t="s">
        <v>3237</v>
      </c>
      <c r="T140" s="110" t="s">
        <v>0</v>
      </c>
      <c r="U140" s="110" t="s">
        <v>38</v>
      </c>
      <c r="V140" s="110" t="s">
        <v>69</v>
      </c>
      <c r="W140" s="110" t="s">
        <v>3336</v>
      </c>
      <c r="X140" s="110">
        <v>5</v>
      </c>
      <c r="Y140" s="110">
        <v>5</v>
      </c>
      <c r="Z140" s="110">
        <v>2</v>
      </c>
      <c r="AA140" s="110">
        <v>5</v>
      </c>
      <c r="AB140" s="110">
        <v>5</v>
      </c>
      <c r="AC140" s="110">
        <v>2</v>
      </c>
      <c r="AD140"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40" s="110" t="s">
        <v>3315</v>
      </c>
      <c r="AF140" s="70"/>
      <c r="AG140" s="70"/>
      <c r="AH140" s="70"/>
      <c r="AI140" s="70"/>
      <c r="AJ140" s="70"/>
      <c r="AK140" s="70"/>
      <c r="AL140" s="70"/>
      <c r="AM140" s="70" t="s">
        <v>4122</v>
      </c>
      <c r="AN140" s="70"/>
      <c r="AO140" s="70"/>
      <c r="AP140" s="70"/>
      <c r="AQ140" s="70"/>
      <c r="AR140" s="70"/>
      <c r="AS140" s="70"/>
      <c r="AT140" s="70"/>
      <c r="AU140" s="70"/>
      <c r="AV140" s="70"/>
      <c r="AW140" s="70"/>
      <c r="AX140" s="70"/>
      <c r="AY140" s="70"/>
      <c r="AZ140" s="70" t="s">
        <v>4122</v>
      </c>
      <c r="BA140" s="70"/>
      <c r="BB140" s="70"/>
      <c r="BC140" s="70"/>
      <c r="BD140" s="70"/>
      <c r="BE140" s="70"/>
      <c r="BF140" s="70"/>
      <c r="BG140" s="70"/>
      <c r="BH140" s="130" t="s">
        <v>4122</v>
      </c>
      <c r="BI140" s="130"/>
      <c r="BJ140" s="130"/>
      <c r="BK140" s="130"/>
      <c r="BL140" s="130"/>
      <c r="BM140" s="130"/>
      <c r="BN140" s="130"/>
      <c r="BO140" s="130"/>
      <c r="BP140" s="130"/>
      <c r="BQ140" s="130"/>
      <c r="BR140" s="130"/>
    </row>
    <row r="141" spans="1:100" hidden="1" x14ac:dyDescent="0.25">
      <c r="A141" s="68">
        <v>203</v>
      </c>
      <c r="B141" s="70" t="s">
        <v>1992</v>
      </c>
      <c r="C141" s="70" t="s">
        <v>1993</v>
      </c>
      <c r="D141" s="70" t="s">
        <v>24</v>
      </c>
      <c r="E141" s="70"/>
      <c r="F141" s="70" t="s">
        <v>1994</v>
      </c>
      <c r="G141" s="70">
        <v>2019</v>
      </c>
      <c r="H141" s="70" t="s">
        <v>1995</v>
      </c>
      <c r="I141" s="78" t="s">
        <v>80</v>
      </c>
      <c r="J141" s="78" t="s">
        <v>80</v>
      </c>
      <c r="K141" s="78">
        <v>0.62</v>
      </c>
      <c r="L141" s="78">
        <v>4</v>
      </c>
      <c r="M141" s="70" t="s">
        <v>3986</v>
      </c>
      <c r="N141" s="70">
        <v>0</v>
      </c>
      <c r="O141" s="70">
        <v>5</v>
      </c>
      <c r="P141" s="90" t="s">
        <v>3385</v>
      </c>
      <c r="Q141" s="104" t="s">
        <v>3521</v>
      </c>
      <c r="R141" s="108" t="s">
        <v>3617</v>
      </c>
      <c r="S141" s="90" t="s">
        <v>3524</v>
      </c>
      <c r="T141" s="70" t="s">
        <v>0</v>
      </c>
      <c r="U141" s="70" t="s">
        <v>38</v>
      </c>
      <c r="V141" s="70" t="s">
        <v>69</v>
      </c>
      <c r="W141" s="70" t="s">
        <v>3336</v>
      </c>
      <c r="X141" s="70">
        <v>5</v>
      </c>
      <c r="Y141" s="70">
        <v>4</v>
      </c>
      <c r="Z141" s="70">
        <v>4</v>
      </c>
      <c r="AA141" s="70">
        <v>4</v>
      </c>
      <c r="AB141" s="70">
        <v>4</v>
      </c>
      <c r="AC141" s="70">
        <v>4</v>
      </c>
      <c r="AD14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41" s="70" t="s">
        <v>3335</v>
      </c>
      <c r="AF141" s="70"/>
      <c r="AG141" s="70"/>
      <c r="AH141" s="70"/>
      <c r="AI141" s="70"/>
      <c r="AJ141" s="70" t="s">
        <v>4122</v>
      </c>
      <c r="AK141" s="70" t="s">
        <v>4122</v>
      </c>
      <c r="AL141" s="70"/>
      <c r="AM141" s="70" t="s">
        <v>4122</v>
      </c>
      <c r="AN141" s="70"/>
      <c r="AO141" s="70"/>
      <c r="AP141" s="70"/>
      <c r="AQ141" s="70"/>
      <c r="AR141" s="70"/>
      <c r="AS141" s="70"/>
      <c r="AT141" s="70"/>
      <c r="AU141" s="70"/>
      <c r="AV141" s="70"/>
      <c r="AW141" s="70"/>
      <c r="AX141" s="70"/>
      <c r="AY141" s="70"/>
      <c r="AZ141" s="70"/>
      <c r="BA141" s="70" t="s">
        <v>4122</v>
      </c>
      <c r="BB141" s="70"/>
      <c r="BC141" s="70"/>
      <c r="BD141" s="70"/>
      <c r="BE141" s="70"/>
      <c r="BF141" s="70"/>
      <c r="BG141" s="70"/>
      <c r="BH141" s="130"/>
      <c r="BI141" s="130"/>
      <c r="BJ141" s="130"/>
      <c r="BK141" s="130" t="s">
        <v>4122</v>
      </c>
      <c r="BL141" s="130"/>
      <c r="BM141" s="130"/>
      <c r="BN141" s="130"/>
      <c r="BO141" s="130"/>
      <c r="BP141" s="130" t="s">
        <v>4122</v>
      </c>
      <c r="BQ141" s="130"/>
      <c r="BR141" s="130"/>
    </row>
    <row r="142" spans="1:100" ht="60" hidden="1" x14ac:dyDescent="0.25">
      <c r="A142" s="68">
        <v>124</v>
      </c>
      <c r="B142" s="70" t="s">
        <v>1737</v>
      </c>
      <c r="C142" s="70" t="s">
        <v>1738</v>
      </c>
      <c r="D142" s="70" t="s">
        <v>1300</v>
      </c>
      <c r="E142" s="70"/>
      <c r="F142" s="70" t="s">
        <v>1739</v>
      </c>
      <c r="G142" s="70">
        <v>2017</v>
      </c>
      <c r="H142" s="70" t="s">
        <v>1740</v>
      </c>
      <c r="I142" s="78" t="s">
        <v>80</v>
      </c>
      <c r="J142" s="78" t="s">
        <v>80</v>
      </c>
      <c r="K142" s="78">
        <v>0.28000000000000003</v>
      </c>
      <c r="L142" s="78">
        <v>3</v>
      </c>
      <c r="M142" s="70" t="s">
        <v>3866</v>
      </c>
      <c r="N142" s="70">
        <v>2</v>
      </c>
      <c r="O142" s="70">
        <v>5</v>
      </c>
      <c r="P142" s="90" t="s">
        <v>3157</v>
      </c>
      <c r="Q142" s="104" t="s">
        <v>3502</v>
      </c>
      <c r="R142" s="109" t="s">
        <v>3500</v>
      </c>
      <c r="S142" s="90" t="s">
        <v>3243</v>
      </c>
      <c r="T142" s="70" t="s">
        <v>1</v>
      </c>
      <c r="U142" s="70" t="s">
        <v>38</v>
      </c>
      <c r="V142" s="70" t="s">
        <v>69</v>
      </c>
      <c r="W142" s="70" t="s">
        <v>3336</v>
      </c>
      <c r="X142" s="70">
        <v>5</v>
      </c>
      <c r="Y142" s="70">
        <v>5</v>
      </c>
      <c r="Z142" s="70">
        <v>5</v>
      </c>
      <c r="AA142" s="70">
        <v>5</v>
      </c>
      <c r="AB142" s="70">
        <v>5</v>
      </c>
      <c r="AC142" s="70">
        <v>5</v>
      </c>
      <c r="AD14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42" s="70" t="s">
        <v>3501</v>
      </c>
      <c r="AF142" s="70"/>
      <c r="AG142" s="70"/>
      <c r="AH142" s="70"/>
      <c r="AI142" s="70"/>
      <c r="AJ142" s="70"/>
      <c r="AK142" s="70"/>
      <c r="AL142" s="70"/>
      <c r="AM142" s="70" t="s">
        <v>4122</v>
      </c>
      <c r="AN142" s="70"/>
      <c r="AO142" s="70"/>
      <c r="AP142" s="70"/>
      <c r="AQ142" s="70"/>
      <c r="AR142" s="70"/>
      <c r="AS142" s="70"/>
      <c r="AT142" s="70"/>
      <c r="AU142" s="70"/>
      <c r="AV142" s="70" t="s">
        <v>4122</v>
      </c>
      <c r="AW142" s="70"/>
      <c r="AX142" s="70"/>
      <c r="AY142" s="70"/>
      <c r="AZ142" s="70"/>
      <c r="BA142" s="70"/>
      <c r="BB142" s="70"/>
      <c r="BC142" s="70"/>
      <c r="BD142" s="70"/>
      <c r="BE142" s="70"/>
      <c r="BF142" s="70"/>
      <c r="BG142" s="70"/>
      <c r="BH142" s="130"/>
      <c r="BI142" s="130"/>
      <c r="BJ142" s="130"/>
      <c r="BK142" s="130"/>
      <c r="BL142" s="130"/>
      <c r="BM142" s="130" t="s">
        <v>4122</v>
      </c>
      <c r="BN142" s="130"/>
      <c r="BO142" s="130"/>
      <c r="BP142" s="130"/>
      <c r="BQ142" s="130"/>
      <c r="BR142" s="130"/>
    </row>
    <row r="143" spans="1:100" hidden="1" x14ac:dyDescent="0.25">
      <c r="A143" s="68">
        <v>111</v>
      </c>
      <c r="B143" s="70" t="s">
        <v>551</v>
      </c>
      <c r="C143" s="70" t="s">
        <v>552</v>
      </c>
      <c r="D143" s="70" t="s">
        <v>3849</v>
      </c>
      <c r="E143" s="70"/>
      <c r="F143" s="70" t="s">
        <v>553</v>
      </c>
      <c r="G143" s="70">
        <v>2014</v>
      </c>
      <c r="H143" s="70" t="s">
        <v>554</v>
      </c>
      <c r="I143" s="78" t="s">
        <v>82</v>
      </c>
      <c r="J143" s="78" t="s">
        <v>80</v>
      </c>
      <c r="K143" s="78" t="s">
        <v>80</v>
      </c>
      <c r="L143" s="78" t="s">
        <v>80</v>
      </c>
      <c r="M143" s="70" t="s">
        <v>3848</v>
      </c>
      <c r="N143" s="70">
        <v>2</v>
      </c>
      <c r="O143" s="70">
        <v>5</v>
      </c>
      <c r="P143" s="90" t="s">
        <v>3409</v>
      </c>
      <c r="Q143" s="104" t="s">
        <v>3275</v>
      </c>
      <c r="R143" s="108" t="s">
        <v>3316</v>
      </c>
      <c r="S143" s="90" t="s">
        <v>3243</v>
      </c>
      <c r="T143" s="70" t="s">
        <v>0</v>
      </c>
      <c r="U143" s="70" t="s">
        <v>38</v>
      </c>
      <c r="V143" s="70" t="s">
        <v>69</v>
      </c>
      <c r="W143" s="70" t="s">
        <v>3336</v>
      </c>
      <c r="X143" s="70">
        <v>5</v>
      </c>
      <c r="Y143" s="70">
        <v>5</v>
      </c>
      <c r="Z143" s="70">
        <v>3</v>
      </c>
      <c r="AA143" s="70">
        <v>5</v>
      </c>
      <c r="AB143" s="70">
        <v>5</v>
      </c>
      <c r="AC143" s="70">
        <v>3</v>
      </c>
      <c r="AD14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43" s="70" t="s">
        <v>3483</v>
      </c>
      <c r="AF143" s="70"/>
      <c r="AG143" s="70"/>
      <c r="AH143" s="70"/>
      <c r="AI143" s="70"/>
      <c r="AJ143" s="70"/>
      <c r="AK143" s="70"/>
      <c r="AL143" s="70"/>
      <c r="AM143" s="70" t="s">
        <v>4122</v>
      </c>
      <c r="AN143" s="70"/>
      <c r="AO143" s="70"/>
      <c r="AP143" s="70"/>
      <c r="AQ143" s="70"/>
      <c r="AR143" s="70"/>
      <c r="AS143" s="70"/>
      <c r="AT143" s="70"/>
      <c r="AU143" s="70"/>
      <c r="AV143" s="70"/>
      <c r="AW143" s="70" t="s">
        <v>4122</v>
      </c>
      <c r="AX143" s="70"/>
      <c r="AY143" s="70"/>
      <c r="AZ143" s="70"/>
      <c r="BA143" s="70"/>
      <c r="BB143" s="70"/>
      <c r="BC143" s="70"/>
      <c r="BD143" s="70"/>
      <c r="BE143" s="70"/>
      <c r="BF143" s="70"/>
      <c r="BG143" s="70"/>
      <c r="BH143" s="130"/>
      <c r="BI143" s="130"/>
      <c r="BJ143" s="130"/>
      <c r="BK143" s="130"/>
      <c r="BL143" s="130"/>
      <c r="BM143" s="130"/>
      <c r="BN143" s="130" t="s">
        <v>4122</v>
      </c>
      <c r="BO143" s="130"/>
      <c r="BP143" s="130"/>
      <c r="BQ143" s="130"/>
      <c r="BR143" s="130"/>
    </row>
    <row r="144" spans="1:100" hidden="1" x14ac:dyDescent="0.25">
      <c r="A144" s="68">
        <v>204</v>
      </c>
      <c r="B144" s="70" t="s">
        <v>763</v>
      </c>
      <c r="C144" s="70" t="s">
        <v>764</v>
      </c>
      <c r="D144" s="70" t="s">
        <v>3987</v>
      </c>
      <c r="E144" s="70"/>
      <c r="F144" s="70" t="s">
        <v>765</v>
      </c>
      <c r="G144" s="70">
        <v>2015</v>
      </c>
      <c r="H144" s="70" t="s">
        <v>766</v>
      </c>
      <c r="I144" s="78" t="s">
        <v>80</v>
      </c>
      <c r="J144" s="78" t="s">
        <v>80</v>
      </c>
      <c r="K144" s="78" t="s">
        <v>80</v>
      </c>
      <c r="L144" s="78" t="s">
        <v>80</v>
      </c>
      <c r="M144" s="70" t="s">
        <v>3988</v>
      </c>
      <c r="N144" s="70">
        <v>2</v>
      </c>
      <c r="O144" s="70">
        <v>5</v>
      </c>
      <c r="P144" s="90" t="s">
        <v>3555</v>
      </c>
      <c r="Q144" s="104" t="s">
        <v>3183</v>
      </c>
      <c r="R144" s="108" t="s">
        <v>3437</v>
      </c>
      <c r="S144" s="90" t="s">
        <v>3257</v>
      </c>
      <c r="T144" s="70" t="s">
        <v>0</v>
      </c>
      <c r="U144" s="70" t="s">
        <v>38</v>
      </c>
      <c r="V144" s="70" t="s">
        <v>3263</v>
      </c>
      <c r="W144" s="70" t="s">
        <v>3336</v>
      </c>
      <c r="X144" s="70">
        <v>5</v>
      </c>
      <c r="Y144" s="70">
        <v>4</v>
      </c>
      <c r="Z144" s="70">
        <v>5</v>
      </c>
      <c r="AA144" s="70">
        <v>5</v>
      </c>
      <c r="AB144" s="70">
        <v>4</v>
      </c>
      <c r="AC144" s="70">
        <v>5</v>
      </c>
      <c r="AD14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44" s="70" t="s">
        <v>3618</v>
      </c>
      <c r="AF144" s="70"/>
      <c r="AG144" s="70"/>
      <c r="AH144" s="70"/>
      <c r="AI144" s="70"/>
      <c r="AJ144" s="70"/>
      <c r="AK144" s="70" t="s">
        <v>4122</v>
      </c>
      <c r="AL144" s="70"/>
      <c r="AM144" s="70"/>
      <c r="AN144" s="70"/>
      <c r="AO144" s="70"/>
      <c r="AP144" s="70"/>
      <c r="AQ144" s="70"/>
      <c r="AR144" s="70"/>
      <c r="AS144" s="70"/>
      <c r="AT144" s="70"/>
      <c r="AU144" s="70"/>
      <c r="AV144" s="70"/>
      <c r="AW144" s="70"/>
      <c r="AX144" s="70"/>
      <c r="AY144" s="70"/>
      <c r="AZ144" s="70"/>
      <c r="BA144" s="70"/>
      <c r="BB144" s="70" t="s">
        <v>4122</v>
      </c>
      <c r="BC144" s="70"/>
      <c r="BD144" s="70"/>
      <c r="BE144" s="70"/>
      <c r="BF144" s="70"/>
      <c r="BG144" s="70"/>
      <c r="BH144" s="130"/>
      <c r="BI144" s="130"/>
      <c r="BJ144" s="130"/>
      <c r="BK144" s="130"/>
      <c r="BL144" s="130"/>
      <c r="BM144" s="130"/>
      <c r="BN144" s="130"/>
      <c r="BO144" s="130" t="s">
        <v>4122</v>
      </c>
      <c r="BP144" s="130"/>
      <c r="BQ144" s="130"/>
      <c r="BR144" s="130"/>
    </row>
    <row r="145" spans="1:70" hidden="1" x14ac:dyDescent="0.25">
      <c r="A145" s="68">
        <v>138</v>
      </c>
      <c r="B145" s="70" t="s">
        <v>604</v>
      </c>
      <c r="C145" s="70" t="s">
        <v>2733</v>
      </c>
      <c r="D145" s="70" t="s">
        <v>3888</v>
      </c>
      <c r="E145" s="70"/>
      <c r="F145" s="70" t="s">
        <v>2734</v>
      </c>
      <c r="G145" s="70">
        <v>2014</v>
      </c>
      <c r="H145" s="70" t="s">
        <v>2735</v>
      </c>
      <c r="I145" s="78" t="s">
        <v>80</v>
      </c>
      <c r="J145" s="78" t="s">
        <v>85</v>
      </c>
      <c r="K145" s="78" t="s">
        <v>80</v>
      </c>
      <c r="L145" s="78" t="s">
        <v>80</v>
      </c>
      <c r="M145" s="70" t="s">
        <v>3887</v>
      </c>
      <c r="N145" s="70">
        <v>31</v>
      </c>
      <c r="O145" s="70">
        <v>4</v>
      </c>
      <c r="P145" s="90" t="s">
        <v>3157</v>
      </c>
      <c r="Q145" s="104" t="s">
        <v>3469</v>
      </c>
      <c r="R145" s="108" t="s">
        <v>3204</v>
      </c>
      <c r="S145" s="90" t="s">
        <v>3237</v>
      </c>
      <c r="T145" s="70" t="s">
        <v>0</v>
      </c>
      <c r="U145" s="70" t="s">
        <v>38</v>
      </c>
      <c r="V145" s="70" t="s">
        <v>69</v>
      </c>
      <c r="W145" s="70" t="s">
        <v>3336</v>
      </c>
      <c r="X145" s="70">
        <v>4</v>
      </c>
      <c r="Y145" s="70">
        <v>4</v>
      </c>
      <c r="Z145" s="70">
        <v>4</v>
      </c>
      <c r="AA145" s="70">
        <v>4</v>
      </c>
      <c r="AB145" s="70">
        <v>4</v>
      </c>
      <c r="AC145" s="70">
        <v>4</v>
      </c>
      <c r="AD14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45" s="70" t="s">
        <v>3315</v>
      </c>
      <c r="AF145" s="70"/>
      <c r="AG145" s="70"/>
      <c r="AH145" s="70"/>
      <c r="AI145" s="70"/>
      <c r="AJ145" s="70"/>
      <c r="AK145" s="70"/>
      <c r="AL145" s="70"/>
      <c r="AM145" s="70" t="s">
        <v>4122</v>
      </c>
      <c r="AN145" s="70"/>
      <c r="AO145" s="70"/>
      <c r="AP145" s="70"/>
      <c r="AQ145" s="70"/>
      <c r="AR145" s="70"/>
      <c r="AS145" s="70"/>
      <c r="AT145" s="70"/>
      <c r="AU145" s="70"/>
      <c r="AV145" s="70" t="s">
        <v>4122</v>
      </c>
      <c r="AW145" s="70"/>
      <c r="AX145" s="70"/>
      <c r="AY145" s="70"/>
      <c r="AZ145" s="70"/>
      <c r="BA145" s="70"/>
      <c r="BB145" s="70"/>
      <c r="BC145" s="70"/>
      <c r="BD145" s="70"/>
      <c r="BE145" s="70"/>
      <c r="BF145" s="70"/>
      <c r="BG145" s="70"/>
      <c r="BH145" s="130"/>
      <c r="BI145" s="130"/>
      <c r="BJ145" s="130"/>
      <c r="BK145" s="130"/>
      <c r="BL145" s="130"/>
      <c r="BM145" s="130"/>
      <c r="BN145" s="130" t="s">
        <v>4122</v>
      </c>
      <c r="BO145" s="130"/>
      <c r="BP145" s="130"/>
      <c r="BQ145" s="130"/>
      <c r="BR145" s="130"/>
    </row>
    <row r="146" spans="1:70" hidden="1" x14ac:dyDescent="0.25">
      <c r="A146" s="68">
        <v>160</v>
      </c>
      <c r="B146" s="70" t="s">
        <v>2801</v>
      </c>
      <c r="C146" s="70" t="s">
        <v>2802</v>
      </c>
      <c r="D146" s="70" t="s">
        <v>2803</v>
      </c>
      <c r="E146" s="70"/>
      <c r="F146" s="70" t="s">
        <v>2804</v>
      </c>
      <c r="G146" s="70">
        <v>2017</v>
      </c>
      <c r="H146" s="70" t="s">
        <v>2805</v>
      </c>
      <c r="I146" s="78" t="s">
        <v>80</v>
      </c>
      <c r="J146" s="78" t="s">
        <v>80</v>
      </c>
      <c r="K146" s="78">
        <v>0.51</v>
      </c>
      <c r="L146" s="78">
        <v>5</v>
      </c>
      <c r="M146" s="70" t="s">
        <v>3925</v>
      </c>
      <c r="N146" s="70">
        <v>2</v>
      </c>
      <c r="O146" s="70">
        <v>5</v>
      </c>
      <c r="P146" s="90" t="s">
        <v>3160</v>
      </c>
      <c r="Q146" s="104" t="s">
        <v>3182</v>
      </c>
      <c r="R146" s="108" t="s">
        <v>3567</v>
      </c>
      <c r="S146" s="90" t="s">
        <v>3239</v>
      </c>
      <c r="T146" s="70" t="s">
        <v>1</v>
      </c>
      <c r="U146" s="70" t="s">
        <v>38</v>
      </c>
      <c r="V146" s="70" t="s">
        <v>69</v>
      </c>
      <c r="W146" s="70" t="s">
        <v>3336</v>
      </c>
      <c r="X146" s="70">
        <v>5</v>
      </c>
      <c r="Y146" s="70">
        <v>5</v>
      </c>
      <c r="Z146" s="70">
        <v>5</v>
      </c>
      <c r="AA146" s="70">
        <v>5</v>
      </c>
      <c r="AB146" s="70">
        <v>5</v>
      </c>
      <c r="AC146" s="70">
        <v>5</v>
      </c>
      <c r="AD14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46" s="70" t="s">
        <v>3568</v>
      </c>
      <c r="AF146" s="70"/>
      <c r="AG146" s="70"/>
      <c r="AH146" s="70"/>
      <c r="AI146" s="70"/>
      <c r="AJ146" s="70"/>
      <c r="AK146" s="70"/>
      <c r="AL146" s="70" t="s">
        <v>4122</v>
      </c>
      <c r="AM146" s="70" t="s">
        <v>4122</v>
      </c>
      <c r="AN146" s="70"/>
      <c r="AO146" s="70"/>
      <c r="AP146" s="70"/>
      <c r="AQ146" s="70"/>
      <c r="AR146" s="70"/>
      <c r="AS146" s="70"/>
      <c r="AT146" s="70"/>
      <c r="AU146" s="70"/>
      <c r="AV146" s="70"/>
      <c r="AW146" s="70"/>
      <c r="AX146" s="70"/>
      <c r="AY146" s="70"/>
      <c r="AZ146" s="70"/>
      <c r="BA146" s="70"/>
      <c r="BB146" s="70" t="s">
        <v>4122</v>
      </c>
      <c r="BC146" s="70"/>
      <c r="BD146" s="70"/>
      <c r="BE146" s="70"/>
      <c r="BF146" s="70"/>
      <c r="BG146" s="70"/>
      <c r="BH146" s="130"/>
      <c r="BI146" s="130"/>
      <c r="BJ146" s="130"/>
      <c r="BK146" s="130"/>
      <c r="BL146" s="130" t="s">
        <v>4122</v>
      </c>
      <c r="BM146" s="130"/>
      <c r="BN146" s="130"/>
      <c r="BO146" s="130"/>
      <c r="BP146" s="130"/>
      <c r="BQ146" s="130"/>
      <c r="BR146" s="130"/>
    </row>
    <row r="147" spans="1:70" hidden="1" x14ac:dyDescent="0.25">
      <c r="A147" s="68">
        <v>98</v>
      </c>
      <c r="B147" s="70" t="s">
        <v>1525</v>
      </c>
      <c r="C147" s="70" t="s">
        <v>1526</v>
      </c>
      <c r="D147" s="70" t="s">
        <v>3825</v>
      </c>
      <c r="E147" s="70"/>
      <c r="F147" s="70" t="s">
        <v>1527</v>
      </c>
      <c r="G147" s="70">
        <v>2015</v>
      </c>
      <c r="H147" s="70" t="s">
        <v>1528</v>
      </c>
      <c r="I147" s="78" t="s">
        <v>80</v>
      </c>
      <c r="J147" s="78" t="s">
        <v>88</v>
      </c>
      <c r="K147" s="78" t="s">
        <v>80</v>
      </c>
      <c r="L147" s="78" t="s">
        <v>80</v>
      </c>
      <c r="M147" s="70" t="s">
        <v>3826</v>
      </c>
      <c r="N147" s="70">
        <v>2</v>
      </c>
      <c r="O147" s="70">
        <v>5</v>
      </c>
      <c r="P147" s="90" t="s">
        <v>3157</v>
      </c>
      <c r="Q147" s="104" t="s">
        <v>3461</v>
      </c>
      <c r="R147" s="108" t="s">
        <v>3437</v>
      </c>
      <c r="S147" s="90" t="s">
        <v>3374</v>
      </c>
      <c r="T147" s="70" t="s">
        <v>0</v>
      </c>
      <c r="U147" s="70" t="s">
        <v>38</v>
      </c>
      <c r="V147" s="70" t="s">
        <v>69</v>
      </c>
      <c r="W147" s="70" t="s">
        <v>3336</v>
      </c>
      <c r="X147" s="70">
        <v>5</v>
      </c>
      <c r="Y147" s="70">
        <v>5</v>
      </c>
      <c r="Z147" s="70">
        <v>5</v>
      </c>
      <c r="AA147" s="70">
        <v>5</v>
      </c>
      <c r="AB147" s="70">
        <v>5</v>
      </c>
      <c r="AC147" s="70">
        <v>5</v>
      </c>
      <c r="AD14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47" s="70" t="s">
        <v>3338</v>
      </c>
      <c r="AF147" s="70"/>
      <c r="AG147" s="70"/>
      <c r="AH147" s="70"/>
      <c r="AI147" s="70"/>
      <c r="AJ147" s="70"/>
      <c r="AK147" s="70"/>
      <c r="AL147" s="70"/>
      <c r="AM147" s="70" t="s">
        <v>4122</v>
      </c>
      <c r="AN147" s="70"/>
      <c r="AO147" s="70"/>
      <c r="AP147" s="70"/>
      <c r="AQ147" s="70"/>
      <c r="AR147" s="70"/>
      <c r="AS147" s="70"/>
      <c r="AT147" s="70"/>
      <c r="AU147" s="70"/>
      <c r="AV147" s="70"/>
      <c r="AW147" s="70" t="s">
        <v>4122</v>
      </c>
      <c r="AX147" s="70"/>
      <c r="AY147" s="70"/>
      <c r="AZ147" s="70"/>
      <c r="BA147" s="70"/>
      <c r="BB147" s="70"/>
      <c r="BC147" s="70"/>
      <c r="BD147" s="70"/>
      <c r="BE147" s="70"/>
      <c r="BF147" s="70"/>
      <c r="BG147" s="70"/>
      <c r="BH147" s="130"/>
      <c r="BI147" s="130"/>
      <c r="BJ147" s="130"/>
      <c r="BK147" s="130"/>
      <c r="BL147" s="130"/>
      <c r="BM147" s="130"/>
      <c r="BN147" s="130"/>
      <c r="BO147" s="130" t="s">
        <v>4122</v>
      </c>
      <c r="BP147" s="130"/>
      <c r="BQ147" s="130"/>
      <c r="BR147" s="130"/>
    </row>
    <row r="148" spans="1:70" hidden="1" x14ac:dyDescent="0.25">
      <c r="A148" s="68">
        <v>22</v>
      </c>
      <c r="B148" s="70" t="s">
        <v>1813</v>
      </c>
      <c r="C148" s="70" t="s">
        <v>1814</v>
      </c>
      <c r="D148" s="70" t="s">
        <v>1193</v>
      </c>
      <c r="E148" s="70"/>
      <c r="F148" s="70" t="s">
        <v>1815</v>
      </c>
      <c r="G148" s="70">
        <v>2019</v>
      </c>
      <c r="H148" s="70" t="s">
        <v>1816</v>
      </c>
      <c r="I148" s="78" t="s">
        <v>80</v>
      </c>
      <c r="J148" s="78" t="s">
        <v>80</v>
      </c>
      <c r="K148" s="78">
        <v>0.62</v>
      </c>
      <c r="L148" s="78">
        <v>4</v>
      </c>
      <c r="M148" s="70" t="s">
        <v>3704</v>
      </c>
      <c r="N148" s="70">
        <v>1</v>
      </c>
      <c r="O148" s="70">
        <v>1</v>
      </c>
      <c r="P148" s="90" t="s">
        <v>3157</v>
      </c>
      <c r="Q148" s="104" t="s">
        <v>3190</v>
      </c>
      <c r="R148" s="108" t="s">
        <v>3209</v>
      </c>
      <c r="S148" s="90" t="s">
        <v>3257</v>
      </c>
      <c r="T148" s="70" t="s">
        <v>1</v>
      </c>
      <c r="U148" s="70" t="s">
        <v>38</v>
      </c>
      <c r="V148" s="70" t="s">
        <v>3263</v>
      </c>
      <c r="W148" s="70" t="s">
        <v>3280</v>
      </c>
      <c r="X148" s="70">
        <v>5</v>
      </c>
      <c r="Y148" s="70">
        <v>5</v>
      </c>
      <c r="Z148" s="70">
        <v>5</v>
      </c>
      <c r="AA148" s="70">
        <v>5</v>
      </c>
      <c r="AB148" s="70">
        <v>5</v>
      </c>
      <c r="AC148" s="70">
        <v>5</v>
      </c>
      <c r="AD14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48" s="70" t="s">
        <v>4127</v>
      </c>
      <c r="AF148" s="70"/>
      <c r="AG148" s="70"/>
      <c r="AH148" s="70"/>
      <c r="AI148" s="70"/>
      <c r="AJ148" s="70" t="s">
        <v>4122</v>
      </c>
      <c r="AK148" s="70"/>
      <c r="AL148" s="70"/>
      <c r="AM148" s="70"/>
      <c r="AN148" s="70"/>
      <c r="AO148" s="70"/>
      <c r="AP148" s="70"/>
      <c r="AQ148" s="70"/>
      <c r="AR148" s="70"/>
      <c r="AS148" s="70"/>
      <c r="AT148" s="70"/>
      <c r="AU148" s="70"/>
      <c r="AV148" s="70"/>
      <c r="AW148" s="70"/>
      <c r="AX148" s="70" t="s">
        <v>4122</v>
      </c>
      <c r="AY148" s="70"/>
      <c r="AZ148" s="70"/>
      <c r="BA148" s="70"/>
      <c r="BB148" s="70"/>
      <c r="BC148" s="70"/>
      <c r="BD148" s="70"/>
      <c r="BE148" s="70"/>
      <c r="BF148" s="70"/>
      <c r="BG148" s="70"/>
      <c r="BH148" s="130"/>
      <c r="BI148" s="130"/>
      <c r="BJ148" s="130"/>
      <c r="BK148" s="130"/>
      <c r="BL148" s="130"/>
      <c r="BM148" s="130"/>
      <c r="BN148" s="130" t="s">
        <v>4122</v>
      </c>
      <c r="BO148" s="130"/>
      <c r="BP148" s="130"/>
      <c r="BQ148" s="130"/>
      <c r="BR148" s="130"/>
    </row>
    <row r="149" spans="1:70" hidden="1" x14ac:dyDescent="0.25">
      <c r="A149" s="68">
        <v>51</v>
      </c>
      <c r="B149" s="110" t="s">
        <v>1682</v>
      </c>
      <c r="C149" s="110" t="s">
        <v>1683</v>
      </c>
      <c r="D149" s="110" t="s">
        <v>3702</v>
      </c>
      <c r="E149" s="110"/>
      <c r="F149" s="110" t="s">
        <v>1684</v>
      </c>
      <c r="G149" s="110">
        <v>2015</v>
      </c>
      <c r="H149" s="110" t="s">
        <v>1685</v>
      </c>
      <c r="I149" s="111" t="s">
        <v>4035</v>
      </c>
      <c r="J149" s="111" t="s">
        <v>4033</v>
      </c>
      <c r="K149" s="111" t="s">
        <v>80</v>
      </c>
      <c r="L149" s="111" t="s">
        <v>80</v>
      </c>
      <c r="M149" s="110" t="s">
        <v>3750</v>
      </c>
      <c r="N149" s="110">
        <v>1</v>
      </c>
      <c r="O149" s="110">
        <v>4</v>
      </c>
      <c r="P149" s="110" t="s">
        <v>3328</v>
      </c>
      <c r="Q149" s="110" t="s">
        <v>3173</v>
      </c>
      <c r="R149" s="110" t="s">
        <v>4134</v>
      </c>
      <c r="S149" s="110" t="s">
        <v>3243</v>
      </c>
      <c r="T149" s="110" t="s">
        <v>0</v>
      </c>
      <c r="U149" s="110" t="s">
        <v>38</v>
      </c>
      <c r="V149" s="110" t="s">
        <v>69</v>
      </c>
      <c r="W149" s="110" t="s">
        <v>3336</v>
      </c>
      <c r="X149" s="110">
        <v>5</v>
      </c>
      <c r="Y149" s="110">
        <v>5</v>
      </c>
      <c r="Z149" s="110">
        <v>5</v>
      </c>
      <c r="AA149" s="110">
        <v>5</v>
      </c>
      <c r="AB149" s="110">
        <v>5</v>
      </c>
      <c r="AC149" s="110">
        <v>5</v>
      </c>
      <c r="AD14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49" s="110" t="s">
        <v>62</v>
      </c>
      <c r="AF149" s="70"/>
      <c r="AG149" s="70"/>
      <c r="AH149" s="70"/>
      <c r="AI149" s="70"/>
      <c r="AJ149" s="70" t="s">
        <v>4122</v>
      </c>
      <c r="AK149" s="70"/>
      <c r="AL149" s="70"/>
      <c r="AM149" s="70"/>
      <c r="AN149" s="70"/>
      <c r="AO149" s="70"/>
      <c r="AP149" s="70"/>
      <c r="AQ149" s="70"/>
      <c r="AR149" s="70"/>
      <c r="AS149" s="70"/>
      <c r="AT149" s="70"/>
      <c r="AU149" s="70"/>
      <c r="AV149" s="70" t="s">
        <v>4122</v>
      </c>
      <c r="AW149" s="70"/>
      <c r="AX149" s="70"/>
      <c r="AY149" s="70"/>
      <c r="AZ149" s="70"/>
      <c r="BA149" s="70"/>
      <c r="BB149" s="70"/>
      <c r="BC149" s="70"/>
      <c r="BD149" s="70"/>
      <c r="BE149" s="70"/>
      <c r="BF149" s="70"/>
      <c r="BG149" s="70"/>
      <c r="BH149" s="130"/>
      <c r="BI149" s="130"/>
      <c r="BJ149" s="130" t="s">
        <v>4122</v>
      </c>
      <c r="BK149" s="130"/>
      <c r="BL149" s="130"/>
      <c r="BM149" s="130"/>
      <c r="BN149" s="130"/>
      <c r="BO149" s="130"/>
      <c r="BP149" s="130"/>
      <c r="BQ149" s="130"/>
      <c r="BR149" s="130"/>
    </row>
    <row r="150" spans="1:70" hidden="1" x14ac:dyDescent="0.25">
      <c r="A150" s="68">
        <v>48</v>
      </c>
      <c r="B150" s="70" t="s">
        <v>2131</v>
      </c>
      <c r="C150" s="70" t="s">
        <v>3014</v>
      </c>
      <c r="D150" s="70" t="s">
        <v>3746</v>
      </c>
      <c r="E150" s="70"/>
      <c r="F150" s="70" t="s">
        <v>3015</v>
      </c>
      <c r="G150" s="70">
        <v>2012</v>
      </c>
      <c r="H150" s="70" t="s">
        <v>3016</v>
      </c>
      <c r="I150" s="78" t="s">
        <v>84</v>
      </c>
      <c r="J150" s="78" t="s">
        <v>80</v>
      </c>
      <c r="K150" s="78" t="s">
        <v>80</v>
      </c>
      <c r="L150" s="78" t="s">
        <v>80</v>
      </c>
      <c r="M150" s="70" t="s">
        <v>3747</v>
      </c>
      <c r="N150" s="70">
        <v>1</v>
      </c>
      <c r="O150" s="70">
        <v>5</v>
      </c>
      <c r="P150" s="90" t="s">
        <v>3386</v>
      </c>
      <c r="Q150" s="104" t="s">
        <v>3201</v>
      </c>
      <c r="R150" s="108" t="s">
        <v>3364</v>
      </c>
      <c r="S150" s="90" t="s">
        <v>3256</v>
      </c>
      <c r="T150" s="70" t="s">
        <v>2</v>
      </c>
      <c r="U150" s="70" t="s">
        <v>38</v>
      </c>
      <c r="V150" s="70" t="s">
        <v>69</v>
      </c>
      <c r="W150" s="70" t="s">
        <v>3336</v>
      </c>
      <c r="X150" s="70">
        <v>5</v>
      </c>
      <c r="Y150" s="70">
        <v>5</v>
      </c>
      <c r="Z150" s="70">
        <v>5</v>
      </c>
      <c r="AA150" s="70">
        <v>5</v>
      </c>
      <c r="AB150" s="70">
        <v>5</v>
      </c>
      <c r="AC150" s="70">
        <v>5</v>
      </c>
      <c r="AD15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50" s="70" t="s">
        <v>3317</v>
      </c>
      <c r="AF150" s="70"/>
      <c r="AG150" s="70"/>
      <c r="AH150" s="70"/>
      <c r="AI150" s="70"/>
      <c r="AJ150" s="70" t="s">
        <v>4122</v>
      </c>
      <c r="AK150" s="70"/>
      <c r="AL150" s="70"/>
      <c r="AM150" s="70"/>
      <c r="AN150" s="70"/>
      <c r="AO150" s="70"/>
      <c r="AP150" s="70"/>
      <c r="AQ150" s="70"/>
      <c r="AR150" s="70"/>
      <c r="AS150" s="70"/>
      <c r="AT150" s="70"/>
      <c r="AU150" s="70"/>
      <c r="AV150" s="70"/>
      <c r="AW150" s="70"/>
      <c r="AX150" s="70"/>
      <c r="AY150" s="70"/>
      <c r="AZ150" s="70"/>
      <c r="BA150" s="70"/>
      <c r="BB150" s="70" t="s">
        <v>4122</v>
      </c>
      <c r="BC150" s="70"/>
      <c r="BD150" s="70"/>
      <c r="BE150" s="70"/>
      <c r="BF150" s="70"/>
      <c r="BG150" s="70"/>
      <c r="BH150" s="130"/>
      <c r="BI150" s="130"/>
      <c r="BJ150" s="130"/>
      <c r="BK150" s="130"/>
      <c r="BL150" s="130"/>
      <c r="BM150" s="130"/>
      <c r="BN150" s="130" t="s">
        <v>4122</v>
      </c>
      <c r="BO150" s="130"/>
      <c r="BP150" s="130"/>
      <c r="BQ150" s="130"/>
      <c r="BR150" s="130"/>
    </row>
    <row r="151" spans="1:70" ht="19.5" hidden="1" customHeight="1" x14ac:dyDescent="0.25">
      <c r="A151" s="68">
        <v>130</v>
      </c>
      <c r="B151" s="70" t="s">
        <v>1969</v>
      </c>
      <c r="C151" s="70" t="s">
        <v>1970</v>
      </c>
      <c r="D151" s="70" t="s">
        <v>1474</v>
      </c>
      <c r="E151" s="70"/>
      <c r="F151" s="70" t="s">
        <v>1971</v>
      </c>
      <c r="G151" s="70">
        <v>2012</v>
      </c>
      <c r="H151" s="70" t="s">
        <v>1972</v>
      </c>
      <c r="I151" s="78" t="s">
        <v>80</v>
      </c>
      <c r="J151" s="78" t="s">
        <v>80</v>
      </c>
      <c r="K151" s="78">
        <v>0.28000000000000003</v>
      </c>
      <c r="L151" s="78">
        <v>3</v>
      </c>
      <c r="M151" s="70" t="s">
        <v>3877</v>
      </c>
      <c r="N151" s="70">
        <v>43</v>
      </c>
      <c r="O151" s="70">
        <v>5</v>
      </c>
      <c r="P151" s="90" t="s">
        <v>3385</v>
      </c>
      <c r="Q151" s="104" t="s">
        <v>3372</v>
      </c>
      <c r="R151" s="108" t="s">
        <v>3507</v>
      </c>
      <c r="S151" s="90" t="s">
        <v>3257</v>
      </c>
      <c r="T151" s="70" t="s">
        <v>1</v>
      </c>
      <c r="U151" s="70" t="s">
        <v>38</v>
      </c>
      <c r="V151" s="70" t="s">
        <v>69</v>
      </c>
      <c r="W151" s="70" t="s">
        <v>3336</v>
      </c>
      <c r="X151" s="70">
        <v>5</v>
      </c>
      <c r="Y151" s="70">
        <v>5</v>
      </c>
      <c r="Z151" s="70">
        <v>5</v>
      </c>
      <c r="AA151" s="70">
        <v>5</v>
      </c>
      <c r="AB151" s="70">
        <v>5</v>
      </c>
      <c r="AC151" s="70">
        <v>5</v>
      </c>
      <c r="AD15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51" s="70" t="s">
        <v>3335</v>
      </c>
      <c r="AF151" s="70"/>
      <c r="AG151" s="70"/>
      <c r="AH151" s="70"/>
      <c r="AI151" s="70"/>
      <c r="AJ151" s="70"/>
      <c r="AK151" s="70"/>
      <c r="AL151" s="70"/>
      <c r="AM151" s="70" t="s">
        <v>4122</v>
      </c>
      <c r="AN151" s="70"/>
      <c r="AO151" s="70"/>
      <c r="AP151" s="70"/>
      <c r="AQ151" s="70"/>
      <c r="AR151" s="70"/>
      <c r="AS151" s="70"/>
      <c r="AT151" s="70"/>
      <c r="AU151" s="70"/>
      <c r="AV151" s="70"/>
      <c r="AW151" s="70"/>
      <c r="AX151" s="70"/>
      <c r="AY151" s="70"/>
      <c r="AZ151" s="70"/>
      <c r="BA151" s="70"/>
      <c r="BB151" s="70" t="s">
        <v>4122</v>
      </c>
      <c r="BC151" s="70"/>
      <c r="BD151" s="70"/>
      <c r="BE151" s="70"/>
      <c r="BF151" s="70"/>
      <c r="BG151" s="70"/>
      <c r="BH151" s="130"/>
      <c r="BI151" s="130"/>
      <c r="BJ151" s="130"/>
      <c r="BK151" s="130" t="s">
        <v>4122</v>
      </c>
      <c r="BL151" s="130"/>
      <c r="BM151" s="130"/>
      <c r="BN151" s="130"/>
      <c r="BO151" s="130"/>
      <c r="BP151" s="130"/>
      <c r="BQ151" s="130"/>
      <c r="BR151" s="130"/>
    </row>
    <row r="152" spans="1:70" hidden="1" x14ac:dyDescent="0.25">
      <c r="A152" s="68">
        <v>126</v>
      </c>
      <c r="B152" s="70" t="s">
        <v>576</v>
      </c>
      <c r="C152" s="70" t="s">
        <v>577</v>
      </c>
      <c r="D152" s="70" t="s">
        <v>3869</v>
      </c>
      <c r="E152" s="70"/>
      <c r="F152" s="70" t="s">
        <v>578</v>
      </c>
      <c r="G152" s="70">
        <v>2017</v>
      </c>
      <c r="H152" s="70" t="s">
        <v>579</v>
      </c>
      <c r="I152" s="78" t="s">
        <v>84</v>
      </c>
      <c r="J152" s="78" t="s">
        <v>85</v>
      </c>
      <c r="K152" s="78" t="s">
        <v>80</v>
      </c>
      <c r="L152" s="78" t="s">
        <v>80</v>
      </c>
      <c r="M152" s="70" t="s">
        <v>3870</v>
      </c>
      <c r="N152" s="70">
        <v>3</v>
      </c>
      <c r="O152" s="70">
        <v>5</v>
      </c>
      <c r="P152" s="90" t="s">
        <v>3162</v>
      </c>
      <c r="Q152" s="104" t="s">
        <v>3506</v>
      </c>
      <c r="R152" s="108" t="s">
        <v>3507</v>
      </c>
      <c r="S152" s="90" t="s">
        <v>3239</v>
      </c>
      <c r="T152" s="70" t="s">
        <v>0</v>
      </c>
      <c r="U152" s="70" t="s">
        <v>38</v>
      </c>
      <c r="V152" s="70" t="s">
        <v>69</v>
      </c>
      <c r="W152" s="70" t="s">
        <v>3336</v>
      </c>
      <c r="X152" s="70">
        <v>5</v>
      </c>
      <c r="Y152" s="70">
        <v>5</v>
      </c>
      <c r="Z152" s="70">
        <v>5</v>
      </c>
      <c r="AA152" s="70">
        <v>5</v>
      </c>
      <c r="AB152" s="70">
        <v>5</v>
      </c>
      <c r="AC152" s="70">
        <v>5</v>
      </c>
      <c r="AD15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52" s="70" t="s">
        <v>3335</v>
      </c>
      <c r="AF152" s="70"/>
      <c r="AG152" s="70"/>
      <c r="AH152" s="70"/>
      <c r="AI152" s="70"/>
      <c r="AJ152" s="70"/>
      <c r="AK152" s="70"/>
      <c r="AL152" s="70"/>
      <c r="AM152" s="70" t="s">
        <v>4122</v>
      </c>
      <c r="AN152" s="70"/>
      <c r="AO152" s="70"/>
      <c r="AP152" s="70"/>
      <c r="AQ152" s="70"/>
      <c r="AR152" s="70"/>
      <c r="AS152" s="70"/>
      <c r="AT152" s="70" t="s">
        <v>4122</v>
      </c>
      <c r="AU152" s="70"/>
      <c r="AV152" s="70"/>
      <c r="AW152" s="70" t="s">
        <v>4122</v>
      </c>
      <c r="AX152" s="70"/>
      <c r="AY152" s="70"/>
      <c r="AZ152" s="70"/>
      <c r="BA152" s="70"/>
      <c r="BB152" s="70"/>
      <c r="BC152" s="70"/>
      <c r="BD152" s="70"/>
      <c r="BE152" s="70"/>
      <c r="BF152" s="70"/>
      <c r="BG152" s="70"/>
      <c r="BH152" s="130"/>
      <c r="BI152" s="130"/>
      <c r="BJ152" s="130"/>
      <c r="BK152" s="130" t="s">
        <v>4122</v>
      </c>
      <c r="BL152" s="130"/>
      <c r="BM152" s="130"/>
      <c r="BN152" s="130"/>
      <c r="BO152" s="130"/>
      <c r="BP152" s="130"/>
      <c r="BQ152" s="130"/>
      <c r="BR152" s="130"/>
    </row>
    <row r="153" spans="1:70" hidden="1" x14ac:dyDescent="0.25">
      <c r="A153" s="68">
        <v>225</v>
      </c>
      <c r="B153" s="70" t="s">
        <v>1792</v>
      </c>
      <c r="C153" s="70" t="s">
        <v>1793</v>
      </c>
      <c r="D153" s="70" t="s">
        <v>3920</v>
      </c>
      <c r="E153" s="70"/>
      <c r="F153" s="70" t="s">
        <v>1794</v>
      </c>
      <c r="G153" s="70">
        <v>2017</v>
      </c>
      <c r="H153" s="70" t="s">
        <v>1795</v>
      </c>
      <c r="I153" s="78" t="s">
        <v>80</v>
      </c>
      <c r="J153" s="78" t="s">
        <v>124</v>
      </c>
      <c r="K153" s="78" t="s">
        <v>80</v>
      </c>
      <c r="L153" s="78" t="s">
        <v>80</v>
      </c>
      <c r="M153" s="70" t="s">
        <v>4017</v>
      </c>
      <c r="N153" s="70">
        <v>1</v>
      </c>
      <c r="O153" s="70">
        <v>5</v>
      </c>
      <c r="P153" s="90" t="s">
        <v>3496</v>
      </c>
      <c r="Q153" s="104" t="s">
        <v>3323</v>
      </c>
      <c r="R153" s="108" t="s">
        <v>3364</v>
      </c>
      <c r="S153" s="90" t="s">
        <v>3239</v>
      </c>
      <c r="T153" s="70" t="s">
        <v>0</v>
      </c>
      <c r="U153" s="70" t="s">
        <v>38</v>
      </c>
      <c r="V153" s="70" t="s">
        <v>69</v>
      </c>
      <c r="W153" s="70" t="s">
        <v>3512</v>
      </c>
      <c r="X153" s="70">
        <v>5</v>
      </c>
      <c r="Y153" s="70">
        <v>5</v>
      </c>
      <c r="Z153" s="70">
        <v>5</v>
      </c>
      <c r="AA153" s="70">
        <v>5</v>
      </c>
      <c r="AB153" s="70">
        <v>5</v>
      </c>
      <c r="AC153" s="70">
        <v>5</v>
      </c>
      <c r="AD15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53" s="70" t="s">
        <v>3335</v>
      </c>
      <c r="AF153" s="70"/>
      <c r="AG153" s="70"/>
      <c r="AH153" s="70"/>
      <c r="AI153" s="70"/>
      <c r="AJ153" s="70"/>
      <c r="AK153" s="70"/>
      <c r="AL153" s="70"/>
      <c r="AM153" s="70" t="s">
        <v>4122</v>
      </c>
      <c r="AN153" s="70"/>
      <c r="AO153" s="70"/>
      <c r="AP153" s="70" t="s">
        <v>4122</v>
      </c>
      <c r="AQ153" s="70" t="s">
        <v>4122</v>
      </c>
      <c r="AR153" s="70"/>
      <c r="AS153" s="70"/>
      <c r="AT153" s="70"/>
      <c r="AU153" s="70"/>
      <c r="AV153" s="70"/>
      <c r="AW153" s="70"/>
      <c r="AX153" s="70"/>
      <c r="AY153" s="70" t="s">
        <v>4122</v>
      </c>
      <c r="AZ153" s="70"/>
      <c r="BA153" s="70"/>
      <c r="BB153" s="70"/>
      <c r="BC153" s="70"/>
      <c r="BD153" s="70"/>
      <c r="BE153" s="70"/>
      <c r="BF153" s="70"/>
      <c r="BG153" s="70"/>
      <c r="BH153" s="130"/>
      <c r="BI153" s="130"/>
      <c r="BJ153" s="130"/>
      <c r="BK153" s="130"/>
      <c r="BL153" s="130"/>
      <c r="BM153" s="130"/>
      <c r="BN153" s="130" t="s">
        <v>4122</v>
      </c>
      <c r="BO153" s="130"/>
      <c r="BP153" s="130"/>
      <c r="BQ153" s="130"/>
      <c r="BR153" s="130"/>
    </row>
    <row r="154" spans="1:70" hidden="1" x14ac:dyDescent="0.25">
      <c r="A154" s="68">
        <v>78</v>
      </c>
      <c r="B154" s="110" t="s">
        <v>2427</v>
      </c>
      <c r="C154" s="110" t="s">
        <v>2428</v>
      </c>
      <c r="D154" s="110" t="s">
        <v>3797</v>
      </c>
      <c r="E154" s="110"/>
      <c r="F154" s="110" t="s">
        <v>2429</v>
      </c>
      <c r="G154" s="110">
        <v>2018</v>
      </c>
      <c r="H154" s="110" t="s">
        <v>2430</v>
      </c>
      <c r="I154" s="111" t="s">
        <v>80</v>
      </c>
      <c r="J154" s="111" t="s">
        <v>88</v>
      </c>
      <c r="K154" s="111" t="s">
        <v>80</v>
      </c>
      <c r="L154" s="111" t="s">
        <v>80</v>
      </c>
      <c r="M154" s="110" t="s">
        <v>3796</v>
      </c>
      <c r="N154" s="110">
        <v>1</v>
      </c>
      <c r="O154" s="110">
        <v>5</v>
      </c>
      <c r="P154" s="110" t="s">
        <v>3385</v>
      </c>
      <c r="Q154" s="110" t="s">
        <v>3425</v>
      </c>
      <c r="R154" s="110" t="s">
        <v>4134</v>
      </c>
      <c r="S154" s="110" t="s">
        <v>3243</v>
      </c>
      <c r="T154" s="110" t="s">
        <v>0</v>
      </c>
      <c r="U154" s="110" t="s">
        <v>38</v>
      </c>
      <c r="V154" s="110" t="s">
        <v>69</v>
      </c>
      <c r="W154" s="110" t="s">
        <v>3336</v>
      </c>
      <c r="X154" s="110">
        <v>5</v>
      </c>
      <c r="Y154" s="110">
        <v>5</v>
      </c>
      <c r="Z154" s="110">
        <v>5</v>
      </c>
      <c r="AA154" s="110">
        <v>5</v>
      </c>
      <c r="AB154" s="110">
        <v>5</v>
      </c>
      <c r="AC154" s="110">
        <v>5</v>
      </c>
      <c r="AD15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54" s="110" t="s">
        <v>53</v>
      </c>
      <c r="AF154" s="70"/>
      <c r="AG154" s="70"/>
      <c r="AH154" s="70"/>
      <c r="AI154" s="70"/>
      <c r="AJ154" s="70" t="s">
        <v>4122</v>
      </c>
      <c r="AK154" s="70"/>
      <c r="AL154" s="70"/>
      <c r="AM154" s="70" t="s">
        <v>4122</v>
      </c>
      <c r="AN154" s="70"/>
      <c r="AO154" s="70"/>
      <c r="AP154" s="70"/>
      <c r="AQ154" s="70"/>
      <c r="AR154" s="70"/>
      <c r="AS154" s="70"/>
      <c r="AT154" s="70"/>
      <c r="AU154" s="70"/>
      <c r="AV154" s="70"/>
      <c r="AW154" s="70"/>
      <c r="AX154" s="70"/>
      <c r="AY154" s="70"/>
      <c r="AZ154" s="70"/>
      <c r="BA154" s="70"/>
      <c r="BB154" s="70"/>
      <c r="BC154" s="70"/>
      <c r="BD154" s="70"/>
      <c r="BE154" s="70" t="s">
        <v>4122</v>
      </c>
      <c r="BF154" s="70"/>
      <c r="BG154" s="70"/>
      <c r="BH154" s="130"/>
      <c r="BI154" s="130"/>
      <c r="BJ154" s="130" t="s">
        <v>4122</v>
      </c>
      <c r="BK154" s="130"/>
      <c r="BL154" s="130"/>
      <c r="BM154" s="130"/>
      <c r="BN154" s="130"/>
      <c r="BO154" s="130"/>
      <c r="BP154" s="130"/>
      <c r="BQ154" s="130"/>
      <c r="BR154" s="130"/>
    </row>
    <row r="155" spans="1:70" hidden="1" x14ac:dyDescent="0.25">
      <c r="A155" s="68">
        <v>100</v>
      </c>
      <c r="B155" s="70" t="s">
        <v>2099</v>
      </c>
      <c r="C155" s="70" t="s">
        <v>2100</v>
      </c>
      <c r="D155" s="70" t="s">
        <v>3829</v>
      </c>
      <c r="E155" s="70"/>
      <c r="F155" s="70" t="s">
        <v>2101</v>
      </c>
      <c r="G155" s="70">
        <v>2018</v>
      </c>
      <c r="H155" s="70" t="s">
        <v>2102</v>
      </c>
      <c r="I155" s="78" t="s">
        <v>80</v>
      </c>
      <c r="J155" s="78" t="s">
        <v>88</v>
      </c>
      <c r="K155" s="78" t="s">
        <v>80</v>
      </c>
      <c r="L155" s="78" t="s">
        <v>80</v>
      </c>
      <c r="M155" s="70" t="s">
        <v>3828</v>
      </c>
      <c r="N155" s="70">
        <v>1</v>
      </c>
      <c r="O155" s="70">
        <v>5</v>
      </c>
      <c r="P155" s="90" t="s">
        <v>3244</v>
      </c>
      <c r="Q155" s="104" t="s">
        <v>3465</v>
      </c>
      <c r="R155" s="108" t="s">
        <v>3204</v>
      </c>
      <c r="S155" s="90" t="s">
        <v>3239</v>
      </c>
      <c r="T155" s="70" t="s">
        <v>0</v>
      </c>
      <c r="U155" s="70" t="s">
        <v>38</v>
      </c>
      <c r="V155" s="70" t="s">
        <v>69</v>
      </c>
      <c r="W155" s="70" t="s">
        <v>3336</v>
      </c>
      <c r="X155" s="70">
        <v>5</v>
      </c>
      <c r="Y155" s="70">
        <v>5</v>
      </c>
      <c r="Z155" s="70">
        <v>5</v>
      </c>
      <c r="AA155" s="70">
        <v>5</v>
      </c>
      <c r="AB155" s="70">
        <v>5</v>
      </c>
      <c r="AC155" s="70">
        <v>5</v>
      </c>
      <c r="AD15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55" s="70" t="s">
        <v>54</v>
      </c>
      <c r="AF155" s="70" t="s">
        <v>4122</v>
      </c>
      <c r="AG155" s="70"/>
      <c r="AH155" s="70"/>
      <c r="AI155" s="70"/>
      <c r="AJ155" s="70"/>
      <c r="AK155" s="70"/>
      <c r="AL155" s="70"/>
      <c r="AM155" s="70" t="s">
        <v>4122</v>
      </c>
      <c r="AN155" s="70"/>
      <c r="AO155" s="70"/>
      <c r="AP155" s="70"/>
      <c r="AQ155" s="70"/>
      <c r="AR155" s="70"/>
      <c r="AS155" s="70"/>
      <c r="AT155" s="70"/>
      <c r="AU155" s="70"/>
      <c r="AV155" s="70"/>
      <c r="AW155" s="70"/>
      <c r="AX155" s="70"/>
      <c r="AY155" s="70"/>
      <c r="AZ155" s="70"/>
      <c r="BA155" s="70"/>
      <c r="BB155" s="70"/>
      <c r="BC155" s="70" t="s">
        <v>4122</v>
      </c>
      <c r="BD155" s="70"/>
      <c r="BE155" s="70"/>
      <c r="BF155" s="70"/>
      <c r="BG155" s="70"/>
      <c r="BH155" s="130"/>
      <c r="BI155" s="130"/>
      <c r="BJ155" s="130"/>
      <c r="BK155" s="130"/>
      <c r="BL155" s="130"/>
      <c r="BM155" s="130"/>
      <c r="BN155" s="130" t="s">
        <v>4122</v>
      </c>
      <c r="BO155" s="130"/>
      <c r="BP155" s="130"/>
      <c r="BQ155" s="130"/>
      <c r="BR155" s="130"/>
    </row>
    <row r="156" spans="1:70" hidden="1" x14ac:dyDescent="0.25">
      <c r="A156" s="68">
        <v>155</v>
      </c>
      <c r="B156" s="70" t="s">
        <v>3131</v>
      </c>
      <c r="C156" s="70" t="s">
        <v>3132</v>
      </c>
      <c r="D156" s="70" t="s">
        <v>3037</v>
      </c>
      <c r="E156" s="70"/>
      <c r="F156" s="70" t="s">
        <v>3133</v>
      </c>
      <c r="G156" s="70">
        <v>2016</v>
      </c>
      <c r="H156" s="70" t="s">
        <v>3134</v>
      </c>
      <c r="I156" s="78" t="s">
        <v>80</v>
      </c>
      <c r="J156" s="78" t="s">
        <v>80</v>
      </c>
      <c r="K156" s="78">
        <v>0.34</v>
      </c>
      <c r="L156" s="78">
        <v>3</v>
      </c>
      <c r="M156" s="70" t="s">
        <v>3673</v>
      </c>
      <c r="N156" s="70">
        <v>1</v>
      </c>
      <c r="O156" s="70">
        <v>5</v>
      </c>
      <c r="P156" s="90" t="s">
        <v>3157</v>
      </c>
      <c r="Q156" s="104" t="s">
        <v>3502</v>
      </c>
      <c r="R156" s="108" t="s">
        <v>3559</v>
      </c>
      <c r="S156" s="90" t="s">
        <v>3284</v>
      </c>
      <c r="T156" s="70" t="s">
        <v>0</v>
      </c>
      <c r="U156" s="70" t="s">
        <v>38</v>
      </c>
      <c r="V156" s="70" t="s">
        <v>69</v>
      </c>
      <c r="W156" s="70" t="s">
        <v>3336</v>
      </c>
      <c r="X156" s="70">
        <v>5</v>
      </c>
      <c r="Y156" s="70">
        <v>5</v>
      </c>
      <c r="Z156" s="70">
        <v>5</v>
      </c>
      <c r="AA156" s="70">
        <v>5</v>
      </c>
      <c r="AB156" s="70">
        <v>5</v>
      </c>
      <c r="AC156" s="70">
        <v>5</v>
      </c>
      <c r="AD15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56" s="70" t="s">
        <v>61</v>
      </c>
      <c r="AF156" s="70"/>
      <c r="AG156" s="70" t="s">
        <v>4122</v>
      </c>
      <c r="AH156" s="70"/>
      <c r="AI156" s="70"/>
      <c r="AJ156" s="70"/>
      <c r="AK156" s="70"/>
      <c r="AL156" s="70" t="s">
        <v>4122</v>
      </c>
      <c r="AM156" s="70" t="s">
        <v>4122</v>
      </c>
      <c r="AN156" s="70"/>
      <c r="AO156" s="70"/>
      <c r="AP156" s="70"/>
      <c r="AQ156" s="70"/>
      <c r="AR156" s="70"/>
      <c r="AS156" s="70"/>
      <c r="AT156" s="70"/>
      <c r="AU156" s="70"/>
      <c r="AV156" s="70" t="s">
        <v>4122</v>
      </c>
      <c r="AW156" s="70"/>
      <c r="AX156" s="70"/>
      <c r="AY156" s="70"/>
      <c r="AZ156" s="70"/>
      <c r="BA156" s="70"/>
      <c r="BB156" s="70"/>
      <c r="BC156" s="70"/>
      <c r="BD156" s="70"/>
      <c r="BE156" s="70"/>
      <c r="BF156" s="70"/>
      <c r="BG156" s="70"/>
      <c r="BH156" s="130"/>
      <c r="BI156" s="130"/>
      <c r="BJ156" s="130"/>
      <c r="BK156" s="130"/>
      <c r="BL156" s="130"/>
      <c r="BM156" s="130"/>
      <c r="BN156" s="130"/>
      <c r="BO156" s="130"/>
      <c r="BP156" s="130"/>
      <c r="BQ156" s="130" t="s">
        <v>4122</v>
      </c>
      <c r="BR156" s="130"/>
    </row>
    <row r="157" spans="1:70" hidden="1" x14ac:dyDescent="0.25">
      <c r="A157" s="68">
        <v>56</v>
      </c>
      <c r="B157" s="70" t="s">
        <v>2219</v>
      </c>
      <c r="C157" s="70" t="s">
        <v>2220</v>
      </c>
      <c r="D157" s="70" t="s">
        <v>3759</v>
      </c>
      <c r="E157" s="70"/>
      <c r="F157" s="70" t="s">
        <v>2221</v>
      </c>
      <c r="G157" s="70">
        <v>2014</v>
      </c>
      <c r="H157" s="70" t="s">
        <v>2222</v>
      </c>
      <c r="I157" s="78" t="s">
        <v>80</v>
      </c>
      <c r="J157" s="78" t="s">
        <v>4033</v>
      </c>
      <c r="K157" s="78" t="s">
        <v>80</v>
      </c>
      <c r="L157" s="78" t="s">
        <v>80</v>
      </c>
      <c r="M157" s="70" t="s">
        <v>3758</v>
      </c>
      <c r="N157" s="70">
        <v>1</v>
      </c>
      <c r="O157" s="70">
        <v>5</v>
      </c>
      <c r="P157" s="90" t="s">
        <v>3282</v>
      </c>
      <c r="Q157" s="104" t="s">
        <v>3182</v>
      </c>
      <c r="R157" s="108" t="s">
        <v>3361</v>
      </c>
      <c r="S157" s="90" t="s">
        <v>3187</v>
      </c>
      <c r="T157" s="70" t="s">
        <v>0</v>
      </c>
      <c r="U157" s="70" t="s">
        <v>38</v>
      </c>
      <c r="V157" s="70" t="s">
        <v>69</v>
      </c>
      <c r="W157" s="70" t="s">
        <v>3336</v>
      </c>
      <c r="X157" s="70">
        <v>5</v>
      </c>
      <c r="Y157" s="70">
        <v>5</v>
      </c>
      <c r="Z157" s="70">
        <v>5</v>
      </c>
      <c r="AA157" s="70">
        <v>5</v>
      </c>
      <c r="AB157" s="70">
        <v>5</v>
      </c>
      <c r="AC157" s="70">
        <v>5</v>
      </c>
      <c r="AD15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57" s="70" t="s">
        <v>3402</v>
      </c>
      <c r="AF157" s="70"/>
      <c r="AG157" s="70"/>
      <c r="AH157" s="70"/>
      <c r="AI157" s="70"/>
      <c r="AJ157" s="70" t="s">
        <v>4122</v>
      </c>
      <c r="AK157" s="70"/>
      <c r="AL157" s="70"/>
      <c r="AM157" s="70"/>
      <c r="AN157" s="70"/>
      <c r="AO157" s="70"/>
      <c r="AP157" s="70"/>
      <c r="AQ157" s="70"/>
      <c r="AR157" s="70"/>
      <c r="AS157" s="70"/>
      <c r="AT157" s="70"/>
      <c r="AU157" s="70"/>
      <c r="AV157" s="70"/>
      <c r="AW157" s="70"/>
      <c r="AX157" s="70"/>
      <c r="AY157" s="70"/>
      <c r="AZ157" s="70"/>
      <c r="BA157" s="70"/>
      <c r="BB157" s="70" t="s">
        <v>4122</v>
      </c>
      <c r="BC157" s="70"/>
      <c r="BD157" s="70"/>
      <c r="BE157" s="70"/>
      <c r="BF157" s="70"/>
      <c r="BG157" s="70"/>
      <c r="BH157" s="130"/>
      <c r="BI157" s="130"/>
      <c r="BJ157" s="130"/>
      <c r="BK157" s="130"/>
      <c r="BL157" s="130"/>
      <c r="BM157" s="130"/>
      <c r="BN157" s="130" t="s">
        <v>4122</v>
      </c>
      <c r="BO157" s="130"/>
      <c r="BP157" s="130"/>
      <c r="BQ157" s="130"/>
      <c r="BR157" s="130"/>
    </row>
    <row r="158" spans="1:70" hidden="1" x14ac:dyDescent="0.25">
      <c r="A158" s="68">
        <v>41</v>
      </c>
      <c r="B158" s="70" t="s">
        <v>141</v>
      </c>
      <c r="C158" s="70" t="s">
        <v>142</v>
      </c>
      <c r="D158" s="70" t="s">
        <v>3735</v>
      </c>
      <c r="E158" s="70" t="s">
        <v>307</v>
      </c>
      <c r="F158" s="70" t="s">
        <v>308</v>
      </c>
      <c r="G158" s="70">
        <v>2012</v>
      </c>
      <c r="H158" s="70"/>
      <c r="I158" s="78" t="s">
        <v>84</v>
      </c>
      <c r="J158" s="78" t="s">
        <v>80</v>
      </c>
      <c r="K158" s="78" t="s">
        <v>80</v>
      </c>
      <c r="L158" s="78" t="s">
        <v>80</v>
      </c>
      <c r="M158" s="70" t="s">
        <v>3736</v>
      </c>
      <c r="N158" s="70">
        <v>1</v>
      </c>
      <c r="O158" s="70">
        <v>4</v>
      </c>
      <c r="P158" s="90" t="s">
        <v>3244</v>
      </c>
      <c r="Q158" s="104" t="s">
        <v>3362</v>
      </c>
      <c r="R158" s="108" t="s">
        <v>3202</v>
      </c>
      <c r="S158" s="90" t="s">
        <v>3374</v>
      </c>
      <c r="T158" s="70" t="s">
        <v>6</v>
      </c>
      <c r="U158" s="70" t="s">
        <v>38</v>
      </c>
      <c r="V158" s="70" t="s">
        <v>69</v>
      </c>
      <c r="W158" s="70" t="s">
        <v>3336</v>
      </c>
      <c r="X158" s="70">
        <v>5</v>
      </c>
      <c r="Y158" s="70">
        <v>5</v>
      </c>
      <c r="Z158" s="70">
        <v>5</v>
      </c>
      <c r="AA158" s="70">
        <v>5</v>
      </c>
      <c r="AB158" s="70">
        <v>5</v>
      </c>
      <c r="AC158" s="70">
        <v>5</v>
      </c>
      <c r="AD15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58" s="70" t="s">
        <v>54</v>
      </c>
      <c r="AF158" s="70"/>
      <c r="AG158" s="70"/>
      <c r="AH158" s="70"/>
      <c r="AI158" s="70"/>
      <c r="AJ158" s="70" t="s">
        <v>4122</v>
      </c>
      <c r="AK158" s="70"/>
      <c r="AL158" s="70"/>
      <c r="AM158" s="70"/>
      <c r="AN158" s="70"/>
      <c r="AO158" s="70"/>
      <c r="AP158" s="70"/>
      <c r="AQ158" s="70"/>
      <c r="AR158" s="70"/>
      <c r="AS158" s="70"/>
      <c r="AT158" s="70"/>
      <c r="AU158" s="70"/>
      <c r="AV158" s="70"/>
      <c r="AW158" s="70"/>
      <c r="AX158" s="70"/>
      <c r="AY158" s="70"/>
      <c r="AZ158" s="70"/>
      <c r="BA158" s="70" t="s">
        <v>4122</v>
      </c>
      <c r="BB158" s="70"/>
      <c r="BC158" s="70"/>
      <c r="BD158" s="70"/>
      <c r="BE158" s="70"/>
      <c r="BF158" s="70"/>
      <c r="BG158" s="70"/>
      <c r="BH158" s="130" t="s">
        <v>4122</v>
      </c>
      <c r="BI158" s="130"/>
      <c r="BJ158" s="130"/>
      <c r="BK158" s="130"/>
      <c r="BL158" s="130"/>
      <c r="BM158" s="130"/>
      <c r="BN158" s="130"/>
      <c r="BO158" s="130"/>
      <c r="BP158" s="130"/>
      <c r="BQ158" s="130"/>
      <c r="BR158" s="130"/>
    </row>
    <row r="159" spans="1:70" hidden="1" x14ac:dyDescent="0.25">
      <c r="A159" s="68">
        <v>139</v>
      </c>
      <c r="B159" s="70" t="s">
        <v>1573</v>
      </c>
      <c r="C159" s="70" t="s">
        <v>1574</v>
      </c>
      <c r="D159" s="70" t="s">
        <v>30</v>
      </c>
      <c r="E159" s="70"/>
      <c r="F159" s="70" t="s">
        <v>1575</v>
      </c>
      <c r="G159" s="70">
        <v>2015</v>
      </c>
      <c r="H159" s="70" t="s">
        <v>1576</v>
      </c>
      <c r="I159" s="78" t="s">
        <v>80</v>
      </c>
      <c r="J159" s="78" t="s">
        <v>4033</v>
      </c>
      <c r="K159" s="78" t="s">
        <v>80</v>
      </c>
      <c r="L159" s="78" t="s">
        <v>80</v>
      </c>
      <c r="M159" s="70" t="s">
        <v>3891</v>
      </c>
      <c r="N159" s="70">
        <v>28</v>
      </c>
      <c r="O159" s="70">
        <v>5</v>
      </c>
      <c r="P159" s="90" t="s">
        <v>3157</v>
      </c>
      <c r="Q159" s="104" t="s">
        <v>3527</v>
      </c>
      <c r="R159" s="108" t="s">
        <v>3361</v>
      </c>
      <c r="S159" s="90" t="s">
        <v>3528</v>
      </c>
      <c r="T159" s="70" t="s">
        <v>0</v>
      </c>
      <c r="U159" s="70" t="s">
        <v>38</v>
      </c>
      <c r="V159" s="70" t="s">
        <v>69</v>
      </c>
      <c r="W159" s="70" t="s">
        <v>3336</v>
      </c>
      <c r="X159" s="70">
        <v>5</v>
      </c>
      <c r="Y159" s="70">
        <v>5</v>
      </c>
      <c r="Z159" s="70">
        <v>5</v>
      </c>
      <c r="AA159" s="70">
        <v>5</v>
      </c>
      <c r="AB159" s="70">
        <v>5</v>
      </c>
      <c r="AC159" s="70">
        <v>5</v>
      </c>
      <c r="AD15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59" s="70" t="s">
        <v>57</v>
      </c>
      <c r="AF159" s="70"/>
      <c r="AG159" s="70"/>
      <c r="AH159" s="70"/>
      <c r="AI159" s="70"/>
      <c r="AJ159" s="70"/>
      <c r="AK159" s="70"/>
      <c r="AL159" s="70"/>
      <c r="AM159" s="70" t="s">
        <v>4122</v>
      </c>
      <c r="AN159" s="70"/>
      <c r="AO159" s="70"/>
      <c r="AP159" s="70"/>
      <c r="AQ159" s="70"/>
      <c r="AR159" s="70"/>
      <c r="AS159" s="70"/>
      <c r="AT159" s="70"/>
      <c r="AU159" s="70"/>
      <c r="AV159" s="70"/>
      <c r="AW159" s="70"/>
      <c r="AX159" s="70"/>
      <c r="AY159" s="70" t="s">
        <v>4122</v>
      </c>
      <c r="AZ159" s="70"/>
      <c r="BA159" s="70"/>
      <c r="BB159" s="70"/>
      <c r="BC159" s="70"/>
      <c r="BD159" s="70"/>
      <c r="BE159" s="70"/>
      <c r="BF159" s="70"/>
      <c r="BG159" s="70"/>
      <c r="BH159" s="130"/>
      <c r="BI159" s="130"/>
      <c r="BJ159" s="130"/>
      <c r="BK159" s="130"/>
      <c r="BL159" s="130"/>
      <c r="BM159" s="130"/>
      <c r="BN159" s="130" t="s">
        <v>4122</v>
      </c>
      <c r="BO159" s="130"/>
      <c r="BP159" s="130"/>
      <c r="BQ159" s="130"/>
      <c r="BR159" s="130"/>
    </row>
    <row r="160" spans="1:70" hidden="1" x14ac:dyDescent="0.25">
      <c r="A160" s="68">
        <v>29</v>
      </c>
      <c r="B160" s="110" t="s">
        <v>1461</v>
      </c>
      <c r="C160" s="110" t="s">
        <v>1462</v>
      </c>
      <c r="D160" s="110" t="s">
        <v>3715</v>
      </c>
      <c r="E160" s="110"/>
      <c r="F160" s="110" t="s">
        <v>1463</v>
      </c>
      <c r="G160" s="110">
        <v>2015</v>
      </c>
      <c r="H160" s="110" t="s">
        <v>1464</v>
      </c>
      <c r="I160" s="111" t="s">
        <v>84</v>
      </c>
      <c r="J160" s="111" t="s">
        <v>80</v>
      </c>
      <c r="K160" s="111" t="s">
        <v>80</v>
      </c>
      <c r="L160" s="111" t="s">
        <v>80</v>
      </c>
      <c r="M160" s="110" t="s">
        <v>3716</v>
      </c>
      <c r="N160" s="110">
        <v>1</v>
      </c>
      <c r="O160" s="110">
        <v>5</v>
      </c>
      <c r="P160" s="110" t="s">
        <v>3244</v>
      </c>
      <c r="Q160" s="110" t="s">
        <v>3295</v>
      </c>
      <c r="R160" s="110" t="s">
        <v>3253</v>
      </c>
      <c r="S160" s="110" t="s">
        <v>3236</v>
      </c>
      <c r="T160" s="110" t="s">
        <v>0</v>
      </c>
      <c r="U160" s="110" t="s">
        <v>38</v>
      </c>
      <c r="V160" s="110" t="s">
        <v>69</v>
      </c>
      <c r="W160" s="110" t="s">
        <v>3354</v>
      </c>
      <c r="X160" s="110">
        <v>5</v>
      </c>
      <c r="Y160" s="110">
        <v>5</v>
      </c>
      <c r="Z160" s="110">
        <v>5</v>
      </c>
      <c r="AA160" s="110">
        <v>5</v>
      </c>
      <c r="AB160" s="110">
        <v>5</v>
      </c>
      <c r="AC160" s="110">
        <v>5</v>
      </c>
      <c r="AD160"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0" s="110" t="s">
        <v>3355</v>
      </c>
      <c r="AF160" s="70"/>
      <c r="AG160" s="70"/>
      <c r="AH160" s="70"/>
      <c r="AI160" s="70"/>
      <c r="AJ160" s="70" t="s">
        <v>4122</v>
      </c>
      <c r="AK160" s="70"/>
      <c r="AL160" s="70"/>
      <c r="AM160" s="70"/>
      <c r="AN160" s="70"/>
      <c r="AO160" s="70"/>
      <c r="AP160" s="70"/>
      <c r="AQ160" s="70"/>
      <c r="AR160" s="70"/>
      <c r="AS160" s="70"/>
      <c r="AT160" s="70"/>
      <c r="AU160" s="70"/>
      <c r="AV160" s="70"/>
      <c r="AW160" s="70"/>
      <c r="AX160" s="70"/>
      <c r="AY160" s="70"/>
      <c r="AZ160" s="70"/>
      <c r="BA160" s="70"/>
      <c r="BB160" s="70"/>
      <c r="BC160" s="70"/>
      <c r="BD160" s="70"/>
      <c r="BE160" s="70" t="s">
        <v>4122</v>
      </c>
      <c r="BF160" s="70"/>
      <c r="BG160" s="70"/>
      <c r="BH160" s="130" t="s">
        <v>4122</v>
      </c>
      <c r="BI160" s="130"/>
      <c r="BJ160" s="130"/>
      <c r="BK160" s="130"/>
      <c r="BL160" s="130"/>
      <c r="BM160" s="130"/>
      <c r="BN160" s="130"/>
      <c r="BO160" s="130"/>
      <c r="BP160" s="130"/>
      <c r="BQ160" s="130"/>
      <c r="BR160" s="130"/>
    </row>
    <row r="161" spans="1:100" hidden="1" x14ac:dyDescent="0.25">
      <c r="A161" s="68">
        <v>143</v>
      </c>
      <c r="B161" s="70" t="s">
        <v>1076</v>
      </c>
      <c r="C161" s="70" t="s">
        <v>1077</v>
      </c>
      <c r="D161" s="70" t="s">
        <v>22</v>
      </c>
      <c r="E161" s="70"/>
      <c r="F161" s="70" t="s">
        <v>1078</v>
      </c>
      <c r="G161" s="70">
        <v>2019</v>
      </c>
      <c r="H161" s="70" t="s">
        <v>1079</v>
      </c>
      <c r="I161" s="78" t="s">
        <v>80</v>
      </c>
      <c r="J161" s="78" t="s">
        <v>80</v>
      </c>
      <c r="K161" s="78">
        <v>0.55000000000000004</v>
      </c>
      <c r="L161" s="78">
        <v>5</v>
      </c>
      <c r="M161" s="70" t="s">
        <v>3897</v>
      </c>
      <c r="N161" s="70">
        <v>3</v>
      </c>
      <c r="O161" s="70">
        <v>5</v>
      </c>
      <c r="P161" s="90" t="s">
        <v>3535</v>
      </c>
      <c r="Q161" s="104" t="s">
        <v>3536</v>
      </c>
      <c r="R161" s="108" t="s">
        <v>3210</v>
      </c>
      <c r="S161" s="90" t="s">
        <v>3257</v>
      </c>
      <c r="T161" s="70" t="s">
        <v>0</v>
      </c>
      <c r="U161" s="70" t="s">
        <v>38</v>
      </c>
      <c r="V161" s="70" t="s">
        <v>69</v>
      </c>
      <c r="W161" s="70" t="s">
        <v>3336</v>
      </c>
      <c r="X161" s="70">
        <v>5</v>
      </c>
      <c r="Y161" s="70">
        <v>5</v>
      </c>
      <c r="Z161" s="70">
        <v>5</v>
      </c>
      <c r="AA161" s="70">
        <v>5</v>
      </c>
      <c r="AB161" s="70">
        <v>5</v>
      </c>
      <c r="AC161" s="70">
        <v>5</v>
      </c>
      <c r="AD16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61" s="70" t="s">
        <v>65</v>
      </c>
      <c r="AF161" s="70"/>
      <c r="AG161" s="70"/>
      <c r="AH161" s="70"/>
      <c r="AI161" s="70"/>
      <c r="AJ161" s="70"/>
      <c r="AK161" s="70"/>
      <c r="AL161" s="70"/>
      <c r="AM161" s="70" t="s">
        <v>4122</v>
      </c>
      <c r="AN161" s="70"/>
      <c r="AO161" s="70"/>
      <c r="AP161" s="70"/>
      <c r="AQ161" s="70"/>
      <c r="AR161" s="70"/>
      <c r="AS161" s="70"/>
      <c r="AT161" s="70"/>
      <c r="AU161" s="70"/>
      <c r="AV161" s="70"/>
      <c r="AW161" s="70"/>
      <c r="AX161" s="70"/>
      <c r="AY161" s="70"/>
      <c r="AZ161" s="70"/>
      <c r="BA161" s="70"/>
      <c r="BB161" s="70"/>
      <c r="BC161" s="70"/>
      <c r="BD161" s="70" t="s">
        <v>4122</v>
      </c>
      <c r="BE161" s="70"/>
      <c r="BF161" s="70"/>
      <c r="BG161" s="70"/>
      <c r="BH161" s="130"/>
      <c r="BI161" s="130"/>
      <c r="BJ161" s="130"/>
      <c r="BK161" s="130"/>
      <c r="BL161" s="130"/>
      <c r="BM161" s="130"/>
      <c r="BN161" s="130" t="s">
        <v>4122</v>
      </c>
      <c r="BO161" s="130"/>
      <c r="BP161" s="130"/>
      <c r="BQ161" s="130"/>
      <c r="BR161" s="130"/>
    </row>
    <row r="162" spans="1:100" hidden="1" x14ac:dyDescent="0.25">
      <c r="A162" s="68">
        <v>224</v>
      </c>
      <c r="B162" s="70" t="s">
        <v>1284</v>
      </c>
      <c r="C162" s="70" t="s">
        <v>1285</v>
      </c>
      <c r="D162" s="70" t="s">
        <v>4015</v>
      </c>
      <c r="E162" s="70"/>
      <c r="F162" s="70" t="s">
        <v>1286</v>
      </c>
      <c r="G162" s="70">
        <v>2018</v>
      </c>
      <c r="H162" s="70" t="s">
        <v>1287</v>
      </c>
      <c r="I162" s="78" t="s">
        <v>4035</v>
      </c>
      <c r="J162" s="78" t="s">
        <v>83</v>
      </c>
      <c r="K162" s="78" t="s">
        <v>80</v>
      </c>
      <c r="L162" s="78">
        <v>1</v>
      </c>
      <c r="M162" s="70" t="s">
        <v>4016</v>
      </c>
      <c r="N162" s="70">
        <v>1</v>
      </c>
      <c r="O162" s="70">
        <v>5</v>
      </c>
      <c r="P162" s="90" t="s">
        <v>3244</v>
      </c>
      <c r="Q162" s="104" t="s">
        <v>3634</v>
      </c>
      <c r="R162" s="108" t="s">
        <v>3436</v>
      </c>
      <c r="S162" s="90" t="s">
        <v>3239</v>
      </c>
      <c r="T162" s="70" t="s">
        <v>0</v>
      </c>
      <c r="U162" s="70" t="s">
        <v>3622</v>
      </c>
      <c r="V162" s="70" t="s">
        <v>69</v>
      </c>
      <c r="W162" s="70" t="s">
        <v>3336</v>
      </c>
      <c r="X162" s="70">
        <v>5</v>
      </c>
      <c r="Y162" s="70">
        <v>5</v>
      </c>
      <c r="Z162" s="70">
        <v>5</v>
      </c>
      <c r="AA162" s="70">
        <v>5</v>
      </c>
      <c r="AB162" s="70">
        <v>5</v>
      </c>
      <c r="AC162" s="70">
        <v>5</v>
      </c>
      <c r="AD16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2" s="70" t="s">
        <v>3635</v>
      </c>
      <c r="AF162" s="70"/>
      <c r="AG162" s="70"/>
      <c r="AH162" s="70"/>
      <c r="AI162" s="70"/>
      <c r="AJ162" s="70" t="s">
        <v>4122</v>
      </c>
      <c r="AK162" s="70"/>
      <c r="AL162" s="70"/>
      <c r="AM162" s="70"/>
      <c r="AN162" s="70"/>
      <c r="AO162" s="70"/>
      <c r="AP162" s="70"/>
      <c r="AQ162" s="70"/>
      <c r="AR162" s="70"/>
      <c r="AS162" s="70"/>
      <c r="AT162" s="70"/>
      <c r="AU162" s="70"/>
      <c r="AV162" s="70"/>
      <c r="AW162" s="70"/>
      <c r="AX162" s="70"/>
      <c r="AY162" s="70"/>
      <c r="AZ162" s="70"/>
      <c r="BA162" s="70" t="s">
        <v>4122</v>
      </c>
      <c r="BB162" s="70"/>
      <c r="BC162" s="70"/>
      <c r="BD162" s="70"/>
      <c r="BE162" s="70"/>
      <c r="BF162" s="70"/>
      <c r="BG162" s="70"/>
      <c r="BH162" s="130"/>
      <c r="BI162" s="130"/>
      <c r="BJ162" s="130"/>
      <c r="BK162" s="130"/>
      <c r="BL162" s="130" t="s">
        <v>4122</v>
      </c>
      <c r="BM162" s="130"/>
      <c r="BN162" s="130"/>
      <c r="BO162" s="130"/>
      <c r="BP162" s="130"/>
      <c r="BQ162" s="130"/>
      <c r="BR162" s="130"/>
    </row>
    <row r="163" spans="1:100" hidden="1" x14ac:dyDescent="0.25">
      <c r="A163" s="68">
        <v>119</v>
      </c>
      <c r="B163" s="70" t="s">
        <v>572</v>
      </c>
      <c r="C163" s="70" t="s">
        <v>573</v>
      </c>
      <c r="D163" s="70" t="s">
        <v>3860</v>
      </c>
      <c r="E163" s="70"/>
      <c r="F163" s="70" t="s">
        <v>574</v>
      </c>
      <c r="G163" s="70">
        <v>2018</v>
      </c>
      <c r="H163" s="70" t="s">
        <v>575</v>
      </c>
      <c r="I163" s="78" t="s">
        <v>80</v>
      </c>
      <c r="J163" s="78" t="s">
        <v>85</v>
      </c>
      <c r="K163" s="78" t="s">
        <v>80</v>
      </c>
      <c r="L163" s="78" t="s">
        <v>80</v>
      </c>
      <c r="M163" s="70" t="s">
        <v>3861</v>
      </c>
      <c r="N163" s="70">
        <v>1</v>
      </c>
      <c r="O163" s="70">
        <v>5</v>
      </c>
      <c r="P163" s="90" t="s">
        <v>3157</v>
      </c>
      <c r="Q163" s="104" t="s">
        <v>3494</v>
      </c>
      <c r="R163" s="108" t="s">
        <v>3454</v>
      </c>
      <c r="S163" s="90" t="s">
        <v>3221</v>
      </c>
      <c r="T163" s="70" t="s">
        <v>0</v>
      </c>
      <c r="U163" s="70" t="s">
        <v>38</v>
      </c>
      <c r="V163" s="70" t="s">
        <v>69</v>
      </c>
      <c r="W163" s="70" t="s">
        <v>3495</v>
      </c>
      <c r="X163" s="70">
        <v>5</v>
      </c>
      <c r="Y163" s="70">
        <v>5</v>
      </c>
      <c r="Z163" s="70">
        <v>5</v>
      </c>
      <c r="AA163" s="70">
        <v>5</v>
      </c>
      <c r="AB163" s="70">
        <v>5</v>
      </c>
      <c r="AC163" s="70">
        <v>5</v>
      </c>
      <c r="AD16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63" s="70" t="s">
        <v>59</v>
      </c>
      <c r="AF163" s="70"/>
      <c r="AG163" s="70"/>
      <c r="AH163" s="70"/>
      <c r="AI163" s="70"/>
      <c r="AJ163" s="70"/>
      <c r="AK163" s="70"/>
      <c r="AL163" s="70"/>
      <c r="AM163" s="70" t="s">
        <v>4122</v>
      </c>
      <c r="AN163" s="70"/>
      <c r="AO163" s="70"/>
      <c r="AP163" s="70"/>
      <c r="AQ163" s="70"/>
      <c r="AR163" s="70"/>
      <c r="AS163" s="70"/>
      <c r="AT163" s="70"/>
      <c r="AU163" s="70"/>
      <c r="AV163" s="70"/>
      <c r="AW163" s="70"/>
      <c r="AX163" s="70"/>
      <c r="AY163" s="70"/>
      <c r="AZ163" s="70"/>
      <c r="BA163" s="70" t="s">
        <v>4122</v>
      </c>
      <c r="BB163" s="70"/>
      <c r="BC163" s="70"/>
      <c r="BD163" s="70"/>
      <c r="BE163" s="70"/>
      <c r="BF163" s="70"/>
      <c r="BG163" s="70"/>
      <c r="BH163" s="130"/>
      <c r="BI163" s="130"/>
      <c r="BJ163" s="130"/>
      <c r="BK163" s="130"/>
      <c r="BL163" s="130"/>
      <c r="BM163" s="130" t="s">
        <v>4122</v>
      </c>
      <c r="BN163" s="130"/>
      <c r="BO163" s="130"/>
      <c r="BP163" s="130"/>
      <c r="BQ163" s="130"/>
      <c r="BR163" s="130"/>
    </row>
    <row r="164" spans="1:100" s="8" customFormat="1" hidden="1" x14ac:dyDescent="0.25">
      <c r="A164" s="68">
        <v>167</v>
      </c>
      <c r="B164" s="70" t="s">
        <v>660</v>
      </c>
      <c r="C164" s="70" t="s">
        <v>661</v>
      </c>
      <c r="D164" s="70" t="s">
        <v>3935</v>
      </c>
      <c r="E164" s="70"/>
      <c r="F164" s="70" t="s">
        <v>662</v>
      </c>
      <c r="G164" s="70">
        <v>2016</v>
      </c>
      <c r="H164" s="70" t="s">
        <v>663</v>
      </c>
      <c r="I164" s="78" t="s">
        <v>80</v>
      </c>
      <c r="J164" s="78" t="s">
        <v>85</v>
      </c>
      <c r="K164" s="78" t="s">
        <v>80</v>
      </c>
      <c r="L164" s="78" t="s">
        <v>80</v>
      </c>
      <c r="M164" s="70" t="s">
        <v>3934</v>
      </c>
      <c r="N164" s="70">
        <v>1</v>
      </c>
      <c r="O164" s="70">
        <v>2</v>
      </c>
      <c r="P164" s="90" t="s">
        <v>3161</v>
      </c>
      <c r="Q164" s="104" t="s">
        <v>3362</v>
      </c>
      <c r="R164" s="108" t="s">
        <v>3279</v>
      </c>
      <c r="S164" s="90" t="s">
        <v>3580</v>
      </c>
      <c r="T164" s="70" t="s">
        <v>0</v>
      </c>
      <c r="U164" s="70" t="s">
        <v>38</v>
      </c>
      <c r="V164" s="70" t="s">
        <v>69</v>
      </c>
      <c r="W164" s="70" t="s">
        <v>3336</v>
      </c>
      <c r="X164" s="70">
        <v>4</v>
      </c>
      <c r="Y164" s="70">
        <v>4</v>
      </c>
      <c r="Z164" s="70">
        <v>4</v>
      </c>
      <c r="AA164" s="70">
        <v>3</v>
      </c>
      <c r="AB164" s="70">
        <v>4</v>
      </c>
      <c r="AC164" s="70">
        <v>4</v>
      </c>
      <c r="AD16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64" s="70" t="s">
        <v>59</v>
      </c>
      <c r="AF164" s="70"/>
      <c r="AG164" s="70"/>
      <c r="AH164" s="70"/>
      <c r="AI164" s="70"/>
      <c r="AJ164" s="70" t="s">
        <v>4122</v>
      </c>
      <c r="AK164" s="70"/>
      <c r="AL164" s="70"/>
      <c r="AM164" s="70" t="s">
        <v>4122</v>
      </c>
      <c r="AN164" s="70"/>
      <c r="AO164" s="70"/>
      <c r="AP164" s="70" t="s">
        <v>4122</v>
      </c>
      <c r="AQ164" s="70"/>
      <c r="AR164" s="70"/>
      <c r="AS164" s="70"/>
      <c r="AT164" s="70"/>
      <c r="AU164" s="70"/>
      <c r="AV164" s="70"/>
      <c r="AW164" s="70"/>
      <c r="AX164" s="70"/>
      <c r="AY164" s="70"/>
      <c r="AZ164" s="70"/>
      <c r="BA164" s="70" t="s">
        <v>4122</v>
      </c>
      <c r="BB164" s="70"/>
      <c r="BC164" s="70"/>
      <c r="BD164" s="70"/>
      <c r="BE164" s="70"/>
      <c r="BF164" s="70"/>
      <c r="BG164" s="70"/>
      <c r="BH164" s="130"/>
      <c r="BI164" s="130"/>
      <c r="BJ164" s="130"/>
      <c r="BK164" s="130"/>
      <c r="BL164" s="130"/>
      <c r="BM164" s="130"/>
      <c r="BN164" s="130"/>
      <c r="BO164" s="130" t="s">
        <v>4122</v>
      </c>
      <c r="BP164" s="130"/>
      <c r="BQ164" s="130"/>
      <c r="BR164" s="130"/>
      <c r="BS164" s="113"/>
      <c r="BT164" s="113"/>
      <c r="BU164" s="113"/>
      <c r="BV164" s="113"/>
      <c r="BW164" s="113"/>
      <c r="BX164" s="113"/>
      <c r="BY164" s="113"/>
      <c r="BZ164" s="113"/>
      <c r="CA164" s="113"/>
      <c r="CB164" s="113"/>
      <c r="CC164" s="113"/>
      <c r="CD164" s="113"/>
      <c r="CE164" s="113"/>
      <c r="CF164" s="113"/>
      <c r="CG164" s="113"/>
      <c r="CH164" s="113"/>
      <c r="CI164" s="113"/>
      <c r="CJ164" s="113"/>
      <c r="CK164" s="113"/>
      <c r="CL164" s="113"/>
      <c r="CM164" s="113"/>
      <c r="CN164" s="113"/>
      <c r="CO164" s="113"/>
      <c r="CP164" s="113"/>
      <c r="CQ164" s="113"/>
      <c r="CR164" s="113"/>
      <c r="CS164" s="113"/>
      <c r="CT164" s="113"/>
      <c r="CU164" s="113"/>
      <c r="CV164" s="113"/>
    </row>
    <row r="165" spans="1:100" s="8" customFormat="1" hidden="1" x14ac:dyDescent="0.25">
      <c r="A165" s="68">
        <v>170</v>
      </c>
      <c r="B165" s="110" t="s">
        <v>2013</v>
      </c>
      <c r="C165" s="110" t="s">
        <v>2014</v>
      </c>
      <c r="D165" s="110" t="s">
        <v>3818</v>
      </c>
      <c r="E165" s="110"/>
      <c r="F165" s="110" t="s">
        <v>2015</v>
      </c>
      <c r="G165" s="110">
        <v>2017</v>
      </c>
      <c r="H165" s="110" t="s">
        <v>2016</v>
      </c>
      <c r="I165" s="111" t="s">
        <v>84</v>
      </c>
      <c r="J165" s="111" t="s">
        <v>80</v>
      </c>
      <c r="K165" s="111" t="s">
        <v>80</v>
      </c>
      <c r="L165" s="111" t="s">
        <v>80</v>
      </c>
      <c r="M165" s="110" t="s">
        <v>3940</v>
      </c>
      <c r="N165" s="110">
        <v>1</v>
      </c>
      <c r="O165" s="110">
        <v>2</v>
      </c>
      <c r="P165" s="110" t="s">
        <v>3555</v>
      </c>
      <c r="Q165" s="110" t="s">
        <v>3584</v>
      </c>
      <c r="R165" s="110" t="s">
        <v>3585</v>
      </c>
      <c r="S165" s="110" t="s">
        <v>3586</v>
      </c>
      <c r="T165" s="110" t="s">
        <v>0</v>
      </c>
      <c r="U165" s="110" t="s">
        <v>38</v>
      </c>
      <c r="V165" s="110" t="s">
        <v>69</v>
      </c>
      <c r="W165" s="110" t="s">
        <v>3450</v>
      </c>
      <c r="X165" s="110">
        <v>5</v>
      </c>
      <c r="Y165" s="110">
        <v>5</v>
      </c>
      <c r="Z165" s="110">
        <v>5</v>
      </c>
      <c r="AA165" s="110">
        <v>5</v>
      </c>
      <c r="AB165" s="110">
        <v>5</v>
      </c>
      <c r="AC165" s="110">
        <v>5</v>
      </c>
      <c r="AD165"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5" s="110" t="s">
        <v>3489</v>
      </c>
      <c r="AF165" s="70"/>
      <c r="AG165" s="70"/>
      <c r="AH165" s="70"/>
      <c r="AI165" s="70"/>
      <c r="AJ165" s="70"/>
      <c r="AK165" s="70" t="s">
        <v>4122</v>
      </c>
      <c r="AL165" s="70"/>
      <c r="AM165" s="70" t="s">
        <v>4122</v>
      </c>
      <c r="AN165" s="70"/>
      <c r="AO165" s="70"/>
      <c r="AP165" s="70"/>
      <c r="AQ165" s="70"/>
      <c r="AR165" s="70"/>
      <c r="AS165" s="70"/>
      <c r="AT165" s="70"/>
      <c r="AU165" s="70"/>
      <c r="AV165" s="70"/>
      <c r="AW165" s="70"/>
      <c r="AX165" s="70"/>
      <c r="AY165" s="70"/>
      <c r="AZ165" s="70"/>
      <c r="BA165" s="70"/>
      <c r="BB165" s="70"/>
      <c r="BC165" s="70"/>
      <c r="BD165" s="70"/>
      <c r="BE165" s="70" t="s">
        <v>4122</v>
      </c>
      <c r="BF165" s="70"/>
      <c r="BG165" s="70"/>
      <c r="BH165" s="70"/>
      <c r="BI165" s="70"/>
      <c r="BJ165" s="70"/>
      <c r="BK165" s="130"/>
      <c r="BL165" s="70"/>
      <c r="BM165" s="70"/>
      <c r="BN165" s="70"/>
      <c r="BO165" s="70"/>
      <c r="BP165" s="70"/>
      <c r="BQ165" s="70"/>
      <c r="BR165" s="70"/>
      <c r="BS165" s="113"/>
      <c r="BT165" s="113"/>
      <c r="BU165" s="113"/>
      <c r="BV165" s="113"/>
      <c r="BW165" s="113"/>
      <c r="BX165" s="113"/>
      <c r="BY165" s="113"/>
      <c r="BZ165" s="113"/>
      <c r="CA165" s="113"/>
      <c r="CB165" s="113"/>
      <c r="CC165" s="113"/>
      <c r="CD165" s="113"/>
      <c r="CE165" s="113"/>
      <c r="CF165" s="113"/>
      <c r="CG165" s="113"/>
      <c r="CH165" s="113"/>
      <c r="CI165" s="113"/>
      <c r="CJ165" s="113"/>
      <c r="CK165" s="113"/>
      <c r="CL165" s="113"/>
      <c r="CM165" s="113"/>
      <c r="CN165" s="113"/>
      <c r="CO165" s="113"/>
      <c r="CP165" s="113"/>
      <c r="CQ165" s="113"/>
      <c r="CR165" s="113"/>
      <c r="CS165" s="113"/>
      <c r="CT165" s="113"/>
      <c r="CU165" s="113"/>
      <c r="CV165" s="113"/>
    </row>
    <row r="166" spans="1:100" hidden="1" x14ac:dyDescent="0.25">
      <c r="A166" s="68">
        <v>168</v>
      </c>
      <c r="B166" s="110" t="s">
        <v>1354</v>
      </c>
      <c r="C166" s="110" t="s">
        <v>1355</v>
      </c>
      <c r="D166" s="110" t="s">
        <v>3937</v>
      </c>
      <c r="E166" s="110"/>
      <c r="F166" s="110" t="s">
        <v>1356</v>
      </c>
      <c r="G166" s="110">
        <v>2017</v>
      </c>
      <c r="H166" s="110" t="s">
        <v>1357</v>
      </c>
      <c r="I166" s="111" t="s">
        <v>80</v>
      </c>
      <c r="J166" s="111" t="s">
        <v>80</v>
      </c>
      <c r="K166" s="111" t="s">
        <v>80</v>
      </c>
      <c r="L166" s="111" t="s">
        <v>80</v>
      </c>
      <c r="M166" s="110" t="s">
        <v>3936</v>
      </c>
      <c r="N166" s="110">
        <v>1</v>
      </c>
      <c r="O166" s="110">
        <v>5</v>
      </c>
      <c r="P166" s="110" t="s">
        <v>3244</v>
      </c>
      <c r="Q166" s="110" t="s">
        <v>3581</v>
      </c>
      <c r="R166" s="110" t="s">
        <v>4134</v>
      </c>
      <c r="S166" s="110" t="s">
        <v>3257</v>
      </c>
      <c r="T166" s="110" t="s">
        <v>0</v>
      </c>
      <c r="U166" s="110" t="s">
        <v>38</v>
      </c>
      <c r="V166" s="110" t="s">
        <v>70</v>
      </c>
      <c r="W166" s="110" t="s">
        <v>3336</v>
      </c>
      <c r="X166" s="110">
        <v>5</v>
      </c>
      <c r="Y166" s="110">
        <v>5</v>
      </c>
      <c r="Z166" s="110">
        <v>5</v>
      </c>
      <c r="AA166" s="110">
        <v>5</v>
      </c>
      <c r="AB166" s="110">
        <v>5</v>
      </c>
      <c r="AC166" s="110">
        <v>5</v>
      </c>
      <c r="AD166"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6" s="110" t="s">
        <v>3335</v>
      </c>
      <c r="AF166" s="70"/>
      <c r="AG166" s="70"/>
      <c r="AH166" s="70"/>
      <c r="AI166" s="70"/>
      <c r="AJ166" s="70"/>
      <c r="AK166" s="70" t="s">
        <v>4122</v>
      </c>
      <c r="AL166" s="70"/>
      <c r="AM166" s="70" t="s">
        <v>4122</v>
      </c>
      <c r="AN166" s="70"/>
      <c r="AO166" s="70"/>
      <c r="AP166" s="70"/>
      <c r="AQ166" s="70"/>
      <c r="AR166" s="70"/>
      <c r="AS166" s="70"/>
      <c r="AT166" s="70"/>
      <c r="AU166" s="70"/>
      <c r="AV166" s="70"/>
      <c r="AW166" s="70"/>
      <c r="AX166" s="70"/>
      <c r="AY166" s="70"/>
      <c r="AZ166" s="70"/>
      <c r="BA166" s="70"/>
      <c r="BB166" s="70"/>
      <c r="BC166" s="70"/>
      <c r="BD166" s="70" t="s">
        <v>4122</v>
      </c>
      <c r="BE166" s="70" t="s">
        <v>4122</v>
      </c>
      <c r="BF166" s="70"/>
      <c r="BG166" s="70"/>
      <c r="BH166" s="130"/>
      <c r="BI166" s="130"/>
      <c r="BJ166" s="130" t="s">
        <v>4122</v>
      </c>
      <c r="BK166" s="130"/>
      <c r="BL166" s="130"/>
      <c r="BM166" s="130"/>
      <c r="BN166" s="130"/>
      <c r="BO166" s="130"/>
      <c r="BP166" s="130"/>
      <c r="BQ166" s="130"/>
      <c r="BR166" s="130"/>
    </row>
    <row r="167" spans="1:100" hidden="1" x14ac:dyDescent="0.25">
      <c r="A167" s="68">
        <v>99</v>
      </c>
      <c r="B167" s="110" t="s">
        <v>1901</v>
      </c>
      <c r="C167" s="110" t="s">
        <v>1903</v>
      </c>
      <c r="D167" s="110" t="s">
        <v>1904</v>
      </c>
      <c r="E167" s="110"/>
      <c r="F167" s="110" t="s">
        <v>1905</v>
      </c>
      <c r="G167" s="110">
        <v>2014</v>
      </c>
      <c r="H167" s="110" t="s">
        <v>1906</v>
      </c>
      <c r="I167" s="111" t="s">
        <v>80</v>
      </c>
      <c r="J167" s="111" t="s">
        <v>80</v>
      </c>
      <c r="K167" s="111" t="s">
        <v>80</v>
      </c>
      <c r="L167" s="111" t="s">
        <v>80</v>
      </c>
      <c r="M167" s="110" t="s">
        <v>3827</v>
      </c>
      <c r="N167" s="110">
        <v>1</v>
      </c>
      <c r="O167" s="110">
        <v>5</v>
      </c>
      <c r="P167" s="110" t="s">
        <v>3157</v>
      </c>
      <c r="Q167" s="110" t="s">
        <v>3462</v>
      </c>
      <c r="R167" s="110" t="s">
        <v>4134</v>
      </c>
      <c r="S167" s="110" t="s">
        <v>3187</v>
      </c>
      <c r="T167" s="110" t="s">
        <v>0</v>
      </c>
      <c r="U167" s="110" t="s">
        <v>38</v>
      </c>
      <c r="V167" s="110" t="s">
        <v>69</v>
      </c>
      <c r="W167" s="110" t="s">
        <v>3336</v>
      </c>
      <c r="X167" s="110">
        <v>5</v>
      </c>
      <c r="Y167" s="110">
        <v>5</v>
      </c>
      <c r="Z167" s="110">
        <v>5</v>
      </c>
      <c r="AA167" s="110">
        <v>5</v>
      </c>
      <c r="AB167" s="110">
        <v>5</v>
      </c>
      <c r="AC167" s="110">
        <v>5</v>
      </c>
      <c r="AD167"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7" s="110" t="s">
        <v>3464</v>
      </c>
      <c r="AF167" s="70"/>
      <c r="AG167" s="70"/>
      <c r="AH167" s="70"/>
      <c r="AI167" s="70"/>
      <c r="AJ167" s="70"/>
      <c r="AK167" s="70"/>
      <c r="AL167" s="70"/>
      <c r="AM167" s="70" t="s">
        <v>4122</v>
      </c>
      <c r="AN167" s="70"/>
      <c r="AO167" s="70"/>
      <c r="AP167" s="70"/>
      <c r="AQ167" s="70"/>
      <c r="AR167" s="70"/>
      <c r="AS167" s="70"/>
      <c r="AT167" s="70"/>
      <c r="AU167" s="70"/>
      <c r="AV167" s="70"/>
      <c r="AW167" s="70"/>
      <c r="AX167" s="70"/>
      <c r="AY167" s="70"/>
      <c r="AZ167" s="70"/>
      <c r="BA167" s="70"/>
      <c r="BB167" s="70" t="s">
        <v>4122</v>
      </c>
      <c r="BC167" s="70"/>
      <c r="BD167" s="70"/>
      <c r="BE167" s="70"/>
      <c r="BF167" s="70"/>
      <c r="BG167" s="70"/>
      <c r="BH167" s="130"/>
      <c r="BI167" s="130"/>
      <c r="BJ167" s="130" t="s">
        <v>4122</v>
      </c>
      <c r="BK167" s="130"/>
      <c r="BL167" s="130"/>
      <c r="BM167" s="130"/>
      <c r="BN167" s="130"/>
      <c r="BO167" s="130"/>
      <c r="BP167" s="130"/>
      <c r="BQ167" s="130"/>
      <c r="BR167" s="130"/>
    </row>
    <row r="168" spans="1:100" hidden="1" x14ac:dyDescent="0.25">
      <c r="A168" s="68">
        <v>92</v>
      </c>
      <c r="B168" s="110" t="s">
        <v>2457</v>
      </c>
      <c r="C168" s="110" t="s">
        <v>2458</v>
      </c>
      <c r="D168" s="110" t="s">
        <v>3816</v>
      </c>
      <c r="E168" s="110"/>
      <c r="F168" s="110" t="s">
        <v>2459</v>
      </c>
      <c r="G168" s="110">
        <v>2016</v>
      </c>
      <c r="H168" s="110" t="s">
        <v>2460</v>
      </c>
      <c r="I168" s="111" t="s">
        <v>80</v>
      </c>
      <c r="J168" s="111" t="s">
        <v>80</v>
      </c>
      <c r="K168" s="111" t="s">
        <v>80</v>
      </c>
      <c r="L168" s="111" t="s">
        <v>80</v>
      </c>
      <c r="M168" s="110" t="s">
        <v>3682</v>
      </c>
      <c r="N168" s="110">
        <v>1</v>
      </c>
      <c r="O168" s="110">
        <v>4</v>
      </c>
      <c r="P168" s="110" t="s">
        <v>3679</v>
      </c>
      <c r="Q168" s="110" t="s">
        <v>3372</v>
      </c>
      <c r="R168" s="110" t="s">
        <v>3253</v>
      </c>
      <c r="S168" s="110" t="s">
        <v>3187</v>
      </c>
      <c r="T168" s="110" t="s">
        <v>0</v>
      </c>
      <c r="U168" s="110" t="s">
        <v>38</v>
      </c>
      <c r="V168" s="110" t="s">
        <v>69</v>
      </c>
      <c r="W168" s="110" t="s">
        <v>3336</v>
      </c>
      <c r="X168" s="110">
        <v>4</v>
      </c>
      <c r="Y168" s="110">
        <v>4</v>
      </c>
      <c r="Z168" s="110">
        <v>4</v>
      </c>
      <c r="AA168" s="110">
        <v>4</v>
      </c>
      <c r="AB168" s="110">
        <v>4</v>
      </c>
      <c r="AC168" s="110">
        <v>4</v>
      </c>
      <c r="AD168"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8" s="110" t="s">
        <v>3317</v>
      </c>
      <c r="AF168" s="70"/>
      <c r="AG168" s="70"/>
      <c r="AH168" s="70"/>
      <c r="AI168" s="70"/>
      <c r="AJ168" s="70"/>
      <c r="AK168" s="70"/>
      <c r="AL168" s="70"/>
      <c r="AM168" s="70" t="s">
        <v>4122</v>
      </c>
      <c r="AN168" s="70"/>
      <c r="AO168" s="70"/>
      <c r="AP168" s="70"/>
      <c r="AQ168" s="70"/>
      <c r="AR168" s="70"/>
      <c r="AS168" s="70"/>
      <c r="AT168" s="70"/>
      <c r="AU168" s="70"/>
      <c r="AV168" s="70"/>
      <c r="AW168" s="70"/>
      <c r="AX168" s="70"/>
      <c r="AY168" s="70"/>
      <c r="AZ168" s="70"/>
      <c r="BA168" s="70"/>
      <c r="BB168" s="70" t="s">
        <v>4122</v>
      </c>
      <c r="BC168" s="70"/>
      <c r="BD168" s="70"/>
      <c r="BE168" s="70"/>
      <c r="BF168" s="70"/>
      <c r="BG168" s="70"/>
      <c r="BH168" s="130" t="s">
        <v>4122</v>
      </c>
      <c r="BI168" s="130"/>
      <c r="BJ168" s="130"/>
      <c r="BK168" s="130"/>
      <c r="BL168" s="130"/>
      <c r="BM168" s="130"/>
      <c r="BN168" s="130"/>
      <c r="BO168" s="130"/>
      <c r="BP168" s="130"/>
      <c r="BQ168" s="130"/>
      <c r="BR168" s="130"/>
    </row>
    <row r="169" spans="1:100" hidden="1" x14ac:dyDescent="0.25">
      <c r="A169" s="68">
        <v>94</v>
      </c>
      <c r="B169" s="70" t="s">
        <v>534</v>
      </c>
      <c r="C169" s="70" t="s">
        <v>535</v>
      </c>
      <c r="D169" s="70" t="s">
        <v>3820</v>
      </c>
      <c r="E169" s="70" t="s">
        <v>952</v>
      </c>
      <c r="F169" s="70" t="s">
        <v>536</v>
      </c>
      <c r="G169" s="70">
        <v>2017</v>
      </c>
      <c r="H169" s="70" t="s">
        <v>537</v>
      </c>
      <c r="I169" s="78" t="s">
        <v>80</v>
      </c>
      <c r="J169" s="78" t="s">
        <v>80</v>
      </c>
      <c r="K169" s="78" t="s">
        <v>80</v>
      </c>
      <c r="L169" s="78" t="s">
        <v>80</v>
      </c>
      <c r="M169" s="70" t="s">
        <v>3819</v>
      </c>
      <c r="N169" s="70">
        <v>1</v>
      </c>
      <c r="O169" s="70">
        <v>5</v>
      </c>
      <c r="P169" s="90" t="s">
        <v>3244</v>
      </c>
      <c r="Q169" s="104" t="s">
        <v>3190</v>
      </c>
      <c r="R169" s="108" t="s">
        <v>3437</v>
      </c>
      <c r="S169" s="90" t="s">
        <v>3257</v>
      </c>
      <c r="T169" s="70" t="s">
        <v>0</v>
      </c>
      <c r="U169" s="70" t="s">
        <v>38</v>
      </c>
      <c r="V169" s="70" t="s">
        <v>69</v>
      </c>
      <c r="W169" s="70" t="s">
        <v>3255</v>
      </c>
      <c r="X169" s="70">
        <v>5</v>
      </c>
      <c r="Y169" s="70">
        <v>5</v>
      </c>
      <c r="Z169" s="70">
        <v>5</v>
      </c>
      <c r="AA169" s="70">
        <v>5</v>
      </c>
      <c r="AB169" s="70">
        <v>5</v>
      </c>
      <c r="AC169" s="70">
        <v>5</v>
      </c>
      <c r="AD16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69" s="70" t="s">
        <v>3456</v>
      </c>
      <c r="AF169" s="70"/>
      <c r="AG169" s="70"/>
      <c r="AH169" s="70"/>
      <c r="AI169" s="70"/>
      <c r="AJ169" s="70"/>
      <c r="AK169" s="70"/>
      <c r="AL169" s="70"/>
      <c r="AM169" s="70" t="s">
        <v>4122</v>
      </c>
      <c r="AN169" s="70"/>
      <c r="AO169" s="70"/>
      <c r="AP169" s="70"/>
      <c r="AQ169" s="70"/>
      <c r="AR169" s="70"/>
      <c r="AS169" s="70"/>
      <c r="AT169" s="70"/>
      <c r="AU169" s="70"/>
      <c r="AV169" s="70"/>
      <c r="AW169" s="70"/>
      <c r="AX169" s="70" t="s">
        <v>4122</v>
      </c>
      <c r="AY169" s="70"/>
      <c r="AZ169" s="70"/>
      <c r="BA169" s="70"/>
      <c r="BB169" s="70"/>
      <c r="BC169" s="70"/>
      <c r="BD169" s="70"/>
      <c r="BE169" s="70"/>
      <c r="BF169" s="70"/>
      <c r="BG169" s="70"/>
      <c r="BH169" s="130"/>
      <c r="BI169" s="130"/>
      <c r="BJ169" s="130"/>
      <c r="BK169" s="130"/>
      <c r="BL169" s="130"/>
      <c r="BM169" s="130"/>
      <c r="BN169" s="130"/>
      <c r="BO169" s="130" t="s">
        <v>4122</v>
      </c>
      <c r="BP169" s="130"/>
      <c r="BQ169" s="130"/>
      <c r="BR169" s="130"/>
    </row>
    <row r="170" spans="1:100" hidden="1" x14ac:dyDescent="0.25">
      <c r="A170" s="68">
        <v>221</v>
      </c>
      <c r="B170" s="70" t="s">
        <v>1988</v>
      </c>
      <c r="C170" s="70" t="s">
        <v>1989</v>
      </c>
      <c r="D170" s="70" t="s">
        <v>953</v>
      </c>
      <c r="E170" s="70"/>
      <c r="F170" s="70" t="s">
        <v>1990</v>
      </c>
      <c r="G170" s="70">
        <v>2014</v>
      </c>
      <c r="H170" s="70" t="s">
        <v>1991</v>
      </c>
      <c r="I170" s="78" t="s">
        <v>80</v>
      </c>
      <c r="J170" s="78" t="s">
        <v>80</v>
      </c>
      <c r="K170" s="78">
        <v>0.32</v>
      </c>
      <c r="L170" s="78">
        <v>3</v>
      </c>
      <c r="M170" s="70" t="s">
        <v>4011</v>
      </c>
      <c r="N170" s="70">
        <v>1</v>
      </c>
      <c r="O170" s="70">
        <v>4</v>
      </c>
      <c r="P170" s="90" t="s">
        <v>3629</v>
      </c>
      <c r="Q170" s="104" t="s">
        <v>3182</v>
      </c>
      <c r="R170" s="108" t="s">
        <v>3575</v>
      </c>
      <c r="S170" s="90" t="s">
        <v>3528</v>
      </c>
      <c r="T170" s="70" t="s">
        <v>0</v>
      </c>
      <c r="U170" s="70" t="s">
        <v>3622</v>
      </c>
      <c r="V170" s="70" t="s">
        <v>69</v>
      </c>
      <c r="W170" s="70" t="s">
        <v>3336</v>
      </c>
      <c r="X170" s="70">
        <v>4</v>
      </c>
      <c r="Y170" s="70">
        <v>4</v>
      </c>
      <c r="Z170" s="70">
        <v>4</v>
      </c>
      <c r="AA170" s="70">
        <v>4</v>
      </c>
      <c r="AB170" s="70">
        <v>4</v>
      </c>
      <c r="AC170" s="70">
        <v>4</v>
      </c>
      <c r="AD17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70" s="70" t="s">
        <v>3315</v>
      </c>
      <c r="AF170" s="70"/>
      <c r="AG170" s="70"/>
      <c r="AH170" s="70"/>
      <c r="AI170" s="70"/>
      <c r="AJ170" s="70"/>
      <c r="AK170" s="70"/>
      <c r="AL170" s="70"/>
      <c r="AM170" s="70"/>
      <c r="AN170" s="70"/>
      <c r="AO170" s="70"/>
      <c r="AP170" s="70"/>
      <c r="AQ170" s="70"/>
      <c r="AR170" s="70"/>
      <c r="AS170" s="70" t="s">
        <v>4122</v>
      </c>
      <c r="AT170" s="70"/>
      <c r="AU170" s="70"/>
      <c r="AV170" s="70"/>
      <c r="AW170" s="70"/>
      <c r="AX170" s="70"/>
      <c r="AY170" s="70"/>
      <c r="AZ170" s="70"/>
      <c r="BA170" s="70"/>
      <c r="BB170" s="70" t="s">
        <v>4122</v>
      </c>
      <c r="BC170" s="70"/>
      <c r="BD170" s="70"/>
      <c r="BE170" s="70"/>
      <c r="BF170" s="70"/>
      <c r="BG170" s="70"/>
      <c r="BH170" s="130"/>
      <c r="BI170" s="130" t="s">
        <v>4122</v>
      </c>
      <c r="BJ170" s="130"/>
      <c r="BK170" s="130"/>
      <c r="BL170" s="130"/>
      <c r="BM170" s="130"/>
      <c r="BN170" s="130"/>
      <c r="BO170" s="130"/>
      <c r="BP170" s="130"/>
      <c r="BQ170" s="130"/>
      <c r="BR170" s="130"/>
    </row>
    <row r="171" spans="1:100" s="8" customFormat="1" hidden="1" x14ac:dyDescent="0.25">
      <c r="A171" s="68">
        <v>164</v>
      </c>
      <c r="B171" s="70" t="s">
        <v>1096</v>
      </c>
      <c r="C171" s="70" t="s">
        <v>1097</v>
      </c>
      <c r="D171" s="70" t="s">
        <v>22</v>
      </c>
      <c r="E171" s="70"/>
      <c r="F171" s="70" t="s">
        <v>1098</v>
      </c>
      <c r="G171" s="70">
        <v>2018</v>
      </c>
      <c r="H171" s="70" t="s">
        <v>1099</v>
      </c>
      <c r="I171" s="78" t="s">
        <v>80</v>
      </c>
      <c r="J171" s="78" t="s">
        <v>80</v>
      </c>
      <c r="K171" s="78">
        <v>0.55000000000000004</v>
      </c>
      <c r="L171" s="78">
        <v>5</v>
      </c>
      <c r="M171" s="70" t="s">
        <v>3930</v>
      </c>
      <c r="N171" s="70">
        <v>1</v>
      </c>
      <c r="O171" s="70">
        <v>5</v>
      </c>
      <c r="P171" s="90" t="s">
        <v>3244</v>
      </c>
      <c r="Q171" s="104" t="s">
        <v>3574</v>
      </c>
      <c r="R171" s="108" t="s">
        <v>3575</v>
      </c>
      <c r="S171" s="90" t="s">
        <v>3228</v>
      </c>
      <c r="T171" s="70" t="s">
        <v>1</v>
      </c>
      <c r="U171" s="70" t="s">
        <v>38</v>
      </c>
      <c r="V171" s="70" t="s">
        <v>69</v>
      </c>
      <c r="W171" s="70" t="s">
        <v>3336</v>
      </c>
      <c r="X171" s="70">
        <v>5</v>
      </c>
      <c r="Y171" s="70">
        <v>5</v>
      </c>
      <c r="Z171" s="70">
        <v>5</v>
      </c>
      <c r="AA171" s="70">
        <v>5</v>
      </c>
      <c r="AB171" s="70">
        <v>5</v>
      </c>
      <c r="AC171" s="70">
        <v>5</v>
      </c>
      <c r="AD17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71" s="70" t="s">
        <v>61</v>
      </c>
      <c r="AF171" s="70"/>
      <c r="AG171" s="70"/>
      <c r="AH171" s="70"/>
      <c r="AI171" s="70"/>
      <c r="AJ171" s="70"/>
      <c r="AK171" s="70"/>
      <c r="AL171" s="70" t="s">
        <v>4122</v>
      </c>
      <c r="AM171" s="70" t="s">
        <v>4122</v>
      </c>
      <c r="AN171" s="70"/>
      <c r="AO171" s="70"/>
      <c r="AP171" s="70"/>
      <c r="AQ171" s="70"/>
      <c r="AR171" s="70"/>
      <c r="AS171" s="70"/>
      <c r="AT171" s="70"/>
      <c r="AU171" s="70"/>
      <c r="AV171" s="70"/>
      <c r="AW171" s="70"/>
      <c r="AX171" s="70"/>
      <c r="AY171" s="70"/>
      <c r="AZ171" s="70"/>
      <c r="BA171" s="70"/>
      <c r="BB171" s="70"/>
      <c r="BC171" s="70"/>
      <c r="BD171" s="70"/>
      <c r="BE171" s="70" t="s">
        <v>4122</v>
      </c>
      <c r="BF171" s="70" t="s">
        <v>4122</v>
      </c>
      <c r="BG171" s="70"/>
      <c r="BH171" s="130"/>
      <c r="BI171" s="130" t="s">
        <v>4122</v>
      </c>
      <c r="BJ171" s="130"/>
      <c r="BK171" s="130"/>
      <c r="BL171" s="130"/>
      <c r="BM171" s="130"/>
      <c r="BN171" s="130"/>
      <c r="BO171" s="130"/>
      <c r="BP171" s="130"/>
      <c r="BQ171" s="130"/>
      <c r="BR171" s="130"/>
      <c r="BS171" s="65"/>
      <c r="BT171" s="65"/>
      <c r="BU171" s="65"/>
      <c r="BV171" s="65"/>
      <c r="BW171" s="65"/>
      <c r="BX171" s="65"/>
      <c r="BY171" s="65"/>
      <c r="BZ171" s="65"/>
      <c r="CA171" s="65"/>
      <c r="CB171" s="65"/>
      <c r="CC171" s="65"/>
      <c r="CD171" s="65"/>
      <c r="CE171" s="65"/>
      <c r="CF171" s="65"/>
      <c r="CG171" s="65"/>
      <c r="CH171" s="65"/>
      <c r="CI171" s="65"/>
      <c r="CJ171" s="65"/>
      <c r="CK171" s="65"/>
      <c r="CL171" s="65"/>
      <c r="CM171" s="65"/>
      <c r="CN171" s="65"/>
      <c r="CO171" s="65"/>
      <c r="CP171" s="65"/>
      <c r="CQ171" s="65"/>
      <c r="CR171" s="65"/>
      <c r="CS171" s="65"/>
      <c r="CT171" s="113"/>
      <c r="CU171" s="113"/>
      <c r="CV171" s="113"/>
    </row>
    <row r="172" spans="1:100" hidden="1" x14ac:dyDescent="0.25">
      <c r="A172" s="68">
        <v>219</v>
      </c>
      <c r="B172" s="110" t="s">
        <v>807</v>
      </c>
      <c r="C172" s="110" t="s">
        <v>808</v>
      </c>
      <c r="D172" s="110" t="s">
        <v>3860</v>
      </c>
      <c r="E172" s="110"/>
      <c r="F172" s="110" t="s">
        <v>809</v>
      </c>
      <c r="G172" s="110">
        <v>2018</v>
      </c>
      <c r="H172" s="110" t="s">
        <v>810</v>
      </c>
      <c r="I172" s="111" t="s">
        <v>80</v>
      </c>
      <c r="J172" s="111" t="s">
        <v>85</v>
      </c>
      <c r="K172" s="111" t="s">
        <v>80</v>
      </c>
      <c r="L172" s="111" t="s">
        <v>80</v>
      </c>
      <c r="M172" s="110" t="s">
        <v>4009</v>
      </c>
      <c r="N172" s="110">
        <v>1</v>
      </c>
      <c r="O172" s="110">
        <v>3</v>
      </c>
      <c r="P172" s="110" t="s">
        <v>3157</v>
      </c>
      <c r="Q172" s="110" t="s">
        <v>3628</v>
      </c>
      <c r="R172" s="110" t="s">
        <v>4134</v>
      </c>
      <c r="S172" s="110" t="s">
        <v>3257</v>
      </c>
      <c r="T172" s="110" t="s">
        <v>6</v>
      </c>
      <c r="U172" s="110" t="s">
        <v>38</v>
      </c>
      <c r="V172" s="110" t="s">
        <v>69</v>
      </c>
      <c r="W172" s="110" t="s">
        <v>3336</v>
      </c>
      <c r="X172" s="110">
        <v>3</v>
      </c>
      <c r="Y172" s="110">
        <v>3</v>
      </c>
      <c r="Z172" s="110">
        <v>3</v>
      </c>
      <c r="AA172" s="110">
        <v>3</v>
      </c>
      <c r="AB172" s="110">
        <v>3</v>
      </c>
      <c r="AC172" s="110">
        <v>3</v>
      </c>
      <c r="AD172"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72" s="110" t="s">
        <v>3315</v>
      </c>
      <c r="AF172" s="70"/>
      <c r="AG172" s="70"/>
      <c r="AH172" s="70"/>
      <c r="AI172" s="70"/>
      <c r="AJ172" s="70"/>
      <c r="AK172" s="70"/>
      <c r="AL172" s="70"/>
      <c r="AM172" s="70"/>
      <c r="AN172" s="70"/>
      <c r="AO172" s="70"/>
      <c r="AP172" s="70"/>
      <c r="AQ172" s="70"/>
      <c r="AR172" s="70"/>
      <c r="AS172" s="70" t="s">
        <v>4122</v>
      </c>
      <c r="AT172" s="70"/>
      <c r="AU172" s="70"/>
      <c r="AV172" s="70"/>
      <c r="AW172" s="70"/>
      <c r="AX172" s="70"/>
      <c r="AY172" s="70"/>
      <c r="AZ172" s="70" t="s">
        <v>4122</v>
      </c>
      <c r="BA172" s="70"/>
      <c r="BB172" s="70"/>
      <c r="BC172" s="70"/>
      <c r="BD172" s="70"/>
      <c r="BE172" s="70"/>
      <c r="BF172" s="70"/>
      <c r="BG172" s="70"/>
      <c r="BH172" s="130"/>
      <c r="BI172" s="130"/>
      <c r="BJ172" s="130" t="s">
        <v>4122</v>
      </c>
      <c r="BK172" s="130"/>
      <c r="BL172" s="130"/>
      <c r="BM172" s="130"/>
      <c r="BN172" s="130"/>
      <c r="BO172" s="130"/>
      <c r="BP172" s="130"/>
      <c r="BQ172" s="130"/>
      <c r="BR172" s="130"/>
    </row>
    <row r="173" spans="1:100" hidden="1" x14ac:dyDescent="0.25">
      <c r="A173" s="68">
        <v>172</v>
      </c>
      <c r="B173" s="70" t="s">
        <v>2676</v>
      </c>
      <c r="C173" s="70" t="s">
        <v>2677</v>
      </c>
      <c r="D173" s="70" t="s">
        <v>1193</v>
      </c>
      <c r="E173" s="70"/>
      <c r="F173" s="70" t="s">
        <v>2678</v>
      </c>
      <c r="G173" s="70">
        <v>2016</v>
      </c>
      <c r="H173" s="70" t="s">
        <v>2679</v>
      </c>
      <c r="I173" s="78" t="s">
        <v>80</v>
      </c>
      <c r="J173" s="78" t="s">
        <v>80</v>
      </c>
      <c r="K173" s="78">
        <v>0.62</v>
      </c>
      <c r="L173" s="78">
        <v>4</v>
      </c>
      <c r="M173" s="70" t="s">
        <v>3942</v>
      </c>
      <c r="N173" s="70">
        <v>1</v>
      </c>
      <c r="O173" s="70">
        <v>5</v>
      </c>
      <c r="P173" s="90" t="s">
        <v>3386</v>
      </c>
      <c r="Q173" s="104" t="s">
        <v>3258</v>
      </c>
      <c r="R173" s="108" t="s">
        <v>3454</v>
      </c>
      <c r="S173" s="90" t="s">
        <v>3587</v>
      </c>
      <c r="T173" s="70" t="s">
        <v>1</v>
      </c>
      <c r="U173" s="70" t="s">
        <v>38</v>
      </c>
      <c r="V173" s="70" t="s">
        <v>69</v>
      </c>
      <c r="W173" s="70" t="s">
        <v>3336</v>
      </c>
      <c r="X173" s="70">
        <v>5</v>
      </c>
      <c r="Y173" s="70">
        <v>5</v>
      </c>
      <c r="Z173" s="70">
        <v>5</v>
      </c>
      <c r="AA173" s="70">
        <v>5</v>
      </c>
      <c r="AB173" s="70">
        <v>5</v>
      </c>
      <c r="AC173" s="70">
        <v>5</v>
      </c>
      <c r="AD17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73" s="70" t="s">
        <v>3588</v>
      </c>
      <c r="AF173" s="70"/>
      <c r="AG173" s="70"/>
      <c r="AH173" s="70"/>
      <c r="AI173" s="70"/>
      <c r="AJ173" s="70"/>
      <c r="AK173" s="70"/>
      <c r="AL173" s="70"/>
      <c r="AM173" s="70" t="s">
        <v>4122</v>
      </c>
      <c r="AN173" s="70"/>
      <c r="AO173" s="70"/>
      <c r="AP173" s="70"/>
      <c r="AQ173" s="70" t="s">
        <v>4122</v>
      </c>
      <c r="AR173" s="70"/>
      <c r="AS173" s="70"/>
      <c r="AT173" s="70" t="s">
        <v>4122</v>
      </c>
      <c r="AU173" s="70"/>
      <c r="AV173" s="70"/>
      <c r="AW173" s="70"/>
      <c r="AX173" s="70"/>
      <c r="AY173" s="70"/>
      <c r="AZ173" s="70"/>
      <c r="BA173" s="70"/>
      <c r="BB173" s="70"/>
      <c r="BC173" s="70"/>
      <c r="BD173" s="70"/>
      <c r="BE173" s="70"/>
      <c r="BF173" s="70"/>
      <c r="BG173" s="70"/>
      <c r="BH173" s="130"/>
      <c r="BI173" s="130"/>
      <c r="BJ173" s="130"/>
      <c r="BK173" s="130"/>
      <c r="BL173" s="130"/>
      <c r="BM173" s="130" t="s">
        <v>4122</v>
      </c>
      <c r="BN173" s="130"/>
      <c r="BO173" s="130"/>
      <c r="BP173" s="130"/>
      <c r="BQ173" s="130"/>
      <c r="BR173" s="130"/>
    </row>
    <row r="174" spans="1:100" hidden="1" x14ac:dyDescent="0.25">
      <c r="A174" s="68">
        <v>153</v>
      </c>
      <c r="B174" s="110" t="s">
        <v>2618</v>
      </c>
      <c r="C174" s="110" t="s">
        <v>2619</v>
      </c>
      <c r="D174" s="110" t="s">
        <v>3913</v>
      </c>
      <c r="E174" s="110"/>
      <c r="F174" s="110" t="s">
        <v>2620</v>
      </c>
      <c r="G174" s="110">
        <v>2013</v>
      </c>
      <c r="H174" s="110"/>
      <c r="I174" s="111" t="s">
        <v>80</v>
      </c>
      <c r="J174" s="111" t="s">
        <v>80</v>
      </c>
      <c r="K174" s="111" t="s">
        <v>80</v>
      </c>
      <c r="L174" s="111" t="s">
        <v>80</v>
      </c>
      <c r="M174" s="110" t="s">
        <v>3914</v>
      </c>
      <c r="N174" s="110">
        <v>0</v>
      </c>
      <c r="O174" s="110">
        <v>4</v>
      </c>
      <c r="P174" s="110" t="s">
        <v>3244</v>
      </c>
      <c r="Q174" s="110" t="s">
        <v>3554</v>
      </c>
      <c r="R174" s="110" t="s">
        <v>4134</v>
      </c>
      <c r="S174" s="110" t="s">
        <v>3231</v>
      </c>
      <c r="T174" s="110" t="s">
        <v>0</v>
      </c>
      <c r="U174" s="110" t="s">
        <v>38</v>
      </c>
      <c r="V174" s="110" t="s">
        <v>69</v>
      </c>
      <c r="W174" s="110" t="s">
        <v>3336</v>
      </c>
      <c r="X174" s="110">
        <v>5</v>
      </c>
      <c r="Y174" s="110">
        <v>4</v>
      </c>
      <c r="Z174" s="110">
        <v>4</v>
      </c>
      <c r="AA174" s="110">
        <v>4</v>
      </c>
      <c r="AB174" s="110">
        <v>4</v>
      </c>
      <c r="AC174" s="110">
        <v>4</v>
      </c>
      <c r="AD17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74" s="110" t="s">
        <v>3464</v>
      </c>
      <c r="AF174" s="70"/>
      <c r="AG174" s="70" t="s">
        <v>4122</v>
      </c>
      <c r="AH174" s="70"/>
      <c r="AI174" s="70"/>
      <c r="AJ174" s="70"/>
      <c r="AK174" s="70"/>
      <c r="AL174" s="70" t="s">
        <v>4122</v>
      </c>
      <c r="AM174" s="70" t="s">
        <v>4122</v>
      </c>
      <c r="AN174" s="70"/>
      <c r="AO174" s="70"/>
      <c r="AP174" s="70"/>
      <c r="AQ174" s="70"/>
      <c r="AR174" s="70"/>
      <c r="AS174" s="70"/>
      <c r="AT174" s="70"/>
      <c r="AU174" s="70"/>
      <c r="AV174" s="70"/>
      <c r="AW174" s="70"/>
      <c r="AX174" s="70"/>
      <c r="AY174" s="70"/>
      <c r="AZ174" s="70"/>
      <c r="BA174" s="70"/>
      <c r="BB174" s="70"/>
      <c r="BC174" s="70"/>
      <c r="BD174" s="70"/>
      <c r="BE174" s="70" t="s">
        <v>4122</v>
      </c>
      <c r="BF174" s="70"/>
      <c r="BG174" s="70"/>
      <c r="BH174" s="130"/>
      <c r="BI174" s="130"/>
      <c r="BJ174" s="130" t="s">
        <v>4122</v>
      </c>
      <c r="BK174" s="130"/>
      <c r="BL174" s="130"/>
      <c r="BM174" s="130"/>
      <c r="BN174" s="130"/>
      <c r="BO174" s="130"/>
      <c r="BP174" s="130"/>
      <c r="BQ174" s="130"/>
      <c r="BR174" s="130"/>
    </row>
    <row r="175" spans="1:100" hidden="1" x14ac:dyDescent="0.25">
      <c r="A175" s="68">
        <v>178</v>
      </c>
      <c r="B175" s="70" t="s">
        <v>1403</v>
      </c>
      <c r="C175" s="70" t="s">
        <v>1404</v>
      </c>
      <c r="D175" s="70" t="s">
        <v>3952</v>
      </c>
      <c r="E175" s="70"/>
      <c r="F175" s="70" t="s">
        <v>1405</v>
      </c>
      <c r="G175" s="70">
        <v>2012</v>
      </c>
      <c r="H175" s="70" t="s">
        <v>1406</v>
      </c>
      <c r="I175" s="78" t="s">
        <v>80</v>
      </c>
      <c r="J175" s="78" t="s">
        <v>85</v>
      </c>
      <c r="K175" s="78" t="s">
        <v>80</v>
      </c>
      <c r="L175" s="78" t="s">
        <v>80</v>
      </c>
      <c r="M175" s="70" t="s">
        <v>3951</v>
      </c>
      <c r="N175" s="70">
        <v>3</v>
      </c>
      <c r="O175" s="70">
        <v>4</v>
      </c>
      <c r="P175" s="90" t="s">
        <v>3244</v>
      </c>
      <c r="Q175" s="104" t="s">
        <v>3380</v>
      </c>
      <c r="R175" s="108" t="s">
        <v>3507</v>
      </c>
      <c r="S175" s="90" t="s">
        <v>3257</v>
      </c>
      <c r="T175" s="70" t="s">
        <v>6</v>
      </c>
      <c r="U175" s="70" t="s">
        <v>38</v>
      </c>
      <c r="V175" s="70" t="s">
        <v>69</v>
      </c>
      <c r="W175" s="70" t="s">
        <v>3336</v>
      </c>
      <c r="X175" s="70">
        <v>4</v>
      </c>
      <c r="Y175" s="70">
        <v>4</v>
      </c>
      <c r="Z175" s="70">
        <v>4</v>
      </c>
      <c r="AA175" s="70">
        <v>4</v>
      </c>
      <c r="AB175" s="70">
        <v>4</v>
      </c>
      <c r="AC175" s="70">
        <v>4</v>
      </c>
      <c r="AD17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75" s="70" t="s">
        <v>53</v>
      </c>
      <c r="AF175" s="70"/>
      <c r="AG175" s="70"/>
      <c r="AH175" s="70"/>
      <c r="AI175" s="70"/>
      <c r="AJ175" s="70"/>
      <c r="AK175" s="70"/>
      <c r="AL175" s="70"/>
      <c r="AM175" s="70" t="s">
        <v>4122</v>
      </c>
      <c r="AN175" s="70"/>
      <c r="AO175" s="70"/>
      <c r="AP175" s="70" t="s">
        <v>4122</v>
      </c>
      <c r="AQ175" s="70"/>
      <c r="AR175" s="70"/>
      <c r="AS175" s="70"/>
      <c r="AT175" s="70"/>
      <c r="AU175" s="70"/>
      <c r="AV175" s="70"/>
      <c r="AW175" s="70" t="s">
        <v>4122</v>
      </c>
      <c r="AX175" s="70"/>
      <c r="AY175" s="70"/>
      <c r="AZ175" s="70"/>
      <c r="BA175" s="70"/>
      <c r="BB175" s="70"/>
      <c r="BC175" s="70"/>
      <c r="BD175" s="70"/>
      <c r="BE175" s="70"/>
      <c r="BF175" s="70"/>
      <c r="BG175" s="70"/>
      <c r="BH175" s="130"/>
      <c r="BI175" s="130"/>
      <c r="BJ175" s="130"/>
      <c r="BK175" s="130" t="s">
        <v>4122</v>
      </c>
      <c r="BL175" s="130"/>
      <c r="BM175" s="130"/>
      <c r="BN175" s="130"/>
      <c r="BO175" s="130"/>
      <c r="BP175" s="130"/>
      <c r="BQ175" s="130"/>
      <c r="BR175" s="130"/>
    </row>
    <row r="176" spans="1:100" hidden="1" x14ac:dyDescent="0.25">
      <c r="A176" s="68">
        <v>163</v>
      </c>
      <c r="B176" s="70" t="s">
        <v>1440</v>
      </c>
      <c r="C176" s="70" t="s">
        <v>2345</v>
      </c>
      <c r="D176" s="70" t="s">
        <v>2346</v>
      </c>
      <c r="E176" s="70"/>
      <c r="F176" s="70" t="s">
        <v>2347</v>
      </c>
      <c r="G176" s="70">
        <v>2017</v>
      </c>
      <c r="H176" s="70" t="s">
        <v>2348</v>
      </c>
      <c r="I176" s="78" t="s">
        <v>80</v>
      </c>
      <c r="J176" s="78" t="s">
        <v>80</v>
      </c>
      <c r="K176" s="78">
        <v>1.73</v>
      </c>
      <c r="L176" s="78">
        <v>5</v>
      </c>
      <c r="M176" s="70" t="s">
        <v>3929</v>
      </c>
      <c r="N176" s="70">
        <v>4</v>
      </c>
      <c r="O176" s="70">
        <v>5</v>
      </c>
      <c r="P176" s="90" t="s">
        <v>3573</v>
      </c>
      <c r="Q176" s="104" t="s">
        <v>3182</v>
      </c>
      <c r="R176" s="108" t="s">
        <v>3204</v>
      </c>
      <c r="S176" s="90" t="s">
        <v>3524</v>
      </c>
      <c r="T176" s="70" t="s">
        <v>1</v>
      </c>
      <c r="U176" s="70" t="s">
        <v>38</v>
      </c>
      <c r="V176" s="70" t="s">
        <v>69</v>
      </c>
      <c r="W176" s="70" t="s">
        <v>3336</v>
      </c>
      <c r="X176" s="70">
        <v>5</v>
      </c>
      <c r="Y176" s="70">
        <v>5</v>
      </c>
      <c r="Z176" s="70">
        <v>5</v>
      </c>
      <c r="AA176" s="70">
        <v>5</v>
      </c>
      <c r="AB176" s="70">
        <v>5</v>
      </c>
      <c r="AC176" s="70">
        <v>5</v>
      </c>
      <c r="AD17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76" s="70" t="s">
        <v>3355</v>
      </c>
      <c r="AF176" s="70"/>
      <c r="AG176" s="70"/>
      <c r="AH176" s="70"/>
      <c r="AI176" s="70"/>
      <c r="AJ176" s="70"/>
      <c r="AK176" s="70"/>
      <c r="AL176" s="70" t="s">
        <v>4122</v>
      </c>
      <c r="AM176" s="70" t="s">
        <v>4122</v>
      </c>
      <c r="AN176" s="70"/>
      <c r="AO176" s="70"/>
      <c r="AP176" s="70"/>
      <c r="AQ176" s="70"/>
      <c r="AR176" s="70"/>
      <c r="AS176" s="70"/>
      <c r="AT176" s="70"/>
      <c r="AU176" s="70"/>
      <c r="AV176" s="70"/>
      <c r="AW176" s="70"/>
      <c r="AX176" s="70"/>
      <c r="AY176" s="70"/>
      <c r="AZ176" s="70"/>
      <c r="BA176" s="70"/>
      <c r="BB176" s="70" t="s">
        <v>4122</v>
      </c>
      <c r="BC176" s="70"/>
      <c r="BD176" s="70"/>
      <c r="BE176" s="70"/>
      <c r="BF176" s="70"/>
      <c r="BG176" s="70"/>
      <c r="BH176" s="130"/>
      <c r="BI176" s="130"/>
      <c r="BJ176" s="130"/>
      <c r="BK176" s="130"/>
      <c r="BL176" s="130"/>
      <c r="BM176" s="130"/>
      <c r="BN176" s="130" t="s">
        <v>4122</v>
      </c>
      <c r="BO176" s="130"/>
      <c r="BP176" s="130"/>
      <c r="BQ176" s="130"/>
      <c r="BR176" s="130"/>
    </row>
    <row r="177" spans="1:100" hidden="1" x14ac:dyDescent="0.25">
      <c r="A177" s="68">
        <v>173</v>
      </c>
      <c r="B177" s="70" t="s">
        <v>681</v>
      </c>
      <c r="C177" s="70" t="s">
        <v>682</v>
      </c>
      <c r="D177" s="70" t="s">
        <v>3809</v>
      </c>
      <c r="E177" s="70"/>
      <c r="F177" s="70" t="s">
        <v>683</v>
      </c>
      <c r="G177" s="70">
        <v>2012</v>
      </c>
      <c r="H177" s="70" t="s">
        <v>684</v>
      </c>
      <c r="I177" s="78" t="s">
        <v>82</v>
      </c>
      <c r="J177" s="78" t="s">
        <v>85</v>
      </c>
      <c r="K177" s="78" t="s">
        <v>80</v>
      </c>
      <c r="L177" s="78" t="s">
        <v>80</v>
      </c>
      <c r="M177" s="70" t="s">
        <v>3943</v>
      </c>
      <c r="N177" s="70">
        <v>10</v>
      </c>
      <c r="O177" s="70">
        <v>5</v>
      </c>
      <c r="P177" s="90" t="s">
        <v>3161</v>
      </c>
      <c r="Q177" s="104" t="s">
        <v>3258</v>
      </c>
      <c r="R177" s="108" t="s">
        <v>3743</v>
      </c>
      <c r="S177" s="90" t="s">
        <v>3257</v>
      </c>
      <c r="T177" s="70" t="s">
        <v>0</v>
      </c>
      <c r="U177" s="70" t="s">
        <v>38</v>
      </c>
      <c r="V177" s="70" t="s">
        <v>69</v>
      </c>
      <c r="W177" s="70" t="s">
        <v>3336</v>
      </c>
      <c r="X177" s="70">
        <v>5</v>
      </c>
      <c r="Y177" s="70">
        <v>5</v>
      </c>
      <c r="Z177" s="70">
        <v>5</v>
      </c>
      <c r="AA177" s="70">
        <v>5</v>
      </c>
      <c r="AB177" s="70">
        <v>5</v>
      </c>
      <c r="AC177" s="70">
        <v>5</v>
      </c>
      <c r="AD17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77" s="70" t="s">
        <v>61</v>
      </c>
      <c r="AF177" s="70"/>
      <c r="AG177" s="70"/>
      <c r="AH177" s="70"/>
      <c r="AI177" s="70"/>
      <c r="AJ177" s="70"/>
      <c r="AK177" s="70"/>
      <c r="AL177" s="70"/>
      <c r="AM177" s="70" t="s">
        <v>4122</v>
      </c>
      <c r="AN177" s="70"/>
      <c r="AO177" s="70"/>
      <c r="AP177" s="70" t="s">
        <v>4122</v>
      </c>
      <c r="AQ177" s="70" t="s">
        <v>4122</v>
      </c>
      <c r="AR177" s="70"/>
      <c r="AS177" s="70"/>
      <c r="AT177" s="70" t="s">
        <v>4122</v>
      </c>
      <c r="AU177" s="70"/>
      <c r="AV177" s="70"/>
      <c r="AW177" s="70"/>
      <c r="AX177" s="70"/>
      <c r="AY177" s="70"/>
      <c r="AZ177" s="70"/>
      <c r="BA177" s="70"/>
      <c r="BB177" s="70"/>
      <c r="BC177" s="70"/>
      <c r="BD177" s="70"/>
      <c r="BE177" s="70"/>
      <c r="BF177" s="70"/>
      <c r="BG177" s="70"/>
      <c r="BH177" s="130" t="s">
        <v>4122</v>
      </c>
      <c r="BI177" s="130"/>
      <c r="BJ177" s="130"/>
      <c r="BK177" s="130"/>
      <c r="BL177" s="130"/>
      <c r="BM177" s="130"/>
      <c r="BN177" s="130"/>
      <c r="BO177" s="130"/>
      <c r="BP177" s="130"/>
      <c r="BQ177" s="130"/>
      <c r="BR177" s="130"/>
    </row>
    <row r="178" spans="1:100" hidden="1" x14ac:dyDescent="0.25">
      <c r="A178" s="68">
        <v>59</v>
      </c>
      <c r="B178" s="70" t="s">
        <v>2009</v>
      </c>
      <c r="C178" s="70" t="s">
        <v>2010</v>
      </c>
      <c r="D178" s="70" t="s">
        <v>3765</v>
      </c>
      <c r="E178" s="70"/>
      <c r="F178" s="70" t="s">
        <v>2011</v>
      </c>
      <c r="G178" s="70">
        <v>2014</v>
      </c>
      <c r="H178" s="70" t="s">
        <v>2012</v>
      </c>
      <c r="I178" s="78" t="s">
        <v>4035</v>
      </c>
      <c r="J178" s="78" t="s">
        <v>83</v>
      </c>
      <c r="K178" s="78" t="s">
        <v>80</v>
      </c>
      <c r="L178" s="78">
        <v>1</v>
      </c>
      <c r="M178" s="70" t="s">
        <v>3764</v>
      </c>
      <c r="N178" s="70">
        <v>0</v>
      </c>
      <c r="O178" s="70">
        <v>5</v>
      </c>
      <c r="P178" s="90" t="s">
        <v>3406</v>
      </c>
      <c r="Q178" s="104" t="s">
        <v>3256</v>
      </c>
      <c r="R178" s="108" t="s">
        <v>3316</v>
      </c>
      <c r="S178" s="90" t="s">
        <v>3239</v>
      </c>
      <c r="T178" s="70" t="s">
        <v>0</v>
      </c>
      <c r="U178" s="70" t="s">
        <v>38</v>
      </c>
      <c r="V178" s="70" t="s">
        <v>69</v>
      </c>
      <c r="W178" s="70" t="s">
        <v>3336</v>
      </c>
      <c r="X178" s="70">
        <v>5</v>
      </c>
      <c r="Y178" s="70">
        <v>5</v>
      </c>
      <c r="Z178" s="70">
        <v>5</v>
      </c>
      <c r="AA178" s="70">
        <v>5</v>
      </c>
      <c r="AB178" s="70">
        <v>5</v>
      </c>
      <c r="AC178" s="70">
        <v>5</v>
      </c>
      <c r="AD17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78" s="70" t="s">
        <v>59</v>
      </c>
      <c r="AF178" s="70"/>
      <c r="AG178" s="70"/>
      <c r="AH178" s="70"/>
      <c r="AI178" s="70"/>
      <c r="AJ178" s="70" t="s">
        <v>4122</v>
      </c>
      <c r="AK178" s="70"/>
      <c r="AL178" s="70"/>
      <c r="AM178" s="70"/>
      <c r="AN178" s="70"/>
      <c r="AO178" s="70"/>
      <c r="AP178" s="70"/>
      <c r="AQ178" s="70"/>
      <c r="AR178" s="70"/>
      <c r="AS178" s="70"/>
      <c r="AT178" s="70"/>
      <c r="AU178" s="70"/>
      <c r="AV178" s="70" t="s">
        <v>4122</v>
      </c>
      <c r="AW178" s="70"/>
      <c r="AX178" s="70"/>
      <c r="AY178" s="70"/>
      <c r="AZ178" s="70"/>
      <c r="BA178" s="70"/>
      <c r="BB178" s="70"/>
      <c r="BC178" s="70"/>
      <c r="BD178" s="70"/>
      <c r="BE178" s="70"/>
      <c r="BF178" s="70"/>
      <c r="BG178" s="70"/>
      <c r="BH178" s="130"/>
      <c r="BI178" s="130"/>
      <c r="BJ178" s="130"/>
      <c r="BK178" s="130"/>
      <c r="BL178" s="130"/>
      <c r="BM178" s="130"/>
      <c r="BN178" s="130" t="s">
        <v>4122</v>
      </c>
      <c r="BO178" s="130"/>
      <c r="BP178" s="130"/>
      <c r="BQ178" s="130"/>
      <c r="BR178" s="130"/>
    </row>
    <row r="179" spans="1:100" hidden="1" x14ac:dyDescent="0.25">
      <c r="A179" s="68">
        <v>183</v>
      </c>
      <c r="B179" s="70" t="s">
        <v>694</v>
      </c>
      <c r="C179" s="70" t="s">
        <v>1509</v>
      </c>
      <c r="D179" s="70" t="s">
        <v>3958</v>
      </c>
      <c r="E179" s="70"/>
      <c r="F179" s="70" t="s">
        <v>1510</v>
      </c>
      <c r="G179" s="70">
        <v>2017</v>
      </c>
      <c r="H179" s="70" t="s">
        <v>1511</v>
      </c>
      <c r="I179" s="78" t="s">
        <v>80</v>
      </c>
      <c r="J179" s="78" t="s">
        <v>4033</v>
      </c>
      <c r="K179" s="78" t="s">
        <v>80</v>
      </c>
      <c r="L179" s="78" t="s">
        <v>80</v>
      </c>
      <c r="M179" s="70" t="s">
        <v>3957</v>
      </c>
      <c r="N179" s="70">
        <v>1</v>
      </c>
      <c r="O179" s="70">
        <v>5</v>
      </c>
      <c r="P179" s="90" t="s">
        <v>3157</v>
      </c>
      <c r="Q179" s="104" t="s">
        <v>3603</v>
      </c>
      <c r="R179" s="108" t="s">
        <v>3202</v>
      </c>
      <c r="S179" s="90" t="s">
        <v>3187</v>
      </c>
      <c r="T179" s="70" t="s">
        <v>0</v>
      </c>
      <c r="U179" s="70" t="s">
        <v>38</v>
      </c>
      <c r="V179" s="70" t="s">
        <v>69</v>
      </c>
      <c r="W179" s="70" t="s">
        <v>3336</v>
      </c>
      <c r="X179" s="70">
        <v>5</v>
      </c>
      <c r="Y179" s="70">
        <v>5</v>
      </c>
      <c r="Z179" s="70">
        <v>5</v>
      </c>
      <c r="AA179" s="70">
        <v>5</v>
      </c>
      <c r="AB179" s="70">
        <v>5</v>
      </c>
      <c r="AC179" s="70">
        <v>5</v>
      </c>
      <c r="AD17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79" s="70" t="s">
        <v>3335</v>
      </c>
      <c r="AF179" s="70"/>
      <c r="AG179" s="70"/>
      <c r="AH179" s="70"/>
      <c r="AI179" s="70"/>
      <c r="AJ179" s="70"/>
      <c r="AK179" s="70"/>
      <c r="AL179" s="70"/>
      <c r="AM179" s="70"/>
      <c r="AN179" s="70" t="s">
        <v>4122</v>
      </c>
      <c r="AO179" s="70"/>
      <c r="AP179" s="70"/>
      <c r="AQ179" s="70"/>
      <c r="AR179" s="70"/>
      <c r="AS179" s="70"/>
      <c r="AT179" s="70" t="s">
        <v>4122</v>
      </c>
      <c r="AU179" s="70"/>
      <c r="AV179" s="70"/>
      <c r="AW179" s="70"/>
      <c r="AX179" s="70"/>
      <c r="AY179" s="70"/>
      <c r="AZ179" s="70"/>
      <c r="BA179" s="70"/>
      <c r="BB179" s="70"/>
      <c r="BC179" s="70"/>
      <c r="BD179" s="70"/>
      <c r="BE179" s="70"/>
      <c r="BF179" s="70"/>
      <c r="BG179" s="70"/>
      <c r="BH179" s="130" t="s">
        <v>4122</v>
      </c>
      <c r="BI179" s="130"/>
      <c r="BJ179" s="130"/>
      <c r="BK179" s="130"/>
      <c r="BL179" s="130"/>
      <c r="BM179" s="130"/>
      <c r="BN179" s="130"/>
      <c r="BO179" s="130"/>
      <c r="BP179" s="130"/>
      <c r="BQ179" s="130"/>
      <c r="BR179" s="130"/>
    </row>
    <row r="180" spans="1:100" hidden="1" x14ac:dyDescent="0.25">
      <c r="A180" s="68">
        <v>193</v>
      </c>
      <c r="B180" s="110" t="s">
        <v>1885</v>
      </c>
      <c r="C180" s="110" t="s">
        <v>1886</v>
      </c>
      <c r="D180" s="110" t="s">
        <v>3973</v>
      </c>
      <c r="E180" s="110"/>
      <c r="F180" s="110" t="s">
        <v>1887</v>
      </c>
      <c r="G180" s="110">
        <v>2013</v>
      </c>
      <c r="H180" s="110" t="s">
        <v>1888</v>
      </c>
      <c r="I180" s="111" t="s">
        <v>80</v>
      </c>
      <c r="J180" s="111" t="s">
        <v>88</v>
      </c>
      <c r="K180" s="111" t="s">
        <v>80</v>
      </c>
      <c r="L180" s="111">
        <v>1</v>
      </c>
      <c r="M180" s="110" t="s">
        <v>3972</v>
      </c>
      <c r="N180" s="110">
        <v>3</v>
      </c>
      <c r="O180" s="110">
        <v>3</v>
      </c>
      <c r="P180" s="110" t="s">
        <v>3157</v>
      </c>
      <c r="Q180" s="110" t="s">
        <v>3231</v>
      </c>
      <c r="R180" s="110" t="s">
        <v>3210</v>
      </c>
      <c r="S180" s="110" t="s">
        <v>3257</v>
      </c>
      <c r="T180" s="110" t="s">
        <v>0</v>
      </c>
      <c r="U180" s="110" t="s">
        <v>38</v>
      </c>
      <c r="V180" s="110" t="s">
        <v>69</v>
      </c>
      <c r="W180" s="110" t="s">
        <v>3336</v>
      </c>
      <c r="X180" s="110">
        <v>4</v>
      </c>
      <c r="Y180" s="110">
        <v>4</v>
      </c>
      <c r="Z180" s="110">
        <v>3</v>
      </c>
      <c r="AA180" s="110">
        <v>3</v>
      </c>
      <c r="AB180" s="110">
        <v>4</v>
      </c>
      <c r="AC180" s="110">
        <v>3</v>
      </c>
      <c r="AD180"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80" s="110" t="s">
        <v>61</v>
      </c>
      <c r="AF180" s="70"/>
      <c r="AG180" s="70"/>
      <c r="AH180" s="70"/>
      <c r="AI180" s="70"/>
      <c r="AJ180" s="70"/>
      <c r="AK180" s="70"/>
      <c r="AL180" s="70"/>
      <c r="AM180" s="70"/>
      <c r="AN180" s="70"/>
      <c r="AO180" s="70"/>
      <c r="AP180" s="70"/>
      <c r="AQ180" s="70"/>
      <c r="AR180" s="70"/>
      <c r="AS180" s="70" t="s">
        <v>4122</v>
      </c>
      <c r="AT180" s="70"/>
      <c r="AU180" s="70"/>
      <c r="AV180" s="70"/>
      <c r="AW180" s="70"/>
      <c r="AX180" s="70"/>
      <c r="AY180" s="70"/>
      <c r="AZ180" s="70"/>
      <c r="BA180" s="70"/>
      <c r="BB180" s="70"/>
      <c r="BC180" s="70" t="s">
        <v>4122</v>
      </c>
      <c r="BD180" s="70"/>
      <c r="BE180" s="70"/>
      <c r="BF180" s="70"/>
      <c r="BG180" s="70"/>
      <c r="BH180" s="130"/>
      <c r="BI180" s="130"/>
      <c r="BJ180" s="130"/>
      <c r="BK180" s="130"/>
      <c r="BL180" s="130"/>
      <c r="BM180" s="130"/>
      <c r="BN180" s="130" t="s">
        <v>4122</v>
      </c>
      <c r="BO180" s="130"/>
      <c r="BP180" s="130"/>
      <c r="BQ180" s="130"/>
      <c r="BR180" s="130"/>
    </row>
    <row r="181" spans="1:100" hidden="1" x14ac:dyDescent="0.25">
      <c r="A181" s="68">
        <v>11</v>
      </c>
      <c r="B181" s="70" t="s">
        <v>134</v>
      </c>
      <c r="C181" s="70" t="s">
        <v>135</v>
      </c>
      <c r="D181" s="70" t="s">
        <v>3686</v>
      </c>
      <c r="E181" s="70" t="s">
        <v>301</v>
      </c>
      <c r="F181" s="70" t="s">
        <v>302</v>
      </c>
      <c r="G181" s="70">
        <v>2018</v>
      </c>
      <c r="H181" s="70" t="s">
        <v>257</v>
      </c>
      <c r="I181" s="78" t="s">
        <v>80</v>
      </c>
      <c r="J181" s="78" t="s">
        <v>80</v>
      </c>
      <c r="K181" s="78">
        <v>0.17</v>
      </c>
      <c r="L181" s="78">
        <v>1</v>
      </c>
      <c r="M181" s="70" t="s">
        <v>3687</v>
      </c>
      <c r="N181" s="70">
        <v>0</v>
      </c>
      <c r="O181" s="70">
        <v>5</v>
      </c>
      <c r="P181" s="90" t="s">
        <v>3244</v>
      </c>
      <c r="Q181" s="104" t="s">
        <v>3305</v>
      </c>
      <c r="R181" s="108" t="s">
        <v>3303</v>
      </c>
      <c r="S181" s="90" t="s">
        <v>3257</v>
      </c>
      <c r="T181" s="70" t="s">
        <v>6</v>
      </c>
      <c r="U181" s="70" t="s">
        <v>38</v>
      </c>
      <c r="V181" s="70" t="s">
        <v>69</v>
      </c>
      <c r="W181" s="70" t="s">
        <v>3304</v>
      </c>
      <c r="X181" s="70">
        <v>5</v>
      </c>
      <c r="Y181" s="70">
        <v>5</v>
      </c>
      <c r="Z181" s="70">
        <v>5</v>
      </c>
      <c r="AA181" s="70">
        <v>5</v>
      </c>
      <c r="AB181" s="70">
        <v>5</v>
      </c>
      <c r="AC181" s="70">
        <v>5</v>
      </c>
      <c r="AD18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81" s="70" t="s">
        <v>61</v>
      </c>
      <c r="AF181" s="70"/>
      <c r="AG181" s="70"/>
      <c r="AH181" s="70"/>
      <c r="AI181" s="70"/>
      <c r="AJ181" s="70" t="s">
        <v>4122</v>
      </c>
      <c r="AK181" s="70"/>
      <c r="AL181" s="70"/>
      <c r="AM181" s="70"/>
      <c r="AN181" s="70"/>
      <c r="AO181" s="70"/>
      <c r="AP181" s="70"/>
      <c r="AQ181" s="70"/>
      <c r="AR181" s="70"/>
      <c r="AS181" s="70"/>
      <c r="AT181" s="70"/>
      <c r="AU181" s="70"/>
      <c r="AV181" s="70"/>
      <c r="AW181" s="70"/>
      <c r="AX181" s="70"/>
      <c r="AY181" s="70"/>
      <c r="AZ181" s="70"/>
      <c r="BA181" s="70"/>
      <c r="BB181" s="70" t="s">
        <v>4122</v>
      </c>
      <c r="BC181" s="70"/>
      <c r="BD181" s="70"/>
      <c r="BE181" s="70"/>
      <c r="BF181" s="70"/>
      <c r="BG181" s="70"/>
      <c r="BH181" s="130"/>
      <c r="BI181" s="130"/>
      <c r="BJ181" s="130"/>
      <c r="BK181" s="130"/>
      <c r="BL181" s="130"/>
      <c r="BM181" s="130"/>
      <c r="BN181" s="130"/>
      <c r="BO181" s="130"/>
      <c r="BP181" s="130"/>
      <c r="BQ181" s="130" t="s">
        <v>4122</v>
      </c>
      <c r="BR181" s="130"/>
    </row>
    <row r="182" spans="1:100" hidden="1" x14ac:dyDescent="0.25">
      <c r="A182" s="68">
        <v>46</v>
      </c>
      <c r="B182" s="70" t="s">
        <v>465</v>
      </c>
      <c r="C182" s="70" t="s">
        <v>466</v>
      </c>
      <c r="D182" s="70" t="s">
        <v>3741</v>
      </c>
      <c r="E182" s="70" t="s">
        <v>935</v>
      </c>
      <c r="F182" s="70" t="s">
        <v>467</v>
      </c>
      <c r="G182" s="70">
        <v>2017</v>
      </c>
      <c r="H182" s="70" t="s">
        <v>468</v>
      </c>
      <c r="I182" s="78" t="s">
        <v>80</v>
      </c>
      <c r="J182" s="78" t="s">
        <v>83</v>
      </c>
      <c r="K182" s="78" t="s">
        <v>80</v>
      </c>
      <c r="L182" s="78" t="s">
        <v>80</v>
      </c>
      <c r="M182" s="70" t="s">
        <v>3742</v>
      </c>
      <c r="N182" s="70">
        <v>0</v>
      </c>
      <c r="O182" s="70">
        <v>3</v>
      </c>
      <c r="P182" s="90" t="s">
        <v>3244</v>
      </c>
      <c r="Q182" s="104" t="s">
        <v>3378</v>
      </c>
      <c r="R182" s="108" t="s">
        <v>3209</v>
      </c>
      <c r="S182" s="90" t="s">
        <v>3187</v>
      </c>
      <c r="T182" s="70" t="s">
        <v>0</v>
      </c>
      <c r="U182" s="70" t="s">
        <v>39</v>
      </c>
      <c r="V182" s="70" t="s">
        <v>69</v>
      </c>
      <c r="W182" s="70" t="s">
        <v>3336</v>
      </c>
      <c r="X182" s="70">
        <v>5</v>
      </c>
      <c r="Y182" s="70">
        <v>5</v>
      </c>
      <c r="Z182" s="70">
        <v>2</v>
      </c>
      <c r="AA182" s="70">
        <v>5</v>
      </c>
      <c r="AB182" s="70">
        <v>5</v>
      </c>
      <c r="AC182" s="70">
        <v>2</v>
      </c>
      <c r="AD18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82" s="70" t="s">
        <v>3379</v>
      </c>
      <c r="AF182" s="70"/>
      <c r="AG182" s="70"/>
      <c r="AH182" s="70"/>
      <c r="AI182" s="70"/>
      <c r="AJ182" s="70" t="s">
        <v>4122</v>
      </c>
      <c r="AK182" s="70"/>
      <c r="AL182" s="70"/>
      <c r="AM182" s="70"/>
      <c r="AN182" s="70"/>
      <c r="AO182" s="70"/>
      <c r="AP182" s="70"/>
      <c r="AQ182" s="70"/>
      <c r="AR182" s="70"/>
      <c r="AS182" s="70"/>
      <c r="AT182" s="70"/>
      <c r="AU182" s="70"/>
      <c r="AV182" s="70"/>
      <c r="AW182" s="70" t="s">
        <v>4122</v>
      </c>
      <c r="AX182" s="70"/>
      <c r="AY182" s="70"/>
      <c r="AZ182" s="70"/>
      <c r="BA182" s="70"/>
      <c r="BB182" s="70"/>
      <c r="BC182" s="70"/>
      <c r="BD182" s="70"/>
      <c r="BE182" s="70"/>
      <c r="BF182" s="70"/>
      <c r="BG182" s="70"/>
      <c r="BH182" s="130"/>
      <c r="BI182" s="130"/>
      <c r="BJ182" s="130"/>
      <c r="BK182" s="130"/>
      <c r="BL182" s="130"/>
      <c r="BM182" s="130"/>
      <c r="BN182" s="130" t="s">
        <v>4122</v>
      </c>
      <c r="BO182" s="130"/>
      <c r="BP182" s="130"/>
      <c r="BQ182" s="130"/>
      <c r="BR182" s="130"/>
    </row>
    <row r="183" spans="1:100" s="8" customFormat="1" hidden="1" x14ac:dyDescent="0.25">
      <c r="A183" s="68">
        <v>127</v>
      </c>
      <c r="B183" s="70" t="s">
        <v>1358</v>
      </c>
      <c r="C183" s="70" t="s">
        <v>1359</v>
      </c>
      <c r="D183" s="70" t="s">
        <v>3872</v>
      </c>
      <c r="E183" s="70"/>
      <c r="F183" s="70" t="s">
        <v>1360</v>
      </c>
      <c r="G183" s="70">
        <v>2015</v>
      </c>
      <c r="H183" s="70" t="s">
        <v>1361</v>
      </c>
      <c r="I183" s="78" t="s">
        <v>4035</v>
      </c>
      <c r="J183" s="78" t="s">
        <v>4033</v>
      </c>
      <c r="K183" s="78" t="s">
        <v>80</v>
      </c>
      <c r="L183" s="78" t="s">
        <v>80</v>
      </c>
      <c r="M183" s="70" t="s">
        <v>3871</v>
      </c>
      <c r="N183" s="70">
        <v>19</v>
      </c>
      <c r="O183" s="70">
        <v>5</v>
      </c>
      <c r="P183" s="90" t="s">
        <v>3508</v>
      </c>
      <c r="Q183" s="104" t="s">
        <v>3509</v>
      </c>
      <c r="R183" s="108" t="s">
        <v>3510</v>
      </c>
      <c r="S183" s="90" t="s">
        <v>3312</v>
      </c>
      <c r="T183" s="70" t="s">
        <v>0</v>
      </c>
      <c r="U183" s="70" t="s">
        <v>38</v>
      </c>
      <c r="V183" s="70" t="s">
        <v>69</v>
      </c>
      <c r="W183" s="70" t="s">
        <v>3336</v>
      </c>
      <c r="X183" s="70">
        <v>5</v>
      </c>
      <c r="Y183" s="70">
        <v>5</v>
      </c>
      <c r="Z183" s="70">
        <v>5</v>
      </c>
      <c r="AA183" s="70">
        <v>5</v>
      </c>
      <c r="AB183" s="70">
        <v>5</v>
      </c>
      <c r="AC183" s="70">
        <v>5</v>
      </c>
      <c r="AD18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83" s="70" t="s">
        <v>54</v>
      </c>
      <c r="AF183" s="70"/>
      <c r="AG183" s="70"/>
      <c r="AH183" s="70"/>
      <c r="AI183" s="70"/>
      <c r="AJ183" s="70"/>
      <c r="AK183" s="70"/>
      <c r="AL183" s="70"/>
      <c r="AM183" s="70" t="s">
        <v>4122</v>
      </c>
      <c r="AN183" s="70"/>
      <c r="AO183" s="70"/>
      <c r="AP183" s="70"/>
      <c r="AQ183" s="70"/>
      <c r="AR183" s="70"/>
      <c r="AS183" s="70"/>
      <c r="AT183" s="70"/>
      <c r="AU183" s="70"/>
      <c r="AV183" s="70"/>
      <c r="AW183" s="70"/>
      <c r="AX183" s="70"/>
      <c r="AY183" s="70"/>
      <c r="AZ183" s="70"/>
      <c r="BA183" s="70"/>
      <c r="BB183" s="70" t="s">
        <v>4122</v>
      </c>
      <c r="BC183" s="70"/>
      <c r="BD183" s="70"/>
      <c r="BE183" s="70"/>
      <c r="BF183" s="70"/>
      <c r="BG183" s="70"/>
      <c r="BH183" s="130"/>
      <c r="BI183" s="130"/>
      <c r="BJ183" s="130"/>
      <c r="BK183" s="130" t="s">
        <v>4122</v>
      </c>
      <c r="BL183" s="130" t="s">
        <v>4122</v>
      </c>
      <c r="BM183" s="130"/>
      <c r="BN183" s="130"/>
      <c r="BO183" s="130"/>
      <c r="BP183" s="130"/>
      <c r="BQ183" s="130"/>
      <c r="BR183" s="130"/>
      <c r="BS183" s="113"/>
      <c r="BT183" s="113"/>
      <c r="BU183" s="113"/>
      <c r="BV183" s="113"/>
      <c r="BW183" s="113"/>
      <c r="BX183" s="113"/>
      <c r="BY183" s="113"/>
      <c r="BZ183" s="113"/>
      <c r="CA183" s="113"/>
      <c r="CB183" s="113"/>
      <c r="CC183" s="113"/>
      <c r="CD183" s="113"/>
      <c r="CE183" s="113"/>
      <c r="CF183" s="113"/>
      <c r="CG183" s="113"/>
      <c r="CH183" s="113"/>
      <c r="CI183" s="113"/>
      <c r="CJ183" s="113"/>
      <c r="CK183" s="113"/>
      <c r="CL183" s="113"/>
      <c r="CM183" s="113"/>
      <c r="CN183" s="113"/>
      <c r="CO183" s="113"/>
      <c r="CP183" s="113"/>
      <c r="CQ183" s="113"/>
      <c r="CR183" s="113"/>
      <c r="CS183" s="113"/>
      <c r="CT183" s="113"/>
      <c r="CU183" s="113"/>
      <c r="CV183" s="113"/>
    </row>
    <row r="184" spans="1:100" s="8" customFormat="1" hidden="1" x14ac:dyDescent="0.25">
      <c r="A184" s="68">
        <v>15</v>
      </c>
      <c r="B184" s="70" t="s">
        <v>1538</v>
      </c>
      <c r="C184" s="70" t="s">
        <v>1539</v>
      </c>
      <c r="D184" s="70" t="s">
        <v>123</v>
      </c>
      <c r="E184" s="70"/>
      <c r="F184" s="70" t="s">
        <v>1540</v>
      </c>
      <c r="G184" s="70">
        <v>2018</v>
      </c>
      <c r="H184" s="70" t="s">
        <v>1541</v>
      </c>
      <c r="I184" s="78" t="s">
        <v>80</v>
      </c>
      <c r="J184" s="78" t="s">
        <v>80</v>
      </c>
      <c r="K184" s="78">
        <v>0.16</v>
      </c>
      <c r="L184" s="78">
        <v>3</v>
      </c>
      <c r="M184" s="70" t="s">
        <v>3693</v>
      </c>
      <c r="N184" s="70">
        <v>0</v>
      </c>
      <c r="O184" s="70">
        <v>4</v>
      </c>
      <c r="P184" s="90" t="s">
        <v>3283</v>
      </c>
      <c r="Q184" s="104" t="s">
        <v>3199</v>
      </c>
      <c r="R184" s="108" t="s">
        <v>3207</v>
      </c>
      <c r="S184" s="90" t="s">
        <v>3257</v>
      </c>
      <c r="T184" s="70" t="s">
        <v>20</v>
      </c>
      <c r="U184" s="70" t="s">
        <v>38</v>
      </c>
      <c r="V184" s="70" t="s">
        <v>69</v>
      </c>
      <c r="W184" s="70" t="s">
        <v>3336</v>
      </c>
      <c r="X184" s="70">
        <v>4</v>
      </c>
      <c r="Y184" s="70">
        <v>4</v>
      </c>
      <c r="Z184" s="70">
        <v>4</v>
      </c>
      <c r="AA184" s="70">
        <v>4</v>
      </c>
      <c r="AB184" s="70">
        <v>4</v>
      </c>
      <c r="AC184" s="70">
        <v>4</v>
      </c>
      <c r="AD18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84" s="70" t="s">
        <v>3317</v>
      </c>
      <c r="AF184" s="70"/>
      <c r="AG184" s="70"/>
      <c r="AH184" s="70"/>
      <c r="AI184" s="70"/>
      <c r="AJ184" s="70" t="s">
        <v>4122</v>
      </c>
      <c r="AK184" s="70"/>
      <c r="AL184" s="70"/>
      <c r="AM184" s="70"/>
      <c r="AN184" s="70"/>
      <c r="AO184" s="70"/>
      <c r="AP184" s="70"/>
      <c r="AQ184" s="70"/>
      <c r="AR184" s="70"/>
      <c r="AS184" s="70"/>
      <c r="AT184" s="70"/>
      <c r="AU184" s="70"/>
      <c r="AV184" s="70"/>
      <c r="AW184" s="70"/>
      <c r="AX184" s="70"/>
      <c r="AY184" s="70"/>
      <c r="AZ184" s="70"/>
      <c r="BA184" s="70" t="s">
        <v>4122</v>
      </c>
      <c r="BB184" s="70"/>
      <c r="BC184" s="70"/>
      <c r="BD184" s="70"/>
      <c r="BE184" s="70"/>
      <c r="BF184" s="70"/>
      <c r="BG184" s="70"/>
      <c r="BH184" s="130"/>
      <c r="BI184" s="130" t="s">
        <v>4122</v>
      </c>
      <c r="BJ184" s="130"/>
      <c r="BK184" s="130"/>
      <c r="BL184" s="130"/>
      <c r="BM184" s="130"/>
      <c r="BN184" s="130"/>
      <c r="BO184" s="130"/>
      <c r="BP184" s="130"/>
      <c r="BQ184" s="130"/>
      <c r="BR184" s="130"/>
      <c r="BS184" s="113"/>
      <c r="BT184" s="113"/>
      <c r="BU184" s="113"/>
      <c r="BV184" s="113"/>
      <c r="BW184" s="113"/>
      <c r="BX184" s="113"/>
      <c r="BY184" s="113"/>
      <c r="BZ184" s="113"/>
      <c r="CA184" s="113"/>
      <c r="CB184" s="113"/>
      <c r="CC184" s="113"/>
      <c r="CD184" s="113"/>
      <c r="CE184" s="113"/>
      <c r="CF184" s="113"/>
      <c r="CG184" s="113"/>
      <c r="CH184" s="113"/>
      <c r="CI184" s="113"/>
      <c r="CJ184" s="113"/>
      <c r="CK184" s="113"/>
      <c r="CL184" s="113"/>
      <c r="CM184" s="113"/>
      <c r="CN184" s="113"/>
      <c r="CO184" s="113"/>
      <c r="CP184" s="113"/>
      <c r="CQ184" s="113"/>
      <c r="CR184" s="113"/>
      <c r="CS184" s="113"/>
      <c r="CT184" s="113"/>
      <c r="CU184" s="113"/>
      <c r="CV184" s="113"/>
    </row>
    <row r="185" spans="1:100" s="8" customFormat="1" hidden="1" x14ac:dyDescent="0.25">
      <c r="A185" s="68">
        <v>1</v>
      </c>
      <c r="B185" s="70" t="s">
        <v>405</v>
      </c>
      <c r="C185" s="70" t="s">
        <v>406</v>
      </c>
      <c r="D185" s="70" t="s">
        <v>121</v>
      </c>
      <c r="E185" s="70" t="s">
        <v>921</v>
      </c>
      <c r="F185" s="70" t="s">
        <v>407</v>
      </c>
      <c r="G185" s="70">
        <v>2019</v>
      </c>
      <c r="H185" s="70" t="s">
        <v>408</v>
      </c>
      <c r="I185" s="78" t="s">
        <v>80</v>
      </c>
      <c r="J185" s="78" t="s">
        <v>80</v>
      </c>
      <c r="K185" s="78">
        <v>0.73</v>
      </c>
      <c r="L185" s="78">
        <v>5</v>
      </c>
      <c r="M185" s="70" t="s">
        <v>3668</v>
      </c>
      <c r="N185" s="70">
        <v>3</v>
      </c>
      <c r="O185" s="70">
        <v>5</v>
      </c>
      <c r="P185" s="90" t="s">
        <v>3157</v>
      </c>
      <c r="Q185" s="104" t="s">
        <v>3187</v>
      </c>
      <c r="R185" s="108" t="s">
        <v>3254</v>
      </c>
      <c r="S185" s="90" t="s">
        <v>3248</v>
      </c>
      <c r="T185" s="70" t="s">
        <v>1</v>
      </c>
      <c r="U185" s="70" t="s">
        <v>38</v>
      </c>
      <c r="V185" s="70" t="s">
        <v>69</v>
      </c>
      <c r="W185" s="70" t="s">
        <v>3246</v>
      </c>
      <c r="X185" s="70">
        <v>5</v>
      </c>
      <c r="Y185" s="70">
        <v>5</v>
      </c>
      <c r="Z185" s="70">
        <v>4</v>
      </c>
      <c r="AA185" s="70">
        <v>4</v>
      </c>
      <c r="AB185" s="70">
        <v>5</v>
      </c>
      <c r="AC185" s="70">
        <v>4</v>
      </c>
      <c r="AD18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85" s="70" t="s">
        <v>3249</v>
      </c>
      <c r="AF185" s="70"/>
      <c r="AG185" s="70"/>
      <c r="AH185" s="70"/>
      <c r="AI185" s="70" t="s">
        <v>4122</v>
      </c>
      <c r="AJ185" s="70"/>
      <c r="AK185" s="70"/>
      <c r="AL185" s="70"/>
      <c r="AM185" s="70"/>
      <c r="AN185" s="70"/>
      <c r="AO185" s="70"/>
      <c r="AP185" s="70"/>
      <c r="AQ185" s="70"/>
      <c r="AR185" s="70"/>
      <c r="AS185" s="70"/>
      <c r="AT185" s="70"/>
      <c r="AU185" s="70"/>
      <c r="AV185" s="70"/>
      <c r="AW185" s="70"/>
      <c r="AX185" s="70"/>
      <c r="AY185" s="70"/>
      <c r="AZ185" s="70"/>
      <c r="BA185" s="70"/>
      <c r="BB185" s="70" t="s">
        <v>4122</v>
      </c>
      <c r="BC185" s="70"/>
      <c r="BD185" s="70"/>
      <c r="BE185" s="70"/>
      <c r="BF185" s="70"/>
      <c r="BG185" s="70"/>
      <c r="BH185" s="130"/>
      <c r="BI185" s="130"/>
      <c r="BJ185" s="130"/>
      <c r="BK185" s="130" t="s">
        <v>4122</v>
      </c>
      <c r="BL185" s="130"/>
      <c r="BM185" s="130"/>
      <c r="BN185" s="130"/>
      <c r="BO185" s="130"/>
      <c r="BP185" s="130"/>
      <c r="BQ185" s="130"/>
      <c r="BR185" s="130"/>
      <c r="BS185" s="113"/>
      <c r="BT185" s="113"/>
      <c r="BU185" s="113"/>
      <c r="BV185" s="113"/>
      <c r="BW185" s="113"/>
      <c r="BX185" s="113"/>
      <c r="BY185" s="113"/>
      <c r="BZ185" s="113"/>
      <c r="CA185" s="113"/>
      <c r="CB185" s="113"/>
      <c r="CC185" s="113"/>
      <c r="CD185" s="113"/>
      <c r="CE185" s="113"/>
      <c r="CF185" s="113"/>
      <c r="CG185" s="113"/>
      <c r="CH185" s="113"/>
      <c r="CI185" s="113"/>
      <c r="CJ185" s="113"/>
      <c r="CK185" s="113"/>
      <c r="CL185" s="113"/>
      <c r="CM185" s="113"/>
      <c r="CN185" s="113"/>
      <c r="CO185" s="113"/>
      <c r="CP185" s="113"/>
      <c r="CQ185" s="113"/>
      <c r="CR185" s="113"/>
      <c r="CS185" s="113"/>
      <c r="CT185" s="113"/>
      <c r="CU185" s="113"/>
      <c r="CV185" s="113"/>
    </row>
    <row r="186" spans="1:100" s="8" customFormat="1" hidden="1" x14ac:dyDescent="0.25">
      <c r="A186" s="68">
        <v>33</v>
      </c>
      <c r="B186" s="70" t="s">
        <v>2054</v>
      </c>
      <c r="C186" s="70" t="s">
        <v>2055</v>
      </c>
      <c r="D186" s="70" t="s">
        <v>3723</v>
      </c>
      <c r="E186" s="70"/>
      <c r="F186" s="70" t="s">
        <v>2056</v>
      </c>
      <c r="G186" s="70">
        <v>2015</v>
      </c>
      <c r="H186" s="70" t="s">
        <v>2057</v>
      </c>
      <c r="I186" s="78" t="s">
        <v>84</v>
      </c>
      <c r="J186" s="78" t="s">
        <v>85</v>
      </c>
      <c r="K186" s="78" t="s">
        <v>80</v>
      </c>
      <c r="L186" s="78" t="s">
        <v>80</v>
      </c>
      <c r="M186" s="70" t="s">
        <v>3724</v>
      </c>
      <c r="N186" s="70">
        <v>0</v>
      </c>
      <c r="O186" s="70">
        <v>5</v>
      </c>
      <c r="P186" s="90" t="s">
        <v>3157</v>
      </c>
      <c r="Q186" s="104" t="s">
        <v>3267</v>
      </c>
      <c r="R186" s="108" t="s">
        <v>3360</v>
      </c>
      <c r="S186" s="90" t="s">
        <v>3243</v>
      </c>
      <c r="T186" s="70" t="s">
        <v>0</v>
      </c>
      <c r="U186" s="70" t="s">
        <v>38</v>
      </c>
      <c r="V186" s="70" t="s">
        <v>69</v>
      </c>
      <c r="W186" s="70" t="s">
        <v>3336</v>
      </c>
      <c r="X186" s="70">
        <v>5</v>
      </c>
      <c r="Y186" s="70">
        <v>5</v>
      </c>
      <c r="Z186" s="70">
        <v>5</v>
      </c>
      <c r="AA186" s="70">
        <v>5</v>
      </c>
      <c r="AB186" s="70">
        <v>5</v>
      </c>
      <c r="AC186" s="70">
        <v>5</v>
      </c>
      <c r="AD18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86" s="70" t="s">
        <v>57</v>
      </c>
      <c r="AF186" s="70"/>
      <c r="AG186" s="70"/>
      <c r="AH186" s="70"/>
      <c r="AI186" s="70"/>
      <c r="AJ186" s="70" t="s">
        <v>4122</v>
      </c>
      <c r="AK186" s="70"/>
      <c r="AL186" s="70"/>
      <c r="AM186" s="70"/>
      <c r="AN186" s="70"/>
      <c r="AO186" s="70"/>
      <c r="AP186" s="70"/>
      <c r="AQ186" s="70"/>
      <c r="AR186" s="70"/>
      <c r="AS186" s="70"/>
      <c r="AT186" s="70"/>
      <c r="AU186" s="70"/>
      <c r="AV186" s="70" t="s">
        <v>4122</v>
      </c>
      <c r="AW186" s="70"/>
      <c r="AX186" s="70"/>
      <c r="AY186" s="70"/>
      <c r="AZ186" s="70"/>
      <c r="BA186" s="70"/>
      <c r="BB186" s="70"/>
      <c r="BC186" s="70"/>
      <c r="BD186" s="70"/>
      <c r="BE186" s="70"/>
      <c r="BF186" s="70"/>
      <c r="BG186" s="70"/>
      <c r="BH186" s="130"/>
      <c r="BI186" s="130"/>
      <c r="BJ186" s="130"/>
      <c r="BK186" s="130" t="s">
        <v>4122</v>
      </c>
      <c r="BL186" s="130"/>
      <c r="BM186" s="130"/>
      <c r="BN186" s="130"/>
      <c r="BO186" s="130"/>
      <c r="BP186" s="130"/>
      <c r="BQ186" s="130"/>
      <c r="BR186" s="130"/>
      <c r="BS186" s="113"/>
      <c r="BT186" s="113"/>
      <c r="BU186" s="113"/>
      <c r="BV186" s="113"/>
      <c r="BW186" s="113"/>
      <c r="BX186" s="113"/>
      <c r="BY186" s="113"/>
      <c r="BZ186" s="113"/>
      <c r="CA186" s="113"/>
      <c r="CB186" s="113"/>
      <c r="CC186" s="113"/>
      <c r="CD186" s="113"/>
      <c r="CE186" s="113"/>
      <c r="CF186" s="113"/>
      <c r="CG186" s="113"/>
      <c r="CH186" s="113"/>
      <c r="CI186" s="113"/>
      <c r="CJ186" s="113"/>
      <c r="CK186" s="113"/>
      <c r="CL186" s="113"/>
      <c r="CM186" s="113"/>
      <c r="CN186" s="113"/>
      <c r="CO186" s="113"/>
      <c r="CP186" s="113"/>
      <c r="CQ186" s="113"/>
      <c r="CR186" s="113"/>
      <c r="CS186" s="113"/>
      <c r="CT186" s="113"/>
      <c r="CU186" s="113"/>
      <c r="CV186" s="113"/>
    </row>
    <row r="187" spans="1:100" s="8" customFormat="1" hidden="1" x14ac:dyDescent="0.25">
      <c r="A187" s="68">
        <v>207</v>
      </c>
      <c r="B187" s="70" t="s">
        <v>3097</v>
      </c>
      <c r="C187" s="70" t="s">
        <v>3098</v>
      </c>
      <c r="D187" s="70" t="s">
        <v>3810</v>
      </c>
      <c r="E187" s="70"/>
      <c r="F187" s="70" t="s">
        <v>3099</v>
      </c>
      <c r="G187" s="70">
        <v>2015</v>
      </c>
      <c r="H187" s="70" t="s">
        <v>3100</v>
      </c>
      <c r="I187" s="78" t="s">
        <v>80</v>
      </c>
      <c r="J187" s="78" t="s">
        <v>80</v>
      </c>
      <c r="K187" s="78" t="s">
        <v>80</v>
      </c>
      <c r="L187" s="78" t="s">
        <v>80</v>
      </c>
      <c r="M187" s="70" t="s">
        <v>3992</v>
      </c>
      <c r="N187" s="70">
        <v>18</v>
      </c>
      <c r="O187" s="70">
        <v>3</v>
      </c>
      <c r="P187" s="90" t="s">
        <v>3328</v>
      </c>
      <c r="Q187" s="104" t="s">
        <v>3198</v>
      </c>
      <c r="R187" s="108" t="s">
        <v>3360</v>
      </c>
      <c r="S187" s="90" t="s">
        <v>3239</v>
      </c>
      <c r="T187" s="70" t="s">
        <v>1</v>
      </c>
      <c r="U187" s="70" t="s">
        <v>3622</v>
      </c>
      <c r="V187" s="70" t="s">
        <v>72</v>
      </c>
      <c r="W187" s="70" t="s">
        <v>3512</v>
      </c>
      <c r="X187" s="70">
        <v>3</v>
      </c>
      <c r="Y187" s="70">
        <v>3</v>
      </c>
      <c r="Z187" s="70">
        <v>3</v>
      </c>
      <c r="AA187" s="70">
        <v>3</v>
      </c>
      <c r="AB187" s="70">
        <v>3</v>
      </c>
      <c r="AC187" s="70">
        <v>3</v>
      </c>
      <c r="AD18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87" s="70" t="s">
        <v>3335</v>
      </c>
      <c r="AF187" s="70"/>
      <c r="AG187" s="70"/>
      <c r="AH187" s="70"/>
      <c r="AI187" s="70"/>
      <c r="AJ187" s="70"/>
      <c r="AK187" s="70"/>
      <c r="AL187" s="70"/>
      <c r="AM187" s="70"/>
      <c r="AN187" s="70"/>
      <c r="AO187" s="70"/>
      <c r="AP187" s="70"/>
      <c r="AQ187" s="70" t="s">
        <v>4122</v>
      </c>
      <c r="AR187" s="70"/>
      <c r="AS187" s="70"/>
      <c r="AT187" s="70"/>
      <c r="AU187" s="70"/>
      <c r="AV187" s="70"/>
      <c r="AW187" s="70"/>
      <c r="AX187" s="70"/>
      <c r="AY187" s="70"/>
      <c r="AZ187" s="70"/>
      <c r="BA187" s="70" t="s">
        <v>4122</v>
      </c>
      <c r="BB187" s="70"/>
      <c r="BC187" s="70"/>
      <c r="BD187" s="70"/>
      <c r="BE187" s="70"/>
      <c r="BF187" s="70"/>
      <c r="BG187" s="70"/>
      <c r="BH187" s="130"/>
      <c r="BI187" s="130"/>
      <c r="BJ187" s="130"/>
      <c r="BK187" s="130" t="s">
        <v>4122</v>
      </c>
      <c r="BL187" s="130"/>
      <c r="BM187" s="130"/>
      <c r="BN187" s="130"/>
      <c r="BO187" s="130"/>
      <c r="BP187" s="130"/>
      <c r="BQ187" s="130"/>
      <c r="BR187" s="130"/>
      <c r="BS187" s="113"/>
      <c r="BT187" s="113"/>
      <c r="BU187" s="113"/>
      <c r="BV187" s="113"/>
      <c r="BW187" s="113"/>
      <c r="BX187" s="113"/>
      <c r="BY187" s="113"/>
      <c r="BZ187" s="113"/>
      <c r="CA187" s="113"/>
      <c r="CB187" s="113"/>
      <c r="CC187" s="113"/>
      <c r="CD187" s="113"/>
      <c r="CE187" s="113"/>
      <c r="CF187" s="113"/>
      <c r="CG187" s="113"/>
      <c r="CH187" s="113"/>
      <c r="CI187" s="113"/>
      <c r="CJ187" s="113"/>
      <c r="CK187" s="113"/>
      <c r="CL187" s="113"/>
      <c r="CM187" s="113"/>
      <c r="CN187" s="113"/>
      <c r="CO187" s="113"/>
      <c r="CP187" s="113"/>
      <c r="CQ187" s="113"/>
      <c r="CR187" s="113"/>
      <c r="CS187" s="113"/>
      <c r="CT187" s="113"/>
      <c r="CU187" s="113"/>
      <c r="CV187" s="113"/>
    </row>
    <row r="188" spans="1:100" s="8" customFormat="1" hidden="1" x14ac:dyDescent="0.25">
      <c r="A188" s="68">
        <v>20</v>
      </c>
      <c r="B188" s="70" t="s">
        <v>2806</v>
      </c>
      <c r="C188" s="70" t="s">
        <v>2807</v>
      </c>
      <c r="D188" s="70" t="s">
        <v>3700</v>
      </c>
      <c r="E188" s="70"/>
      <c r="F188" s="70" t="s">
        <v>2808</v>
      </c>
      <c r="G188" s="70">
        <v>2015</v>
      </c>
      <c r="H188" s="70" t="s">
        <v>2809</v>
      </c>
      <c r="I188" s="78" t="s">
        <v>80</v>
      </c>
      <c r="J188" s="78" t="s">
        <v>80</v>
      </c>
      <c r="K188" s="78" t="s">
        <v>80</v>
      </c>
      <c r="L188" s="78" t="s">
        <v>80</v>
      </c>
      <c r="M188" s="70" t="s">
        <v>3701</v>
      </c>
      <c r="N188" s="70">
        <v>0</v>
      </c>
      <c r="O188" s="70">
        <v>1</v>
      </c>
      <c r="P188" s="90" t="s">
        <v>3264</v>
      </c>
      <c r="Q188" s="104" t="s">
        <v>3174</v>
      </c>
      <c r="R188" s="108" t="s">
        <v>3202</v>
      </c>
      <c r="S188" s="90" t="s">
        <v>3229</v>
      </c>
      <c r="T188" s="70" t="s">
        <v>20</v>
      </c>
      <c r="U188" s="70" t="s">
        <v>38</v>
      </c>
      <c r="V188" s="70" t="s">
        <v>69</v>
      </c>
      <c r="W188" s="70" t="s">
        <v>3336</v>
      </c>
      <c r="X188" s="70">
        <v>5</v>
      </c>
      <c r="Y188" s="70">
        <v>5</v>
      </c>
      <c r="Z188" s="70">
        <v>5</v>
      </c>
      <c r="AA188" s="70">
        <v>5</v>
      </c>
      <c r="AB188" s="70">
        <v>5</v>
      </c>
      <c r="AC188" s="70">
        <v>5</v>
      </c>
      <c r="AD18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88" s="70" t="s">
        <v>53</v>
      </c>
      <c r="AF188" s="70"/>
      <c r="AG188" s="70"/>
      <c r="AH188" s="70"/>
      <c r="AI188" s="70"/>
      <c r="AJ188" s="70" t="s">
        <v>4122</v>
      </c>
      <c r="AK188" s="70"/>
      <c r="AL188" s="70"/>
      <c r="AM188" s="70"/>
      <c r="AN188" s="70"/>
      <c r="AO188" s="70"/>
      <c r="AP188" s="70"/>
      <c r="AQ188" s="70"/>
      <c r="AR188" s="70"/>
      <c r="AS188" s="70"/>
      <c r="AT188" s="70"/>
      <c r="AU188" s="70"/>
      <c r="AV188" s="70"/>
      <c r="AW188" s="70" t="s">
        <v>4122</v>
      </c>
      <c r="AX188" s="70"/>
      <c r="AY188" s="70"/>
      <c r="AZ188" s="70"/>
      <c r="BA188" s="70"/>
      <c r="BB188" s="70"/>
      <c r="BC188" s="70"/>
      <c r="BD188" s="70"/>
      <c r="BE188" s="70"/>
      <c r="BF188" s="70"/>
      <c r="BG188" s="70"/>
      <c r="BH188" s="130" t="s">
        <v>4122</v>
      </c>
      <c r="BI188" s="130"/>
      <c r="BJ188" s="130"/>
      <c r="BK188" s="130"/>
      <c r="BL188" s="130"/>
      <c r="BM188" s="130"/>
      <c r="BN188" s="130"/>
      <c r="BO188" s="130"/>
      <c r="BP188" s="130"/>
      <c r="BQ188" s="130"/>
      <c r="BR188" s="130"/>
      <c r="BS188" s="113"/>
      <c r="BT188" s="113"/>
      <c r="BU188" s="113"/>
      <c r="BV188" s="113"/>
      <c r="BW188" s="113"/>
      <c r="BX188" s="113"/>
      <c r="BY188" s="113"/>
      <c r="BZ188" s="113"/>
      <c r="CA188" s="113"/>
      <c r="CB188" s="113"/>
      <c r="CC188" s="113"/>
      <c r="CD188" s="113"/>
      <c r="CE188" s="113"/>
      <c r="CF188" s="113"/>
      <c r="CG188" s="113"/>
      <c r="CH188" s="113"/>
      <c r="CI188" s="113"/>
      <c r="CJ188" s="113"/>
      <c r="CK188" s="113"/>
      <c r="CL188" s="113"/>
      <c r="CM188" s="113"/>
      <c r="CN188" s="113"/>
      <c r="CO188" s="113"/>
      <c r="CP188" s="113"/>
      <c r="CQ188" s="113"/>
      <c r="CR188" s="113"/>
      <c r="CS188" s="113"/>
      <c r="CT188" s="113"/>
      <c r="CU188" s="113"/>
      <c r="CV188" s="113"/>
    </row>
    <row r="189" spans="1:100" s="8" customFormat="1" hidden="1" x14ac:dyDescent="0.25">
      <c r="A189" s="68">
        <v>8</v>
      </c>
      <c r="B189" s="70" t="s">
        <v>1550</v>
      </c>
      <c r="C189" s="70" t="s">
        <v>1551</v>
      </c>
      <c r="D189" s="70" t="s">
        <v>0</v>
      </c>
      <c r="E189" s="70"/>
      <c r="F189" s="70" t="s">
        <v>1552</v>
      </c>
      <c r="G189" s="70">
        <v>2017</v>
      </c>
      <c r="H189" s="70" t="s">
        <v>1553</v>
      </c>
      <c r="I189" s="78" t="s">
        <v>81</v>
      </c>
      <c r="J189" s="78" t="s">
        <v>82</v>
      </c>
      <c r="K189" s="78" t="s">
        <v>80</v>
      </c>
      <c r="L189" s="78" t="s">
        <v>80</v>
      </c>
      <c r="M189" s="70" t="s">
        <v>3678</v>
      </c>
      <c r="N189" s="70">
        <v>0</v>
      </c>
      <c r="O189" s="70">
        <v>5</v>
      </c>
      <c r="P189" s="90" t="s">
        <v>3288</v>
      </c>
      <c r="Q189" s="104" t="s">
        <v>3289</v>
      </c>
      <c r="R189" s="108" t="s">
        <v>3209</v>
      </c>
      <c r="S189" s="90" t="s">
        <v>3236</v>
      </c>
      <c r="T189" s="70" t="s">
        <v>6</v>
      </c>
      <c r="U189" s="70" t="s">
        <v>38</v>
      </c>
      <c r="V189" s="70" t="s">
        <v>69</v>
      </c>
      <c r="W189" s="70" t="s">
        <v>3336</v>
      </c>
      <c r="X189" s="70">
        <v>5</v>
      </c>
      <c r="Y189" s="70">
        <v>5</v>
      </c>
      <c r="Z189" s="70">
        <v>5</v>
      </c>
      <c r="AA189" s="70">
        <v>5</v>
      </c>
      <c r="AB189" s="70">
        <v>5</v>
      </c>
      <c r="AC189" s="70">
        <v>5</v>
      </c>
      <c r="AD18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189" s="70" t="s">
        <v>59</v>
      </c>
      <c r="AF189" s="70"/>
      <c r="AG189" s="70"/>
      <c r="AH189" s="70"/>
      <c r="AI189" s="70"/>
      <c r="AJ189" s="70" t="s">
        <v>4122</v>
      </c>
      <c r="AK189" s="70"/>
      <c r="AL189" s="70"/>
      <c r="AM189" s="70"/>
      <c r="AN189" s="70"/>
      <c r="AO189" s="70"/>
      <c r="AP189" s="70"/>
      <c r="AQ189" s="70"/>
      <c r="AR189" s="70"/>
      <c r="AS189" s="70"/>
      <c r="AT189" s="70"/>
      <c r="AU189" s="70"/>
      <c r="AV189" s="70"/>
      <c r="AW189" s="70"/>
      <c r="AX189" s="70"/>
      <c r="AY189" s="70"/>
      <c r="AZ189" s="70"/>
      <c r="BA189" s="70"/>
      <c r="BB189" s="70" t="s">
        <v>4122</v>
      </c>
      <c r="BC189" s="70"/>
      <c r="BD189" s="70"/>
      <c r="BE189" s="70"/>
      <c r="BF189" s="70"/>
      <c r="BG189" s="70"/>
      <c r="BH189" s="130"/>
      <c r="BI189" s="130"/>
      <c r="BJ189" s="130"/>
      <c r="BK189" s="130"/>
      <c r="BL189" s="130"/>
      <c r="BM189" s="130"/>
      <c r="BN189" s="130" t="s">
        <v>4122</v>
      </c>
      <c r="BO189" s="130"/>
      <c r="BP189" s="130"/>
      <c r="BQ189" s="130"/>
      <c r="BR189" s="130"/>
      <c r="BS189" s="113"/>
      <c r="BT189" s="113"/>
      <c r="BU189" s="113"/>
      <c r="BV189" s="113"/>
      <c r="BW189" s="113"/>
      <c r="BX189" s="113"/>
      <c r="BY189" s="113"/>
      <c r="BZ189" s="113"/>
      <c r="CA189" s="113"/>
      <c r="CB189" s="113"/>
      <c r="CC189" s="113"/>
      <c r="CD189" s="113"/>
      <c r="CE189" s="113"/>
      <c r="CF189" s="113"/>
      <c r="CG189" s="113"/>
      <c r="CH189" s="113"/>
      <c r="CI189" s="113"/>
      <c r="CJ189" s="113"/>
      <c r="CK189" s="113"/>
      <c r="CL189" s="113"/>
      <c r="CM189" s="113"/>
      <c r="CN189" s="113"/>
      <c r="CO189" s="113"/>
      <c r="CP189" s="113"/>
      <c r="CQ189" s="113"/>
      <c r="CR189" s="113"/>
      <c r="CS189" s="113"/>
      <c r="CT189" s="113"/>
      <c r="CU189" s="113"/>
      <c r="CV189" s="113"/>
    </row>
    <row r="190" spans="1:100" s="8" customFormat="1" hidden="1" x14ac:dyDescent="0.25">
      <c r="A190" s="68">
        <v>69</v>
      </c>
      <c r="B190" s="110" t="s">
        <v>152</v>
      </c>
      <c r="C190" s="110" t="s">
        <v>153</v>
      </c>
      <c r="D190" s="110" t="s">
        <v>3773</v>
      </c>
      <c r="E190" s="110" t="s">
        <v>317</v>
      </c>
      <c r="F190" s="110" t="s">
        <v>318</v>
      </c>
      <c r="G190" s="110">
        <v>2018</v>
      </c>
      <c r="H190" s="110" t="s">
        <v>264</v>
      </c>
      <c r="I190" s="111" t="s">
        <v>80</v>
      </c>
      <c r="J190" s="111" t="s">
        <v>80</v>
      </c>
      <c r="K190" s="111" t="s">
        <v>80</v>
      </c>
      <c r="L190" s="111" t="s">
        <v>80</v>
      </c>
      <c r="M190" s="110" t="s">
        <v>3779</v>
      </c>
      <c r="N190" s="110">
        <v>5</v>
      </c>
      <c r="O190" s="110">
        <v>5</v>
      </c>
      <c r="P190" s="110" t="s">
        <v>3413</v>
      </c>
      <c r="Q190" s="110" t="s">
        <v>3420</v>
      </c>
      <c r="R190" s="110" t="s">
        <v>4136</v>
      </c>
      <c r="S190" s="110" t="s">
        <v>3239</v>
      </c>
      <c r="T190" s="110" t="s">
        <v>0</v>
      </c>
      <c r="U190" s="110" t="s">
        <v>38</v>
      </c>
      <c r="V190" s="110" t="s">
        <v>69</v>
      </c>
      <c r="W190" s="110" t="s">
        <v>3336</v>
      </c>
      <c r="X190" s="110">
        <v>5</v>
      </c>
      <c r="Y190" s="110">
        <v>5</v>
      </c>
      <c r="Z190" s="110">
        <v>5</v>
      </c>
      <c r="AA190" s="110">
        <v>5</v>
      </c>
      <c r="AB190" s="110">
        <v>5</v>
      </c>
      <c r="AC190" s="110">
        <v>5</v>
      </c>
      <c r="AD190"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0" s="110" t="s">
        <v>59</v>
      </c>
      <c r="AF190" s="70"/>
      <c r="AG190" s="70"/>
      <c r="AH190" s="70"/>
      <c r="AI190" s="70"/>
      <c r="AJ190" s="70" t="s">
        <v>4122</v>
      </c>
      <c r="AK190" s="70"/>
      <c r="AL190" s="70"/>
      <c r="AM190" s="70" t="s">
        <v>4122</v>
      </c>
      <c r="AN190" s="70"/>
      <c r="AO190" s="70"/>
      <c r="AP190" s="70"/>
      <c r="AQ190" s="70"/>
      <c r="AR190" s="70"/>
      <c r="AS190" s="70"/>
      <c r="AT190" s="70"/>
      <c r="AU190" s="70"/>
      <c r="AV190" s="70"/>
      <c r="AW190" s="70"/>
      <c r="AX190" s="70"/>
      <c r="AY190" s="70"/>
      <c r="AZ190" s="70"/>
      <c r="BA190" s="70"/>
      <c r="BB190" s="70" t="s">
        <v>4122</v>
      </c>
      <c r="BC190" s="70"/>
      <c r="BD190" s="70"/>
      <c r="BE190" s="70"/>
      <c r="BF190" s="70"/>
      <c r="BG190" s="70"/>
      <c r="BH190" s="130"/>
      <c r="BI190" s="130"/>
      <c r="BJ190" s="130"/>
      <c r="BK190" s="130" t="s">
        <v>4122</v>
      </c>
      <c r="BL190" s="130"/>
      <c r="BM190" s="130"/>
      <c r="BN190" s="130"/>
      <c r="BO190" s="130"/>
      <c r="BP190" s="130"/>
      <c r="BQ190" s="130"/>
      <c r="BR190" s="130"/>
      <c r="BS190" s="113"/>
      <c r="BT190" s="113"/>
      <c r="BU190" s="113"/>
      <c r="BV190" s="113"/>
      <c r="BW190" s="113"/>
      <c r="BX190" s="113"/>
      <c r="BY190" s="113"/>
      <c r="BZ190" s="113"/>
      <c r="CA190" s="113"/>
      <c r="CB190" s="113"/>
      <c r="CC190" s="113"/>
      <c r="CD190" s="113"/>
      <c r="CE190" s="113"/>
      <c r="CF190" s="113"/>
      <c r="CG190" s="113"/>
      <c r="CH190" s="113"/>
      <c r="CI190" s="113"/>
      <c r="CJ190" s="113"/>
      <c r="CK190" s="113"/>
      <c r="CL190" s="113"/>
      <c r="CM190" s="113"/>
      <c r="CN190" s="113"/>
      <c r="CO190" s="113"/>
      <c r="CP190" s="113"/>
      <c r="CQ190" s="113"/>
      <c r="CR190" s="113"/>
      <c r="CS190" s="113"/>
      <c r="CT190" s="113"/>
      <c r="CU190" s="113"/>
      <c r="CV190" s="113"/>
    </row>
    <row r="191" spans="1:100" s="8" customFormat="1" hidden="1" x14ac:dyDescent="0.25">
      <c r="A191" s="68">
        <v>74</v>
      </c>
      <c r="B191" s="70" t="s">
        <v>506</v>
      </c>
      <c r="C191" s="70" t="s">
        <v>507</v>
      </c>
      <c r="D191" s="70" t="s">
        <v>3789</v>
      </c>
      <c r="E191" s="70" t="s">
        <v>945</v>
      </c>
      <c r="F191" s="70" t="s">
        <v>508</v>
      </c>
      <c r="G191" s="70">
        <v>2016</v>
      </c>
      <c r="H191" s="70" t="s">
        <v>509</v>
      </c>
      <c r="I191" s="78" t="s">
        <v>80</v>
      </c>
      <c r="J191" s="78" t="s">
        <v>80</v>
      </c>
      <c r="K191" s="78" t="s">
        <v>80</v>
      </c>
      <c r="L191" s="78" t="s">
        <v>80</v>
      </c>
      <c r="M191" s="70" t="s">
        <v>3788</v>
      </c>
      <c r="N191" s="70">
        <v>0</v>
      </c>
      <c r="O191" s="70">
        <v>4</v>
      </c>
      <c r="P191" s="90" t="s">
        <v>3386</v>
      </c>
      <c r="Q191" s="104" t="s">
        <v>3295</v>
      </c>
      <c r="R191" s="108" t="s">
        <v>3204</v>
      </c>
      <c r="S191" s="90" t="s">
        <v>3239</v>
      </c>
      <c r="T191" s="70" t="s">
        <v>0</v>
      </c>
      <c r="U191" s="70" t="s">
        <v>38</v>
      </c>
      <c r="V191" s="70" t="s">
        <v>69</v>
      </c>
      <c r="W191" s="70" t="s">
        <v>3336</v>
      </c>
      <c r="X191" s="70">
        <v>5</v>
      </c>
      <c r="Y191" s="70">
        <v>5</v>
      </c>
      <c r="Z191" s="70">
        <v>5</v>
      </c>
      <c r="AA191" s="70">
        <v>5</v>
      </c>
      <c r="AB191" s="70">
        <v>5</v>
      </c>
      <c r="AC191" s="70">
        <v>5</v>
      </c>
      <c r="AD19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1" s="70" t="s">
        <v>3422</v>
      </c>
      <c r="AF191" s="70"/>
      <c r="AG191" s="70"/>
      <c r="AH191" s="70"/>
      <c r="AI191" s="70"/>
      <c r="AJ191" s="70" t="s">
        <v>4122</v>
      </c>
      <c r="AK191" s="70"/>
      <c r="AL191" s="70"/>
      <c r="AM191" s="70" t="s">
        <v>4122</v>
      </c>
      <c r="AN191" s="70"/>
      <c r="AO191" s="70"/>
      <c r="AP191" s="70"/>
      <c r="AQ191" s="70"/>
      <c r="AR191" s="70"/>
      <c r="AS191" s="70"/>
      <c r="AT191" s="70"/>
      <c r="AU191" s="70"/>
      <c r="AV191" s="70"/>
      <c r="AW191" s="70"/>
      <c r="AX191" s="70"/>
      <c r="AY191" s="70"/>
      <c r="AZ191" s="70"/>
      <c r="BA191" s="70"/>
      <c r="BB191" s="70"/>
      <c r="BC191" s="70"/>
      <c r="BD191" s="70"/>
      <c r="BE191" s="70" t="s">
        <v>4122</v>
      </c>
      <c r="BF191" s="70"/>
      <c r="BG191" s="70"/>
      <c r="BH191" s="130"/>
      <c r="BI191" s="130"/>
      <c r="BJ191" s="130"/>
      <c r="BK191" s="130"/>
      <c r="BL191" s="130"/>
      <c r="BM191" s="130"/>
      <c r="BN191" s="130" t="s">
        <v>4122</v>
      </c>
      <c r="BO191" s="130"/>
      <c r="BP191" s="130"/>
      <c r="BQ191" s="130"/>
      <c r="BR191" s="130"/>
      <c r="BS191" s="113"/>
      <c r="BT191" s="113"/>
      <c r="BU191" s="113"/>
      <c r="BV191" s="113"/>
      <c r="BW191" s="113"/>
      <c r="BX191" s="113"/>
      <c r="BY191" s="113"/>
      <c r="BZ191" s="113"/>
      <c r="CA191" s="113"/>
      <c r="CB191" s="113"/>
      <c r="CC191" s="113"/>
      <c r="CD191" s="113"/>
      <c r="CE191" s="113"/>
      <c r="CF191" s="113"/>
      <c r="CG191" s="113"/>
      <c r="CH191" s="113"/>
      <c r="CI191" s="113"/>
      <c r="CJ191" s="113"/>
      <c r="CK191" s="113"/>
      <c r="CL191" s="113"/>
      <c r="CM191" s="113"/>
      <c r="CN191" s="113"/>
      <c r="CO191" s="113"/>
      <c r="CP191" s="113"/>
      <c r="CQ191" s="113"/>
      <c r="CR191" s="113"/>
      <c r="CS191" s="113"/>
      <c r="CT191" s="113"/>
      <c r="CU191" s="113"/>
      <c r="CV191" s="113"/>
    </row>
    <row r="192" spans="1:100" s="8" customFormat="1" ht="135" hidden="1" x14ac:dyDescent="0.25">
      <c r="A192" s="68">
        <v>10</v>
      </c>
      <c r="B192" s="70" t="s">
        <v>2855</v>
      </c>
      <c r="C192" s="70" t="s">
        <v>2856</v>
      </c>
      <c r="D192" s="70" t="s">
        <v>3685</v>
      </c>
      <c r="E192" s="71" t="s">
        <v>3298</v>
      </c>
      <c r="F192" s="70" t="s">
        <v>2857</v>
      </c>
      <c r="G192" s="70">
        <v>2017</v>
      </c>
      <c r="H192" s="70" t="s">
        <v>2858</v>
      </c>
      <c r="I192" s="78" t="s">
        <v>80</v>
      </c>
      <c r="J192" s="78" t="s">
        <v>80</v>
      </c>
      <c r="K192" s="78" t="s">
        <v>80</v>
      </c>
      <c r="L192" s="78" t="s">
        <v>80</v>
      </c>
      <c r="M192" s="70" t="s">
        <v>3684</v>
      </c>
      <c r="N192" s="70">
        <v>0</v>
      </c>
      <c r="O192" s="70">
        <v>3</v>
      </c>
      <c r="P192" s="90" t="s">
        <v>3157</v>
      </c>
      <c r="Q192" s="104" t="s">
        <v>3301</v>
      </c>
      <c r="R192" s="108" t="s">
        <v>3300</v>
      </c>
      <c r="S192" s="90" t="s">
        <v>3237</v>
      </c>
      <c r="T192" s="70" t="s">
        <v>0</v>
      </c>
      <c r="U192" s="70" t="s">
        <v>38</v>
      </c>
      <c r="V192" s="70" t="s">
        <v>69</v>
      </c>
      <c r="W192" s="70"/>
      <c r="X192" s="70">
        <v>5</v>
      </c>
      <c r="Y192" s="70">
        <v>5</v>
      </c>
      <c r="Z192" s="70">
        <v>5</v>
      </c>
      <c r="AA192" s="70">
        <v>5</v>
      </c>
      <c r="AB192" s="70">
        <v>5</v>
      </c>
      <c r="AC192" s="70">
        <v>5</v>
      </c>
      <c r="AD19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2" s="70" t="s">
        <v>3302</v>
      </c>
      <c r="AF192" s="70"/>
      <c r="AG192" s="70"/>
      <c r="AH192" s="70"/>
      <c r="AI192" s="70"/>
      <c r="AJ192" s="70" t="s">
        <v>4122</v>
      </c>
      <c r="AK192" s="70"/>
      <c r="AL192" s="70"/>
      <c r="AM192" s="70"/>
      <c r="AN192" s="70"/>
      <c r="AO192" s="70"/>
      <c r="AP192" s="70"/>
      <c r="AQ192" s="70"/>
      <c r="AR192" s="70"/>
      <c r="AS192" s="70"/>
      <c r="AT192" s="70"/>
      <c r="AU192" s="70"/>
      <c r="AV192" s="70"/>
      <c r="AW192" s="70"/>
      <c r="AX192" s="70"/>
      <c r="AY192" s="70"/>
      <c r="AZ192" s="70"/>
      <c r="BA192" s="70" t="s">
        <v>4122</v>
      </c>
      <c r="BB192" s="70"/>
      <c r="BC192" s="70"/>
      <c r="BD192" s="70"/>
      <c r="BE192" s="70"/>
      <c r="BF192" s="70"/>
      <c r="BG192" s="70"/>
      <c r="BH192" s="130"/>
      <c r="BI192" s="130"/>
      <c r="BJ192" s="130"/>
      <c r="BK192" s="130"/>
      <c r="BL192" s="130"/>
      <c r="BM192" s="130"/>
      <c r="BN192" s="130"/>
      <c r="BO192" s="130"/>
      <c r="BP192" s="130" t="s">
        <v>4122</v>
      </c>
      <c r="BQ192" s="130"/>
      <c r="BR192" s="130"/>
      <c r="BS192" s="113"/>
      <c r="BT192" s="113"/>
      <c r="BU192" s="113"/>
      <c r="BV192" s="113"/>
      <c r="BW192" s="113"/>
      <c r="BX192" s="113"/>
      <c r="BY192" s="113"/>
      <c r="BZ192" s="113"/>
      <c r="CA192" s="113"/>
      <c r="CB192" s="113"/>
      <c r="CC192" s="113"/>
      <c r="CD192" s="113"/>
      <c r="CE192" s="113"/>
      <c r="CF192" s="113"/>
      <c r="CG192" s="113"/>
      <c r="CH192" s="113"/>
      <c r="CI192" s="113"/>
      <c r="CJ192" s="113"/>
      <c r="CK192" s="113"/>
      <c r="CL192" s="113"/>
      <c r="CM192" s="113"/>
      <c r="CN192" s="113"/>
      <c r="CO192" s="113"/>
      <c r="CP192" s="113"/>
      <c r="CQ192" s="113"/>
      <c r="CR192" s="113"/>
      <c r="CS192" s="113"/>
      <c r="CT192" s="113"/>
      <c r="CU192" s="113"/>
      <c r="CV192" s="113"/>
    </row>
    <row r="193" spans="1:100" s="8" customFormat="1" hidden="1" x14ac:dyDescent="0.25">
      <c r="A193" s="68">
        <v>213</v>
      </c>
      <c r="B193" s="70" t="s">
        <v>1131</v>
      </c>
      <c r="C193" s="70" t="s">
        <v>1132</v>
      </c>
      <c r="D193" s="70" t="s">
        <v>24</v>
      </c>
      <c r="E193" s="70"/>
      <c r="F193" s="70" t="s">
        <v>1133</v>
      </c>
      <c r="G193" s="70">
        <v>2014</v>
      </c>
      <c r="H193" s="70" t="s">
        <v>1134</v>
      </c>
      <c r="I193" s="78" t="s">
        <v>80</v>
      </c>
      <c r="J193" s="78" t="s">
        <v>80</v>
      </c>
      <c r="K193" s="78">
        <v>0.62</v>
      </c>
      <c r="L193" s="78">
        <v>4</v>
      </c>
      <c r="M193" s="70" t="s">
        <v>4000</v>
      </c>
      <c r="N193" s="70">
        <v>7</v>
      </c>
      <c r="O193" s="70">
        <v>5</v>
      </c>
      <c r="P193" s="90" t="s">
        <v>3311</v>
      </c>
      <c r="Q193" s="104" t="s">
        <v>3442</v>
      </c>
      <c r="R193" s="108" t="s">
        <v>3204</v>
      </c>
      <c r="S193" s="90" t="s">
        <v>3235</v>
      </c>
      <c r="T193" s="70" t="s">
        <v>1</v>
      </c>
      <c r="U193" s="70" t="s">
        <v>3622</v>
      </c>
      <c r="V193" s="70" t="s">
        <v>69</v>
      </c>
      <c r="W193" s="70" t="s">
        <v>3512</v>
      </c>
      <c r="X193" s="70">
        <v>3</v>
      </c>
      <c r="Y193" s="70">
        <v>3</v>
      </c>
      <c r="Z193" s="70">
        <v>3</v>
      </c>
      <c r="AA193" s="70">
        <v>3</v>
      </c>
      <c r="AB193" s="70">
        <v>3</v>
      </c>
      <c r="AC193" s="70">
        <v>3</v>
      </c>
      <c r="AD19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193" s="70" t="s">
        <v>3335</v>
      </c>
      <c r="AF193" s="70"/>
      <c r="AG193" s="70"/>
      <c r="AH193" s="70"/>
      <c r="AI193" s="70"/>
      <c r="AJ193" s="70"/>
      <c r="AK193" s="70"/>
      <c r="AL193" s="70"/>
      <c r="AM193" s="70"/>
      <c r="AN193" s="70"/>
      <c r="AO193" s="70"/>
      <c r="AP193" s="70"/>
      <c r="AQ193" s="70"/>
      <c r="AR193" s="70"/>
      <c r="AS193" s="70" t="s">
        <v>4122</v>
      </c>
      <c r="AT193" s="70"/>
      <c r="AU193" s="70"/>
      <c r="AV193" s="70"/>
      <c r="AW193" s="70"/>
      <c r="AX193" s="70"/>
      <c r="AY193" s="70"/>
      <c r="AZ193" s="70"/>
      <c r="BA193" s="70"/>
      <c r="BB193" s="70"/>
      <c r="BC193" s="70" t="s">
        <v>4122</v>
      </c>
      <c r="BD193" s="70"/>
      <c r="BE193" s="70"/>
      <c r="BF193" s="70"/>
      <c r="BG193" s="70"/>
      <c r="BH193" s="130"/>
      <c r="BI193" s="130"/>
      <c r="BJ193" s="130"/>
      <c r="BK193" s="130"/>
      <c r="BL193" s="130"/>
      <c r="BM193" s="130"/>
      <c r="BN193" s="130" t="s">
        <v>4122</v>
      </c>
      <c r="BO193" s="130"/>
      <c r="BP193" s="130"/>
      <c r="BQ193" s="130"/>
      <c r="BR193" s="130"/>
      <c r="BS193" s="113"/>
      <c r="BT193" s="113"/>
      <c r="BU193" s="113"/>
      <c r="BV193" s="113"/>
      <c r="BW193" s="113"/>
      <c r="BX193" s="113"/>
      <c r="BY193" s="113"/>
      <c r="BZ193" s="113"/>
      <c r="CA193" s="113"/>
      <c r="CB193" s="113"/>
      <c r="CC193" s="113"/>
      <c r="CD193" s="113"/>
      <c r="CE193" s="113"/>
      <c r="CF193" s="113"/>
      <c r="CG193" s="113"/>
      <c r="CH193" s="113"/>
      <c r="CI193" s="113"/>
      <c r="CJ193" s="113"/>
      <c r="CK193" s="113"/>
      <c r="CL193" s="113"/>
      <c r="CM193" s="113"/>
      <c r="CN193" s="113"/>
      <c r="CO193" s="113"/>
      <c r="CP193" s="113"/>
      <c r="CQ193" s="113"/>
      <c r="CR193" s="113"/>
      <c r="CS193" s="113"/>
      <c r="CT193" s="113"/>
      <c r="CU193" s="113"/>
      <c r="CV193" s="113"/>
    </row>
    <row r="194" spans="1:100" s="8" customFormat="1" hidden="1" x14ac:dyDescent="0.25">
      <c r="A194" s="68">
        <v>229</v>
      </c>
      <c r="B194" s="70" t="s">
        <v>234</v>
      </c>
      <c r="C194" s="70" t="s">
        <v>235</v>
      </c>
      <c r="D194" s="70" t="s">
        <v>4022</v>
      </c>
      <c r="E194" s="70" t="s">
        <v>391</v>
      </c>
      <c r="F194" s="70" t="s">
        <v>392</v>
      </c>
      <c r="G194" s="70">
        <v>2016</v>
      </c>
      <c r="H194" s="70"/>
      <c r="I194" s="78" t="s">
        <v>80</v>
      </c>
      <c r="J194" s="78" t="s">
        <v>80</v>
      </c>
      <c r="K194" s="78" t="s">
        <v>80</v>
      </c>
      <c r="L194" s="78" t="s">
        <v>80</v>
      </c>
      <c r="M194" s="70" t="s">
        <v>4021</v>
      </c>
      <c r="N194" s="70">
        <v>0</v>
      </c>
      <c r="O194" s="70">
        <v>4</v>
      </c>
      <c r="P194" s="90" t="s">
        <v>3418</v>
      </c>
      <c r="Q194" s="104" t="s">
        <v>3256</v>
      </c>
      <c r="R194" s="108" t="s">
        <v>3316</v>
      </c>
      <c r="S194" s="90" t="s">
        <v>3577</v>
      </c>
      <c r="T194" s="70" t="s">
        <v>6</v>
      </c>
      <c r="U194" s="70" t="s">
        <v>38</v>
      </c>
      <c r="V194" s="70" t="s">
        <v>69</v>
      </c>
      <c r="W194" s="70" t="s">
        <v>3336</v>
      </c>
      <c r="X194" s="70">
        <v>4</v>
      </c>
      <c r="Y194" s="70">
        <v>4</v>
      </c>
      <c r="Z194" s="70">
        <v>4</v>
      </c>
      <c r="AA194" s="70">
        <v>4</v>
      </c>
      <c r="AB194" s="70">
        <v>4</v>
      </c>
      <c r="AC194" s="70">
        <v>4</v>
      </c>
      <c r="AD19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4" s="70" t="s">
        <v>59</v>
      </c>
      <c r="AF194" s="70"/>
      <c r="AG194" s="70"/>
      <c r="AH194" s="70"/>
      <c r="AI194" s="70"/>
      <c r="AJ194" s="70" t="s">
        <v>4122</v>
      </c>
      <c r="AK194" s="70"/>
      <c r="AL194" s="70"/>
      <c r="AM194" s="70" t="s">
        <v>4122</v>
      </c>
      <c r="AN194" s="70"/>
      <c r="AO194" s="70"/>
      <c r="AP194" s="70" t="s">
        <v>4122</v>
      </c>
      <c r="AQ194" s="70"/>
      <c r="AR194" s="70"/>
      <c r="AS194" s="70"/>
      <c r="AT194" s="70"/>
      <c r="AU194" s="70"/>
      <c r="AV194" s="70" t="s">
        <v>4122</v>
      </c>
      <c r="AW194" s="70"/>
      <c r="AX194" s="70"/>
      <c r="AY194" s="70"/>
      <c r="AZ194" s="70"/>
      <c r="BA194" s="70"/>
      <c r="BB194" s="70"/>
      <c r="BC194" s="70"/>
      <c r="BD194" s="70"/>
      <c r="BE194" s="70"/>
      <c r="BF194" s="70"/>
      <c r="BG194" s="70"/>
      <c r="BH194" s="130"/>
      <c r="BI194" s="130"/>
      <c r="BJ194" s="130"/>
      <c r="BK194" s="130"/>
      <c r="BL194" s="130"/>
      <c r="BM194" s="130"/>
      <c r="BN194" s="130" t="s">
        <v>4122</v>
      </c>
      <c r="BO194" s="130"/>
      <c r="BP194" s="130"/>
      <c r="BQ194" s="130"/>
      <c r="BR194" s="130"/>
      <c r="BS194" s="113"/>
      <c r="BT194" s="113"/>
      <c r="BU194" s="113"/>
      <c r="BV194" s="113"/>
      <c r="BW194" s="113"/>
      <c r="BX194" s="113"/>
      <c r="BY194" s="113"/>
      <c r="BZ194" s="113"/>
      <c r="CA194" s="113"/>
      <c r="CB194" s="113"/>
      <c r="CC194" s="113"/>
      <c r="CD194" s="113"/>
      <c r="CE194" s="113"/>
      <c r="CF194" s="113"/>
      <c r="CG194" s="113"/>
      <c r="CH194" s="113"/>
      <c r="CI194" s="113"/>
      <c r="CJ194" s="113"/>
      <c r="CK194" s="113"/>
      <c r="CL194" s="113"/>
      <c r="CM194" s="113"/>
      <c r="CN194" s="113"/>
      <c r="CO194" s="113"/>
      <c r="CP194" s="113"/>
      <c r="CQ194" s="113"/>
      <c r="CR194" s="113"/>
      <c r="CS194" s="113"/>
      <c r="CT194" s="113"/>
      <c r="CU194" s="113"/>
      <c r="CV194" s="113"/>
    </row>
    <row r="195" spans="1:100" s="8" customFormat="1" hidden="1" x14ac:dyDescent="0.25">
      <c r="A195" s="68">
        <v>223</v>
      </c>
      <c r="B195" s="70" t="s">
        <v>2075</v>
      </c>
      <c r="C195" s="70" t="s">
        <v>2076</v>
      </c>
      <c r="D195" s="70" t="s">
        <v>4014</v>
      </c>
      <c r="E195" s="70"/>
      <c r="F195" s="70" t="s">
        <v>2077</v>
      </c>
      <c r="G195" s="70">
        <v>2016</v>
      </c>
      <c r="H195" s="70" t="s">
        <v>2078</v>
      </c>
      <c r="I195" s="78" t="s">
        <v>71</v>
      </c>
      <c r="J195" s="78" t="s">
        <v>4033</v>
      </c>
      <c r="K195" s="78" t="s">
        <v>80</v>
      </c>
      <c r="L195" s="78" t="s">
        <v>80</v>
      </c>
      <c r="M195" s="70" t="s">
        <v>4013</v>
      </c>
      <c r="N195" s="70">
        <v>0</v>
      </c>
      <c r="O195" s="70">
        <v>4</v>
      </c>
      <c r="P195" s="90" t="s">
        <v>3633</v>
      </c>
      <c r="Q195" s="104" t="s">
        <v>3605</v>
      </c>
      <c r="R195" s="108" t="s">
        <v>3364</v>
      </c>
      <c r="S195" s="90" t="s">
        <v>3577</v>
      </c>
      <c r="T195" s="70" t="s">
        <v>20</v>
      </c>
      <c r="U195" s="70" t="s">
        <v>3622</v>
      </c>
      <c r="V195" s="70" t="s">
        <v>69</v>
      </c>
      <c r="W195" s="70" t="s">
        <v>3336</v>
      </c>
      <c r="X195" s="70">
        <v>4</v>
      </c>
      <c r="Y195" s="70">
        <v>4</v>
      </c>
      <c r="Z195" s="70">
        <v>4</v>
      </c>
      <c r="AA195" s="70">
        <v>4</v>
      </c>
      <c r="AB195" s="70">
        <v>4</v>
      </c>
      <c r="AC195" s="70">
        <v>4</v>
      </c>
      <c r="AD19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195" s="70" t="s">
        <v>3625</v>
      </c>
      <c r="AF195" s="70"/>
      <c r="AG195" s="70"/>
      <c r="AH195" s="70"/>
      <c r="AI195" s="70"/>
      <c r="AJ195" s="70"/>
      <c r="AK195" s="70"/>
      <c r="AL195" s="70"/>
      <c r="AM195" s="70" t="s">
        <v>4122</v>
      </c>
      <c r="AN195" s="70"/>
      <c r="AO195" s="70"/>
      <c r="AP195" s="70"/>
      <c r="AQ195" s="70" t="s">
        <v>4122</v>
      </c>
      <c r="AR195" s="70" t="s">
        <v>4122</v>
      </c>
      <c r="AS195" s="70"/>
      <c r="AT195" s="70"/>
      <c r="AU195" s="70"/>
      <c r="AV195" s="70" t="s">
        <v>4122</v>
      </c>
      <c r="AW195" s="70"/>
      <c r="AX195" s="70"/>
      <c r="AY195" s="70"/>
      <c r="AZ195" s="70"/>
      <c r="BA195" s="70"/>
      <c r="BB195" s="70"/>
      <c r="BC195" s="70"/>
      <c r="BD195" s="70"/>
      <c r="BE195" s="70"/>
      <c r="BF195" s="70"/>
      <c r="BG195" s="70"/>
      <c r="BH195" s="130"/>
      <c r="BI195" s="130"/>
      <c r="BJ195" s="130"/>
      <c r="BK195" s="130"/>
      <c r="BL195" s="130"/>
      <c r="BM195" s="130"/>
      <c r="BN195" s="130" t="s">
        <v>4122</v>
      </c>
      <c r="BO195" s="130"/>
      <c r="BP195" s="130"/>
      <c r="BQ195" s="130"/>
      <c r="BR195" s="130"/>
      <c r="BS195" s="113"/>
      <c r="BT195" s="113"/>
      <c r="BU195" s="113"/>
      <c r="BV195" s="113"/>
      <c r="BW195" s="113"/>
      <c r="BX195" s="113"/>
      <c r="BY195" s="113"/>
      <c r="BZ195" s="113"/>
      <c r="CA195" s="113"/>
      <c r="CB195" s="113"/>
      <c r="CC195" s="113"/>
      <c r="CD195" s="113"/>
      <c r="CE195" s="113"/>
      <c r="CF195" s="113"/>
      <c r="CG195" s="113"/>
      <c r="CH195" s="113"/>
      <c r="CI195" s="113"/>
      <c r="CJ195" s="113"/>
      <c r="CK195" s="113"/>
      <c r="CL195" s="113"/>
      <c r="CM195" s="113"/>
      <c r="CN195" s="113"/>
      <c r="CO195" s="113"/>
      <c r="CP195" s="113"/>
      <c r="CQ195" s="113"/>
      <c r="CR195" s="113"/>
      <c r="CS195" s="113"/>
      <c r="CT195" s="113"/>
      <c r="CU195" s="113"/>
      <c r="CV195" s="113"/>
    </row>
    <row r="196" spans="1:100" s="8" customFormat="1" hidden="1" x14ac:dyDescent="0.25">
      <c r="A196" s="68">
        <v>230</v>
      </c>
      <c r="B196" s="110" t="s">
        <v>871</v>
      </c>
      <c r="C196" s="110" t="s">
        <v>872</v>
      </c>
      <c r="D196" s="110" t="s">
        <v>4024</v>
      </c>
      <c r="E196" s="110"/>
      <c r="F196" s="110" t="s">
        <v>873</v>
      </c>
      <c r="G196" s="110">
        <v>2013</v>
      </c>
      <c r="H196" s="110" t="s">
        <v>874</v>
      </c>
      <c r="I196" s="111" t="s">
        <v>84</v>
      </c>
      <c r="J196" s="111" t="s">
        <v>80</v>
      </c>
      <c r="K196" s="111" t="s">
        <v>80</v>
      </c>
      <c r="L196" s="111" t="s">
        <v>80</v>
      </c>
      <c r="M196" s="110" t="s">
        <v>4023</v>
      </c>
      <c r="N196" s="110">
        <v>7</v>
      </c>
      <c r="O196" s="110">
        <v>5</v>
      </c>
      <c r="P196" s="110" t="s">
        <v>3385</v>
      </c>
      <c r="Q196" s="110" t="s">
        <v>3182</v>
      </c>
      <c r="R196" s="110" t="s">
        <v>4134</v>
      </c>
      <c r="S196" s="110" t="s">
        <v>3228</v>
      </c>
      <c r="T196" s="110" t="s">
        <v>0</v>
      </c>
      <c r="U196" s="110" t="s">
        <v>38</v>
      </c>
      <c r="V196" s="110" t="s">
        <v>69</v>
      </c>
      <c r="W196" s="110" t="s">
        <v>3631</v>
      </c>
      <c r="X196" s="110">
        <v>5</v>
      </c>
      <c r="Y196" s="110">
        <v>5</v>
      </c>
      <c r="Z196" s="110">
        <v>5</v>
      </c>
      <c r="AA196" s="110">
        <v>5</v>
      </c>
      <c r="AB196" s="110">
        <v>5</v>
      </c>
      <c r="AC196" s="110">
        <v>5</v>
      </c>
      <c r="AD196"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6" s="110" t="s">
        <v>59</v>
      </c>
      <c r="AF196" s="70"/>
      <c r="AG196" s="70"/>
      <c r="AH196" s="70"/>
      <c r="AI196" s="70"/>
      <c r="AJ196" s="70" t="s">
        <v>4122</v>
      </c>
      <c r="AK196" s="70"/>
      <c r="AL196" s="70"/>
      <c r="AM196" s="70" t="s">
        <v>4122</v>
      </c>
      <c r="AN196" s="70"/>
      <c r="AO196" s="70"/>
      <c r="AP196" s="70"/>
      <c r="AQ196" s="70"/>
      <c r="AR196" s="70"/>
      <c r="AS196" s="70"/>
      <c r="AT196" s="70"/>
      <c r="AU196" s="70"/>
      <c r="AV196" s="70"/>
      <c r="AW196" s="70"/>
      <c r="AX196" s="70"/>
      <c r="AY196" s="70"/>
      <c r="AZ196" s="70"/>
      <c r="BA196" s="70"/>
      <c r="BB196" s="70" t="s">
        <v>4122</v>
      </c>
      <c r="BC196" s="70"/>
      <c r="BD196" s="70"/>
      <c r="BE196" s="70"/>
      <c r="BF196" s="70"/>
      <c r="BG196" s="70"/>
      <c r="BH196" s="130"/>
      <c r="BI196" s="130"/>
      <c r="BJ196" s="130" t="s">
        <v>4122</v>
      </c>
      <c r="BK196" s="130"/>
      <c r="BL196" s="130"/>
      <c r="BM196" s="130"/>
      <c r="BN196" s="130"/>
      <c r="BO196" s="130"/>
      <c r="BP196" s="130"/>
      <c r="BQ196" s="130"/>
      <c r="BR196" s="130"/>
      <c r="BS196" s="113"/>
      <c r="BT196" s="113"/>
      <c r="BU196" s="113"/>
      <c r="BV196" s="113"/>
      <c r="BW196" s="113"/>
      <c r="BX196" s="113"/>
      <c r="BY196" s="113"/>
      <c r="BZ196" s="113"/>
      <c r="CA196" s="113"/>
      <c r="CB196" s="113"/>
      <c r="CC196" s="113"/>
      <c r="CD196" s="113"/>
      <c r="CE196" s="113"/>
      <c r="CF196" s="113"/>
      <c r="CG196" s="113"/>
      <c r="CH196" s="113"/>
      <c r="CI196" s="113"/>
      <c r="CJ196" s="113"/>
      <c r="CK196" s="113"/>
      <c r="CL196" s="113"/>
      <c r="CM196" s="113"/>
      <c r="CN196" s="113"/>
      <c r="CO196" s="113"/>
      <c r="CP196" s="113"/>
      <c r="CQ196" s="113"/>
      <c r="CR196" s="113"/>
      <c r="CS196" s="113"/>
      <c r="CT196" s="113"/>
      <c r="CU196" s="113"/>
      <c r="CV196" s="113"/>
    </row>
    <row r="197" spans="1:100" s="8" customFormat="1" hidden="1" x14ac:dyDescent="0.25">
      <c r="A197" s="68">
        <v>110</v>
      </c>
      <c r="B197" s="70" t="s">
        <v>2816</v>
      </c>
      <c r="C197" s="70" t="s">
        <v>2817</v>
      </c>
      <c r="D197" s="70" t="s">
        <v>3847</v>
      </c>
      <c r="E197" s="70"/>
      <c r="F197" s="70" t="s">
        <v>2818</v>
      </c>
      <c r="G197" s="70">
        <v>2019</v>
      </c>
      <c r="H197" s="70" t="s">
        <v>2819</v>
      </c>
      <c r="I197" s="78" t="s">
        <v>80</v>
      </c>
      <c r="J197" s="78" t="s">
        <v>80</v>
      </c>
      <c r="K197" s="78" t="s">
        <v>80</v>
      </c>
      <c r="L197" s="78" t="s">
        <v>80</v>
      </c>
      <c r="M197" s="70" t="s">
        <v>3846</v>
      </c>
      <c r="N197" s="70">
        <v>0</v>
      </c>
      <c r="O197" s="70">
        <v>5</v>
      </c>
      <c r="P197" s="90" t="s">
        <v>3244</v>
      </c>
      <c r="Q197" s="104" t="s">
        <v>3480</v>
      </c>
      <c r="R197" s="108" t="s">
        <v>3479</v>
      </c>
      <c r="S197" s="90" t="s">
        <v>3223</v>
      </c>
      <c r="T197" s="70" t="s">
        <v>0</v>
      </c>
      <c r="U197" s="70" t="s">
        <v>38</v>
      </c>
      <c r="V197" s="70" t="s">
        <v>69</v>
      </c>
      <c r="W197" s="70" t="s">
        <v>3336</v>
      </c>
      <c r="X197" s="70">
        <v>5</v>
      </c>
      <c r="Y197" s="70">
        <v>5</v>
      </c>
      <c r="Z197" s="70">
        <v>5</v>
      </c>
      <c r="AA197" s="70">
        <v>5</v>
      </c>
      <c r="AB197" s="70">
        <v>5</v>
      </c>
      <c r="AC197" s="70">
        <v>5</v>
      </c>
      <c r="AD19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7" s="70" t="s">
        <v>3482</v>
      </c>
      <c r="AF197" s="70"/>
      <c r="AG197" s="70"/>
      <c r="AH197" s="70"/>
      <c r="AI197" s="70"/>
      <c r="AJ197" s="70"/>
      <c r="AK197" s="70"/>
      <c r="AL197" s="70"/>
      <c r="AM197" s="70" t="s">
        <v>4122</v>
      </c>
      <c r="AN197" s="70"/>
      <c r="AO197" s="70"/>
      <c r="AP197" s="70"/>
      <c r="AQ197" s="70"/>
      <c r="AR197" s="70"/>
      <c r="AS197" s="70"/>
      <c r="AT197" s="70"/>
      <c r="AU197" s="70"/>
      <c r="AV197" s="70"/>
      <c r="AW197" s="70"/>
      <c r="AX197" s="70"/>
      <c r="AY197" s="70"/>
      <c r="AZ197" s="70"/>
      <c r="BA197" s="70"/>
      <c r="BB197" s="70"/>
      <c r="BC197" s="70"/>
      <c r="BD197" s="70"/>
      <c r="BE197" s="70"/>
      <c r="BF197" s="70" t="s">
        <v>4122</v>
      </c>
      <c r="BG197" s="70"/>
      <c r="BH197" s="130"/>
      <c r="BI197" s="130" t="s">
        <v>4122</v>
      </c>
      <c r="BJ197" s="130"/>
      <c r="BK197" s="130"/>
      <c r="BL197" s="130"/>
      <c r="BM197" s="130"/>
      <c r="BN197" s="130"/>
      <c r="BO197" s="130"/>
      <c r="BP197" s="130"/>
      <c r="BQ197" s="130"/>
      <c r="BR197" s="130"/>
      <c r="BS197" s="113"/>
      <c r="BT197" s="113"/>
      <c r="BU197" s="113"/>
      <c r="BV197" s="113"/>
      <c r="BW197" s="113"/>
      <c r="BX197" s="113"/>
      <c r="BY197" s="113"/>
      <c r="BZ197" s="113"/>
      <c r="CA197" s="113"/>
      <c r="CB197" s="113"/>
      <c r="CC197" s="113"/>
      <c r="CD197" s="113"/>
      <c r="CE197" s="113"/>
      <c r="CF197" s="113"/>
      <c r="CG197" s="113"/>
      <c r="CH197" s="113"/>
      <c r="CI197" s="113"/>
      <c r="CJ197" s="113"/>
      <c r="CK197" s="113"/>
      <c r="CL197" s="113"/>
      <c r="CM197" s="113"/>
      <c r="CN197" s="113"/>
      <c r="CO197" s="113"/>
      <c r="CP197" s="113"/>
      <c r="CQ197" s="113"/>
      <c r="CR197" s="113"/>
      <c r="CS197" s="113"/>
      <c r="CT197" s="113"/>
      <c r="CU197" s="113"/>
      <c r="CV197" s="113"/>
    </row>
    <row r="198" spans="1:100" s="8" customFormat="1" hidden="1" x14ac:dyDescent="0.25">
      <c r="A198" s="68">
        <v>62</v>
      </c>
      <c r="B198" s="70" t="s">
        <v>2389</v>
      </c>
      <c r="C198" s="70" t="s">
        <v>2390</v>
      </c>
      <c r="D198" s="70" t="s">
        <v>25</v>
      </c>
      <c r="E198" s="70"/>
      <c r="F198" s="70" t="s">
        <v>2391</v>
      </c>
      <c r="G198" s="70">
        <v>2017</v>
      </c>
      <c r="H198" s="70" t="s">
        <v>2392</v>
      </c>
      <c r="I198" s="78" t="s">
        <v>80</v>
      </c>
      <c r="J198" s="78" t="s">
        <v>83</v>
      </c>
      <c r="K198" s="78" t="s">
        <v>80</v>
      </c>
      <c r="L198" s="78" t="s">
        <v>80</v>
      </c>
      <c r="M198" s="70" t="s">
        <v>3770</v>
      </c>
      <c r="N198" s="70">
        <v>0</v>
      </c>
      <c r="O198" s="70">
        <v>5</v>
      </c>
      <c r="P198" s="90" t="s">
        <v>3410</v>
      </c>
      <c r="Q198" s="104" t="s">
        <v>3351</v>
      </c>
      <c r="R198" s="108" t="s">
        <v>3210</v>
      </c>
      <c r="S198" s="90" t="s">
        <v>3243</v>
      </c>
      <c r="T198" s="70" t="s">
        <v>0</v>
      </c>
      <c r="U198" s="70" t="s">
        <v>38</v>
      </c>
      <c r="V198" s="70" t="s">
        <v>69</v>
      </c>
      <c r="W198" s="70" t="s">
        <v>3336</v>
      </c>
      <c r="X198" s="70">
        <v>5</v>
      </c>
      <c r="Y198" s="70">
        <v>5</v>
      </c>
      <c r="Z198" s="70">
        <v>5</v>
      </c>
      <c r="AA198" s="70">
        <v>5</v>
      </c>
      <c r="AB198" s="70">
        <v>5</v>
      </c>
      <c r="AC198" s="70">
        <v>5</v>
      </c>
      <c r="AD19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198" s="70" t="s">
        <v>61</v>
      </c>
      <c r="AF198" s="70" t="s">
        <v>4122</v>
      </c>
      <c r="AG198" s="70"/>
      <c r="AH198" s="70"/>
      <c r="AI198" s="70"/>
      <c r="AJ198" s="70" t="s">
        <v>4122</v>
      </c>
      <c r="AK198" s="70"/>
      <c r="AL198" s="70"/>
      <c r="AM198" s="70" t="s">
        <v>4122</v>
      </c>
      <c r="AN198" s="70"/>
      <c r="AO198" s="70"/>
      <c r="AP198" s="70"/>
      <c r="AQ198" s="70"/>
      <c r="AR198" s="70"/>
      <c r="AS198" s="70"/>
      <c r="AT198" s="70"/>
      <c r="AU198" s="70"/>
      <c r="AV198" s="70"/>
      <c r="AW198" s="70"/>
      <c r="AX198" s="70"/>
      <c r="AY198" s="70"/>
      <c r="AZ198" s="70"/>
      <c r="BA198" s="70"/>
      <c r="BB198" s="70"/>
      <c r="BC198" s="70"/>
      <c r="BD198" s="70" t="s">
        <v>4122</v>
      </c>
      <c r="BE198" s="70"/>
      <c r="BF198" s="70"/>
      <c r="BG198" s="70"/>
      <c r="BH198" s="130"/>
      <c r="BI198" s="130"/>
      <c r="BJ198" s="130"/>
      <c r="BK198" s="130"/>
      <c r="BL198" s="130"/>
      <c r="BM198" s="130"/>
      <c r="BN198" s="130" t="s">
        <v>4122</v>
      </c>
      <c r="BO198" s="130"/>
      <c r="BP198" s="130"/>
      <c r="BQ198" s="130"/>
      <c r="BR198" s="130"/>
      <c r="BS198" s="113"/>
      <c r="BT198" s="113"/>
      <c r="BU198" s="113"/>
      <c r="BV198" s="113"/>
      <c r="BW198" s="113"/>
      <c r="BX198" s="113"/>
      <c r="BY198" s="113"/>
      <c r="BZ198" s="113"/>
      <c r="CA198" s="113"/>
      <c r="CB198" s="113"/>
      <c r="CC198" s="113"/>
      <c r="CD198" s="113"/>
      <c r="CE198" s="113"/>
      <c r="CF198" s="113"/>
      <c r="CG198" s="113"/>
      <c r="CH198" s="113"/>
      <c r="CI198" s="113"/>
      <c r="CJ198" s="113"/>
      <c r="CK198" s="113"/>
      <c r="CL198" s="113"/>
      <c r="CM198" s="113"/>
      <c r="CN198" s="113"/>
      <c r="CO198" s="113"/>
      <c r="CP198" s="113"/>
      <c r="CQ198" s="113"/>
      <c r="CR198" s="113"/>
      <c r="CS198" s="113"/>
      <c r="CT198" s="113"/>
      <c r="CU198" s="113"/>
      <c r="CV198" s="113"/>
    </row>
    <row r="199" spans="1:100" s="8" customFormat="1" hidden="1" x14ac:dyDescent="0.25">
      <c r="A199" s="68">
        <v>122</v>
      </c>
      <c r="B199" s="70" t="s">
        <v>1064</v>
      </c>
      <c r="C199" s="70" t="s">
        <v>1065</v>
      </c>
      <c r="D199" s="70" t="s">
        <v>22</v>
      </c>
      <c r="E199" s="70"/>
      <c r="F199" s="70" t="s">
        <v>1066</v>
      </c>
      <c r="G199" s="70">
        <v>2019</v>
      </c>
      <c r="H199" s="70" t="s">
        <v>1067</v>
      </c>
      <c r="I199" s="78" t="s">
        <v>80</v>
      </c>
      <c r="J199" s="78" t="s">
        <v>80</v>
      </c>
      <c r="K199" s="78">
        <v>0.55000000000000004</v>
      </c>
      <c r="L199" s="78">
        <v>5</v>
      </c>
      <c r="M199" s="70" t="s">
        <v>3864</v>
      </c>
      <c r="N199" s="70">
        <v>11</v>
      </c>
      <c r="O199" s="70">
        <v>5</v>
      </c>
      <c r="P199" s="90" t="s">
        <v>3160</v>
      </c>
      <c r="Q199" s="104" t="s">
        <v>3497</v>
      </c>
      <c r="R199" s="108" t="s">
        <v>3498</v>
      </c>
      <c r="S199" s="90" t="s">
        <v>3232</v>
      </c>
      <c r="T199" s="70" t="s">
        <v>1</v>
      </c>
      <c r="U199" s="70" t="s">
        <v>38</v>
      </c>
      <c r="V199" s="70" t="s">
        <v>69</v>
      </c>
      <c r="W199" s="70" t="s">
        <v>3336</v>
      </c>
      <c r="X199" s="70">
        <v>5</v>
      </c>
      <c r="Y199" s="70">
        <v>5</v>
      </c>
      <c r="Z199" s="70">
        <v>5</v>
      </c>
      <c r="AA199" s="70">
        <v>5</v>
      </c>
      <c r="AB199" s="70">
        <v>5</v>
      </c>
      <c r="AC199" s="70">
        <v>5</v>
      </c>
      <c r="AD19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199" s="70" t="s">
        <v>59</v>
      </c>
      <c r="AF199" s="70"/>
      <c r="AG199" s="70"/>
      <c r="AH199" s="70"/>
      <c r="AI199" s="70"/>
      <c r="AJ199" s="70"/>
      <c r="AK199" s="70"/>
      <c r="AL199" s="70"/>
      <c r="AM199" s="70" t="s">
        <v>4122</v>
      </c>
      <c r="AN199" s="70"/>
      <c r="AO199" s="70"/>
      <c r="AP199" s="70"/>
      <c r="AQ199" s="70"/>
      <c r="AR199" s="70"/>
      <c r="AS199" s="70"/>
      <c r="AT199" s="70"/>
      <c r="AU199" s="70"/>
      <c r="AV199" s="70"/>
      <c r="AW199" s="70"/>
      <c r="AX199" s="70"/>
      <c r="AY199" s="70"/>
      <c r="AZ199" s="70" t="s">
        <v>4122</v>
      </c>
      <c r="BA199" s="70"/>
      <c r="BB199" s="70"/>
      <c r="BC199" s="70"/>
      <c r="BD199" s="70"/>
      <c r="BE199" s="70"/>
      <c r="BF199" s="70"/>
      <c r="BG199" s="70"/>
      <c r="BH199" s="130"/>
      <c r="BI199" s="130"/>
      <c r="BJ199" s="130"/>
      <c r="BK199" s="130" t="s">
        <v>4122</v>
      </c>
      <c r="BL199" s="130"/>
      <c r="BM199" s="130"/>
      <c r="BN199" s="130"/>
      <c r="BO199" s="130"/>
      <c r="BP199" s="130"/>
      <c r="BQ199" s="130"/>
      <c r="BR199" s="130"/>
      <c r="BS199" s="113"/>
      <c r="BT199" s="113"/>
      <c r="BU199" s="113"/>
      <c r="BV199" s="113"/>
      <c r="BW199" s="113"/>
      <c r="BX199" s="113"/>
      <c r="BY199" s="113"/>
      <c r="BZ199" s="113"/>
      <c r="CA199" s="113"/>
      <c r="CB199" s="113"/>
      <c r="CC199" s="113"/>
      <c r="CD199" s="113"/>
      <c r="CE199" s="113"/>
      <c r="CF199" s="113"/>
      <c r="CG199" s="113"/>
      <c r="CH199" s="113"/>
      <c r="CI199" s="113"/>
      <c r="CJ199" s="113"/>
      <c r="CK199" s="113"/>
      <c r="CL199" s="113"/>
      <c r="CM199" s="113"/>
      <c r="CN199" s="113"/>
      <c r="CO199" s="113"/>
      <c r="CP199" s="113"/>
      <c r="CQ199" s="113"/>
      <c r="CR199" s="113"/>
      <c r="CS199" s="113"/>
      <c r="CT199" s="113"/>
      <c r="CU199" s="113"/>
      <c r="CV199" s="113"/>
    </row>
    <row r="200" spans="1:100" s="8" customFormat="1" hidden="1" x14ac:dyDescent="0.25">
      <c r="A200" s="68">
        <v>21</v>
      </c>
      <c r="B200" s="70" t="s">
        <v>2810</v>
      </c>
      <c r="C200" s="70" t="s">
        <v>2811</v>
      </c>
      <c r="D200" s="70" t="s">
        <v>3702</v>
      </c>
      <c r="E200" s="70"/>
      <c r="F200" s="70" t="s">
        <v>2812</v>
      </c>
      <c r="G200" s="70">
        <v>2015</v>
      </c>
      <c r="H200" s="70" t="s">
        <v>2813</v>
      </c>
      <c r="I200" s="78" t="s">
        <v>4035</v>
      </c>
      <c r="J200" s="78" t="s">
        <v>4033</v>
      </c>
      <c r="K200" s="78" t="s">
        <v>80</v>
      </c>
      <c r="L200" s="78" t="s">
        <v>80</v>
      </c>
      <c r="M200" s="70" t="s">
        <v>3703</v>
      </c>
      <c r="N200" s="70">
        <v>0</v>
      </c>
      <c r="O200" s="70">
        <v>5</v>
      </c>
      <c r="P200" s="90" t="s">
        <v>3157</v>
      </c>
      <c r="Q200" s="104" t="s">
        <v>3183</v>
      </c>
      <c r="R200" s="108" t="s">
        <v>3337</v>
      </c>
      <c r="S200" s="90" t="s">
        <v>3257</v>
      </c>
      <c r="T200" s="70" t="s">
        <v>0</v>
      </c>
      <c r="U200" s="70" t="s">
        <v>38</v>
      </c>
      <c r="V200" s="70" t="s">
        <v>69</v>
      </c>
      <c r="W200" s="70" t="s">
        <v>3336</v>
      </c>
      <c r="X200" s="70">
        <v>5</v>
      </c>
      <c r="Y200" s="70">
        <v>5</v>
      </c>
      <c r="Z200" s="70">
        <v>5</v>
      </c>
      <c r="AA200" s="70">
        <v>5</v>
      </c>
      <c r="AB200" s="70">
        <v>5</v>
      </c>
      <c r="AC200" s="70">
        <v>5</v>
      </c>
      <c r="AD20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00" s="70" t="s">
        <v>3338</v>
      </c>
      <c r="AF200" s="70"/>
      <c r="AG200" s="70"/>
      <c r="AH200" s="70"/>
      <c r="AI200" s="70"/>
      <c r="AJ200" s="70" t="s">
        <v>4122</v>
      </c>
      <c r="AK200" s="70"/>
      <c r="AL200" s="70"/>
      <c r="AM200" s="70"/>
      <c r="AN200" s="70"/>
      <c r="AO200" s="70"/>
      <c r="AP200" s="70"/>
      <c r="AQ200" s="70"/>
      <c r="AR200" s="70"/>
      <c r="AS200" s="70"/>
      <c r="AT200" s="70"/>
      <c r="AU200" s="70"/>
      <c r="AV200" s="70"/>
      <c r="AW200" s="70"/>
      <c r="AX200" s="70"/>
      <c r="AY200" s="70"/>
      <c r="AZ200" s="70"/>
      <c r="BA200" s="70"/>
      <c r="BB200" s="70" t="s">
        <v>4122</v>
      </c>
      <c r="BC200" s="70"/>
      <c r="BD200" s="70"/>
      <c r="BE200" s="70"/>
      <c r="BF200" s="70"/>
      <c r="BG200" s="70"/>
      <c r="BH200" s="130"/>
      <c r="BI200" s="130"/>
      <c r="BJ200" s="130"/>
      <c r="BK200" s="130"/>
      <c r="BL200" s="130"/>
      <c r="BM200" s="130"/>
      <c r="BN200" s="130"/>
      <c r="BO200" s="130" t="s">
        <v>4122</v>
      </c>
      <c r="BP200" s="130"/>
      <c r="BQ200" s="130"/>
      <c r="BR200" s="130"/>
      <c r="BS200" s="113"/>
      <c r="BT200" s="113"/>
      <c r="BU200" s="113"/>
      <c r="BV200" s="113"/>
      <c r="BW200" s="113"/>
      <c r="BX200" s="113"/>
      <c r="BY200" s="113"/>
      <c r="BZ200" s="113"/>
      <c r="CA200" s="113"/>
      <c r="CB200" s="113"/>
      <c r="CC200" s="113"/>
      <c r="CD200" s="113"/>
      <c r="CE200" s="113"/>
      <c r="CF200" s="113"/>
      <c r="CG200" s="113"/>
      <c r="CH200" s="113"/>
      <c r="CI200" s="113"/>
      <c r="CJ200" s="113"/>
      <c r="CK200" s="113"/>
      <c r="CL200" s="113"/>
      <c r="CM200" s="113"/>
      <c r="CN200" s="113"/>
      <c r="CO200" s="113"/>
      <c r="CP200" s="113"/>
      <c r="CQ200" s="113"/>
      <c r="CR200" s="113"/>
      <c r="CS200" s="113"/>
      <c r="CT200" s="113"/>
      <c r="CU200" s="113"/>
      <c r="CV200" s="113"/>
    </row>
    <row r="201" spans="1:100" s="8" customFormat="1" ht="21.75" hidden="1" customHeight="1" x14ac:dyDescent="0.25">
      <c r="A201" s="68">
        <v>58</v>
      </c>
      <c r="B201" s="70" t="s">
        <v>2373</v>
      </c>
      <c r="C201" s="70" t="s">
        <v>2374</v>
      </c>
      <c r="D201" s="70" t="s">
        <v>3763</v>
      </c>
      <c r="E201" s="70"/>
      <c r="F201" s="70" t="s">
        <v>2375</v>
      </c>
      <c r="G201" s="70">
        <v>2016</v>
      </c>
      <c r="H201" s="70" t="s">
        <v>2376</v>
      </c>
      <c r="I201" s="78" t="s">
        <v>80</v>
      </c>
      <c r="J201" s="78" t="s">
        <v>80</v>
      </c>
      <c r="K201" s="78" t="s">
        <v>80</v>
      </c>
      <c r="L201" s="78" t="s">
        <v>80</v>
      </c>
      <c r="M201" s="70" t="s">
        <v>3762</v>
      </c>
      <c r="N201" s="70">
        <v>0</v>
      </c>
      <c r="O201" s="70">
        <v>4</v>
      </c>
      <c r="P201" s="90" t="s">
        <v>3244</v>
      </c>
      <c r="Q201" s="104" t="s">
        <v>3295</v>
      </c>
      <c r="R201" s="108" t="s">
        <v>3404</v>
      </c>
      <c r="S201" s="90" t="s">
        <v>3239</v>
      </c>
      <c r="T201" s="70" t="s">
        <v>0</v>
      </c>
      <c r="U201" s="70" t="s">
        <v>38</v>
      </c>
      <c r="V201" s="70" t="s">
        <v>69</v>
      </c>
      <c r="W201" s="70" t="s">
        <v>3336</v>
      </c>
      <c r="X201" s="70">
        <v>3</v>
      </c>
      <c r="Y201" s="70">
        <v>5</v>
      </c>
      <c r="Z201" s="70">
        <v>5</v>
      </c>
      <c r="AA201" s="70">
        <v>5</v>
      </c>
      <c r="AB201" s="70">
        <v>5</v>
      </c>
      <c r="AC201" s="70">
        <v>5</v>
      </c>
      <c r="AD20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01" s="70" t="s">
        <v>3405</v>
      </c>
      <c r="AF201" s="70"/>
      <c r="AG201" s="70"/>
      <c r="AH201" s="70"/>
      <c r="AI201" s="70"/>
      <c r="AJ201" s="70" t="s">
        <v>4122</v>
      </c>
      <c r="AK201" s="70"/>
      <c r="AL201" s="70"/>
      <c r="AM201" s="70"/>
      <c r="AN201" s="70"/>
      <c r="AO201" s="70"/>
      <c r="AP201" s="70"/>
      <c r="AQ201" s="70"/>
      <c r="AR201" s="70"/>
      <c r="AS201" s="70"/>
      <c r="AT201" s="70"/>
      <c r="AU201" s="70"/>
      <c r="AV201" s="70"/>
      <c r="AW201" s="70"/>
      <c r="AX201" s="70"/>
      <c r="AY201" s="70"/>
      <c r="AZ201" s="70"/>
      <c r="BA201" s="70"/>
      <c r="BB201" s="70"/>
      <c r="BC201" s="70"/>
      <c r="BD201" s="70"/>
      <c r="BE201" s="70" t="s">
        <v>4122</v>
      </c>
      <c r="BF201" s="70"/>
      <c r="BG201" s="70"/>
      <c r="BH201" s="130"/>
      <c r="BI201" s="130"/>
      <c r="BJ201" s="130"/>
      <c r="BK201" s="130"/>
      <c r="BL201" s="130"/>
      <c r="BM201" s="130"/>
      <c r="BN201" s="130"/>
      <c r="BO201" s="130" t="s">
        <v>4122</v>
      </c>
      <c r="BP201" s="130"/>
      <c r="BQ201" s="130"/>
      <c r="BR201" s="130"/>
      <c r="BS201" s="113"/>
      <c r="BT201" s="113"/>
      <c r="BU201" s="113"/>
      <c r="BV201" s="113"/>
      <c r="BW201" s="113"/>
      <c r="BX201" s="113"/>
      <c r="BY201" s="113"/>
      <c r="BZ201" s="113"/>
      <c r="CA201" s="113"/>
      <c r="CB201" s="113"/>
      <c r="CC201" s="113"/>
      <c r="CD201" s="113"/>
      <c r="CE201" s="113"/>
      <c r="CF201" s="113"/>
      <c r="CG201" s="113"/>
      <c r="CH201" s="113"/>
      <c r="CI201" s="113"/>
      <c r="CJ201" s="113"/>
      <c r="CK201" s="113"/>
      <c r="CL201" s="113"/>
      <c r="CM201" s="113"/>
      <c r="CN201" s="113"/>
      <c r="CO201" s="113"/>
      <c r="CP201" s="113"/>
      <c r="CQ201" s="113"/>
      <c r="CR201" s="113"/>
      <c r="CS201" s="113"/>
      <c r="CT201" s="113"/>
      <c r="CU201" s="113"/>
      <c r="CV201" s="113"/>
    </row>
    <row r="202" spans="1:100" s="8" customFormat="1" hidden="1" x14ac:dyDescent="0.25">
      <c r="A202" s="68">
        <v>77</v>
      </c>
      <c r="B202" s="70" t="s">
        <v>2381</v>
      </c>
      <c r="C202" s="70" t="s">
        <v>2382</v>
      </c>
      <c r="D202" s="70" t="s">
        <v>3795</v>
      </c>
      <c r="E202" s="70"/>
      <c r="F202" s="70" t="s">
        <v>2383</v>
      </c>
      <c r="G202" s="70">
        <v>2015</v>
      </c>
      <c r="H202" s="70" t="s">
        <v>2384</v>
      </c>
      <c r="I202" s="78" t="s">
        <v>84</v>
      </c>
      <c r="J202" s="78" t="s">
        <v>88</v>
      </c>
      <c r="K202" s="78" t="s">
        <v>80</v>
      </c>
      <c r="L202" s="78" t="s">
        <v>80</v>
      </c>
      <c r="M202" s="70" t="s">
        <v>3794</v>
      </c>
      <c r="N202" s="70">
        <v>0</v>
      </c>
      <c r="O202" s="70">
        <v>5</v>
      </c>
      <c r="P202" s="90" t="s">
        <v>3376</v>
      </c>
      <c r="Q202" s="104" t="s">
        <v>3182</v>
      </c>
      <c r="R202" s="108" t="s">
        <v>3210</v>
      </c>
      <c r="S202" s="90" t="s">
        <v>3187</v>
      </c>
      <c r="T202" s="70" t="s">
        <v>0</v>
      </c>
      <c r="U202" s="70" t="s">
        <v>38</v>
      </c>
      <c r="V202" s="70" t="s">
        <v>69</v>
      </c>
      <c r="W202" s="70" t="s">
        <v>3336</v>
      </c>
      <c r="X202" s="70">
        <v>5</v>
      </c>
      <c r="Y202" s="70">
        <v>5</v>
      </c>
      <c r="Z202" s="70">
        <v>5</v>
      </c>
      <c r="AA202" s="70">
        <v>5</v>
      </c>
      <c r="AB202" s="70">
        <v>5</v>
      </c>
      <c r="AC202" s="70">
        <v>5</v>
      </c>
      <c r="AD20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02" s="70" t="s">
        <v>61</v>
      </c>
      <c r="AF202" s="70"/>
      <c r="AG202" s="70"/>
      <c r="AH202" s="70"/>
      <c r="AI202" s="70"/>
      <c r="AJ202" s="70" t="s">
        <v>4122</v>
      </c>
      <c r="AK202" s="70"/>
      <c r="AL202" s="70"/>
      <c r="AM202" s="70" t="s">
        <v>4122</v>
      </c>
      <c r="AN202" s="70"/>
      <c r="AO202" s="70"/>
      <c r="AP202" s="70"/>
      <c r="AQ202" s="70"/>
      <c r="AR202" s="70"/>
      <c r="AS202" s="70"/>
      <c r="AT202" s="70"/>
      <c r="AU202" s="70"/>
      <c r="AV202" s="70"/>
      <c r="AW202" s="70"/>
      <c r="AX202" s="70"/>
      <c r="AY202" s="70"/>
      <c r="AZ202" s="70"/>
      <c r="BA202" s="70"/>
      <c r="BB202" s="70" t="s">
        <v>4122</v>
      </c>
      <c r="BC202" s="70"/>
      <c r="BD202" s="70"/>
      <c r="BE202" s="70"/>
      <c r="BF202" s="70"/>
      <c r="BG202" s="70"/>
      <c r="BH202" s="130"/>
      <c r="BI202" s="130"/>
      <c r="BJ202" s="130"/>
      <c r="BK202" s="130"/>
      <c r="BL202" s="130"/>
      <c r="BM202" s="130"/>
      <c r="BN202" s="130" t="s">
        <v>4122</v>
      </c>
      <c r="BO202" s="130"/>
      <c r="BP202" s="130"/>
      <c r="BQ202" s="130"/>
      <c r="BR202" s="130"/>
      <c r="BS202" s="113"/>
      <c r="BT202" s="113"/>
      <c r="BU202" s="113"/>
      <c r="BV202" s="113"/>
      <c r="BW202" s="113"/>
      <c r="BX202" s="113"/>
      <c r="BY202" s="113"/>
      <c r="BZ202" s="113"/>
      <c r="CA202" s="113"/>
      <c r="CB202" s="113"/>
      <c r="CC202" s="113"/>
      <c r="CD202" s="113"/>
      <c r="CE202" s="113"/>
      <c r="CF202" s="113"/>
      <c r="CG202" s="113"/>
      <c r="CH202" s="113"/>
      <c r="CI202" s="113"/>
      <c r="CJ202" s="113"/>
      <c r="CK202" s="113"/>
      <c r="CL202" s="113"/>
      <c r="CM202" s="113"/>
      <c r="CN202" s="113"/>
      <c r="CO202" s="113"/>
      <c r="CP202" s="113"/>
      <c r="CQ202" s="113"/>
      <c r="CR202" s="113"/>
      <c r="CS202" s="113"/>
      <c r="CT202" s="113"/>
      <c r="CU202" s="113"/>
      <c r="CV202" s="113"/>
    </row>
    <row r="203" spans="1:100" s="8" customFormat="1" hidden="1" x14ac:dyDescent="0.25">
      <c r="A203" s="68">
        <v>14</v>
      </c>
      <c r="B203" s="70" t="s">
        <v>429</v>
      </c>
      <c r="C203" s="70" t="s">
        <v>430</v>
      </c>
      <c r="D203" s="70" t="s">
        <v>3691</v>
      </c>
      <c r="E203" s="70" t="s">
        <v>927</v>
      </c>
      <c r="F203" s="70" t="s">
        <v>431</v>
      </c>
      <c r="G203" s="70">
        <v>2017</v>
      </c>
      <c r="H203" s="70" t="s">
        <v>432</v>
      </c>
      <c r="I203" s="78" t="s">
        <v>82</v>
      </c>
      <c r="J203" s="78" t="s">
        <v>80</v>
      </c>
      <c r="K203" s="78" t="s">
        <v>80</v>
      </c>
      <c r="L203" s="78" t="s">
        <v>80</v>
      </c>
      <c r="M203" s="70" t="s">
        <v>3692</v>
      </c>
      <c r="N203" s="70">
        <v>0</v>
      </c>
      <c r="O203" s="70">
        <v>4</v>
      </c>
      <c r="P203" s="90" t="s">
        <v>3157</v>
      </c>
      <c r="Q203" s="104" t="s">
        <v>3313</v>
      </c>
      <c r="R203" s="108" t="s">
        <v>3314</v>
      </c>
      <c r="S203" s="90" t="s">
        <v>3256</v>
      </c>
      <c r="T203" s="70" t="s">
        <v>0</v>
      </c>
      <c r="U203" s="70" t="s">
        <v>38</v>
      </c>
      <c r="V203" s="70" t="s">
        <v>69</v>
      </c>
      <c r="W203" s="70" t="s">
        <v>3336</v>
      </c>
      <c r="X203" s="70">
        <v>5</v>
      </c>
      <c r="Y203" s="70">
        <v>5</v>
      </c>
      <c r="Z203" s="70">
        <v>3</v>
      </c>
      <c r="AA203" s="70">
        <v>5</v>
      </c>
      <c r="AB203" s="70">
        <v>5</v>
      </c>
      <c r="AC203" s="70">
        <v>3</v>
      </c>
      <c r="AD20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03" s="70" t="s">
        <v>3315</v>
      </c>
      <c r="AF203" s="70"/>
      <c r="AG203" s="70"/>
      <c r="AH203" s="70"/>
      <c r="AI203" s="70"/>
      <c r="AJ203" s="70" t="s">
        <v>4122</v>
      </c>
      <c r="AK203" s="70"/>
      <c r="AL203" s="70"/>
      <c r="AM203" s="70"/>
      <c r="AN203" s="70"/>
      <c r="AO203" s="70"/>
      <c r="AP203" s="70"/>
      <c r="AQ203" s="70"/>
      <c r="AR203" s="70"/>
      <c r="AS203" s="70"/>
      <c r="AT203" s="70"/>
      <c r="AU203" s="70"/>
      <c r="AV203" s="70"/>
      <c r="AW203" s="70"/>
      <c r="AX203" s="70"/>
      <c r="AY203" s="70"/>
      <c r="AZ203" s="70" t="s">
        <v>4122</v>
      </c>
      <c r="BA203" s="70"/>
      <c r="BB203" s="70"/>
      <c r="BC203" s="70"/>
      <c r="BD203" s="70"/>
      <c r="BE203" s="70"/>
      <c r="BF203" s="70"/>
      <c r="BG203" s="70"/>
      <c r="BH203" s="130"/>
      <c r="BI203" s="130"/>
      <c r="BJ203" s="130" t="s">
        <v>4122</v>
      </c>
      <c r="BK203" s="130"/>
      <c r="BL203" s="130"/>
      <c r="BM203" s="130"/>
      <c r="BN203" s="130"/>
      <c r="BO203" s="130"/>
      <c r="BP203" s="130"/>
      <c r="BQ203" s="130"/>
      <c r="BR203" s="130"/>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row>
    <row r="204" spans="1:100" s="8" customFormat="1" hidden="1" x14ac:dyDescent="0.25">
      <c r="A204" s="68">
        <v>17</v>
      </c>
      <c r="B204" s="70" t="s">
        <v>967</v>
      </c>
      <c r="C204" s="70" t="s">
        <v>968</v>
      </c>
      <c r="D204" s="70" t="s">
        <v>24</v>
      </c>
      <c r="E204" s="70"/>
      <c r="F204" s="70" t="s">
        <v>969</v>
      </c>
      <c r="G204" s="70">
        <v>2019</v>
      </c>
      <c r="H204" s="70" t="s">
        <v>970</v>
      </c>
      <c r="I204" s="78" t="s">
        <v>80</v>
      </c>
      <c r="J204" s="78" t="s">
        <v>80</v>
      </c>
      <c r="K204" s="78">
        <v>0.62</v>
      </c>
      <c r="L204" s="78">
        <v>4</v>
      </c>
      <c r="M204" s="70" t="s">
        <v>3696</v>
      </c>
      <c r="N204" s="70">
        <v>0</v>
      </c>
      <c r="O204" s="70">
        <v>5</v>
      </c>
      <c r="P204" s="90" t="s">
        <v>3325</v>
      </c>
      <c r="Q204" s="104" t="s">
        <v>3324</v>
      </c>
      <c r="R204" s="108" t="s">
        <v>3209</v>
      </c>
      <c r="S204" s="90" t="s">
        <v>3322</v>
      </c>
      <c r="T204" s="70" t="s">
        <v>1</v>
      </c>
      <c r="U204" s="70" t="s">
        <v>38</v>
      </c>
      <c r="V204" s="70" t="s">
        <v>69</v>
      </c>
      <c r="W204" s="70" t="s">
        <v>3320</v>
      </c>
      <c r="X204" s="70">
        <v>5</v>
      </c>
      <c r="Y204" s="70">
        <v>5</v>
      </c>
      <c r="Z204" s="70">
        <v>5</v>
      </c>
      <c r="AA204" s="70">
        <v>5</v>
      </c>
      <c r="AB204" s="70">
        <v>5</v>
      </c>
      <c r="AC204" s="70">
        <v>5</v>
      </c>
      <c r="AD204"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04" s="70" t="s">
        <v>3321</v>
      </c>
      <c r="AF204" s="70"/>
      <c r="AG204" s="70"/>
      <c r="AH204" s="70"/>
      <c r="AI204" s="70"/>
      <c r="AJ204" s="70" t="s">
        <v>4122</v>
      </c>
      <c r="AK204" s="70"/>
      <c r="AL204" s="70"/>
      <c r="AM204" s="70"/>
      <c r="AN204" s="70"/>
      <c r="AO204" s="70"/>
      <c r="AP204" s="70"/>
      <c r="AQ204" s="70"/>
      <c r="AR204" s="70"/>
      <c r="AS204" s="70"/>
      <c r="AT204" s="70"/>
      <c r="AU204" s="70"/>
      <c r="AV204" s="70"/>
      <c r="AW204" s="70"/>
      <c r="AX204" s="70"/>
      <c r="AY204" s="70"/>
      <c r="AZ204" s="70"/>
      <c r="BA204" s="70"/>
      <c r="BB204" s="70" t="s">
        <v>4122</v>
      </c>
      <c r="BC204" s="70"/>
      <c r="BD204" s="70"/>
      <c r="BE204" s="70"/>
      <c r="BF204" s="70"/>
      <c r="BG204" s="70"/>
      <c r="BH204" s="130"/>
      <c r="BI204" s="130"/>
      <c r="BJ204" s="130"/>
      <c r="BK204" s="130"/>
      <c r="BL204" s="130"/>
      <c r="BM204" s="130"/>
      <c r="BN204" s="130" t="s">
        <v>4122</v>
      </c>
      <c r="BO204" s="130"/>
      <c r="BP204" s="130"/>
      <c r="BQ204" s="130"/>
      <c r="BR204" s="130"/>
      <c r="BS204" s="113"/>
      <c r="BT204" s="113"/>
      <c r="BU204" s="113"/>
      <c r="BV204" s="113"/>
      <c r="BW204" s="113"/>
      <c r="BX204" s="113"/>
      <c r="BY204" s="113"/>
      <c r="BZ204" s="113"/>
      <c r="CA204" s="113"/>
      <c r="CB204" s="113"/>
      <c r="CC204" s="113"/>
      <c r="CD204" s="113"/>
      <c r="CE204" s="113"/>
      <c r="CF204" s="113"/>
      <c r="CG204" s="113"/>
      <c r="CH204" s="113"/>
      <c r="CI204" s="113"/>
      <c r="CJ204" s="113"/>
      <c r="CK204" s="113"/>
      <c r="CL204" s="113"/>
      <c r="CM204" s="113"/>
      <c r="CN204" s="113"/>
      <c r="CO204" s="113"/>
      <c r="CP204" s="113"/>
      <c r="CQ204" s="113"/>
      <c r="CR204" s="113"/>
      <c r="CS204" s="113"/>
      <c r="CT204" s="113"/>
      <c r="CU204" s="113"/>
      <c r="CV204" s="113"/>
    </row>
    <row r="205" spans="1:100" s="8" customFormat="1" hidden="1" x14ac:dyDescent="0.25">
      <c r="A205" s="68">
        <v>227</v>
      </c>
      <c r="B205" s="70" t="s">
        <v>1750</v>
      </c>
      <c r="C205" s="70" t="s">
        <v>1751</v>
      </c>
      <c r="D205" s="70" t="s">
        <v>4020</v>
      </c>
      <c r="E205" s="70"/>
      <c r="F205" s="70" t="s">
        <v>1752</v>
      </c>
      <c r="G205" s="70">
        <v>2019</v>
      </c>
      <c r="H205" s="70" t="s">
        <v>1753</v>
      </c>
      <c r="I205" s="78" t="s">
        <v>80</v>
      </c>
      <c r="J205" s="78" t="s">
        <v>80</v>
      </c>
      <c r="K205" s="78" t="s">
        <v>80</v>
      </c>
      <c r="L205" s="78" t="s">
        <v>80</v>
      </c>
      <c r="M205" s="70" t="s">
        <v>4019</v>
      </c>
      <c r="N205" s="70">
        <v>0</v>
      </c>
      <c r="O205" s="70">
        <v>3</v>
      </c>
      <c r="P205" s="90" t="s">
        <v>3157</v>
      </c>
      <c r="Q205" s="104" t="s">
        <v>3190</v>
      </c>
      <c r="R205" s="108" t="s">
        <v>3364</v>
      </c>
      <c r="S205" s="90" t="s">
        <v>3265</v>
      </c>
      <c r="T205" s="70" t="s">
        <v>0</v>
      </c>
      <c r="U205" s="70" t="s">
        <v>38</v>
      </c>
      <c r="V205" s="70" t="s">
        <v>69</v>
      </c>
      <c r="W205" s="70" t="s">
        <v>3631</v>
      </c>
      <c r="X205" s="70">
        <v>4</v>
      </c>
      <c r="Y205" s="70">
        <v>4</v>
      </c>
      <c r="Z205" s="70">
        <v>4</v>
      </c>
      <c r="AA205" s="70">
        <v>4</v>
      </c>
      <c r="AB205" s="70">
        <v>4</v>
      </c>
      <c r="AC205" s="70">
        <v>4</v>
      </c>
      <c r="AD20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05" s="70" t="s">
        <v>3315</v>
      </c>
      <c r="AF205" s="70"/>
      <c r="AG205" s="70"/>
      <c r="AH205" s="70"/>
      <c r="AI205" s="70"/>
      <c r="AJ205" s="70"/>
      <c r="AK205" s="70"/>
      <c r="AL205" s="70"/>
      <c r="AM205" s="70" t="s">
        <v>4122</v>
      </c>
      <c r="AN205" s="70"/>
      <c r="AO205" s="70"/>
      <c r="AP205" s="70"/>
      <c r="AQ205" s="70"/>
      <c r="AR205" s="70"/>
      <c r="AS205" s="70"/>
      <c r="AT205" s="70"/>
      <c r="AU205" s="70"/>
      <c r="AV205" s="70"/>
      <c r="AW205" s="70"/>
      <c r="AX205" s="70" t="s">
        <v>4122</v>
      </c>
      <c r="AY205" s="70"/>
      <c r="AZ205" s="70"/>
      <c r="BA205" s="70"/>
      <c r="BB205" s="70"/>
      <c r="BC205" s="70"/>
      <c r="BD205" s="70"/>
      <c r="BE205" s="70"/>
      <c r="BF205" s="70"/>
      <c r="BG205" s="70"/>
      <c r="BH205" s="130"/>
      <c r="BI205" s="130"/>
      <c r="BJ205" s="130"/>
      <c r="BK205" s="130"/>
      <c r="BL205" s="130"/>
      <c r="BM205" s="130"/>
      <c r="BN205" s="130" t="s">
        <v>4122</v>
      </c>
      <c r="BO205" s="130"/>
      <c r="BP205" s="130"/>
      <c r="BQ205" s="130"/>
      <c r="BR205" s="130"/>
      <c r="BS205" s="113"/>
      <c r="BT205" s="113"/>
      <c r="BU205" s="113"/>
      <c r="BV205" s="113"/>
      <c r="BW205" s="113"/>
      <c r="BX205" s="113"/>
      <c r="BY205" s="113"/>
      <c r="BZ205" s="113"/>
      <c r="CA205" s="113"/>
      <c r="CB205" s="113"/>
      <c r="CC205" s="113"/>
      <c r="CD205" s="113"/>
      <c r="CE205" s="113"/>
      <c r="CF205" s="113"/>
      <c r="CG205" s="113"/>
      <c r="CH205" s="113"/>
      <c r="CI205" s="113"/>
      <c r="CJ205" s="113"/>
      <c r="CK205" s="113"/>
      <c r="CL205" s="113"/>
      <c r="CM205" s="113"/>
      <c r="CN205" s="113"/>
      <c r="CO205" s="113"/>
      <c r="CP205" s="113"/>
      <c r="CQ205" s="113"/>
      <c r="CR205" s="113"/>
      <c r="CS205" s="113"/>
      <c r="CT205" s="113"/>
      <c r="CU205" s="113"/>
      <c r="CV205" s="113"/>
    </row>
    <row r="206" spans="1:100" s="8" customFormat="1" hidden="1" x14ac:dyDescent="0.25">
      <c r="A206" s="68">
        <v>231</v>
      </c>
      <c r="B206" s="110" t="s">
        <v>875</v>
      </c>
      <c r="C206" s="110" t="s">
        <v>876</v>
      </c>
      <c r="D206" s="110" t="s">
        <v>3773</v>
      </c>
      <c r="E206" s="110"/>
      <c r="F206" s="110" t="s">
        <v>877</v>
      </c>
      <c r="G206" s="110">
        <v>2018</v>
      </c>
      <c r="H206" s="110"/>
      <c r="I206" s="111" t="s">
        <v>80</v>
      </c>
      <c r="J206" s="111" t="s">
        <v>80</v>
      </c>
      <c r="K206" s="111" t="s">
        <v>80</v>
      </c>
      <c r="L206" s="111" t="s">
        <v>80</v>
      </c>
      <c r="M206" s="110" t="s">
        <v>4025</v>
      </c>
      <c r="N206" s="110">
        <v>2</v>
      </c>
      <c r="O206" s="110">
        <v>5</v>
      </c>
      <c r="P206" s="110" t="s">
        <v>3496</v>
      </c>
      <c r="Q206" s="110" t="s">
        <v>3420</v>
      </c>
      <c r="R206" s="110" t="s">
        <v>4138</v>
      </c>
      <c r="S206" s="110" t="s">
        <v>3238</v>
      </c>
      <c r="T206" s="110" t="s">
        <v>0</v>
      </c>
      <c r="U206" s="110" t="s">
        <v>38</v>
      </c>
      <c r="V206" s="110" t="s">
        <v>69</v>
      </c>
      <c r="W206" s="110" t="s">
        <v>3280</v>
      </c>
      <c r="X206" s="110">
        <v>5</v>
      </c>
      <c r="Y206" s="110">
        <v>5</v>
      </c>
      <c r="Z206" s="110">
        <v>5</v>
      </c>
      <c r="AA206" s="110">
        <v>5</v>
      </c>
      <c r="AB206" s="110">
        <v>5</v>
      </c>
      <c r="AC206" s="110">
        <v>5</v>
      </c>
      <c r="AD206"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06" s="110" t="s">
        <v>54</v>
      </c>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t="s">
        <v>4122</v>
      </c>
      <c r="BC206" s="70"/>
      <c r="BD206" s="70"/>
      <c r="BE206" s="70"/>
      <c r="BF206" s="70"/>
      <c r="BG206" s="70"/>
      <c r="BH206" s="130"/>
      <c r="BI206" s="130" t="s">
        <v>4122</v>
      </c>
      <c r="BJ206" s="130"/>
      <c r="BK206" s="130"/>
      <c r="BL206" s="130"/>
      <c r="BM206" s="130"/>
      <c r="BN206" s="130"/>
      <c r="BO206" s="130"/>
      <c r="BP206" s="130"/>
      <c r="BQ206" s="130"/>
      <c r="BR206" s="130"/>
      <c r="BS206" s="113"/>
      <c r="BT206" s="113"/>
      <c r="BU206" s="113"/>
      <c r="BV206" s="113"/>
      <c r="BW206" s="113"/>
      <c r="BX206" s="113"/>
      <c r="BY206" s="113"/>
      <c r="BZ206" s="113"/>
      <c r="CA206" s="113"/>
      <c r="CB206" s="113"/>
      <c r="CC206" s="113"/>
      <c r="CD206" s="113"/>
      <c r="CE206" s="113"/>
      <c r="CF206" s="113"/>
      <c r="CG206" s="113"/>
      <c r="CH206" s="113"/>
      <c r="CI206" s="113"/>
      <c r="CJ206" s="113"/>
      <c r="CK206" s="113"/>
      <c r="CL206" s="113"/>
      <c r="CM206" s="113"/>
      <c r="CN206" s="113"/>
      <c r="CO206" s="113"/>
      <c r="CP206" s="113"/>
      <c r="CQ206" s="113"/>
      <c r="CR206" s="113"/>
      <c r="CS206" s="113"/>
      <c r="CT206" s="113"/>
      <c r="CU206" s="113"/>
      <c r="CV206" s="113"/>
    </row>
    <row r="207" spans="1:100" s="8" customFormat="1" hidden="1" x14ac:dyDescent="0.25">
      <c r="A207" s="68">
        <v>228</v>
      </c>
      <c r="B207" s="70" t="s">
        <v>2171</v>
      </c>
      <c r="C207" s="70" t="s">
        <v>2172</v>
      </c>
      <c r="D207" s="70" t="s">
        <v>2173</v>
      </c>
      <c r="E207" s="70"/>
      <c r="F207" s="70" t="s">
        <v>2174</v>
      </c>
      <c r="G207" s="70">
        <v>2017</v>
      </c>
      <c r="H207" s="70" t="s">
        <v>2175</v>
      </c>
      <c r="I207" s="78" t="s">
        <v>80</v>
      </c>
      <c r="J207" s="78" t="s">
        <v>80</v>
      </c>
      <c r="K207" s="78">
        <v>0.22</v>
      </c>
      <c r="L207" s="78">
        <v>3</v>
      </c>
      <c r="M207" s="70" t="s">
        <v>3738</v>
      </c>
      <c r="N207" s="70">
        <v>0</v>
      </c>
      <c r="O207" s="70">
        <v>4</v>
      </c>
      <c r="P207" s="90" t="s">
        <v>3244</v>
      </c>
      <c r="Q207" s="104" t="s">
        <v>3540</v>
      </c>
      <c r="R207" s="108" t="s">
        <v>3369</v>
      </c>
      <c r="S207" s="90" t="s">
        <v>3374</v>
      </c>
      <c r="T207" s="70" t="s">
        <v>1</v>
      </c>
      <c r="U207" s="70" t="s">
        <v>38</v>
      </c>
      <c r="V207" s="70" t="s">
        <v>69</v>
      </c>
      <c r="W207" s="70" t="s">
        <v>3512</v>
      </c>
      <c r="X207" s="70">
        <v>4</v>
      </c>
      <c r="Y207" s="70">
        <v>4</v>
      </c>
      <c r="Z207" s="70">
        <v>4</v>
      </c>
      <c r="AA207" s="70">
        <v>4</v>
      </c>
      <c r="AB207" s="70">
        <v>4</v>
      </c>
      <c r="AC207" s="70">
        <v>4</v>
      </c>
      <c r="AD20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07" s="70" t="s">
        <v>3317</v>
      </c>
      <c r="AF207" s="70"/>
      <c r="AG207" s="70"/>
      <c r="AH207" s="70"/>
      <c r="AI207" s="70"/>
      <c r="AJ207" s="70" t="s">
        <v>4122</v>
      </c>
      <c r="AK207" s="70"/>
      <c r="AL207" s="70"/>
      <c r="AM207" s="70"/>
      <c r="AN207" s="70"/>
      <c r="AO207" s="70"/>
      <c r="AP207" s="70"/>
      <c r="AQ207" s="70"/>
      <c r="AR207" s="70"/>
      <c r="AS207" s="70"/>
      <c r="AT207" s="70"/>
      <c r="AU207" s="70"/>
      <c r="AV207" s="70"/>
      <c r="AW207" s="70"/>
      <c r="AX207" s="70"/>
      <c r="AY207" s="70"/>
      <c r="AZ207" s="70"/>
      <c r="BA207" s="70"/>
      <c r="BB207" s="70"/>
      <c r="BC207" s="70"/>
      <c r="BD207" s="70"/>
      <c r="BE207" s="70" t="s">
        <v>4122</v>
      </c>
      <c r="BF207" s="70"/>
      <c r="BG207" s="70"/>
      <c r="BH207" s="130"/>
      <c r="BI207" s="130"/>
      <c r="BJ207" s="130"/>
      <c r="BK207" s="130"/>
      <c r="BL207" s="130"/>
      <c r="BM207" s="130"/>
      <c r="BN207" s="130"/>
      <c r="BO207" s="130" t="s">
        <v>4122</v>
      </c>
      <c r="BP207" s="130"/>
      <c r="BQ207" s="130"/>
      <c r="BR207" s="130"/>
      <c r="BS207" s="113"/>
      <c r="BT207" s="113"/>
      <c r="BU207" s="113"/>
      <c r="BV207" s="113"/>
      <c r="BW207" s="113"/>
      <c r="BX207" s="113"/>
      <c r="BY207" s="113"/>
      <c r="BZ207" s="113"/>
      <c r="CA207" s="113"/>
      <c r="CB207" s="113"/>
      <c r="CC207" s="113"/>
      <c r="CD207" s="113"/>
      <c r="CE207" s="113"/>
      <c r="CF207" s="113"/>
      <c r="CG207" s="113"/>
      <c r="CH207" s="113"/>
      <c r="CI207" s="113"/>
      <c r="CJ207" s="113"/>
      <c r="CK207" s="113"/>
      <c r="CL207" s="113"/>
      <c r="CM207" s="113"/>
      <c r="CN207" s="113"/>
      <c r="CO207" s="113"/>
      <c r="CP207" s="113"/>
      <c r="CQ207" s="113"/>
      <c r="CR207" s="113"/>
      <c r="CS207" s="113"/>
      <c r="CT207" s="113"/>
      <c r="CU207" s="113"/>
      <c r="CV207" s="113"/>
    </row>
    <row r="208" spans="1:100" s="8" customFormat="1" hidden="1" x14ac:dyDescent="0.25">
      <c r="A208" s="68">
        <v>128</v>
      </c>
      <c r="B208" s="70" t="s">
        <v>2293</v>
      </c>
      <c r="C208" s="70" t="s">
        <v>2294</v>
      </c>
      <c r="D208" s="70" t="s">
        <v>3874</v>
      </c>
      <c r="E208" s="70"/>
      <c r="F208" s="70" t="s">
        <v>2295</v>
      </c>
      <c r="G208" s="70">
        <v>2018</v>
      </c>
      <c r="H208" s="70" t="s">
        <v>2296</v>
      </c>
      <c r="I208" s="78" t="s">
        <v>80</v>
      </c>
      <c r="J208" s="78" t="s">
        <v>80</v>
      </c>
      <c r="K208" s="78" t="s">
        <v>80</v>
      </c>
      <c r="L208" s="78" t="s">
        <v>80</v>
      </c>
      <c r="M208" s="70" t="s">
        <v>3873</v>
      </c>
      <c r="N208" s="70">
        <v>0</v>
      </c>
      <c r="O208" s="70">
        <v>5</v>
      </c>
      <c r="P208" s="90" t="s">
        <v>3511</v>
      </c>
      <c r="Q208" s="104" t="s">
        <v>3612</v>
      </c>
      <c r="R208" s="108" t="s">
        <v>3364</v>
      </c>
      <c r="S208" s="90" t="s">
        <v>3239</v>
      </c>
      <c r="T208" s="70" t="s">
        <v>0</v>
      </c>
      <c r="U208" s="70" t="s">
        <v>38</v>
      </c>
      <c r="V208" s="70" t="s">
        <v>69</v>
      </c>
      <c r="W208" s="70" t="s">
        <v>3512</v>
      </c>
      <c r="X208" s="70">
        <v>5</v>
      </c>
      <c r="Y208" s="70">
        <v>5</v>
      </c>
      <c r="Z208" s="70">
        <v>5</v>
      </c>
      <c r="AA208" s="70">
        <v>5</v>
      </c>
      <c r="AB208" s="70">
        <v>5</v>
      </c>
      <c r="AC208" s="70">
        <v>5</v>
      </c>
      <c r="AD20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08" s="70" t="s">
        <v>3317</v>
      </c>
      <c r="AF208" s="70"/>
      <c r="AG208" s="70"/>
      <c r="AH208" s="70"/>
      <c r="AI208" s="70"/>
      <c r="AJ208" s="70"/>
      <c r="AK208" s="70"/>
      <c r="AL208" s="70"/>
      <c r="AM208" s="70" t="s">
        <v>4122</v>
      </c>
      <c r="AN208" s="70"/>
      <c r="AO208" s="70"/>
      <c r="AP208" s="70"/>
      <c r="AQ208" s="70"/>
      <c r="AR208" s="70"/>
      <c r="AS208" s="70"/>
      <c r="AT208" s="70"/>
      <c r="AU208" s="70"/>
      <c r="AV208" s="70"/>
      <c r="AW208" s="70"/>
      <c r="AX208" s="70"/>
      <c r="AY208" s="70"/>
      <c r="AZ208" s="70"/>
      <c r="BA208" s="70"/>
      <c r="BB208" s="70"/>
      <c r="BC208" s="70"/>
      <c r="BD208" s="70"/>
      <c r="BE208" s="70" t="s">
        <v>4122</v>
      </c>
      <c r="BF208" s="70"/>
      <c r="BG208" s="70"/>
      <c r="BH208" s="130"/>
      <c r="BI208" s="130"/>
      <c r="BJ208" s="130"/>
      <c r="BK208" s="130"/>
      <c r="BL208" s="130"/>
      <c r="BM208" s="130"/>
      <c r="BN208" s="130" t="s">
        <v>4122</v>
      </c>
      <c r="BO208" s="130"/>
      <c r="BP208" s="130"/>
      <c r="BQ208" s="130"/>
      <c r="BR208" s="130"/>
      <c r="BS208" s="113"/>
      <c r="BT208" s="113"/>
      <c r="BU208" s="113"/>
      <c r="BV208" s="113"/>
      <c r="BW208" s="113"/>
      <c r="BX208" s="113"/>
      <c r="BY208" s="113"/>
      <c r="BZ208" s="113"/>
      <c r="CA208" s="113"/>
      <c r="CB208" s="113"/>
      <c r="CC208" s="113"/>
      <c r="CD208" s="113"/>
      <c r="CE208" s="113"/>
      <c r="CF208" s="113"/>
      <c r="CG208" s="113"/>
      <c r="CH208" s="113"/>
      <c r="CI208" s="113"/>
      <c r="CJ208" s="113"/>
      <c r="CK208" s="113"/>
      <c r="CL208" s="113"/>
      <c r="CM208" s="113"/>
      <c r="CN208" s="113"/>
      <c r="CO208" s="113"/>
      <c r="CP208" s="113"/>
      <c r="CQ208" s="113"/>
      <c r="CR208" s="113"/>
      <c r="CS208" s="113"/>
      <c r="CT208" s="113"/>
      <c r="CU208" s="113"/>
      <c r="CV208" s="113"/>
    </row>
    <row r="209" spans="1:100" s="8" customFormat="1" hidden="1" x14ac:dyDescent="0.25">
      <c r="A209" s="68">
        <v>70</v>
      </c>
      <c r="B209" s="70" t="s">
        <v>154</v>
      </c>
      <c r="C209" s="70" t="s">
        <v>155</v>
      </c>
      <c r="D209" s="70" t="s">
        <v>3781</v>
      </c>
      <c r="E209" s="70" t="s">
        <v>319</v>
      </c>
      <c r="F209" s="70" t="s">
        <v>320</v>
      </c>
      <c r="G209" s="70">
        <v>2014</v>
      </c>
      <c r="H209" s="70" t="s">
        <v>265</v>
      </c>
      <c r="I209" s="78" t="s">
        <v>71</v>
      </c>
      <c r="J209" s="78" t="s">
        <v>4033</v>
      </c>
      <c r="K209" s="78" t="s">
        <v>80</v>
      </c>
      <c r="L209" s="78" t="s">
        <v>80</v>
      </c>
      <c r="M209" s="70" t="s">
        <v>3780</v>
      </c>
      <c r="N209" s="70">
        <v>12</v>
      </c>
      <c r="O209" s="70">
        <v>5</v>
      </c>
      <c r="P209" s="90" t="s">
        <v>3157</v>
      </c>
      <c r="Q209" s="104" t="s">
        <v>3176</v>
      </c>
      <c r="R209" s="108" t="s">
        <v>3421</v>
      </c>
      <c r="S209" s="90" t="s">
        <v>3243</v>
      </c>
      <c r="T209" s="70" t="s">
        <v>0</v>
      </c>
      <c r="U209" s="70" t="s">
        <v>38</v>
      </c>
      <c r="V209" s="70" t="s">
        <v>69</v>
      </c>
      <c r="W209" s="70" t="s">
        <v>3336</v>
      </c>
      <c r="X209" s="70">
        <v>5</v>
      </c>
      <c r="Y209" s="70">
        <v>5</v>
      </c>
      <c r="Z209" s="70">
        <v>3</v>
      </c>
      <c r="AA209" s="70">
        <v>5</v>
      </c>
      <c r="AB209" s="70">
        <v>5</v>
      </c>
      <c r="AC209" s="70">
        <v>3</v>
      </c>
      <c r="AD209"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09" s="70" t="s">
        <v>3335</v>
      </c>
      <c r="AF209" s="70"/>
      <c r="AG209" s="70"/>
      <c r="AH209" s="70"/>
      <c r="AI209" s="70"/>
      <c r="AJ209" s="70" t="s">
        <v>4122</v>
      </c>
      <c r="AK209" s="70"/>
      <c r="AL209" s="70"/>
      <c r="AM209" s="70" t="s">
        <v>4122</v>
      </c>
      <c r="AN209" s="70"/>
      <c r="AO209" s="70"/>
      <c r="AP209" s="70"/>
      <c r="AQ209" s="70"/>
      <c r="AR209" s="70"/>
      <c r="AS209" s="70"/>
      <c r="AT209" s="70"/>
      <c r="AU209" s="70"/>
      <c r="AV209" s="70" t="s">
        <v>4122</v>
      </c>
      <c r="AW209" s="70"/>
      <c r="AX209" s="70"/>
      <c r="AY209" s="70"/>
      <c r="AZ209" s="70"/>
      <c r="BA209" s="70"/>
      <c r="BB209" s="70"/>
      <c r="BC209" s="70"/>
      <c r="BD209" s="70"/>
      <c r="BE209" s="70"/>
      <c r="BF209" s="70"/>
      <c r="BG209" s="70"/>
      <c r="BH209" s="130"/>
      <c r="BI209" s="130"/>
      <c r="BJ209" s="130"/>
      <c r="BK209" s="130" t="s">
        <v>4122</v>
      </c>
      <c r="BL209" s="130"/>
      <c r="BM209" s="130"/>
      <c r="BN209" s="130"/>
      <c r="BO209" s="130"/>
      <c r="BP209" s="130"/>
      <c r="BQ209" s="130"/>
      <c r="BR209" s="130"/>
      <c r="BS209" s="113"/>
      <c r="BT209" s="113"/>
      <c r="BU209" s="113"/>
      <c r="BV209" s="113"/>
      <c r="BW209" s="113"/>
      <c r="BX209" s="113"/>
      <c r="BY209" s="113"/>
      <c r="BZ209" s="113"/>
      <c r="CA209" s="113"/>
      <c r="CB209" s="113"/>
      <c r="CC209" s="113"/>
      <c r="CD209" s="113"/>
      <c r="CE209" s="113"/>
      <c r="CF209" s="113"/>
      <c r="CG209" s="113"/>
      <c r="CH209" s="113"/>
      <c r="CI209" s="113"/>
      <c r="CJ209" s="113"/>
      <c r="CK209" s="113"/>
      <c r="CL209" s="113"/>
      <c r="CM209" s="113"/>
      <c r="CN209" s="113"/>
      <c r="CO209" s="113"/>
      <c r="CP209" s="113"/>
      <c r="CQ209" s="113"/>
      <c r="CR209" s="113"/>
      <c r="CS209" s="113"/>
      <c r="CT209" s="113"/>
      <c r="CU209" s="113"/>
      <c r="CV209" s="113"/>
    </row>
    <row r="210" spans="1:100" s="8" customFormat="1" hidden="1" x14ac:dyDescent="0.25">
      <c r="A210" s="68">
        <v>232</v>
      </c>
      <c r="B210" s="70" t="s">
        <v>2297</v>
      </c>
      <c r="C210" s="70" t="s">
        <v>2298</v>
      </c>
      <c r="D210" s="70" t="s">
        <v>4027</v>
      </c>
      <c r="E210" s="70"/>
      <c r="F210" s="70" t="s">
        <v>2299</v>
      </c>
      <c r="G210" s="70">
        <v>2014</v>
      </c>
      <c r="H210" s="70" t="s">
        <v>2300</v>
      </c>
      <c r="I210" s="78" t="s">
        <v>80</v>
      </c>
      <c r="J210" s="78" t="s">
        <v>4033</v>
      </c>
      <c r="K210" s="78" t="s">
        <v>80</v>
      </c>
      <c r="L210" s="78" t="s">
        <v>80</v>
      </c>
      <c r="M210" s="70" t="s">
        <v>4026</v>
      </c>
      <c r="N210" s="70">
        <v>17</v>
      </c>
      <c r="O210" s="70">
        <v>3</v>
      </c>
      <c r="P210" s="90" t="s">
        <v>3370</v>
      </c>
      <c r="Q210" s="104" t="s">
        <v>3289</v>
      </c>
      <c r="R210" s="108" t="s">
        <v>3437</v>
      </c>
      <c r="S210" s="90" t="s">
        <v>3236</v>
      </c>
      <c r="T210" s="70" t="s">
        <v>6</v>
      </c>
      <c r="U210" s="70" t="s">
        <v>37</v>
      </c>
      <c r="V210" s="70" t="s">
        <v>3263</v>
      </c>
      <c r="W210" s="70" t="s">
        <v>3512</v>
      </c>
      <c r="X210" s="70">
        <v>4</v>
      </c>
      <c r="Y210" s="70">
        <v>3</v>
      </c>
      <c r="Z210" s="70">
        <v>3</v>
      </c>
      <c r="AA210" s="70">
        <v>3</v>
      </c>
      <c r="AB210" s="70">
        <v>3</v>
      </c>
      <c r="AC210" s="70">
        <v>3</v>
      </c>
      <c r="AD21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10" s="70" t="s">
        <v>3335</v>
      </c>
      <c r="AF210" s="70"/>
      <c r="AG210" s="70"/>
      <c r="AH210" s="70"/>
      <c r="AI210" s="70"/>
      <c r="AJ210" s="70"/>
      <c r="AK210" s="70"/>
      <c r="AL210" s="70"/>
      <c r="AM210" s="70"/>
      <c r="AN210" s="70"/>
      <c r="AO210" s="70"/>
      <c r="AP210" s="70"/>
      <c r="AQ210" s="70"/>
      <c r="AR210" s="70"/>
      <c r="AS210" s="70" t="s">
        <v>4122</v>
      </c>
      <c r="AT210" s="70"/>
      <c r="AU210" s="70"/>
      <c r="AV210" s="70"/>
      <c r="AW210" s="70"/>
      <c r="AX210" s="70"/>
      <c r="AY210" s="70"/>
      <c r="AZ210" s="70"/>
      <c r="BA210" s="70"/>
      <c r="BB210" s="70" t="s">
        <v>4122</v>
      </c>
      <c r="BC210" s="70"/>
      <c r="BD210" s="70"/>
      <c r="BE210" s="70"/>
      <c r="BF210" s="70"/>
      <c r="BG210" s="70"/>
      <c r="BH210" s="130"/>
      <c r="BI210" s="130"/>
      <c r="BJ210" s="130"/>
      <c r="BK210" s="130"/>
      <c r="BL210" s="130"/>
      <c r="BM210" s="130"/>
      <c r="BN210" s="130"/>
      <c r="BO210" s="130" t="s">
        <v>4122</v>
      </c>
      <c r="BP210" s="130"/>
      <c r="BQ210" s="130"/>
      <c r="BR210" s="130"/>
      <c r="BS210" s="113"/>
      <c r="BT210" s="113"/>
      <c r="BU210" s="113"/>
      <c r="BV210" s="113"/>
      <c r="BW210" s="113"/>
      <c r="BX210" s="113"/>
      <c r="BY210" s="113"/>
      <c r="BZ210" s="113"/>
      <c r="CA210" s="113"/>
      <c r="CB210" s="113"/>
      <c r="CC210" s="113"/>
      <c r="CD210" s="113"/>
      <c r="CE210" s="113"/>
      <c r="CF210" s="113"/>
      <c r="CG210" s="113"/>
      <c r="CH210" s="113"/>
      <c r="CI210" s="113"/>
      <c r="CJ210" s="113"/>
      <c r="CK210" s="113"/>
      <c r="CL210" s="113"/>
      <c r="CM210" s="113"/>
      <c r="CN210" s="113"/>
      <c r="CO210" s="113"/>
      <c r="CP210" s="113"/>
      <c r="CQ210" s="113"/>
      <c r="CR210" s="113"/>
      <c r="CS210" s="113"/>
      <c r="CT210" s="113"/>
      <c r="CU210" s="113"/>
      <c r="CV210" s="113"/>
    </row>
    <row r="211" spans="1:100" s="8" customFormat="1" hidden="1" x14ac:dyDescent="0.25">
      <c r="A211" s="68">
        <v>210</v>
      </c>
      <c r="B211" s="70" t="s">
        <v>1207</v>
      </c>
      <c r="C211" s="70" t="s">
        <v>1208</v>
      </c>
      <c r="D211" s="70" t="s">
        <v>1209</v>
      </c>
      <c r="E211" s="70"/>
      <c r="F211" s="70" t="s">
        <v>1210</v>
      </c>
      <c r="G211" s="70">
        <v>2016</v>
      </c>
      <c r="H211" s="70" t="s">
        <v>1211</v>
      </c>
      <c r="I211" s="78" t="s">
        <v>80</v>
      </c>
      <c r="J211" s="78" t="s">
        <v>80</v>
      </c>
      <c r="K211" s="78">
        <v>0.32</v>
      </c>
      <c r="L211" s="78">
        <v>3</v>
      </c>
      <c r="M211" s="70" t="s">
        <v>3996</v>
      </c>
      <c r="N211" s="70">
        <v>0</v>
      </c>
      <c r="O211" s="70">
        <v>3</v>
      </c>
      <c r="P211" s="90" t="s">
        <v>3157</v>
      </c>
      <c r="Q211" s="104" t="s">
        <v>3380</v>
      </c>
      <c r="R211" s="108" t="s">
        <v>3437</v>
      </c>
      <c r="S211" s="90" t="s">
        <v>3577</v>
      </c>
      <c r="T211" s="70" t="s">
        <v>1</v>
      </c>
      <c r="U211" s="70" t="s">
        <v>38</v>
      </c>
      <c r="V211" s="70" t="s">
        <v>69</v>
      </c>
      <c r="W211" s="70" t="s">
        <v>3296</v>
      </c>
      <c r="X211" s="70">
        <v>3</v>
      </c>
      <c r="Y211" s="70">
        <v>3</v>
      </c>
      <c r="Z211" s="70">
        <v>3</v>
      </c>
      <c r="AA211" s="70">
        <v>3</v>
      </c>
      <c r="AB211" s="70">
        <v>3</v>
      </c>
      <c r="AC211" s="70">
        <v>3</v>
      </c>
      <c r="AD21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11" s="70" t="s">
        <v>3317</v>
      </c>
      <c r="AF211" s="70"/>
      <c r="AG211" s="70"/>
      <c r="AH211" s="70"/>
      <c r="AI211" s="70"/>
      <c r="AJ211" s="70"/>
      <c r="AK211" s="70"/>
      <c r="AL211" s="70"/>
      <c r="AM211" s="70"/>
      <c r="AN211" s="70"/>
      <c r="AO211" s="70"/>
      <c r="AP211" s="70"/>
      <c r="AQ211" s="70" t="s">
        <v>4122</v>
      </c>
      <c r="AR211" s="70"/>
      <c r="AS211" s="70"/>
      <c r="AT211" s="70"/>
      <c r="AU211" s="70"/>
      <c r="AV211" s="70"/>
      <c r="AW211" s="70" t="s">
        <v>4122</v>
      </c>
      <c r="AX211" s="70"/>
      <c r="AY211" s="70"/>
      <c r="AZ211" s="70"/>
      <c r="BA211" s="70"/>
      <c r="BB211" s="70"/>
      <c r="BC211" s="70"/>
      <c r="BD211" s="70"/>
      <c r="BE211" s="70"/>
      <c r="BF211" s="70"/>
      <c r="BG211" s="70"/>
      <c r="BH211" s="130"/>
      <c r="BI211" s="130"/>
      <c r="BJ211" s="130"/>
      <c r="BK211" s="130"/>
      <c r="BL211" s="130"/>
      <c r="BM211" s="130"/>
      <c r="BN211" s="130"/>
      <c r="BO211" s="130" t="s">
        <v>4122</v>
      </c>
      <c r="BP211" s="130"/>
      <c r="BQ211" s="130"/>
      <c r="BR211" s="130"/>
      <c r="BS211" s="113"/>
      <c r="BT211" s="113"/>
      <c r="BU211" s="113"/>
      <c r="BV211" s="113"/>
      <c r="BW211" s="113"/>
      <c r="BX211" s="113"/>
      <c r="BY211" s="113"/>
      <c r="BZ211" s="113"/>
      <c r="CA211" s="113"/>
      <c r="CB211" s="113"/>
      <c r="CC211" s="113"/>
      <c r="CD211" s="113"/>
      <c r="CE211" s="113"/>
      <c r="CF211" s="113"/>
      <c r="CG211" s="113"/>
      <c r="CH211" s="113"/>
      <c r="CI211" s="113"/>
      <c r="CJ211" s="113"/>
      <c r="CK211" s="113"/>
      <c r="CL211" s="113"/>
      <c r="CM211" s="113"/>
      <c r="CN211" s="113"/>
      <c r="CO211" s="113"/>
      <c r="CP211" s="113"/>
      <c r="CQ211" s="113"/>
      <c r="CR211" s="113"/>
      <c r="CS211" s="113"/>
      <c r="CT211" s="113"/>
      <c r="CU211" s="113"/>
      <c r="CV211" s="113"/>
    </row>
    <row r="212" spans="1:100" s="8" customFormat="1" hidden="1" x14ac:dyDescent="0.25">
      <c r="A212" s="68">
        <v>151</v>
      </c>
      <c r="B212" s="70" t="s">
        <v>172</v>
      </c>
      <c r="C212" s="70" t="s">
        <v>173</v>
      </c>
      <c r="D212" s="70" t="s">
        <v>3911</v>
      </c>
      <c r="E212" s="70" t="s">
        <v>335</v>
      </c>
      <c r="F212" s="70" t="s">
        <v>336</v>
      </c>
      <c r="G212" s="70" t="s">
        <v>147</v>
      </c>
      <c r="H212" s="70">
        <v>1</v>
      </c>
      <c r="I212" s="78" t="s">
        <v>80</v>
      </c>
      <c r="J212" s="78" t="s">
        <v>80</v>
      </c>
      <c r="K212" s="78" t="s">
        <v>80</v>
      </c>
      <c r="L212" s="78" t="s">
        <v>80</v>
      </c>
      <c r="M212" s="70" t="s">
        <v>3910</v>
      </c>
      <c r="N212" s="70">
        <v>0</v>
      </c>
      <c r="O212" s="70">
        <v>5</v>
      </c>
      <c r="P212" s="90" t="s">
        <v>3370</v>
      </c>
      <c r="Q212" s="104" t="s">
        <v>3182</v>
      </c>
      <c r="R212" s="108" t="s">
        <v>3361</v>
      </c>
      <c r="S212" s="90" t="s">
        <v>3528</v>
      </c>
      <c r="T212" s="70" t="s">
        <v>1</v>
      </c>
      <c r="U212" s="70" t="s">
        <v>38</v>
      </c>
      <c r="V212" s="70" t="s">
        <v>69</v>
      </c>
      <c r="W212" s="70" t="s">
        <v>3336</v>
      </c>
      <c r="X212" s="70">
        <v>5</v>
      </c>
      <c r="Y212" s="70">
        <v>5</v>
      </c>
      <c r="Z212" s="70">
        <v>5</v>
      </c>
      <c r="AA212" s="70">
        <v>5</v>
      </c>
      <c r="AB212" s="70">
        <v>5</v>
      </c>
      <c r="AC212" s="70">
        <v>5</v>
      </c>
      <c r="AD21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12" s="70" t="s">
        <v>3335</v>
      </c>
      <c r="AF212" s="70"/>
      <c r="AG212" s="70" t="s">
        <v>4122</v>
      </c>
      <c r="AH212" s="70"/>
      <c r="AI212" s="70"/>
      <c r="AJ212" s="70"/>
      <c r="AK212" s="70"/>
      <c r="AL212" s="70"/>
      <c r="AM212" s="70" t="s">
        <v>4122</v>
      </c>
      <c r="AN212" s="70"/>
      <c r="AO212" s="70"/>
      <c r="AP212" s="70"/>
      <c r="AQ212" s="70"/>
      <c r="AR212" s="70"/>
      <c r="AS212" s="70"/>
      <c r="AT212" s="70"/>
      <c r="AU212" s="70"/>
      <c r="AV212" s="70"/>
      <c r="AW212" s="70"/>
      <c r="AX212" s="70"/>
      <c r="AY212" s="70"/>
      <c r="AZ212" s="70"/>
      <c r="BA212" s="70"/>
      <c r="BB212" s="70" t="s">
        <v>4122</v>
      </c>
      <c r="BC212" s="70"/>
      <c r="BD212" s="70"/>
      <c r="BE212" s="70"/>
      <c r="BF212" s="70"/>
      <c r="BG212" s="70"/>
      <c r="BH212" s="130"/>
      <c r="BI212" s="130"/>
      <c r="BJ212" s="130"/>
      <c r="BK212" s="130"/>
      <c r="BL212" s="130"/>
      <c r="BM212" s="130"/>
      <c r="BN212" s="130" t="s">
        <v>4122</v>
      </c>
      <c r="BO212" s="130"/>
      <c r="BP212" s="130"/>
      <c r="BQ212" s="130"/>
      <c r="BR212" s="130"/>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row>
    <row r="213" spans="1:100" s="8" customFormat="1" hidden="1" x14ac:dyDescent="0.25">
      <c r="A213" s="68">
        <v>212</v>
      </c>
      <c r="B213" s="70" t="s">
        <v>792</v>
      </c>
      <c r="C213" s="70" t="s">
        <v>793</v>
      </c>
      <c r="D213" s="70" t="s">
        <v>3999</v>
      </c>
      <c r="E213" s="70"/>
      <c r="F213" s="70" t="s">
        <v>794</v>
      </c>
      <c r="G213" s="70">
        <v>2018</v>
      </c>
      <c r="H213" s="70" t="s">
        <v>795</v>
      </c>
      <c r="I213" s="78" t="s">
        <v>80</v>
      </c>
      <c r="J213" s="78" t="s">
        <v>80</v>
      </c>
      <c r="K213" s="78" t="s">
        <v>80</v>
      </c>
      <c r="L213" s="78" t="s">
        <v>80</v>
      </c>
      <c r="M213" s="70" t="s">
        <v>3998</v>
      </c>
      <c r="N213" s="70">
        <v>0</v>
      </c>
      <c r="O213" s="70">
        <v>4</v>
      </c>
      <c r="P213" s="90" t="s">
        <v>3273</v>
      </c>
      <c r="Q213" s="104" t="s">
        <v>3194</v>
      </c>
      <c r="R213" s="108" t="s">
        <v>3316</v>
      </c>
      <c r="S213" s="90" t="s">
        <v>3265</v>
      </c>
      <c r="T213" s="70" t="s">
        <v>1</v>
      </c>
      <c r="U213" s="70" t="s">
        <v>42</v>
      </c>
      <c r="V213" s="70" t="s">
        <v>69</v>
      </c>
      <c r="W213" s="70" t="s">
        <v>3512</v>
      </c>
      <c r="X213" s="70">
        <v>4</v>
      </c>
      <c r="Y213" s="70">
        <v>4</v>
      </c>
      <c r="Z213" s="70">
        <v>4</v>
      </c>
      <c r="AA213" s="70">
        <v>4</v>
      </c>
      <c r="AB213" s="70">
        <v>4</v>
      </c>
      <c r="AC213" s="70">
        <v>4</v>
      </c>
      <c r="AD21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13" s="70" t="s">
        <v>3315</v>
      </c>
      <c r="AF213" s="70"/>
      <c r="AG213" s="70"/>
      <c r="AH213" s="70"/>
      <c r="AI213" s="70"/>
      <c r="AJ213" s="70"/>
      <c r="AK213" s="70"/>
      <c r="AL213" s="70"/>
      <c r="AM213" s="70"/>
      <c r="AN213" s="70"/>
      <c r="AO213" s="70"/>
      <c r="AP213" s="70"/>
      <c r="AQ213" s="70"/>
      <c r="AR213" s="70" t="s">
        <v>4122</v>
      </c>
      <c r="AS213" s="70"/>
      <c r="AT213" s="70"/>
      <c r="AU213" s="70"/>
      <c r="AV213" s="70"/>
      <c r="AW213" s="70"/>
      <c r="AX213" s="70"/>
      <c r="AY213" s="70"/>
      <c r="AZ213" s="70"/>
      <c r="BA213" s="70"/>
      <c r="BB213" s="70"/>
      <c r="BC213" s="70"/>
      <c r="BD213" s="70"/>
      <c r="BE213" s="70"/>
      <c r="BF213" s="70" t="s">
        <v>4122</v>
      </c>
      <c r="BG213" s="70"/>
      <c r="BH213" s="130"/>
      <c r="BI213" s="130"/>
      <c r="BJ213" s="130"/>
      <c r="BK213" s="130"/>
      <c r="BL213" s="130"/>
      <c r="BM213" s="130"/>
      <c r="BN213" s="130" t="s">
        <v>4122</v>
      </c>
      <c r="BO213" s="130"/>
      <c r="BP213" s="130"/>
      <c r="BQ213" s="130"/>
      <c r="BR213" s="130"/>
      <c r="BS213" s="113"/>
      <c r="BT213" s="113"/>
      <c r="BU213" s="113"/>
      <c r="BV213" s="113"/>
      <c r="BW213" s="113"/>
      <c r="BX213" s="113"/>
      <c r="BY213" s="113"/>
      <c r="BZ213" s="113"/>
      <c r="CA213" s="113"/>
      <c r="CB213" s="113"/>
      <c r="CC213" s="113"/>
      <c r="CD213" s="113"/>
      <c r="CE213" s="113"/>
      <c r="CF213" s="113"/>
      <c r="CG213" s="113"/>
      <c r="CH213" s="113"/>
      <c r="CI213" s="113"/>
      <c r="CJ213" s="113"/>
      <c r="CK213" s="113"/>
      <c r="CL213" s="113"/>
      <c r="CM213" s="113"/>
      <c r="CN213" s="113"/>
      <c r="CO213" s="113"/>
      <c r="CP213" s="113"/>
      <c r="CQ213" s="113"/>
      <c r="CR213" s="113"/>
      <c r="CS213" s="113"/>
      <c r="CT213" s="113"/>
      <c r="CU213" s="113"/>
      <c r="CV213" s="113"/>
    </row>
    <row r="214" spans="1:100" s="8" customFormat="1" hidden="1" x14ac:dyDescent="0.25">
      <c r="A214" s="68">
        <v>105</v>
      </c>
      <c r="B214" s="110" t="s">
        <v>2486</v>
      </c>
      <c r="C214" s="110" t="s">
        <v>2487</v>
      </c>
      <c r="D214" s="110" t="s">
        <v>3838</v>
      </c>
      <c r="E214" s="110"/>
      <c r="F214" s="110" t="s">
        <v>2488</v>
      </c>
      <c r="G214" s="110">
        <v>2018</v>
      </c>
      <c r="H214" s="110" t="s">
        <v>2489</v>
      </c>
      <c r="I214" s="111" t="s">
        <v>80</v>
      </c>
      <c r="J214" s="111" t="s">
        <v>80</v>
      </c>
      <c r="K214" s="111" t="s">
        <v>80</v>
      </c>
      <c r="L214" s="111" t="s">
        <v>80</v>
      </c>
      <c r="M214" s="110" t="s">
        <v>3837</v>
      </c>
      <c r="N214" s="110">
        <v>0</v>
      </c>
      <c r="O214" s="110">
        <v>5</v>
      </c>
      <c r="P214" s="110" t="s">
        <v>3244</v>
      </c>
      <c r="Q214" s="110" t="s">
        <v>3425</v>
      </c>
      <c r="R214" s="110" t="s">
        <v>4134</v>
      </c>
      <c r="S214" s="110" t="s">
        <v>3243</v>
      </c>
      <c r="T214" s="110" t="s">
        <v>20</v>
      </c>
      <c r="U214" s="110" t="s">
        <v>38</v>
      </c>
      <c r="V214" s="110" t="s">
        <v>69</v>
      </c>
      <c r="W214" s="110" t="s">
        <v>3471</v>
      </c>
      <c r="X214" s="110">
        <v>5</v>
      </c>
      <c r="Y214" s="110">
        <v>5</v>
      </c>
      <c r="Z214" s="110">
        <v>5</v>
      </c>
      <c r="AA214" s="110">
        <v>5</v>
      </c>
      <c r="AB214" s="110">
        <v>5</v>
      </c>
      <c r="AC214" s="110">
        <v>5</v>
      </c>
      <c r="AD21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14" s="110" t="s">
        <v>63</v>
      </c>
      <c r="AF214" s="70"/>
      <c r="AG214" s="70"/>
      <c r="AH214" s="70"/>
      <c r="AI214" s="70"/>
      <c r="AJ214" s="70"/>
      <c r="AK214" s="70"/>
      <c r="AL214" s="70"/>
      <c r="AM214" s="70" t="s">
        <v>4122</v>
      </c>
      <c r="AN214" s="70"/>
      <c r="AO214" s="70"/>
      <c r="AP214" s="70"/>
      <c r="AQ214" s="70"/>
      <c r="AR214" s="70"/>
      <c r="AS214" s="70"/>
      <c r="AT214" s="70"/>
      <c r="AU214" s="70"/>
      <c r="AV214" s="70"/>
      <c r="AW214" s="70"/>
      <c r="AX214" s="70"/>
      <c r="AY214" s="70"/>
      <c r="AZ214" s="70"/>
      <c r="BA214" s="70"/>
      <c r="BB214" s="70"/>
      <c r="BC214" s="70"/>
      <c r="BD214" s="70"/>
      <c r="BE214" s="70" t="s">
        <v>4122</v>
      </c>
      <c r="BF214" s="70"/>
      <c r="BG214" s="70"/>
      <c r="BH214" s="130"/>
      <c r="BI214" s="130"/>
      <c r="BJ214" s="130" t="s">
        <v>4122</v>
      </c>
      <c r="BK214" s="130"/>
      <c r="BL214" s="130"/>
      <c r="BM214" s="130"/>
      <c r="BN214" s="130"/>
      <c r="BO214" s="130"/>
      <c r="BP214" s="130"/>
      <c r="BQ214" s="130"/>
      <c r="BR214" s="130"/>
      <c r="BS214" s="113"/>
      <c r="BT214" s="113"/>
      <c r="BU214" s="113"/>
      <c r="BV214" s="113"/>
      <c r="BW214" s="113"/>
      <c r="BX214" s="113"/>
      <c r="BY214" s="113"/>
      <c r="BZ214" s="113"/>
      <c r="CA214" s="113"/>
      <c r="CB214" s="113"/>
      <c r="CC214" s="113"/>
      <c r="CD214" s="113"/>
      <c r="CE214" s="113"/>
      <c r="CF214" s="113"/>
      <c r="CG214" s="113"/>
      <c r="CH214" s="113"/>
      <c r="CI214" s="113"/>
      <c r="CJ214" s="113"/>
      <c r="CK214" s="113"/>
      <c r="CL214" s="113"/>
      <c r="CM214" s="113"/>
      <c r="CN214" s="113"/>
      <c r="CO214" s="113"/>
      <c r="CP214" s="113"/>
      <c r="CQ214" s="113"/>
      <c r="CR214" s="113"/>
      <c r="CS214" s="113"/>
      <c r="CT214" s="113"/>
      <c r="CU214" s="113"/>
      <c r="CV214" s="113"/>
    </row>
    <row r="215" spans="1:100" s="8" customFormat="1" hidden="1" x14ac:dyDescent="0.25">
      <c r="A215" s="68">
        <v>233</v>
      </c>
      <c r="B215" s="70" t="s">
        <v>883</v>
      </c>
      <c r="C215" s="70" t="s">
        <v>884</v>
      </c>
      <c r="D215" s="70" t="s">
        <v>28</v>
      </c>
      <c r="E215" s="70"/>
      <c r="F215" s="70" t="s">
        <v>885</v>
      </c>
      <c r="G215" s="70">
        <v>2018</v>
      </c>
      <c r="H215" s="70" t="s">
        <v>886</v>
      </c>
      <c r="I215" s="78" t="s">
        <v>80</v>
      </c>
      <c r="J215" s="78" t="s">
        <v>80</v>
      </c>
      <c r="K215" s="78">
        <v>0.55000000000000004</v>
      </c>
      <c r="L215" s="78">
        <v>4</v>
      </c>
      <c r="M215" s="70" t="s">
        <v>4028</v>
      </c>
      <c r="N215" s="70">
        <v>0</v>
      </c>
      <c r="O215" s="70">
        <v>4</v>
      </c>
      <c r="P215" s="90" t="s">
        <v>3288</v>
      </c>
      <c r="Q215" s="104" t="s">
        <v>3372</v>
      </c>
      <c r="R215" s="108" t="s">
        <v>3615</v>
      </c>
      <c r="S215" s="90" t="s">
        <v>3395</v>
      </c>
      <c r="T215" s="70" t="s">
        <v>6</v>
      </c>
      <c r="U215" s="70" t="s">
        <v>41</v>
      </c>
      <c r="V215" s="70" t="s">
        <v>69</v>
      </c>
      <c r="W215" s="70" t="s">
        <v>3631</v>
      </c>
      <c r="X215" s="70">
        <v>3</v>
      </c>
      <c r="Y215" s="70">
        <v>3</v>
      </c>
      <c r="Z215" s="70">
        <v>3</v>
      </c>
      <c r="AA215" s="70">
        <v>3</v>
      </c>
      <c r="AB215" s="70">
        <v>3</v>
      </c>
      <c r="AC215" s="70">
        <v>3</v>
      </c>
      <c r="AD21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15" s="70" t="s">
        <v>3315</v>
      </c>
      <c r="AF215" s="70"/>
      <c r="AG215" s="70" t="s">
        <v>4122</v>
      </c>
      <c r="AH215" s="70"/>
      <c r="AI215" s="70"/>
      <c r="AJ215" s="70"/>
      <c r="AK215" s="70"/>
      <c r="AL215" s="70" t="s">
        <v>4122</v>
      </c>
      <c r="AM215" s="70" t="s">
        <v>4122</v>
      </c>
      <c r="AN215" s="70"/>
      <c r="AO215" s="70"/>
      <c r="AP215" s="70"/>
      <c r="AQ215" s="70"/>
      <c r="AR215" s="70"/>
      <c r="AS215" s="70"/>
      <c r="AT215" s="70"/>
      <c r="AU215" s="70"/>
      <c r="AV215" s="70"/>
      <c r="AW215" s="70"/>
      <c r="AX215" s="70"/>
      <c r="AY215" s="70"/>
      <c r="AZ215" s="70"/>
      <c r="BA215" s="70"/>
      <c r="BB215" s="70" t="s">
        <v>4122</v>
      </c>
      <c r="BC215" s="70"/>
      <c r="BD215" s="70"/>
      <c r="BE215" s="70"/>
      <c r="BF215" s="70"/>
      <c r="BG215" s="70"/>
      <c r="BH215" s="130"/>
      <c r="BI215" s="130"/>
      <c r="BJ215" s="130"/>
      <c r="BK215" s="130"/>
      <c r="BL215" s="130"/>
      <c r="BM215" s="130"/>
      <c r="BN215" s="130" t="s">
        <v>4122</v>
      </c>
      <c r="BO215" s="130"/>
      <c r="BP215" s="130"/>
      <c r="BQ215" s="130"/>
      <c r="BR215" s="130"/>
      <c r="BS215" s="113"/>
      <c r="BT215" s="113"/>
      <c r="BU215" s="113"/>
      <c r="BV215" s="113"/>
      <c r="BW215" s="113"/>
      <c r="BX215" s="113"/>
      <c r="BY215" s="113"/>
      <c r="BZ215" s="113"/>
      <c r="CA215" s="113"/>
      <c r="CB215" s="113"/>
      <c r="CC215" s="113"/>
      <c r="CD215" s="113"/>
      <c r="CE215" s="113"/>
      <c r="CF215" s="113"/>
      <c r="CG215" s="113"/>
      <c r="CH215" s="113"/>
      <c r="CI215" s="113"/>
      <c r="CJ215" s="113"/>
      <c r="CK215" s="113"/>
      <c r="CL215" s="113"/>
      <c r="CM215" s="113"/>
      <c r="CN215" s="113"/>
      <c r="CO215" s="113"/>
      <c r="CP215" s="113"/>
      <c r="CQ215" s="113"/>
      <c r="CR215" s="113"/>
      <c r="CS215" s="113"/>
      <c r="CT215" s="113"/>
      <c r="CU215" s="113"/>
      <c r="CV215" s="113"/>
    </row>
    <row r="216" spans="1:100" s="8" customFormat="1" hidden="1" x14ac:dyDescent="0.25">
      <c r="A216" s="68">
        <v>185</v>
      </c>
      <c r="B216" s="70" t="s">
        <v>1915</v>
      </c>
      <c r="C216" s="70" t="s">
        <v>1916</v>
      </c>
      <c r="D216" s="70" t="s">
        <v>3962</v>
      </c>
      <c r="E216" s="70"/>
      <c r="F216" s="70" t="s">
        <v>1917</v>
      </c>
      <c r="G216" s="70">
        <v>2014</v>
      </c>
      <c r="H216" s="70" t="s">
        <v>1918</v>
      </c>
      <c r="I216" s="78" t="s">
        <v>82</v>
      </c>
      <c r="J216" s="78" t="s">
        <v>80</v>
      </c>
      <c r="K216" s="78" t="s">
        <v>80</v>
      </c>
      <c r="L216" s="78" t="s">
        <v>80</v>
      </c>
      <c r="M216" s="70" t="s">
        <v>3961</v>
      </c>
      <c r="N216" s="70">
        <v>0</v>
      </c>
      <c r="O216" s="70">
        <v>5</v>
      </c>
      <c r="P216" s="90" t="s">
        <v>3386</v>
      </c>
      <c r="Q216" s="104" t="s">
        <v>3584</v>
      </c>
      <c r="R216" s="108" t="s">
        <v>3204</v>
      </c>
      <c r="S216" s="90" t="s">
        <v>3187</v>
      </c>
      <c r="T216" s="70" t="s">
        <v>0</v>
      </c>
      <c r="U216" s="70" t="s">
        <v>38</v>
      </c>
      <c r="V216" s="70" t="s">
        <v>69</v>
      </c>
      <c r="W216" s="70" t="s">
        <v>3336</v>
      </c>
      <c r="X216" s="70">
        <v>5</v>
      </c>
      <c r="Y216" s="70">
        <v>5</v>
      </c>
      <c r="Z216" s="70">
        <v>5</v>
      </c>
      <c r="AA216" s="70">
        <v>5</v>
      </c>
      <c r="AB216" s="70">
        <v>5</v>
      </c>
      <c r="AC216" s="70">
        <v>5</v>
      </c>
      <c r="AD21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16" s="70" t="s">
        <v>61</v>
      </c>
      <c r="AF216" s="70"/>
      <c r="AG216" s="70"/>
      <c r="AH216" s="70" t="s">
        <v>4122</v>
      </c>
      <c r="AI216" s="70" t="s">
        <v>4122</v>
      </c>
      <c r="AJ216" s="70"/>
      <c r="AK216" s="70"/>
      <c r="AL216" s="70"/>
      <c r="AM216" s="70" t="s">
        <v>4122</v>
      </c>
      <c r="AN216" s="70"/>
      <c r="AO216" s="70"/>
      <c r="AP216" s="70"/>
      <c r="AQ216" s="70"/>
      <c r="AR216" s="70"/>
      <c r="AS216" s="70"/>
      <c r="AT216" s="70"/>
      <c r="AU216" s="70"/>
      <c r="AV216" s="70"/>
      <c r="AW216" s="70"/>
      <c r="AX216" s="70"/>
      <c r="AY216" s="70"/>
      <c r="AZ216" s="70"/>
      <c r="BA216" s="70"/>
      <c r="BB216" s="70"/>
      <c r="BC216" s="70"/>
      <c r="BD216" s="70"/>
      <c r="BE216" s="70" t="s">
        <v>4122</v>
      </c>
      <c r="BF216" s="70"/>
      <c r="BG216" s="70"/>
      <c r="BH216" s="130"/>
      <c r="BI216" s="130"/>
      <c r="BJ216" s="130"/>
      <c r="BK216" s="130"/>
      <c r="BL216" s="130"/>
      <c r="BM216" s="130"/>
      <c r="BN216" s="130" t="s">
        <v>4122</v>
      </c>
      <c r="BO216" s="130"/>
      <c r="BP216" s="130"/>
      <c r="BQ216" s="130"/>
      <c r="BR216" s="130"/>
      <c r="BS216" s="113"/>
      <c r="BT216" s="113"/>
      <c r="BU216" s="113"/>
      <c r="BV216" s="113"/>
      <c r="BW216" s="113"/>
      <c r="BX216" s="113"/>
      <c r="BY216" s="113"/>
      <c r="BZ216" s="113"/>
      <c r="CA216" s="113"/>
      <c r="CB216" s="113"/>
      <c r="CC216" s="113"/>
      <c r="CD216" s="113"/>
      <c r="CE216" s="113"/>
      <c r="CF216" s="113"/>
      <c r="CG216" s="113"/>
      <c r="CH216" s="113"/>
      <c r="CI216" s="113"/>
      <c r="CJ216" s="113"/>
      <c r="CK216" s="113"/>
      <c r="CL216" s="113"/>
      <c r="CM216" s="113"/>
      <c r="CN216" s="113"/>
      <c r="CO216" s="113"/>
      <c r="CP216" s="113"/>
      <c r="CQ216" s="113"/>
      <c r="CR216" s="113"/>
      <c r="CS216" s="113"/>
      <c r="CT216" s="113"/>
      <c r="CU216" s="113"/>
      <c r="CV216" s="113"/>
    </row>
    <row r="217" spans="1:100" s="8" customFormat="1" hidden="1" x14ac:dyDescent="0.25">
      <c r="A217" s="68">
        <v>118</v>
      </c>
      <c r="B217" s="70" t="s">
        <v>1056</v>
      </c>
      <c r="C217" s="70" t="s">
        <v>1057</v>
      </c>
      <c r="D217" s="70" t="s">
        <v>22</v>
      </c>
      <c r="E217" s="70"/>
      <c r="F217" s="70" t="s">
        <v>1058</v>
      </c>
      <c r="G217" s="70">
        <v>2019</v>
      </c>
      <c r="H217" s="70" t="s">
        <v>1059</v>
      </c>
      <c r="I217" s="78" t="s">
        <v>80</v>
      </c>
      <c r="J217" s="78" t="s">
        <v>80</v>
      </c>
      <c r="K217" s="78">
        <v>0.55000000000000004</v>
      </c>
      <c r="L217" s="78">
        <v>5</v>
      </c>
      <c r="M217" s="70" t="s">
        <v>3859</v>
      </c>
      <c r="N217" s="70">
        <v>0</v>
      </c>
      <c r="O217" s="70">
        <v>5</v>
      </c>
      <c r="P217" s="90" t="s">
        <v>3328</v>
      </c>
      <c r="Q217" s="104" t="s">
        <v>3256</v>
      </c>
      <c r="R217" s="108" t="s">
        <v>3361</v>
      </c>
      <c r="S217" s="90" t="s">
        <v>3257</v>
      </c>
      <c r="T217" s="70" t="s">
        <v>1</v>
      </c>
      <c r="U217" s="70" t="s">
        <v>38</v>
      </c>
      <c r="V217" s="70" t="s">
        <v>69</v>
      </c>
      <c r="W217" s="70" t="s">
        <v>3336</v>
      </c>
      <c r="X217" s="70">
        <v>5</v>
      </c>
      <c r="Y217" s="70">
        <v>5</v>
      </c>
      <c r="Z217" s="70">
        <v>5</v>
      </c>
      <c r="AA217" s="70">
        <v>5</v>
      </c>
      <c r="AB217" s="70">
        <v>5</v>
      </c>
      <c r="AC217" s="70">
        <v>5</v>
      </c>
      <c r="AD21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5</v>
      </c>
      <c r="AE217" s="70" t="s">
        <v>3463</v>
      </c>
      <c r="AF217" s="70"/>
      <c r="AG217" s="70"/>
      <c r="AH217" s="70"/>
      <c r="AI217" s="70"/>
      <c r="AJ217" s="70"/>
      <c r="AK217" s="70"/>
      <c r="AL217" s="70"/>
      <c r="AM217" s="70" t="s">
        <v>4122</v>
      </c>
      <c r="AN217" s="70"/>
      <c r="AO217" s="70"/>
      <c r="AP217" s="70"/>
      <c r="AQ217" s="70"/>
      <c r="AR217" s="70"/>
      <c r="AS217" s="70"/>
      <c r="AT217" s="70"/>
      <c r="AU217" s="70"/>
      <c r="AV217" s="70" t="s">
        <v>4122</v>
      </c>
      <c r="AW217" s="70"/>
      <c r="AX217" s="70"/>
      <c r="AY217" s="70"/>
      <c r="AZ217" s="70"/>
      <c r="BA217" s="70"/>
      <c r="BB217" s="70"/>
      <c r="BC217" s="70"/>
      <c r="BD217" s="70"/>
      <c r="BE217" s="70"/>
      <c r="BF217" s="70"/>
      <c r="BG217" s="70"/>
      <c r="BH217" s="130"/>
      <c r="BI217" s="130"/>
      <c r="BJ217" s="130"/>
      <c r="BK217" s="130"/>
      <c r="BL217" s="130"/>
      <c r="BM217" s="130"/>
      <c r="BN217" s="130" t="s">
        <v>4122</v>
      </c>
      <c r="BO217" s="130"/>
      <c r="BP217" s="130"/>
      <c r="BQ217" s="130"/>
      <c r="BR217" s="130"/>
      <c r="BS217" s="113"/>
      <c r="BT217" s="113"/>
      <c r="BU217" s="113"/>
      <c r="BV217" s="113"/>
      <c r="BW217" s="113"/>
      <c r="BX217" s="113"/>
      <c r="BY217" s="113"/>
      <c r="BZ217" s="113"/>
      <c r="CA217" s="113"/>
      <c r="CB217" s="113"/>
      <c r="CC217" s="113"/>
      <c r="CD217" s="113"/>
      <c r="CE217" s="113"/>
      <c r="CF217" s="113"/>
      <c r="CG217" s="113"/>
      <c r="CH217" s="113"/>
      <c r="CI217" s="113"/>
      <c r="CJ217" s="113"/>
      <c r="CK217" s="113"/>
      <c r="CL217" s="113"/>
      <c r="CM217" s="113"/>
      <c r="CN217" s="113"/>
      <c r="CO217" s="113"/>
      <c r="CP217" s="113"/>
      <c r="CQ217" s="113"/>
      <c r="CR217" s="113"/>
      <c r="CS217" s="113"/>
      <c r="CT217" s="113"/>
      <c r="CU217" s="113"/>
      <c r="CV217" s="113"/>
    </row>
    <row r="218" spans="1:100" hidden="1" x14ac:dyDescent="0.25">
      <c r="A218" s="68">
        <v>171</v>
      </c>
      <c r="B218" s="110" t="s">
        <v>2185</v>
      </c>
      <c r="C218" s="110" t="s">
        <v>2186</v>
      </c>
      <c r="D218" s="110" t="s">
        <v>2187</v>
      </c>
      <c r="E218" s="110"/>
      <c r="F218" s="110" t="s">
        <v>2188</v>
      </c>
      <c r="G218" s="110">
        <v>2014</v>
      </c>
      <c r="H218" s="110" t="s">
        <v>2189</v>
      </c>
      <c r="I218" s="111" t="s">
        <v>80</v>
      </c>
      <c r="J218" s="111" t="s">
        <v>80</v>
      </c>
      <c r="K218" s="111" t="s">
        <v>80</v>
      </c>
      <c r="L218" s="111" t="s">
        <v>80</v>
      </c>
      <c r="M218" s="110" t="s">
        <v>3941</v>
      </c>
      <c r="N218" s="110">
        <v>0</v>
      </c>
      <c r="O218" s="110">
        <v>3</v>
      </c>
      <c r="P218" s="110" t="s">
        <v>3244</v>
      </c>
      <c r="Q218" s="110" t="s">
        <v>3270</v>
      </c>
      <c r="R218" s="110" t="s">
        <v>4135</v>
      </c>
      <c r="S218" s="110" t="s">
        <v>3232</v>
      </c>
      <c r="T218" s="110" t="s">
        <v>0</v>
      </c>
      <c r="U218" s="110" t="s">
        <v>38</v>
      </c>
      <c r="V218" s="110" t="s">
        <v>69</v>
      </c>
      <c r="W218" s="110" t="s">
        <v>3336</v>
      </c>
      <c r="X218" s="110">
        <v>5</v>
      </c>
      <c r="Y218" s="110">
        <v>5</v>
      </c>
      <c r="Z218" s="110">
        <v>5</v>
      </c>
      <c r="AA218" s="110">
        <v>5</v>
      </c>
      <c r="AB218" s="110">
        <v>5</v>
      </c>
      <c r="AC218" s="110">
        <v>5</v>
      </c>
      <c r="AD218"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18" s="110" t="s">
        <v>3489</v>
      </c>
      <c r="AF218" s="70"/>
      <c r="AG218" s="70"/>
      <c r="AH218" s="70"/>
      <c r="AI218" s="70"/>
      <c r="AJ218" s="70"/>
      <c r="AK218" s="70" t="s">
        <v>4122</v>
      </c>
      <c r="AL218" s="70"/>
      <c r="AM218" s="70" t="s">
        <v>4122</v>
      </c>
      <c r="AN218" s="70"/>
      <c r="AO218" s="70"/>
      <c r="AP218" s="70"/>
      <c r="AQ218" s="70"/>
      <c r="AR218" s="70"/>
      <c r="AS218" s="70"/>
      <c r="AT218" s="70"/>
      <c r="AU218" s="70"/>
      <c r="AV218" s="70" t="s">
        <v>4122</v>
      </c>
      <c r="AW218" s="70"/>
      <c r="AX218" s="70"/>
      <c r="AY218" s="70"/>
      <c r="AZ218" s="70"/>
      <c r="BA218" s="70"/>
      <c r="BB218" s="70"/>
      <c r="BC218" s="70"/>
      <c r="BD218" s="70"/>
      <c r="BE218" s="70"/>
      <c r="BF218" s="70"/>
      <c r="BG218" s="70"/>
      <c r="BH218" s="130"/>
      <c r="BI218" s="130"/>
      <c r="BJ218" s="130" t="s">
        <v>4122</v>
      </c>
      <c r="BK218" s="130"/>
      <c r="BL218" s="130"/>
      <c r="BM218" s="130"/>
      <c r="BN218" s="130"/>
      <c r="BO218" s="130"/>
      <c r="BP218" s="130"/>
      <c r="BQ218" s="130"/>
      <c r="BR218" s="130"/>
    </row>
    <row r="219" spans="1:100" hidden="1" x14ac:dyDescent="0.25">
      <c r="A219" s="68">
        <v>180</v>
      </c>
      <c r="B219" s="110" t="s">
        <v>1786</v>
      </c>
      <c r="C219" s="110" t="s">
        <v>3101</v>
      </c>
      <c r="D219" s="110" t="s">
        <v>3917</v>
      </c>
      <c r="E219" s="110"/>
      <c r="F219" s="110" t="s">
        <v>3102</v>
      </c>
      <c r="G219" s="110">
        <v>2017</v>
      </c>
      <c r="H219" s="110" t="s">
        <v>3103</v>
      </c>
      <c r="I219" s="111" t="s">
        <v>4033</v>
      </c>
      <c r="J219" s="111" t="s">
        <v>4033</v>
      </c>
      <c r="K219" s="111" t="s">
        <v>80</v>
      </c>
      <c r="L219" s="111" t="s">
        <v>80</v>
      </c>
      <c r="M219" s="110" t="s">
        <v>3954</v>
      </c>
      <c r="N219" s="110">
        <v>0</v>
      </c>
      <c r="O219" s="110">
        <v>5</v>
      </c>
      <c r="P219" s="110" t="s">
        <v>3157</v>
      </c>
      <c r="Q219" s="110" t="s">
        <v>3256</v>
      </c>
      <c r="R219" s="110" t="s">
        <v>4137</v>
      </c>
      <c r="S219" s="110" t="s">
        <v>3239</v>
      </c>
      <c r="T219" s="110" t="s">
        <v>2</v>
      </c>
      <c r="U219" s="110" t="s">
        <v>38</v>
      </c>
      <c r="V219" s="110" t="s">
        <v>69</v>
      </c>
      <c r="W219" s="110" t="s">
        <v>3599</v>
      </c>
      <c r="X219" s="110">
        <v>5</v>
      </c>
      <c r="Y219" s="110">
        <v>5</v>
      </c>
      <c r="Z219" s="110">
        <v>5</v>
      </c>
      <c r="AA219" s="110">
        <v>5</v>
      </c>
      <c r="AB219" s="110">
        <v>5</v>
      </c>
      <c r="AC219" s="110">
        <v>5</v>
      </c>
      <c r="AD21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19" s="110" t="s">
        <v>3335</v>
      </c>
      <c r="AF219" s="70"/>
      <c r="AG219" s="70"/>
      <c r="AH219" s="70"/>
      <c r="AI219" s="70"/>
      <c r="AJ219" s="70"/>
      <c r="AK219" s="70"/>
      <c r="AL219" s="70"/>
      <c r="AM219" s="70"/>
      <c r="AN219" s="70"/>
      <c r="AO219" s="70"/>
      <c r="AP219" s="70"/>
      <c r="AQ219" s="70"/>
      <c r="AR219" s="70"/>
      <c r="AS219" s="70" t="s">
        <v>4122</v>
      </c>
      <c r="AT219" s="70"/>
      <c r="AU219" s="70"/>
      <c r="AV219" s="70" t="s">
        <v>4122</v>
      </c>
      <c r="AW219" s="70"/>
      <c r="AX219" s="70"/>
      <c r="AY219" s="70"/>
      <c r="AZ219" s="70"/>
      <c r="BA219" s="70"/>
      <c r="BB219" s="70"/>
      <c r="BC219" s="70"/>
      <c r="BD219" s="70"/>
      <c r="BE219" s="70"/>
      <c r="BF219" s="70"/>
      <c r="BG219" s="70"/>
      <c r="BH219" s="130"/>
      <c r="BI219" s="130"/>
      <c r="BJ219" s="130"/>
      <c r="BK219" s="130"/>
      <c r="BL219" s="130"/>
      <c r="BM219" s="130"/>
      <c r="BN219" s="130"/>
      <c r="BO219" s="130"/>
      <c r="BP219" s="130"/>
      <c r="BQ219" s="130" t="s">
        <v>4122</v>
      </c>
      <c r="BR219" s="130"/>
    </row>
    <row r="220" spans="1:100" hidden="1" x14ac:dyDescent="0.25">
      <c r="A220" s="68">
        <v>181</v>
      </c>
      <c r="B220" s="110" t="s">
        <v>3041</v>
      </c>
      <c r="C220" s="110" t="s">
        <v>3042</v>
      </c>
      <c r="D220" s="110" t="s">
        <v>3043</v>
      </c>
      <c r="E220" s="110"/>
      <c r="F220" s="110" t="s">
        <v>3044</v>
      </c>
      <c r="G220" s="110">
        <v>2017</v>
      </c>
      <c r="H220" s="110" t="s">
        <v>3045</v>
      </c>
      <c r="I220" s="111" t="s">
        <v>80</v>
      </c>
      <c r="J220" s="111" t="s">
        <v>80</v>
      </c>
      <c r="K220" s="111">
        <v>0.25</v>
      </c>
      <c r="L220" s="111">
        <v>4</v>
      </c>
      <c r="M220" s="110" t="s">
        <v>3955</v>
      </c>
      <c r="N220" s="110">
        <v>0</v>
      </c>
      <c r="O220" s="110">
        <v>1</v>
      </c>
      <c r="P220" s="110" t="s">
        <v>3157</v>
      </c>
      <c r="Q220" s="110" t="s">
        <v>3201</v>
      </c>
      <c r="R220" s="110" t="s">
        <v>4134</v>
      </c>
      <c r="S220" s="110" t="s">
        <v>3235</v>
      </c>
      <c r="T220" s="110" t="s">
        <v>1</v>
      </c>
      <c r="U220" s="110" t="s">
        <v>38</v>
      </c>
      <c r="V220" s="110" t="s">
        <v>69</v>
      </c>
      <c r="W220" s="110" t="s">
        <v>3336</v>
      </c>
      <c r="X220" s="110">
        <v>5</v>
      </c>
      <c r="Y220" s="110">
        <v>5</v>
      </c>
      <c r="Z220" s="110">
        <v>5</v>
      </c>
      <c r="AA220" s="110">
        <v>5</v>
      </c>
      <c r="AB220" s="110">
        <v>5</v>
      </c>
      <c r="AC220" s="110">
        <v>5</v>
      </c>
      <c r="AD220"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20" s="110" t="s">
        <v>3600</v>
      </c>
      <c r="AF220" s="70"/>
      <c r="AG220" s="70"/>
      <c r="AH220" s="70"/>
      <c r="AI220" s="70"/>
      <c r="AJ220" s="70"/>
      <c r="AK220" s="70"/>
      <c r="AL220" s="70"/>
      <c r="AM220" s="70"/>
      <c r="AN220" s="70"/>
      <c r="AO220" s="70"/>
      <c r="AP220" s="70"/>
      <c r="AQ220" s="70"/>
      <c r="AR220" s="70"/>
      <c r="AS220" s="70" t="s">
        <v>4122</v>
      </c>
      <c r="AT220" s="70"/>
      <c r="AU220" s="70"/>
      <c r="AV220" s="70"/>
      <c r="AW220" s="70"/>
      <c r="AX220" s="70"/>
      <c r="AY220" s="70"/>
      <c r="AZ220" s="70"/>
      <c r="BA220" s="70"/>
      <c r="BB220" s="70" t="s">
        <v>4122</v>
      </c>
      <c r="BC220" s="70"/>
      <c r="BD220" s="70"/>
      <c r="BE220" s="70"/>
      <c r="BF220" s="70"/>
      <c r="BG220" s="70"/>
      <c r="BH220" s="130"/>
      <c r="BI220" s="130"/>
      <c r="BJ220" s="130" t="s">
        <v>4122</v>
      </c>
      <c r="BK220" s="130"/>
      <c r="BL220" s="130"/>
      <c r="BM220" s="130"/>
      <c r="BN220" s="130"/>
      <c r="BO220" s="130"/>
      <c r="BP220" s="130"/>
      <c r="BQ220" s="130"/>
      <c r="BR220" s="130"/>
    </row>
    <row r="221" spans="1:100" hidden="1" x14ac:dyDescent="0.25">
      <c r="A221" s="68">
        <v>192</v>
      </c>
      <c r="B221" s="70" t="s">
        <v>1288</v>
      </c>
      <c r="C221" s="70" t="s">
        <v>1289</v>
      </c>
      <c r="D221" s="70" t="s">
        <v>1290</v>
      </c>
      <c r="E221" s="70"/>
      <c r="F221" s="70" t="s">
        <v>1291</v>
      </c>
      <c r="G221" s="70">
        <v>2015</v>
      </c>
      <c r="H221" s="70" t="s">
        <v>1292</v>
      </c>
      <c r="I221" s="78" t="s">
        <v>80</v>
      </c>
      <c r="J221" s="78" t="s">
        <v>80</v>
      </c>
      <c r="K221" s="78">
        <v>0.19</v>
      </c>
      <c r="L221" s="78">
        <v>3</v>
      </c>
      <c r="M221" s="70" t="s">
        <v>3738</v>
      </c>
      <c r="N221" s="70">
        <v>0</v>
      </c>
      <c r="O221" s="70">
        <v>5</v>
      </c>
      <c r="P221" s="90" t="s">
        <v>3376</v>
      </c>
      <c r="Q221" s="104" t="s">
        <v>3182</v>
      </c>
      <c r="R221" s="108" t="s">
        <v>3204</v>
      </c>
      <c r="S221" s="90" t="s">
        <v>3332</v>
      </c>
      <c r="T221" s="70" t="s">
        <v>1</v>
      </c>
      <c r="U221" s="70" t="s">
        <v>38</v>
      </c>
      <c r="V221" s="70" t="s">
        <v>69</v>
      </c>
      <c r="W221" s="70" t="s">
        <v>3336</v>
      </c>
      <c r="X221" s="70">
        <v>5</v>
      </c>
      <c r="Y221" s="70">
        <v>5</v>
      </c>
      <c r="Z221" s="70">
        <v>3</v>
      </c>
      <c r="AA221" s="70">
        <v>4</v>
      </c>
      <c r="AB221" s="70">
        <v>5</v>
      </c>
      <c r="AC221" s="70">
        <v>3</v>
      </c>
      <c r="AD22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21" s="70" t="s">
        <v>61</v>
      </c>
      <c r="AF221" s="70"/>
      <c r="AG221" s="70"/>
      <c r="AH221" s="70"/>
      <c r="AI221" s="70"/>
      <c r="AJ221" s="70"/>
      <c r="AK221" s="70"/>
      <c r="AL221" s="70"/>
      <c r="AM221" s="70"/>
      <c r="AN221" s="70"/>
      <c r="AO221" s="70"/>
      <c r="AP221" s="70"/>
      <c r="AQ221" s="70"/>
      <c r="AR221" s="70"/>
      <c r="AS221" s="70" t="s">
        <v>4122</v>
      </c>
      <c r="AT221" s="70"/>
      <c r="AU221" s="70"/>
      <c r="AV221" s="70"/>
      <c r="AW221" s="70"/>
      <c r="AX221" s="70"/>
      <c r="AY221" s="70"/>
      <c r="AZ221" s="70"/>
      <c r="BA221" s="70"/>
      <c r="BB221" s="70" t="s">
        <v>4122</v>
      </c>
      <c r="BC221" s="70"/>
      <c r="BD221" s="70"/>
      <c r="BE221" s="70"/>
      <c r="BF221" s="70"/>
      <c r="BG221" s="70"/>
      <c r="BH221" s="130"/>
      <c r="BI221" s="130"/>
      <c r="BJ221" s="130"/>
      <c r="BK221" s="130"/>
      <c r="BL221" s="130"/>
      <c r="BM221" s="130"/>
      <c r="BN221" s="130" t="s">
        <v>4122</v>
      </c>
      <c r="BO221" s="130"/>
      <c r="BP221" s="130"/>
      <c r="BQ221" s="130"/>
      <c r="BR221" s="130"/>
    </row>
    <row r="222" spans="1:100" hidden="1" x14ac:dyDescent="0.25">
      <c r="A222" s="68">
        <v>215</v>
      </c>
      <c r="B222" s="70" t="s">
        <v>2862</v>
      </c>
      <c r="C222" s="70" t="s">
        <v>2863</v>
      </c>
      <c r="D222" s="70" t="s">
        <v>5</v>
      </c>
      <c r="E222" s="70"/>
      <c r="F222" s="70" t="s">
        <v>2864</v>
      </c>
      <c r="G222" s="70">
        <v>2015</v>
      </c>
      <c r="H222" s="70" t="s">
        <v>2865</v>
      </c>
      <c r="I222" s="78" t="s">
        <v>80</v>
      </c>
      <c r="J222" s="78" t="s">
        <v>80</v>
      </c>
      <c r="K222" s="78" t="s">
        <v>80</v>
      </c>
      <c r="L222" s="78" t="s">
        <v>80</v>
      </c>
      <c r="M222" s="70" t="s">
        <v>4003</v>
      </c>
      <c r="N222" s="70">
        <v>0</v>
      </c>
      <c r="O222" s="70">
        <v>4</v>
      </c>
      <c r="P222" s="90" t="s">
        <v>3157</v>
      </c>
      <c r="Q222" s="104" t="s">
        <v>3201</v>
      </c>
      <c r="R222" s="108" t="s">
        <v>3209</v>
      </c>
      <c r="S222" s="90" t="s">
        <v>3332</v>
      </c>
      <c r="T222" s="70" t="s">
        <v>2</v>
      </c>
      <c r="U222" s="70" t="s">
        <v>40</v>
      </c>
      <c r="V222" s="70" t="s">
        <v>70</v>
      </c>
      <c r="W222" s="70" t="s">
        <v>3280</v>
      </c>
      <c r="X222" s="70">
        <v>4</v>
      </c>
      <c r="Y222" s="70">
        <v>4</v>
      </c>
      <c r="Z222" s="70">
        <v>4</v>
      </c>
      <c r="AA222" s="70">
        <v>4</v>
      </c>
      <c r="AB222" s="70">
        <v>4</v>
      </c>
      <c r="AC222" s="70">
        <v>4</v>
      </c>
      <c r="AD22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22" s="70" t="s">
        <v>3625</v>
      </c>
      <c r="AF222" s="70"/>
      <c r="AG222" s="70"/>
      <c r="AH222" s="70"/>
      <c r="AI222" s="70"/>
      <c r="AJ222" s="70"/>
      <c r="AK222" s="70"/>
      <c r="AL222" s="70"/>
      <c r="AM222" s="70"/>
      <c r="AN222" s="70"/>
      <c r="AO222" s="70"/>
      <c r="AP222" s="70"/>
      <c r="AQ222" s="70"/>
      <c r="AR222" s="70"/>
      <c r="AS222" s="70" t="s">
        <v>4122</v>
      </c>
      <c r="AT222" s="70"/>
      <c r="AU222" s="70"/>
      <c r="AV222" s="70"/>
      <c r="AW222" s="70"/>
      <c r="AX222" s="70"/>
      <c r="AY222" s="70"/>
      <c r="AZ222" s="70"/>
      <c r="BA222" s="70"/>
      <c r="BB222" s="70" t="s">
        <v>4122</v>
      </c>
      <c r="BC222" s="70"/>
      <c r="BD222" s="70"/>
      <c r="BE222" s="70"/>
      <c r="BF222" s="70"/>
      <c r="BG222" s="70"/>
      <c r="BH222" s="130"/>
      <c r="BI222" s="130"/>
      <c r="BJ222" s="130"/>
      <c r="BK222" s="130"/>
      <c r="BL222" s="130"/>
      <c r="BM222" s="130"/>
      <c r="BN222" s="130" t="s">
        <v>4122</v>
      </c>
      <c r="BO222" s="130"/>
      <c r="BP222" s="130"/>
      <c r="BQ222" s="130"/>
      <c r="BR222" s="130"/>
    </row>
    <row r="223" spans="1:100" hidden="1" x14ac:dyDescent="0.25">
      <c r="A223" s="68">
        <v>216</v>
      </c>
      <c r="B223" s="70" t="s">
        <v>1238</v>
      </c>
      <c r="C223" s="70" t="s">
        <v>1239</v>
      </c>
      <c r="D223" s="70" t="s">
        <v>4005</v>
      </c>
      <c r="E223" s="70"/>
      <c r="F223" s="70" t="s">
        <v>1240</v>
      </c>
      <c r="G223" s="70">
        <v>2018</v>
      </c>
      <c r="H223" s="70" t="s">
        <v>1241</v>
      </c>
      <c r="I223" s="78" t="s">
        <v>84</v>
      </c>
      <c r="J223" s="78" t="s">
        <v>80</v>
      </c>
      <c r="K223" s="78" t="s">
        <v>80</v>
      </c>
      <c r="L223" s="78" t="s">
        <v>80</v>
      </c>
      <c r="M223" s="70" t="s">
        <v>4004</v>
      </c>
      <c r="N223" s="70">
        <v>0</v>
      </c>
      <c r="O223" s="70">
        <v>5</v>
      </c>
      <c r="P223" s="90" t="s">
        <v>3162</v>
      </c>
      <c r="Q223" s="104" t="s">
        <v>3420</v>
      </c>
      <c r="R223" s="108" t="s">
        <v>3364</v>
      </c>
      <c r="S223" s="90" t="s">
        <v>3626</v>
      </c>
      <c r="T223" s="70" t="s">
        <v>0</v>
      </c>
      <c r="U223" s="70" t="s">
        <v>3622</v>
      </c>
      <c r="V223" s="70" t="s">
        <v>70</v>
      </c>
      <c r="W223" s="70" t="s">
        <v>3512</v>
      </c>
      <c r="X223" s="70">
        <v>5</v>
      </c>
      <c r="Y223" s="70">
        <v>5</v>
      </c>
      <c r="Z223" s="70">
        <v>5</v>
      </c>
      <c r="AA223" s="70">
        <v>5</v>
      </c>
      <c r="AB223" s="70">
        <v>5</v>
      </c>
      <c r="AC223" s="70">
        <v>5</v>
      </c>
      <c r="AD22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23" s="70" t="s">
        <v>3317</v>
      </c>
      <c r="AF223" s="70"/>
      <c r="AG223" s="70"/>
      <c r="AH223" s="70"/>
      <c r="AI223" s="70"/>
      <c r="AJ223" s="70"/>
      <c r="AK223" s="70"/>
      <c r="AL223" s="70"/>
      <c r="AM223" s="70"/>
      <c r="AN223" s="70"/>
      <c r="AO223" s="70"/>
      <c r="AP223" s="70"/>
      <c r="AQ223" s="70"/>
      <c r="AR223" s="70"/>
      <c r="AS223" s="70" t="s">
        <v>4122</v>
      </c>
      <c r="AT223" s="70"/>
      <c r="AU223" s="70"/>
      <c r="AV223" s="70"/>
      <c r="AW223" s="70"/>
      <c r="AX223" s="70"/>
      <c r="AY223" s="70"/>
      <c r="AZ223" s="70"/>
      <c r="BA223" s="70"/>
      <c r="BB223" s="70" t="s">
        <v>4122</v>
      </c>
      <c r="BC223" s="70"/>
      <c r="BD223" s="70"/>
      <c r="BE223" s="70"/>
      <c r="BF223" s="70"/>
      <c r="BG223" s="70"/>
      <c r="BH223" s="130"/>
      <c r="BI223" s="130"/>
      <c r="BJ223" s="130"/>
      <c r="BK223" s="130"/>
      <c r="BL223" s="130"/>
      <c r="BM223" s="130"/>
      <c r="BN223" s="130" t="s">
        <v>4122</v>
      </c>
      <c r="BO223" s="130"/>
      <c r="BP223" s="130"/>
      <c r="BQ223" s="130"/>
      <c r="BR223" s="130"/>
    </row>
    <row r="224" spans="1:100" hidden="1" x14ac:dyDescent="0.25">
      <c r="A224" s="68">
        <v>174</v>
      </c>
      <c r="B224" s="110" t="s">
        <v>685</v>
      </c>
      <c r="C224" s="110" t="s">
        <v>686</v>
      </c>
      <c r="D224" s="110" t="s">
        <v>3945</v>
      </c>
      <c r="E224" s="110"/>
      <c r="F224" s="110" t="s">
        <v>687</v>
      </c>
      <c r="G224" s="110">
        <v>2017</v>
      </c>
      <c r="H224" s="110" t="s">
        <v>688</v>
      </c>
      <c r="I224" s="111" t="s">
        <v>80</v>
      </c>
      <c r="J224" s="111" t="s">
        <v>80</v>
      </c>
      <c r="K224" s="111" t="s">
        <v>80</v>
      </c>
      <c r="L224" s="111" t="s">
        <v>80</v>
      </c>
      <c r="M224" s="110" t="s">
        <v>3944</v>
      </c>
      <c r="N224" s="110">
        <v>0</v>
      </c>
      <c r="O224" s="110">
        <v>5</v>
      </c>
      <c r="P224" s="110" t="s">
        <v>3244</v>
      </c>
      <c r="Q224" s="110" t="s">
        <v>3591</v>
      </c>
      <c r="R224" s="110" t="s">
        <v>3514</v>
      </c>
      <c r="S224" s="110" t="s">
        <v>3237</v>
      </c>
      <c r="T224" s="110" t="s">
        <v>0</v>
      </c>
      <c r="U224" s="110" t="s">
        <v>38</v>
      </c>
      <c r="V224" s="110" t="s">
        <v>69</v>
      </c>
      <c r="W224" s="110" t="s">
        <v>3336</v>
      </c>
      <c r="X224" s="110">
        <v>5</v>
      </c>
      <c r="Y224" s="110">
        <v>5</v>
      </c>
      <c r="Z224" s="110">
        <v>5</v>
      </c>
      <c r="AA224" s="110">
        <v>5</v>
      </c>
      <c r="AB224" s="110">
        <v>5</v>
      </c>
      <c r="AC224" s="110">
        <v>5</v>
      </c>
      <c r="AD22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24" s="110" t="s">
        <v>3317</v>
      </c>
      <c r="AF224" s="70"/>
      <c r="AG224" s="70"/>
      <c r="AH224" s="70"/>
      <c r="AI224" s="70"/>
      <c r="AJ224" s="70"/>
      <c r="AK224" s="70"/>
      <c r="AL224" s="70"/>
      <c r="AM224" s="70" t="s">
        <v>4122</v>
      </c>
      <c r="AN224" s="70"/>
      <c r="AO224" s="70"/>
      <c r="AP224" s="70" t="s">
        <v>4122</v>
      </c>
      <c r="AQ224" s="70" t="s">
        <v>4122</v>
      </c>
      <c r="AR224" s="70"/>
      <c r="AS224" s="70"/>
      <c r="AT224" s="70"/>
      <c r="AU224" s="70"/>
      <c r="AV224" s="70" t="s">
        <v>4122</v>
      </c>
      <c r="AW224" s="70"/>
      <c r="AX224" s="70"/>
      <c r="AY224" s="70"/>
      <c r="AZ224" s="70"/>
      <c r="BA224" s="70"/>
      <c r="BB224" s="70"/>
      <c r="BC224" s="70"/>
      <c r="BD224" s="70"/>
      <c r="BE224" s="70"/>
      <c r="BF224" s="70"/>
      <c r="BG224" s="70"/>
      <c r="BH224" s="130"/>
      <c r="BI224" s="130"/>
      <c r="BJ224" s="130" t="s">
        <v>4122</v>
      </c>
      <c r="BK224" s="130"/>
      <c r="BL224" s="130"/>
      <c r="BM224" s="130"/>
      <c r="BN224" s="130"/>
      <c r="BO224" s="130"/>
      <c r="BP224" s="130"/>
      <c r="BQ224" s="130"/>
      <c r="BR224" s="130"/>
    </row>
    <row r="225" spans="1:70" hidden="1" x14ac:dyDescent="0.25">
      <c r="A225" s="68">
        <v>169</v>
      </c>
      <c r="B225" s="70" t="s">
        <v>2338</v>
      </c>
      <c r="C225" s="70" t="s">
        <v>2339</v>
      </c>
      <c r="D225" s="70" t="s">
        <v>3939</v>
      </c>
      <c r="E225" s="70"/>
      <c r="F225" s="70" t="s">
        <v>2340</v>
      </c>
      <c r="G225" s="70">
        <v>2015</v>
      </c>
      <c r="H225" s="70" t="s">
        <v>2341</v>
      </c>
      <c r="I225" s="78" t="s">
        <v>80</v>
      </c>
      <c r="J225" s="78" t="s">
        <v>80</v>
      </c>
      <c r="K225" s="78" t="s">
        <v>80</v>
      </c>
      <c r="L225" s="78" t="s">
        <v>80</v>
      </c>
      <c r="M225" s="70" t="s">
        <v>3938</v>
      </c>
      <c r="N225" s="70">
        <v>0</v>
      </c>
      <c r="O225" s="70">
        <v>5</v>
      </c>
      <c r="P225" s="90" t="s">
        <v>3583</v>
      </c>
      <c r="Q225" s="104" t="s">
        <v>3467</v>
      </c>
      <c r="R225" s="108" t="s">
        <v>3361</v>
      </c>
      <c r="S225" s="90" t="s">
        <v>3238</v>
      </c>
      <c r="T225" s="70" t="s">
        <v>0</v>
      </c>
      <c r="U225" s="70" t="s">
        <v>38</v>
      </c>
      <c r="V225" s="70" t="s">
        <v>69</v>
      </c>
      <c r="W225" s="70" t="s">
        <v>3336</v>
      </c>
      <c r="X225" s="70">
        <v>5</v>
      </c>
      <c r="Y225" s="70">
        <v>5</v>
      </c>
      <c r="Z225" s="70">
        <v>5</v>
      </c>
      <c r="AA225" s="70">
        <v>5</v>
      </c>
      <c r="AB225" s="70">
        <v>5</v>
      </c>
      <c r="AC225" s="70">
        <v>5</v>
      </c>
      <c r="AD22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25" s="70" t="s">
        <v>59</v>
      </c>
      <c r="AF225" s="70"/>
      <c r="AG225" s="70"/>
      <c r="AH225" s="70"/>
      <c r="AI225" s="70"/>
      <c r="AJ225" s="70"/>
      <c r="AK225" s="70" t="s">
        <v>4122</v>
      </c>
      <c r="AL225" s="70"/>
      <c r="AM225" s="70" t="s">
        <v>4122</v>
      </c>
      <c r="AN225" s="70"/>
      <c r="AO225" s="70"/>
      <c r="AP225" s="70"/>
      <c r="AQ225" s="70"/>
      <c r="AR225" s="70"/>
      <c r="AS225" s="70"/>
      <c r="AT225" s="70"/>
      <c r="AU225" s="70"/>
      <c r="AV225" s="70"/>
      <c r="AW225" s="70"/>
      <c r="AX225" s="70"/>
      <c r="AY225" s="70"/>
      <c r="AZ225" s="70"/>
      <c r="BA225" s="70"/>
      <c r="BB225" s="70" t="s">
        <v>4122</v>
      </c>
      <c r="BC225" s="70"/>
      <c r="BD225" s="70"/>
      <c r="BE225" s="70"/>
      <c r="BF225" s="70"/>
      <c r="BG225" s="70"/>
      <c r="BH225" s="130"/>
      <c r="BI225" s="130"/>
      <c r="BJ225" s="130"/>
      <c r="BK225" s="130"/>
      <c r="BL225" s="130"/>
      <c r="BM225" s="130"/>
      <c r="BN225" s="130" t="s">
        <v>4122</v>
      </c>
      <c r="BO225" s="130"/>
      <c r="BP225" s="130"/>
      <c r="BQ225" s="130"/>
      <c r="BR225" s="130"/>
    </row>
    <row r="226" spans="1:70" hidden="1" x14ac:dyDescent="0.25">
      <c r="A226" s="68">
        <v>189</v>
      </c>
      <c r="B226" s="70" t="s">
        <v>715</v>
      </c>
      <c r="C226" s="70" t="s">
        <v>719</v>
      </c>
      <c r="D226" s="70" t="s">
        <v>3969</v>
      </c>
      <c r="E226" s="70"/>
      <c r="F226" s="70" t="s">
        <v>720</v>
      </c>
      <c r="G226" s="70">
        <v>2018</v>
      </c>
      <c r="H226" s="70" t="s">
        <v>721</v>
      </c>
      <c r="I226" s="78" t="s">
        <v>80</v>
      </c>
      <c r="J226" s="78" t="s">
        <v>80</v>
      </c>
      <c r="K226" s="78" t="s">
        <v>80</v>
      </c>
      <c r="L226" s="78" t="s">
        <v>80</v>
      </c>
      <c r="M226" s="70" t="s">
        <v>3968</v>
      </c>
      <c r="N226" s="70">
        <v>0</v>
      </c>
      <c r="O226" s="70">
        <v>4</v>
      </c>
      <c r="P226" s="90" t="s">
        <v>3383</v>
      </c>
      <c r="Q226" s="104" t="s">
        <v>3467</v>
      </c>
      <c r="R226" s="108" t="s">
        <v>3204</v>
      </c>
      <c r="S226" s="90" t="s">
        <v>3187</v>
      </c>
      <c r="T226" s="70" t="s">
        <v>0</v>
      </c>
      <c r="U226" s="70" t="s">
        <v>38</v>
      </c>
      <c r="V226" s="70" t="s">
        <v>69</v>
      </c>
      <c r="W226" s="70" t="s">
        <v>3336</v>
      </c>
      <c r="X226" s="70">
        <v>5</v>
      </c>
      <c r="Y226" s="70">
        <v>4</v>
      </c>
      <c r="Z226" s="70">
        <v>3</v>
      </c>
      <c r="AA226" s="70">
        <v>4</v>
      </c>
      <c r="AB226" s="70">
        <v>4</v>
      </c>
      <c r="AC226" s="70">
        <v>3</v>
      </c>
      <c r="AD22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26" s="70" t="s">
        <v>3315</v>
      </c>
      <c r="AF226" s="70" t="s">
        <v>4122</v>
      </c>
      <c r="AG226" s="70"/>
      <c r="AH226" s="70"/>
      <c r="AI226" s="70" t="s">
        <v>4122</v>
      </c>
      <c r="AJ226" s="70"/>
      <c r="AK226" s="70"/>
      <c r="AL226" s="70"/>
      <c r="AM226" s="70" t="s">
        <v>4122</v>
      </c>
      <c r="AN226" s="70"/>
      <c r="AO226" s="70"/>
      <c r="AP226" s="70"/>
      <c r="AQ226" s="70"/>
      <c r="AR226" s="70" t="s">
        <v>4122</v>
      </c>
      <c r="AS226" s="70"/>
      <c r="AT226" s="70"/>
      <c r="AU226" s="70"/>
      <c r="AV226" s="70"/>
      <c r="AW226" s="70"/>
      <c r="AX226" s="70"/>
      <c r="AY226" s="70"/>
      <c r="AZ226" s="70"/>
      <c r="BA226" s="70"/>
      <c r="BB226" s="70" t="s">
        <v>4122</v>
      </c>
      <c r="BC226" s="70"/>
      <c r="BD226" s="70"/>
      <c r="BE226" s="70"/>
      <c r="BF226" s="70"/>
      <c r="BG226" s="70"/>
      <c r="BH226" s="130"/>
      <c r="BI226" s="130"/>
      <c r="BJ226" s="130"/>
      <c r="BK226" s="130"/>
      <c r="BL226" s="130"/>
      <c r="BM226" s="130"/>
      <c r="BN226" s="130" t="s">
        <v>4122</v>
      </c>
      <c r="BO226" s="130"/>
      <c r="BP226" s="130"/>
      <c r="BQ226" s="130"/>
      <c r="BR226" s="130"/>
    </row>
    <row r="227" spans="1:70" hidden="1" x14ac:dyDescent="0.25">
      <c r="A227" s="68">
        <v>81</v>
      </c>
      <c r="B227" s="110" t="s">
        <v>1829</v>
      </c>
      <c r="C227" s="110" t="s">
        <v>2515</v>
      </c>
      <c r="D227" s="110" t="s">
        <v>3801</v>
      </c>
      <c r="E227" s="110"/>
      <c r="F227" s="110" t="s">
        <v>2516</v>
      </c>
      <c r="G227" s="110">
        <v>2017</v>
      </c>
      <c r="H227" s="110" t="s">
        <v>2517</v>
      </c>
      <c r="I227" s="111" t="s">
        <v>80</v>
      </c>
      <c r="J227" s="111" t="s">
        <v>80</v>
      </c>
      <c r="K227" s="111" t="s">
        <v>80</v>
      </c>
      <c r="L227" s="111">
        <v>1</v>
      </c>
      <c r="M227" s="110" t="s">
        <v>3800</v>
      </c>
      <c r="N227" s="110">
        <v>0</v>
      </c>
      <c r="O227" s="110">
        <v>5</v>
      </c>
      <c r="P227" s="110" t="s">
        <v>3244</v>
      </c>
      <c r="Q227" s="110" t="s">
        <v>3190</v>
      </c>
      <c r="R227" s="110" t="s">
        <v>4135</v>
      </c>
      <c r="S227" s="110" t="s">
        <v>3257</v>
      </c>
      <c r="T227" s="110" t="s">
        <v>0</v>
      </c>
      <c r="U227" s="110" t="s">
        <v>38</v>
      </c>
      <c r="V227" s="110" t="s">
        <v>69</v>
      </c>
      <c r="W227" s="110" t="s">
        <v>3336</v>
      </c>
      <c r="X227" s="110">
        <v>5</v>
      </c>
      <c r="Y227" s="110">
        <v>5</v>
      </c>
      <c r="Z227" s="110">
        <v>5</v>
      </c>
      <c r="AA227" s="110">
        <v>5</v>
      </c>
      <c r="AB227" s="110">
        <v>5</v>
      </c>
      <c r="AC227" s="110">
        <v>5</v>
      </c>
      <c r="AD227"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27" s="110" t="s">
        <v>3335</v>
      </c>
      <c r="AF227" s="70"/>
      <c r="AG227" s="70" t="s">
        <v>4122</v>
      </c>
      <c r="AH227" s="70"/>
      <c r="AI227" s="70"/>
      <c r="AJ227" s="70" t="s">
        <v>4122</v>
      </c>
      <c r="AK227" s="70"/>
      <c r="AL227" s="70"/>
      <c r="AM227" s="70" t="s">
        <v>4122</v>
      </c>
      <c r="AN227" s="70"/>
      <c r="AO227" s="70"/>
      <c r="AP227" s="70"/>
      <c r="AQ227" s="70"/>
      <c r="AR227" s="70"/>
      <c r="AS227" s="70"/>
      <c r="AT227" s="70"/>
      <c r="AU227" s="70"/>
      <c r="AV227" s="70"/>
      <c r="AW227" s="70"/>
      <c r="AX227" s="70" t="s">
        <v>4122</v>
      </c>
      <c r="AY227" s="70"/>
      <c r="AZ227" s="70"/>
      <c r="BA227" s="70"/>
      <c r="BB227" s="70"/>
      <c r="BC227" s="70"/>
      <c r="BD227" s="70"/>
      <c r="BE227" s="70"/>
      <c r="BF227" s="70"/>
      <c r="BG227" s="70"/>
      <c r="BH227" s="130"/>
      <c r="BI227" s="130"/>
      <c r="BJ227" s="130" t="s">
        <v>4122</v>
      </c>
      <c r="BK227" s="130"/>
      <c r="BL227" s="130"/>
      <c r="BM227" s="130"/>
      <c r="BN227" s="130"/>
      <c r="BO227" s="130"/>
      <c r="BP227" s="130"/>
      <c r="BQ227" s="130"/>
      <c r="BR227" s="130"/>
    </row>
    <row r="228" spans="1:70" hidden="1" x14ac:dyDescent="0.25">
      <c r="A228" s="68">
        <v>234</v>
      </c>
      <c r="B228" s="70" t="s">
        <v>2215</v>
      </c>
      <c r="C228" s="70" t="s">
        <v>2216</v>
      </c>
      <c r="D228" s="70" t="s">
        <v>4034</v>
      </c>
      <c r="E228" s="70"/>
      <c r="F228" s="70" t="s">
        <v>2217</v>
      </c>
      <c r="G228" s="70">
        <v>2017</v>
      </c>
      <c r="H228" s="70" t="s">
        <v>2218</v>
      </c>
      <c r="I228" s="78" t="s">
        <v>82</v>
      </c>
      <c r="J228" s="78" t="s">
        <v>88</v>
      </c>
      <c r="K228" s="78" t="s">
        <v>80</v>
      </c>
      <c r="L228" s="78" t="s">
        <v>80</v>
      </c>
      <c r="M228" s="70" t="s">
        <v>4029</v>
      </c>
      <c r="N228" s="70">
        <v>0</v>
      </c>
      <c r="O228" s="70">
        <v>4</v>
      </c>
      <c r="P228" s="90" t="s">
        <v>3371</v>
      </c>
      <c r="Q228" s="104" t="s">
        <v>3391</v>
      </c>
      <c r="R228" s="108" t="s">
        <v>3637</v>
      </c>
      <c r="S228" s="90" t="s">
        <v>3187</v>
      </c>
      <c r="T228" s="70" t="s">
        <v>6</v>
      </c>
      <c r="U228" s="70" t="s">
        <v>40</v>
      </c>
      <c r="V228" s="70" t="s">
        <v>69</v>
      </c>
      <c r="W228" s="70" t="s">
        <v>3512</v>
      </c>
      <c r="X228" s="70">
        <v>4</v>
      </c>
      <c r="Y228" s="70">
        <v>4</v>
      </c>
      <c r="Z228" s="70">
        <v>4</v>
      </c>
      <c r="AA228" s="70">
        <v>4</v>
      </c>
      <c r="AB228" s="70">
        <v>4</v>
      </c>
      <c r="AC228" s="70">
        <v>4</v>
      </c>
      <c r="AD228"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28" s="70" t="s">
        <v>3315</v>
      </c>
      <c r="AF228" s="70"/>
      <c r="AG228" s="70"/>
      <c r="AH228" s="70"/>
      <c r="AI228" s="70"/>
      <c r="AJ228" s="70"/>
      <c r="AK228" s="70"/>
      <c r="AL228" s="70"/>
      <c r="AM228" s="70"/>
      <c r="AN228" s="70"/>
      <c r="AO228" s="70"/>
      <c r="AP228" s="70" t="s">
        <v>4122</v>
      </c>
      <c r="AQ228" s="70"/>
      <c r="AR228" s="70"/>
      <c r="AS228" s="70" t="s">
        <v>4122</v>
      </c>
      <c r="AT228" s="70"/>
      <c r="AU228" s="70"/>
      <c r="AV228" s="70"/>
      <c r="AW228" s="70"/>
      <c r="AX228" s="70"/>
      <c r="AY228" s="70"/>
      <c r="AZ228" s="70"/>
      <c r="BA228" s="70"/>
      <c r="BB228" s="70" t="s">
        <v>4122</v>
      </c>
      <c r="BC228" s="70"/>
      <c r="BD228" s="70"/>
      <c r="BE228" s="70"/>
      <c r="BF228" s="70"/>
      <c r="BG228" s="70"/>
      <c r="BH228" s="130"/>
      <c r="BI228" s="130"/>
      <c r="BJ228" s="130"/>
      <c r="BK228" s="130"/>
      <c r="BL228" s="130"/>
      <c r="BM228" s="130"/>
      <c r="BN228" s="130"/>
      <c r="BO228" s="130" t="s">
        <v>4122</v>
      </c>
      <c r="BP228" s="130"/>
      <c r="BQ228" s="130"/>
      <c r="BR228" s="130"/>
    </row>
    <row r="229" spans="1:70" hidden="1" x14ac:dyDescent="0.25">
      <c r="A229" s="68">
        <v>82</v>
      </c>
      <c r="B229" s="110" t="s">
        <v>1829</v>
      </c>
      <c r="C229" s="110" t="s">
        <v>1830</v>
      </c>
      <c r="D229" s="110" t="s">
        <v>3803</v>
      </c>
      <c r="E229" s="110"/>
      <c r="F229" s="110" t="s">
        <v>1831</v>
      </c>
      <c r="G229" s="110">
        <v>2018</v>
      </c>
      <c r="H229" s="110" t="s">
        <v>1832</v>
      </c>
      <c r="I229" s="111" t="s">
        <v>80</v>
      </c>
      <c r="J229" s="111" t="s">
        <v>83</v>
      </c>
      <c r="K229" s="111" t="s">
        <v>80</v>
      </c>
      <c r="L229" s="111" t="s">
        <v>80</v>
      </c>
      <c r="M229" s="110" t="s">
        <v>3802</v>
      </c>
      <c r="N229" s="110">
        <v>0</v>
      </c>
      <c r="O229" s="110">
        <v>5</v>
      </c>
      <c r="P229" s="110" t="s">
        <v>3244</v>
      </c>
      <c r="Q229" s="110" t="s">
        <v>3190</v>
      </c>
      <c r="R229" s="110" t="s">
        <v>4135</v>
      </c>
      <c r="S229" s="110" t="s">
        <v>3257</v>
      </c>
      <c r="T229" s="110" t="s">
        <v>0</v>
      </c>
      <c r="U229" s="110" t="s">
        <v>38</v>
      </c>
      <c r="V229" s="110" t="s">
        <v>69</v>
      </c>
      <c r="W229" s="110" t="s">
        <v>3336</v>
      </c>
      <c r="X229" s="110">
        <v>5</v>
      </c>
      <c r="Y229" s="110">
        <v>5</v>
      </c>
      <c r="Z229" s="110">
        <v>5</v>
      </c>
      <c r="AA229" s="110">
        <v>5</v>
      </c>
      <c r="AB229" s="110">
        <v>5</v>
      </c>
      <c r="AC229" s="110">
        <v>5</v>
      </c>
      <c r="AD229"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29" s="110" t="s">
        <v>3335</v>
      </c>
      <c r="AF229" s="70"/>
      <c r="AG229" s="70" t="s">
        <v>4122</v>
      </c>
      <c r="AH229" s="70"/>
      <c r="AI229" s="70"/>
      <c r="AJ229" s="70" t="s">
        <v>4122</v>
      </c>
      <c r="AK229" s="70"/>
      <c r="AL229" s="70"/>
      <c r="AM229" s="70" t="s">
        <v>4122</v>
      </c>
      <c r="AN229" s="70"/>
      <c r="AO229" s="70"/>
      <c r="AP229" s="70"/>
      <c r="AQ229" s="70"/>
      <c r="AR229" s="70"/>
      <c r="AS229" s="70"/>
      <c r="AT229" s="70"/>
      <c r="AU229" s="70"/>
      <c r="AV229" s="70"/>
      <c r="AW229" s="70"/>
      <c r="AX229" s="70" t="s">
        <v>4122</v>
      </c>
      <c r="AY229" s="70"/>
      <c r="AZ229" s="70"/>
      <c r="BA229" s="70"/>
      <c r="BB229" s="70"/>
      <c r="BC229" s="70"/>
      <c r="BD229" s="70"/>
      <c r="BE229" s="70"/>
      <c r="BF229" s="70"/>
      <c r="BG229" s="70"/>
      <c r="BH229" s="130"/>
      <c r="BI229" s="130"/>
      <c r="BJ229" s="130" t="s">
        <v>4122</v>
      </c>
      <c r="BK229" s="130"/>
      <c r="BL229" s="130"/>
      <c r="BM229" s="130"/>
      <c r="BN229" s="130"/>
      <c r="BO229" s="130"/>
      <c r="BP229" s="130"/>
      <c r="BQ229" s="130"/>
      <c r="BR229" s="130"/>
    </row>
    <row r="230" spans="1:70" ht="28.5" hidden="1" customHeight="1" x14ac:dyDescent="0.25">
      <c r="A230" s="68">
        <v>235</v>
      </c>
      <c r="B230" s="70" t="s">
        <v>1644</v>
      </c>
      <c r="C230" s="70" t="s">
        <v>1645</v>
      </c>
      <c r="D230" s="70" t="s">
        <v>26</v>
      </c>
      <c r="E230" s="70"/>
      <c r="F230" s="70" t="s">
        <v>1646</v>
      </c>
      <c r="G230" s="70">
        <v>2017</v>
      </c>
      <c r="H230" s="70" t="s">
        <v>1647</v>
      </c>
      <c r="I230" s="78" t="s">
        <v>80</v>
      </c>
      <c r="J230" s="78" t="s">
        <v>85</v>
      </c>
      <c r="K230" s="78" t="s">
        <v>80</v>
      </c>
      <c r="L230" s="78" t="s">
        <v>80</v>
      </c>
      <c r="M230" s="70" t="s">
        <v>4030</v>
      </c>
      <c r="N230" s="70">
        <v>0</v>
      </c>
      <c r="O230" s="70">
        <v>5</v>
      </c>
      <c r="P230" s="90" t="s">
        <v>3385</v>
      </c>
      <c r="Q230" s="104" t="s">
        <v>3256</v>
      </c>
      <c r="R230" s="108" t="s">
        <v>3615</v>
      </c>
      <c r="S230" s="90" t="s">
        <v>3257</v>
      </c>
      <c r="T230" s="70" t="s">
        <v>0</v>
      </c>
      <c r="U230" s="70" t="s">
        <v>37</v>
      </c>
      <c r="V230" s="70" t="s">
        <v>69</v>
      </c>
      <c r="W230" s="70" t="s">
        <v>3631</v>
      </c>
      <c r="X230" s="70">
        <v>3</v>
      </c>
      <c r="Y230" s="70">
        <v>3</v>
      </c>
      <c r="Z230" s="70">
        <v>3</v>
      </c>
      <c r="AA230" s="70">
        <v>3</v>
      </c>
      <c r="AB230" s="70">
        <v>3</v>
      </c>
      <c r="AC230" s="70">
        <v>3</v>
      </c>
      <c r="AD230"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30" s="70" t="s">
        <v>56</v>
      </c>
      <c r="AF230" s="70"/>
      <c r="AG230" s="70"/>
      <c r="AH230" s="70"/>
      <c r="AI230" s="70"/>
      <c r="AJ230" s="70" t="s">
        <v>4122</v>
      </c>
      <c r="AK230" s="70"/>
      <c r="AL230" s="70"/>
      <c r="AM230" s="70" t="s">
        <v>4122</v>
      </c>
      <c r="AN230" s="70"/>
      <c r="AO230" s="70"/>
      <c r="AP230" s="70"/>
      <c r="AQ230" s="70"/>
      <c r="AR230" s="70"/>
      <c r="AS230" s="70"/>
      <c r="AT230" s="70"/>
      <c r="AU230" s="70"/>
      <c r="AV230" s="70" t="s">
        <v>4122</v>
      </c>
      <c r="AW230" s="70"/>
      <c r="AX230" s="70"/>
      <c r="AY230" s="70"/>
      <c r="AZ230" s="70"/>
      <c r="BA230" s="70"/>
      <c r="BB230" s="70"/>
      <c r="BC230" s="70"/>
      <c r="BD230" s="70"/>
      <c r="BE230" s="70"/>
      <c r="BF230" s="70"/>
      <c r="BG230" s="70"/>
      <c r="BH230" s="130"/>
      <c r="BI230" s="130"/>
      <c r="BJ230" s="130"/>
      <c r="BK230" s="130"/>
      <c r="BL230" s="130"/>
      <c r="BM230" s="130"/>
      <c r="BN230" s="130" t="s">
        <v>4122</v>
      </c>
      <c r="BO230" s="130"/>
      <c r="BP230" s="130"/>
      <c r="BQ230" s="130"/>
      <c r="BR230" s="130"/>
    </row>
    <row r="231" spans="1:70" hidden="1" x14ac:dyDescent="0.25">
      <c r="A231" s="68">
        <v>117</v>
      </c>
      <c r="B231" s="70" t="s">
        <v>2286</v>
      </c>
      <c r="C231" s="70" t="s">
        <v>2287</v>
      </c>
      <c r="D231" s="70" t="s">
        <v>3858</v>
      </c>
      <c r="E231" s="70"/>
      <c r="F231" s="70" t="s">
        <v>2288</v>
      </c>
      <c r="G231" s="70">
        <v>2019</v>
      </c>
      <c r="H231" s="70" t="s">
        <v>2289</v>
      </c>
      <c r="I231" s="78" t="s">
        <v>80</v>
      </c>
      <c r="J231" s="78" t="s">
        <v>4033</v>
      </c>
      <c r="K231" s="78" t="s">
        <v>80</v>
      </c>
      <c r="L231" s="78" t="s">
        <v>80</v>
      </c>
      <c r="M231" s="70" t="s">
        <v>3857</v>
      </c>
      <c r="N231" s="70">
        <v>0</v>
      </c>
      <c r="O231" s="70">
        <v>4</v>
      </c>
      <c r="P231" s="90" t="s">
        <v>3244</v>
      </c>
      <c r="Q231" s="104" t="s">
        <v>3258</v>
      </c>
      <c r="R231" s="108" t="s">
        <v>3491</v>
      </c>
      <c r="S231" s="90" t="s">
        <v>3239</v>
      </c>
      <c r="T231" s="70" t="s">
        <v>0</v>
      </c>
      <c r="U231" s="70" t="s">
        <v>38</v>
      </c>
      <c r="V231" s="70" t="s">
        <v>69</v>
      </c>
      <c r="W231" s="70" t="s">
        <v>3336</v>
      </c>
      <c r="X231" s="70">
        <v>4</v>
      </c>
      <c r="Y231" s="70">
        <v>4</v>
      </c>
      <c r="Z231" s="70">
        <v>4</v>
      </c>
      <c r="AA231" s="70">
        <v>4</v>
      </c>
      <c r="AB231" s="70">
        <v>4</v>
      </c>
      <c r="AC231" s="70">
        <v>4</v>
      </c>
      <c r="AD231"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31" s="70" t="s">
        <v>3493</v>
      </c>
      <c r="AF231" s="70"/>
      <c r="AG231" s="70"/>
      <c r="AH231" s="70"/>
      <c r="AI231" s="70"/>
      <c r="AJ231" s="70"/>
      <c r="AK231" s="70"/>
      <c r="AL231" s="70"/>
      <c r="AM231" s="70" t="s">
        <v>4122</v>
      </c>
      <c r="AN231" s="70"/>
      <c r="AO231" s="70"/>
      <c r="AP231" s="70"/>
      <c r="AQ231" s="70"/>
      <c r="AR231" s="70"/>
      <c r="AS231" s="70"/>
      <c r="AT231" s="70" t="s">
        <v>4122</v>
      </c>
      <c r="AU231" s="70"/>
      <c r="AV231" s="70"/>
      <c r="AW231" s="70"/>
      <c r="AX231" s="70"/>
      <c r="AY231" s="70"/>
      <c r="AZ231" s="70"/>
      <c r="BA231" s="70"/>
      <c r="BB231" s="70"/>
      <c r="BC231" s="70"/>
      <c r="BD231" s="70"/>
      <c r="BE231" s="70"/>
      <c r="BF231" s="70"/>
      <c r="BG231" s="70"/>
      <c r="BH231" s="130"/>
      <c r="BI231" s="130"/>
      <c r="BJ231" s="130"/>
      <c r="BK231" s="130"/>
      <c r="BL231" s="130"/>
      <c r="BM231" s="130"/>
      <c r="BN231" s="130"/>
      <c r="BO231" s="130"/>
      <c r="BP231" s="130"/>
      <c r="BQ231" s="130"/>
      <c r="BR231" s="130" t="s">
        <v>4122</v>
      </c>
    </row>
    <row r="232" spans="1:70" hidden="1" x14ac:dyDescent="0.25">
      <c r="A232" s="68">
        <v>125</v>
      </c>
      <c r="B232" s="70" t="s">
        <v>1766</v>
      </c>
      <c r="C232" s="70" t="s">
        <v>1767</v>
      </c>
      <c r="D232" s="70" t="s">
        <v>3868</v>
      </c>
      <c r="E232" s="70"/>
      <c r="F232" s="70" t="s">
        <v>1768</v>
      </c>
      <c r="G232" s="70">
        <v>2018</v>
      </c>
      <c r="H232" s="70" t="s">
        <v>1769</v>
      </c>
      <c r="I232" s="78" t="s">
        <v>80</v>
      </c>
      <c r="J232" s="78" t="s">
        <v>88</v>
      </c>
      <c r="K232" s="78" t="s">
        <v>80</v>
      </c>
      <c r="L232" s="78" t="s">
        <v>80</v>
      </c>
      <c r="M232" s="70" t="s">
        <v>3867</v>
      </c>
      <c r="N232" s="70">
        <v>0</v>
      </c>
      <c r="O232" s="70">
        <v>4</v>
      </c>
      <c r="P232" s="90" t="s">
        <v>3244</v>
      </c>
      <c r="Q232" s="104" t="s">
        <v>3503</v>
      </c>
      <c r="R232" s="108" t="s">
        <v>3505</v>
      </c>
      <c r="S232" s="90" t="s">
        <v>3504</v>
      </c>
      <c r="T232" s="70" t="s">
        <v>0</v>
      </c>
      <c r="U232" s="70" t="s">
        <v>38</v>
      </c>
      <c r="V232" s="70" t="s">
        <v>69</v>
      </c>
      <c r="W232" s="70" t="s">
        <v>3336</v>
      </c>
      <c r="X232" s="70">
        <v>5</v>
      </c>
      <c r="Y232" s="70">
        <v>5</v>
      </c>
      <c r="Z232" s="70">
        <v>3</v>
      </c>
      <c r="AA232" s="70">
        <v>5</v>
      </c>
      <c r="AB232" s="70">
        <v>5</v>
      </c>
      <c r="AC232" s="70">
        <v>3</v>
      </c>
      <c r="AD232"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32" s="70" t="s">
        <v>59</v>
      </c>
      <c r="AF232" s="70"/>
      <c r="AG232" s="70"/>
      <c r="AH232" s="70"/>
      <c r="AI232" s="70"/>
      <c r="AJ232" s="70"/>
      <c r="AK232" s="70"/>
      <c r="AL232" s="70"/>
      <c r="AM232" s="70" t="s">
        <v>4122</v>
      </c>
      <c r="AN232" s="70"/>
      <c r="AO232" s="70"/>
      <c r="AP232" s="70"/>
      <c r="AQ232" s="70"/>
      <c r="AR232" s="70"/>
      <c r="AS232" s="70"/>
      <c r="AT232" s="70"/>
      <c r="AU232" s="70"/>
      <c r="AV232" s="70"/>
      <c r="AW232" s="70"/>
      <c r="AX232" s="70"/>
      <c r="AY232" s="70"/>
      <c r="AZ232" s="70"/>
      <c r="BA232" s="70"/>
      <c r="BB232" s="70"/>
      <c r="BC232" s="70"/>
      <c r="BD232" s="70"/>
      <c r="BE232" s="70"/>
      <c r="BF232" s="70" t="s">
        <v>4122</v>
      </c>
      <c r="BG232" s="70"/>
      <c r="BH232" s="130"/>
      <c r="BI232" s="130"/>
      <c r="BJ232" s="130"/>
      <c r="BK232" s="130"/>
      <c r="BL232" s="130" t="s">
        <v>4122</v>
      </c>
      <c r="BM232" s="130"/>
      <c r="BN232" s="130"/>
      <c r="BO232" s="130"/>
      <c r="BP232" s="130"/>
      <c r="BQ232" s="130"/>
      <c r="BR232" s="130"/>
    </row>
    <row r="233" spans="1:70" hidden="1" x14ac:dyDescent="0.25">
      <c r="A233" s="68">
        <v>217</v>
      </c>
      <c r="B233" s="70" t="s">
        <v>1546</v>
      </c>
      <c r="C233" s="70" t="s">
        <v>1547</v>
      </c>
      <c r="D233" s="70" t="s">
        <v>4006</v>
      </c>
      <c r="E233" s="70"/>
      <c r="F233" s="70" t="s">
        <v>1548</v>
      </c>
      <c r="G233" s="70">
        <v>2017</v>
      </c>
      <c r="H233" s="70" t="s">
        <v>1549</v>
      </c>
      <c r="I233" s="78" t="s">
        <v>80</v>
      </c>
      <c r="J233" s="78" t="s">
        <v>88</v>
      </c>
      <c r="K233" s="78" t="s">
        <v>80</v>
      </c>
      <c r="L233" s="78" t="s">
        <v>80</v>
      </c>
      <c r="M233" s="70" t="s">
        <v>4007</v>
      </c>
      <c r="N233" s="70">
        <v>0</v>
      </c>
      <c r="O233" s="70">
        <v>4</v>
      </c>
      <c r="P233" s="90" t="s">
        <v>3244</v>
      </c>
      <c r="Q233" s="104" t="s">
        <v>3270</v>
      </c>
      <c r="R233" s="108" t="s">
        <v>3627</v>
      </c>
      <c r="S233" s="90" t="s">
        <v>3223</v>
      </c>
      <c r="T233" s="70" t="s">
        <v>20</v>
      </c>
      <c r="U233" s="70" t="s">
        <v>38</v>
      </c>
      <c r="V233" s="70" t="s">
        <v>69</v>
      </c>
      <c r="W233" s="70" t="s">
        <v>3336</v>
      </c>
      <c r="X233" s="70">
        <v>4</v>
      </c>
      <c r="Y233" s="70">
        <v>4</v>
      </c>
      <c r="Z233" s="70">
        <v>4</v>
      </c>
      <c r="AA233" s="70">
        <v>4</v>
      </c>
      <c r="AB233" s="70">
        <v>4</v>
      </c>
      <c r="AC233" s="70">
        <v>4</v>
      </c>
      <c r="AD233"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3</v>
      </c>
      <c r="AE233" s="70" t="s">
        <v>3317</v>
      </c>
      <c r="AF233" s="70"/>
      <c r="AG233" s="70"/>
      <c r="AH233" s="70"/>
      <c r="AI233" s="70"/>
      <c r="AJ233" s="70"/>
      <c r="AK233" s="70"/>
      <c r="AL233" s="70"/>
      <c r="AM233" s="70"/>
      <c r="AN233" s="70"/>
      <c r="AO233" s="70"/>
      <c r="AP233" s="70"/>
      <c r="AQ233" s="70"/>
      <c r="AR233" s="70"/>
      <c r="AS233" s="70" t="s">
        <v>4122</v>
      </c>
      <c r="AT233" s="70"/>
      <c r="AU233" s="70"/>
      <c r="AV233" s="70" t="s">
        <v>4122</v>
      </c>
      <c r="AW233" s="70"/>
      <c r="AX233" s="70"/>
      <c r="AY233" s="70"/>
      <c r="AZ233" s="70"/>
      <c r="BA233" s="70"/>
      <c r="BB233" s="70"/>
      <c r="BC233" s="70"/>
      <c r="BD233" s="70"/>
      <c r="BE233" s="70"/>
      <c r="BF233" s="70"/>
      <c r="BG233" s="70"/>
      <c r="BH233" s="130"/>
      <c r="BI233" s="130" t="s">
        <v>4122</v>
      </c>
      <c r="BJ233" s="130"/>
      <c r="BK233" s="130"/>
      <c r="BL233" s="130"/>
      <c r="BM233" s="130"/>
      <c r="BN233" s="130"/>
      <c r="BO233" s="130" t="s">
        <v>4122</v>
      </c>
      <c r="BP233" s="130"/>
      <c r="BQ233" s="130"/>
      <c r="BR233" s="130"/>
    </row>
    <row r="234" spans="1:70" hidden="1" x14ac:dyDescent="0.25">
      <c r="A234" s="68">
        <v>141</v>
      </c>
      <c r="B234" s="110" t="s">
        <v>1315</v>
      </c>
      <c r="C234" s="110" t="s">
        <v>2957</v>
      </c>
      <c r="D234" s="110" t="s">
        <v>3894</v>
      </c>
      <c r="E234" s="110"/>
      <c r="F234" s="110" t="s">
        <v>2958</v>
      </c>
      <c r="G234" s="110">
        <v>2016</v>
      </c>
      <c r="H234" s="110" t="s">
        <v>2959</v>
      </c>
      <c r="I234" s="111" t="s">
        <v>4033</v>
      </c>
      <c r="J234" s="111" t="s">
        <v>4033</v>
      </c>
      <c r="K234" s="111" t="s">
        <v>80</v>
      </c>
      <c r="L234" s="111" t="s">
        <v>80</v>
      </c>
      <c r="M234" s="110" t="s">
        <v>3895</v>
      </c>
      <c r="N234" s="110">
        <v>0</v>
      </c>
      <c r="O234" s="110">
        <v>5</v>
      </c>
      <c r="P234" s="110" t="s">
        <v>3283</v>
      </c>
      <c r="Q234" s="110" t="s">
        <v>3278</v>
      </c>
      <c r="R234" s="110" t="s">
        <v>4138</v>
      </c>
      <c r="S234" s="110" t="s">
        <v>3243</v>
      </c>
      <c r="T234" s="110" t="s">
        <v>0</v>
      </c>
      <c r="U234" s="110" t="s">
        <v>38</v>
      </c>
      <c r="V234" s="110" t="s">
        <v>69</v>
      </c>
      <c r="W234" s="110" t="s">
        <v>3336</v>
      </c>
      <c r="X234" s="110">
        <v>5</v>
      </c>
      <c r="Y234" s="110">
        <v>5</v>
      </c>
      <c r="Z234" s="110">
        <v>5</v>
      </c>
      <c r="AA234" s="110">
        <v>5</v>
      </c>
      <c r="AB234" s="110">
        <v>5</v>
      </c>
      <c r="AC234" s="110">
        <v>5</v>
      </c>
      <c r="AD234" s="112">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34" s="110" t="s">
        <v>54</v>
      </c>
      <c r="AF234" s="70"/>
      <c r="AG234" s="70"/>
      <c r="AH234" s="70"/>
      <c r="AI234" s="70"/>
      <c r="AJ234" s="70"/>
      <c r="AK234" s="70"/>
      <c r="AL234" s="70"/>
      <c r="AM234" s="70" t="s">
        <v>4122</v>
      </c>
      <c r="AN234" s="70"/>
      <c r="AO234" s="70"/>
      <c r="AP234" s="70"/>
      <c r="AQ234" s="70"/>
      <c r="AR234" s="70"/>
      <c r="AS234" s="70"/>
      <c r="AT234" s="70"/>
      <c r="AU234" s="70"/>
      <c r="AV234" s="70"/>
      <c r="AW234" s="70"/>
      <c r="AX234" s="70"/>
      <c r="AY234" s="70"/>
      <c r="AZ234" s="70"/>
      <c r="BA234" s="70"/>
      <c r="BB234" s="70"/>
      <c r="BC234" s="70"/>
      <c r="BD234" s="70"/>
      <c r="BE234" s="70"/>
      <c r="BF234" s="70" t="s">
        <v>4122</v>
      </c>
      <c r="BG234" s="70"/>
      <c r="BH234" s="130"/>
      <c r="BI234" s="130" t="s">
        <v>4122</v>
      </c>
      <c r="BJ234" s="130"/>
      <c r="BK234" s="130"/>
      <c r="BL234" s="130"/>
      <c r="BM234" s="130"/>
      <c r="BN234" s="130"/>
      <c r="BO234" s="130"/>
      <c r="BP234" s="130"/>
      <c r="BQ234" s="130"/>
      <c r="BR234" s="130"/>
    </row>
    <row r="235" spans="1:70" hidden="1" x14ac:dyDescent="0.25">
      <c r="A235" s="68">
        <v>236</v>
      </c>
      <c r="B235" s="70" t="s">
        <v>245</v>
      </c>
      <c r="C235" s="70" t="s">
        <v>246</v>
      </c>
      <c r="D235" s="70" t="s">
        <v>3818</v>
      </c>
      <c r="E235" s="70" t="s">
        <v>401</v>
      </c>
      <c r="F235" s="70" t="s">
        <v>402</v>
      </c>
      <c r="G235" s="70">
        <v>2017</v>
      </c>
      <c r="H235" s="70"/>
      <c r="I235" s="78" t="s">
        <v>84</v>
      </c>
      <c r="J235" s="78" t="s">
        <v>80</v>
      </c>
      <c r="K235" s="78" t="s">
        <v>80</v>
      </c>
      <c r="L235" s="78" t="s">
        <v>80</v>
      </c>
      <c r="M235" s="70" t="s">
        <v>4031</v>
      </c>
      <c r="N235" s="70">
        <v>11</v>
      </c>
      <c r="O235" s="70">
        <v>3</v>
      </c>
      <c r="P235" s="90" t="s">
        <v>3244</v>
      </c>
      <c r="Q235" s="104" t="s">
        <v>3190</v>
      </c>
      <c r="R235" s="108" t="s">
        <v>3437</v>
      </c>
      <c r="S235" s="90" t="s">
        <v>3257</v>
      </c>
      <c r="T235" s="70" t="s">
        <v>6</v>
      </c>
      <c r="U235" s="70" t="s">
        <v>38</v>
      </c>
      <c r="V235" s="70" t="s">
        <v>69</v>
      </c>
      <c r="W235" s="70" t="s">
        <v>3631</v>
      </c>
      <c r="X235" s="70">
        <v>3</v>
      </c>
      <c r="Y235" s="70">
        <v>3</v>
      </c>
      <c r="Z235" s="70">
        <v>3</v>
      </c>
      <c r="AA235" s="70">
        <v>3</v>
      </c>
      <c r="AB235" s="70">
        <v>3</v>
      </c>
      <c r="AC235" s="70">
        <v>3</v>
      </c>
      <c r="AD235"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2</v>
      </c>
      <c r="AE235" s="70" t="s">
        <v>3335</v>
      </c>
      <c r="AF235" s="70"/>
      <c r="AG235" s="70"/>
      <c r="AH235" s="70"/>
      <c r="AI235" s="70"/>
      <c r="AJ235" s="70" t="s">
        <v>4122</v>
      </c>
      <c r="AK235" s="70"/>
      <c r="AL235" s="70"/>
      <c r="AM235" s="70"/>
      <c r="AN235" s="70"/>
      <c r="AO235" s="70"/>
      <c r="AP235" s="70"/>
      <c r="AQ235" s="70"/>
      <c r="AR235" s="70"/>
      <c r="AS235" s="70"/>
      <c r="AT235" s="70"/>
      <c r="AU235" s="70"/>
      <c r="AV235" s="70"/>
      <c r="AW235" s="70"/>
      <c r="AX235" s="70" t="s">
        <v>4122</v>
      </c>
      <c r="AY235" s="70"/>
      <c r="AZ235" s="70"/>
      <c r="BA235" s="70"/>
      <c r="BB235" s="70"/>
      <c r="BC235" s="70"/>
      <c r="BD235" s="70"/>
      <c r="BE235" s="70"/>
      <c r="BF235" s="70"/>
      <c r="BG235" s="70"/>
      <c r="BH235" s="130"/>
      <c r="BI235" s="130"/>
      <c r="BJ235" s="130"/>
      <c r="BK235" s="130"/>
      <c r="BL235" s="130"/>
      <c r="BM235" s="130"/>
      <c r="BN235" s="130"/>
      <c r="BO235" s="130" t="s">
        <v>4122</v>
      </c>
      <c r="BP235" s="130"/>
      <c r="BQ235" s="130"/>
      <c r="BR235" s="130"/>
    </row>
    <row r="236" spans="1:70" hidden="1" x14ac:dyDescent="0.25">
      <c r="A236" s="68">
        <v>79</v>
      </c>
      <c r="B236" s="70" t="s">
        <v>1031</v>
      </c>
      <c r="C236" s="70" t="s">
        <v>1032</v>
      </c>
      <c r="D236" s="70" t="s">
        <v>24</v>
      </c>
      <c r="E236" s="70"/>
      <c r="F236" s="70" t="s">
        <v>1033</v>
      </c>
      <c r="G236" s="70">
        <v>2018</v>
      </c>
      <c r="H236" s="70" t="s">
        <v>1034</v>
      </c>
      <c r="I236" s="78" t="s">
        <v>80</v>
      </c>
      <c r="J236" s="78" t="s">
        <v>80</v>
      </c>
      <c r="K236" s="78">
        <v>0.62</v>
      </c>
      <c r="L236" s="78">
        <v>4</v>
      </c>
      <c r="M236" s="70" t="s">
        <v>3798</v>
      </c>
      <c r="N236" s="70">
        <v>0</v>
      </c>
      <c r="O236" s="70">
        <v>5</v>
      </c>
      <c r="P236" s="90" t="s">
        <v>3385</v>
      </c>
      <c r="Q236" s="104" t="s">
        <v>3425</v>
      </c>
      <c r="R236" s="108" t="s">
        <v>3427</v>
      </c>
      <c r="S236" s="90" t="s">
        <v>3243</v>
      </c>
      <c r="T236" s="70" t="s">
        <v>1</v>
      </c>
      <c r="U236" s="70" t="s">
        <v>38</v>
      </c>
      <c r="V236" s="70" t="s">
        <v>69</v>
      </c>
      <c r="W236" s="70" t="s">
        <v>3336</v>
      </c>
      <c r="X236" s="70">
        <v>5</v>
      </c>
      <c r="Y236" s="70">
        <v>5</v>
      </c>
      <c r="Z236" s="70">
        <v>5</v>
      </c>
      <c r="AA236" s="70">
        <v>5</v>
      </c>
      <c r="AB236" s="70">
        <v>5</v>
      </c>
      <c r="AC236" s="70">
        <v>5</v>
      </c>
      <c r="AD236"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4</v>
      </c>
      <c r="AE236" s="70" t="s">
        <v>3428</v>
      </c>
      <c r="AF236" s="70"/>
      <c r="AG236" s="70"/>
      <c r="AH236" s="70"/>
      <c r="AI236" s="70"/>
      <c r="AJ236" s="70" t="s">
        <v>4122</v>
      </c>
      <c r="AK236" s="70"/>
      <c r="AL236" s="70"/>
      <c r="AM236" s="70" t="s">
        <v>4122</v>
      </c>
      <c r="AN236" s="70"/>
      <c r="AO236" s="70"/>
      <c r="AP236" s="70"/>
      <c r="AQ236" s="70"/>
      <c r="AR236" s="70"/>
      <c r="AS236" s="70"/>
      <c r="AT236" s="70"/>
      <c r="AU236" s="70"/>
      <c r="AV236" s="70"/>
      <c r="AW236" s="70"/>
      <c r="AX236" s="70"/>
      <c r="AY236" s="70"/>
      <c r="AZ236" s="70"/>
      <c r="BA236" s="70"/>
      <c r="BB236" s="70"/>
      <c r="BC236" s="70"/>
      <c r="BD236" s="70"/>
      <c r="BE236" s="70" t="s">
        <v>4122</v>
      </c>
      <c r="BF236" s="70"/>
      <c r="BG236" s="70"/>
      <c r="BH236" s="130"/>
      <c r="BI236" s="130"/>
      <c r="BJ236" s="130"/>
      <c r="BK236" s="130"/>
      <c r="BL236" s="130"/>
      <c r="BM236" s="130"/>
      <c r="BN236" s="130"/>
      <c r="BO236" s="130"/>
      <c r="BP236" s="130"/>
      <c r="BQ236" s="130"/>
      <c r="BR236" s="130" t="s">
        <v>4122</v>
      </c>
    </row>
    <row r="237" spans="1:70" hidden="1" x14ac:dyDescent="0.25">
      <c r="A237" s="68">
        <v>88</v>
      </c>
      <c r="B237" s="70" t="s">
        <v>1708</v>
      </c>
      <c r="C237" s="70" t="s">
        <v>1709</v>
      </c>
      <c r="D237" s="70" t="s">
        <v>0</v>
      </c>
      <c r="E237" s="70"/>
      <c r="F237" s="70" t="s">
        <v>1710</v>
      </c>
      <c r="G237" s="70">
        <v>2012</v>
      </c>
      <c r="H237" s="70" t="s">
        <v>1711</v>
      </c>
      <c r="I237" s="78" t="s">
        <v>80</v>
      </c>
      <c r="J237" s="78" t="s">
        <v>80</v>
      </c>
      <c r="K237" s="78" t="s">
        <v>80</v>
      </c>
      <c r="L237" s="78">
        <v>1</v>
      </c>
      <c r="M237" s="70" t="s">
        <v>3738</v>
      </c>
      <c r="N237" s="70"/>
      <c r="O237" s="70">
        <v>5</v>
      </c>
      <c r="P237" s="90" t="s">
        <v>3165</v>
      </c>
      <c r="Q237" s="104" t="s">
        <v>3442</v>
      </c>
      <c r="R237" s="108" t="s">
        <v>3364</v>
      </c>
      <c r="S237" s="90" t="s">
        <v>3235</v>
      </c>
      <c r="T237" s="70" t="s">
        <v>0</v>
      </c>
      <c r="U237" s="70" t="s">
        <v>38</v>
      </c>
      <c r="V237" s="70" t="s">
        <v>69</v>
      </c>
      <c r="W237" s="70" t="s">
        <v>3336</v>
      </c>
      <c r="X237" s="70">
        <v>5</v>
      </c>
      <c r="Y237" s="70">
        <v>5</v>
      </c>
      <c r="Z237" s="70">
        <v>5</v>
      </c>
      <c r="AA237" s="70">
        <v>5</v>
      </c>
      <c r="AB237" s="70">
        <v>5</v>
      </c>
      <c r="AC237" s="70">
        <v>5</v>
      </c>
      <c r="AD237" s="69">
        <f>IF(AND(Principal[[#This Row],[ERA]]="#",Principal[[#This Row],[QUALIS]]="#",Principal[[#This Row],[JCR]]="#",Principal[[#This Row],[Q-JCR]]="#"),2,IF(Principal[[#This Row],[JCR]]="#",ROUND((IF(Principal[[#This Row],[ERA]]="A",5,IF(Principal[[#This Row],[ERA]]="B",3.5,IF(Principal[[#This Row],[ERA]]="C",2,1))) + IF(Principal[[#This Row],[QUALIS]]="A2",5,IF(Principal[[#This Row],[QUALIS]]="B1",4,IF(Principal[[#This Row],[QUALIS]]="B2",3,IF(Principal[[#This Row],[QUALIS]]="B3",2,IF(Principal[[#This Row],[QUALIS]]="B4",2,1))))))/2,0),Principal[[#This Row],[Q-JCR]]))</f>
        <v>1</v>
      </c>
      <c r="AE237" s="70" t="s">
        <v>64</v>
      </c>
      <c r="AF237" s="72"/>
      <c r="AG237" s="72"/>
      <c r="AH237" s="72" t="s">
        <v>4122</v>
      </c>
      <c r="AI237" s="72"/>
      <c r="AJ237" s="72"/>
      <c r="AK237" s="72"/>
      <c r="AL237" s="72"/>
      <c r="AM237" s="72"/>
      <c r="AN237" s="72"/>
      <c r="AO237" s="72"/>
      <c r="AP237" s="72"/>
      <c r="AQ237" s="72"/>
      <c r="AR237" s="72"/>
      <c r="AS237" s="72"/>
      <c r="AT237" s="72"/>
      <c r="AU237" s="72"/>
      <c r="AV237" s="72"/>
      <c r="AW237" s="72"/>
      <c r="AX237" s="72"/>
      <c r="AY237" s="72"/>
      <c r="AZ237" s="72"/>
      <c r="BA237" s="72"/>
      <c r="BB237" s="72"/>
      <c r="BC237" s="72" t="s">
        <v>4122</v>
      </c>
      <c r="BD237" s="72"/>
      <c r="BE237" s="72"/>
      <c r="BF237" s="72"/>
      <c r="BG237" s="72"/>
      <c r="BH237" s="132"/>
      <c r="BI237" s="132"/>
      <c r="BJ237" s="132"/>
      <c r="BK237" s="132"/>
      <c r="BL237" s="132"/>
      <c r="BM237" s="132"/>
      <c r="BN237" s="132" t="s">
        <v>4122</v>
      </c>
      <c r="BO237" s="132"/>
      <c r="BP237" s="132"/>
      <c r="BQ237" s="132"/>
      <c r="BR237" s="132"/>
    </row>
    <row r="238" spans="1:70" x14ac:dyDescent="0.25">
      <c r="AF238" s="114">
        <f t="shared" ref="AF238:BR238" si="0">COUNTA(AF2:AF237)</f>
        <v>6</v>
      </c>
      <c r="AG238" s="114">
        <f t="shared" si="0"/>
        <v>13</v>
      </c>
      <c r="AH238" s="114">
        <f t="shared" si="0"/>
        <v>16</v>
      </c>
      <c r="AI238" s="114">
        <f t="shared" si="0"/>
        <v>13</v>
      </c>
      <c r="AJ238" s="114">
        <f t="shared" si="0"/>
        <v>90</v>
      </c>
      <c r="AK238" s="114">
        <f t="shared" si="0"/>
        <v>8</v>
      </c>
      <c r="AL238" s="114">
        <f t="shared" si="0"/>
        <v>12</v>
      </c>
      <c r="AM238" s="114">
        <f t="shared" si="0"/>
        <v>115</v>
      </c>
      <c r="AN238" s="114">
        <f t="shared" si="0"/>
        <v>5</v>
      </c>
      <c r="AO238" s="114">
        <f t="shared" si="0"/>
        <v>2</v>
      </c>
      <c r="AP238" s="114">
        <f t="shared" si="0"/>
        <v>19</v>
      </c>
      <c r="AQ238" s="114">
        <f t="shared" si="0"/>
        <v>13</v>
      </c>
      <c r="AR238" s="114">
        <f t="shared" si="0"/>
        <v>6</v>
      </c>
      <c r="AS238" s="114">
        <f t="shared" si="0"/>
        <v>23</v>
      </c>
      <c r="AT238" s="114">
        <f t="shared" si="0"/>
        <v>7</v>
      </c>
      <c r="AU238" s="114">
        <f t="shared" si="0"/>
        <v>5</v>
      </c>
      <c r="AV238" s="114">
        <f t="shared" si="0"/>
        <v>35</v>
      </c>
      <c r="AW238" s="114">
        <f t="shared" si="0"/>
        <v>17</v>
      </c>
      <c r="AX238" s="114">
        <f t="shared" si="0"/>
        <v>13</v>
      </c>
      <c r="AY238" s="114">
        <f t="shared" si="0"/>
        <v>5</v>
      </c>
      <c r="AZ238" s="114">
        <f t="shared" si="0"/>
        <v>9</v>
      </c>
      <c r="BA238" s="114">
        <f t="shared" si="0"/>
        <v>21</v>
      </c>
      <c r="BB238" s="114">
        <f t="shared" si="0"/>
        <v>65</v>
      </c>
      <c r="BC238" s="114">
        <f t="shared" si="0"/>
        <v>10</v>
      </c>
      <c r="BD238" s="114">
        <f t="shared" si="0"/>
        <v>11</v>
      </c>
      <c r="BE238" s="114">
        <f t="shared" si="0"/>
        <v>24</v>
      </c>
      <c r="BF238" s="114">
        <f t="shared" si="0"/>
        <v>21</v>
      </c>
      <c r="BG238" s="114">
        <f t="shared" si="0"/>
        <v>3</v>
      </c>
      <c r="BH238" s="114">
        <f t="shared" si="0"/>
        <v>23</v>
      </c>
      <c r="BI238" s="114">
        <f t="shared" si="0"/>
        <v>15</v>
      </c>
      <c r="BJ238" s="114">
        <f t="shared" si="0"/>
        <v>29</v>
      </c>
      <c r="BK238" s="114">
        <f t="shared" si="0"/>
        <v>29</v>
      </c>
      <c r="BL238" s="114">
        <f t="shared" si="0"/>
        <v>9</v>
      </c>
      <c r="BM238" s="114">
        <f t="shared" si="0"/>
        <v>6</v>
      </c>
      <c r="BN238" s="114">
        <f t="shared" si="0"/>
        <v>93</v>
      </c>
      <c r="BO238" s="114">
        <f t="shared" si="0"/>
        <v>24</v>
      </c>
      <c r="BP238" s="114">
        <f t="shared" si="0"/>
        <v>8</v>
      </c>
      <c r="BQ238" s="114">
        <f t="shared" si="0"/>
        <v>6</v>
      </c>
      <c r="BR238" s="114">
        <f t="shared" si="0"/>
        <v>4</v>
      </c>
    </row>
    <row r="239" spans="1:70" x14ac:dyDescent="0.25">
      <c r="BH239" s="118"/>
    </row>
    <row r="240" spans="1:70" x14ac:dyDescent="0.25">
      <c r="AF240" s="66">
        <v>6</v>
      </c>
      <c r="AG240" s="66">
        <v>13</v>
      </c>
      <c r="AH240" s="66">
        <v>16</v>
      </c>
      <c r="AI240" s="66">
        <v>13</v>
      </c>
      <c r="AJ240" s="66">
        <v>90</v>
      </c>
      <c r="AK240" s="66">
        <v>8</v>
      </c>
      <c r="AL240" s="66">
        <v>12</v>
      </c>
      <c r="AM240" s="66">
        <v>115</v>
      </c>
      <c r="AN240" s="66">
        <v>5</v>
      </c>
      <c r="AO240" s="66">
        <v>2</v>
      </c>
      <c r="AP240" s="66">
        <v>19</v>
      </c>
      <c r="AQ240" s="66">
        <v>13</v>
      </c>
      <c r="AR240" s="66">
        <v>6</v>
      </c>
      <c r="AS240" s="66">
        <v>23</v>
      </c>
    </row>
    <row r="242" spans="15:15" x14ac:dyDescent="0.25">
      <c r="O242" s="74"/>
    </row>
  </sheetData>
  <conditionalFormatting sqref="AF63">
    <cfRule type="duplicateValues" dxfId="44" priority="1"/>
  </conditionalFormatting>
  <dataValidations count="5">
    <dataValidation type="list" allowBlank="1" showInputMessage="1" showErrorMessage="1" sqref="W1" xr:uid="{7EDFAC10-A0A1-49EE-B07D-6652F7C603CF}">
      <formula1>Language</formula1>
    </dataValidation>
    <dataValidation showInputMessage="1" showErrorMessage="1" promptTitle="Information Extract" sqref="P1" xr:uid="{05F6712F-907E-438A-A660-1C7CC3743C45}"/>
    <dataValidation type="list" allowBlank="1" showInputMessage="1" showErrorMessage="1" sqref="O1" xr:uid="{BFDC6817-B3F9-4176-8FA2-B8EECF819D8B}">
      <formula1>Scale</formula1>
    </dataValidation>
    <dataValidation type="list" allowBlank="1" showInputMessage="1" showErrorMessage="1" sqref="AU1:AZ1 BE1:BG1 BI1:BK1 BQ1 CD1 CL1 CS1" xr:uid="{88D1886C-F161-46E0-99C7-6CEA6C13A7D3}">
      <formula1>$B$1:$B$56</formula1>
    </dataValidation>
    <dataValidation type="list" showInputMessage="1" showErrorMessage="1" sqref="O2:O237 X2:AD237" xr:uid="{1E60E5F0-94F0-46F7-92B4-122C4C672BFA}">
      <formula1>Scale</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32">
        <x14:dataValidation type="list" allowBlank="1" showInputMessage="1" showErrorMessage="1" xr:uid="{F7404A9D-9588-40B1-9F61-96F31674A9FC}">
          <x14:formula1>
            <xm:f>Categories!$B$2:$B$46</xm:f>
          </x14:formula1>
          <xm:sqref>Q16:Q17 Q30:Q31 Q2:Q13 Q19:Q28</xm:sqref>
        </x14:dataValidation>
        <x14:dataValidation type="list" allowBlank="1" showInputMessage="1" showErrorMessage="1" xr:uid="{7C3735BA-A827-40B2-A9B3-A627DC3F9C1D}">
          <x14:formula1>
            <xm:f>Categories!$G$2:$G$5</xm:f>
          </x14:formula1>
          <xm:sqref>V4</xm:sqref>
        </x14:dataValidation>
        <x14:dataValidation type="list" allowBlank="1" showInputMessage="1" showErrorMessage="1" xr:uid="{D5404126-E769-4CCE-B43D-447962F8A58D}">
          <x14:formula1>
            <xm:f>Categories!$D$2:$D$37</xm:f>
          </x14:formula1>
          <xm:sqref>S18 S25:S28 S30:S31 S2 S21:S23 S4:S16</xm:sqref>
        </x14:dataValidation>
        <x14:dataValidation type="list" allowBlank="1" showInputMessage="1" showErrorMessage="1" xr:uid="{BFA7BABE-0556-4FA4-8C8C-9F23516EC6E2}">
          <x14:formula1>
            <xm:f>Categories!$G$2:$G$4</xm:f>
          </x14:formula1>
          <xm:sqref>V2:V3 V5:V10</xm:sqref>
        </x14:dataValidation>
        <x14:dataValidation type="list" allowBlank="1" showInputMessage="1" showErrorMessage="1" xr:uid="{0C83E5F6-D11F-4809-9919-CC4F96FECA07}">
          <x14:formula1>
            <xm:f>Categories!$E$2:$E$7</xm:f>
          </x14:formula1>
          <xm:sqref>U2:U10</xm:sqref>
        </x14:dataValidation>
        <x14:dataValidation type="list" allowBlank="1" showInputMessage="1" showErrorMessage="1" xr:uid="{29622762-CC25-43AF-B720-98DD63307D35}">
          <x14:formula1>
            <xm:f>Categories!$F$2:$F$8</xm:f>
          </x14:formula1>
          <xm:sqref>T2:T10</xm:sqref>
        </x14:dataValidation>
        <x14:dataValidation type="list" allowBlank="1" showInputMessage="1" showErrorMessage="1" xr:uid="{B4EC2DD8-C5AC-4875-8FB3-0D6BBB54909A}">
          <x14:formula1>
            <xm:f>Categories!$B$2:$B$50</xm:f>
          </x14:formula1>
          <xm:sqref>Q15</xm:sqref>
        </x14:dataValidation>
        <x14:dataValidation type="list" allowBlank="1" showInputMessage="1" showErrorMessage="1" xr:uid="{5C3DA318-51CB-4897-BFC2-8804D9CB3AEE}">
          <x14:formula1>
            <xm:f>Categories!$B$2:$B$55</xm:f>
          </x14:formula1>
          <xm:sqref>Q18</xm:sqref>
        </x14:dataValidation>
        <x14:dataValidation type="list" allowBlank="1" showInputMessage="1" showErrorMessage="1" xr:uid="{072F46F4-8A06-45B7-876A-59EC631F6AA8}">
          <x14:formula1>
            <xm:f>Categories!$D$2:$D$47</xm:f>
          </x14:formula1>
          <xm:sqref>S17 S19:S20 S24 S29 S32</xm:sqref>
        </x14:dataValidation>
        <x14:dataValidation type="list" allowBlank="1" showInputMessage="1" showErrorMessage="1" xr:uid="{80522235-43F1-4F10-B668-EEF4B68B9258}">
          <x14:formula1>
            <xm:f>Categories!$B$2:$B$56</xm:f>
          </x14:formula1>
          <xm:sqref>Q29</xm:sqref>
        </x14:dataValidation>
        <x14:dataValidation type="list" showInputMessage="1" showErrorMessage="1" xr:uid="{48D92789-F9D9-4107-B4EF-9DFAAC3470D6}">
          <x14:formula1>
            <xm:f>Categories!$A$2:$A$66</xm:f>
          </x14:formula1>
          <xm:sqref>P94:P223 P225:P237</xm:sqref>
        </x14:dataValidation>
        <x14:dataValidation type="list" allowBlank="1" showInputMessage="1" showErrorMessage="1" xr:uid="{C9DD3DA3-F116-49B5-B6FA-B2A1D1C30D15}">
          <x14:formula1>
            <xm:f>Categories!$C$2:$C$76</xm:f>
          </x14:formula1>
          <xm:sqref>R212:R219 R173:R174 R118:R132 R135 R137:R141 R143:R152 R155:R159 R161:R168 R170:R171 R178:R180 R183:R208 R210</xm:sqref>
        </x14:dataValidation>
        <x14:dataValidation type="list" allowBlank="1" showInputMessage="1" showErrorMessage="1" xr:uid="{AD4BAB33-3224-47EF-B49A-C5B3183CCEDB}">
          <x14:formula1>
            <xm:f>Categories!$B$2:$B$106</xm:f>
          </x14:formula1>
          <xm:sqref>Q14 Q129:Q185</xm:sqref>
        </x14:dataValidation>
        <x14:dataValidation type="list" allowBlank="1" showInputMessage="1" showErrorMessage="1" xr:uid="{58544B50-70FC-42A3-9EF1-9D0E62806905}">
          <x14:formula1>
            <xm:f>Categories!$C$2:$C$96</xm:f>
          </x14:formula1>
          <xm:sqref>R176 R221:R230 R233:R237</xm:sqref>
        </x14:dataValidation>
        <x14:dataValidation type="list" allowBlank="1" showInputMessage="1" showErrorMessage="1" xr:uid="{822ADB64-FCC5-4968-9F53-33FE6C75277D}">
          <x14:formula1>
            <xm:f>Categories!$C$2:$C$130</xm:f>
          </x14:formula1>
          <xm:sqref>R211</xm:sqref>
        </x14:dataValidation>
        <x14:dataValidation type="list" showInputMessage="1" showErrorMessage="1" xr:uid="{B0851747-5AE1-4153-80FD-D6796A6F7419}">
          <x14:formula1>
            <xm:f>Categories!$A$2:$A$74</xm:f>
          </x14:formula1>
          <xm:sqref>P224</xm:sqref>
        </x14:dataValidation>
        <x14:dataValidation type="list" allowBlank="1" showInputMessage="1" showErrorMessage="1" xr:uid="{3420D72E-F495-4380-9790-932FFC71DBE7}">
          <x14:formula1>
            <xm:f>Categories!$D$2:$D$107</xm:f>
          </x14:formula1>
          <xm:sqref>S3</xm:sqref>
        </x14:dataValidation>
        <x14:dataValidation type="list" allowBlank="1" showInputMessage="1" showErrorMessage="1" xr:uid="{1D9FCEBA-D8A2-494E-BA98-D49B159B200C}">
          <x14:formula1>
            <xm:f>Categories!$H$1:$H$24</xm:f>
          </x14:formula1>
          <xm:sqref>W2:W31</xm:sqref>
        </x14:dataValidation>
        <x14:dataValidation type="list" allowBlank="1" showInputMessage="1" showErrorMessage="1" xr:uid="{F6B5FB04-B233-4A0C-A326-F95A52822478}">
          <x14:formula1>
            <xm:f>Categories!$C$2:$C$46</xm:f>
          </x14:formula1>
          <xm:sqref>R2:R31</xm:sqref>
        </x14:dataValidation>
        <x14:dataValidation type="list" allowBlank="1" showInputMessage="1" showErrorMessage="1" xr:uid="{F2330DB5-CE84-4A8F-9602-6CF5DC83039F}">
          <x14:formula1>
            <xm:f>Categories!$B$2:$B$66</xm:f>
          </x14:formula1>
          <xm:sqref>Q32:Q89</xm:sqref>
        </x14:dataValidation>
        <x14:dataValidation type="list" showInputMessage="1" showErrorMessage="1" xr:uid="{63070AAE-87CA-4066-9AC1-36ED590F8352}">
          <x14:formula1>
            <xm:f>Categories!$A$2:$A$46</xm:f>
          </x14:formula1>
          <xm:sqref>P2:P93</xm:sqref>
        </x14:dataValidation>
        <x14:dataValidation type="list" allowBlank="1" showInputMessage="1" showErrorMessage="1" xr:uid="{B6507494-2E61-46A6-9009-45875991D17A}">
          <x14:formula1>
            <xm:f>Categories!$B$2:$B$86</xm:f>
          </x14:formula1>
          <xm:sqref>Q90:Q128</xm:sqref>
        </x14:dataValidation>
        <x14:dataValidation type="list" allowBlank="1" showInputMessage="1" showErrorMessage="1" xr:uid="{1193665E-6912-4D4B-AA4F-288BB0ACAC4E}">
          <x14:formula1>
            <xm:f>Categories!$H$1:$H$34</xm:f>
          </x14:formula1>
          <xm:sqref>W32:W105</xm:sqref>
        </x14:dataValidation>
        <x14:dataValidation type="list" allowBlank="1" showInputMessage="1" showErrorMessage="1" xr:uid="{9AFD8A91-6C1E-40F5-BFD3-EDDC44522D7C}">
          <x14:formula1>
            <xm:f>Categories!$C$2:$C$56</xm:f>
          </x14:formula1>
          <xm:sqref>R32:R51 R53:R54 R57:R67 R69 R71 R73 R75 R78 R80:R81 R84 R87:R90 R92:R95 R98:R99 R101:R105 R107:R116</xm:sqref>
        </x14:dataValidation>
        <x14:dataValidation type="list" allowBlank="1" showInputMessage="1" showErrorMessage="1" xr:uid="{5484503D-8F02-4D01-95BE-94E5EAF3F4B1}">
          <x14:formula1>
            <xm:f>Categories!$D$2:$D$57</xm:f>
          </x14:formula1>
          <xm:sqref>S33:S216</xm:sqref>
        </x14:dataValidation>
        <x14:dataValidation type="list" allowBlank="1" showInputMessage="1" showErrorMessage="1" xr:uid="{4B8D4FBA-DBD1-4405-BC0E-5026D78304F1}">
          <x14:formula1>
            <xm:f>Categories!$D$2:$D$67</xm:f>
          </x14:formula1>
          <xm:sqref>S217:S237</xm:sqref>
        </x14:dataValidation>
        <x14:dataValidation type="list" allowBlank="1" showInputMessage="1" showErrorMessage="1" xr:uid="{AE8BEBF6-8C3D-4DC4-8B54-EAD1FB5F537F}">
          <x14:formula1>
            <xm:f>Categories!$B$2:$B$136</xm:f>
          </x14:formula1>
          <xm:sqref>Q186:Q237</xm:sqref>
        </x14:dataValidation>
        <x14:dataValidation type="list" allowBlank="1" showInputMessage="1" showErrorMessage="1" xr:uid="{277CF054-0C39-41D5-9622-FC405D72DF90}">
          <x14:formula1>
            <xm:f>Categories!$H$1:$H$44</xm:f>
          </x14:formula1>
          <xm:sqref>W106:W237</xm:sqref>
        </x14:dataValidation>
        <x14:dataValidation type="list" allowBlank="1" showInputMessage="1" showErrorMessage="1" xr:uid="{DE2E6ADB-E389-4A66-A7A3-0485D9A222F1}">
          <x14:formula1>
            <xm:f>Categories!$G$2:$G$6</xm:f>
          </x14:formula1>
          <xm:sqref>V11:V237</xm:sqref>
        </x14:dataValidation>
        <x14:dataValidation type="list" allowBlank="1" showInputMessage="1" showErrorMessage="1" xr:uid="{C98A688A-33AB-4F15-B9BC-16CC91A9DEB8}">
          <x14:formula1>
            <xm:f>Categories!$E$2:$E$8</xm:f>
          </x14:formula1>
          <xm:sqref>U11:U237</xm:sqref>
        </x14:dataValidation>
        <x14:dataValidation type="list" allowBlank="1" showInputMessage="1" showErrorMessage="1" xr:uid="{F2D38FA4-F78E-4DD4-9D69-F48A69FE5602}">
          <x14:formula1>
            <xm:f>Categories!$F$2:$F$9</xm:f>
          </x14:formula1>
          <xm:sqref>T11:T237</xm:sqref>
        </x14:dataValidation>
        <x14:dataValidation type="list" allowBlank="1" showInputMessage="1" showErrorMessage="1" xr:uid="{89A86BDA-8A92-41A7-A9B4-8C86C14F2F0C}">
          <x14:formula1>
            <xm:f>Categories!$C$2:$C$105</xm:f>
          </x14:formula1>
          <xm:sqref>R52 R55:R56 R68 R70 R72 R74 R76:R77 R79 R82:R83 R85:R86 R91 R96:R97 R100 R106 R117 R133:R134 R136 R142 R153:R154 R160 R169 R172 R175 R177 R181:R182 R209 R220 R231:R232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C86"/>
  <sheetViews>
    <sheetView topLeftCell="A34" zoomScale="85" zoomScaleNormal="85" workbookViewId="0">
      <selection activeCell="W60" sqref="W60"/>
    </sheetView>
  </sheetViews>
  <sheetFormatPr baseColWidth="10" defaultRowHeight="15" x14ac:dyDescent="0.25"/>
  <cols>
    <col min="1" max="1" width="22.85546875" customWidth="1"/>
  </cols>
  <sheetData>
    <row r="1" spans="1:3" x14ac:dyDescent="0.25">
      <c r="A1" s="26" t="s">
        <v>52</v>
      </c>
      <c r="B1" s="26" t="s">
        <v>3659</v>
      </c>
      <c r="C1" t="s">
        <v>4161</v>
      </c>
    </row>
    <row r="2" spans="1:3" x14ac:dyDescent="0.25">
      <c r="A2" s="121" t="s">
        <v>3335</v>
      </c>
      <c r="B2" s="5">
        <v>40</v>
      </c>
      <c r="C2" s="147">
        <f>(Tabla5[[#This Row],[Papers]]*100)/236</f>
        <v>16.949152542372882</v>
      </c>
    </row>
    <row r="3" spans="1:3" x14ac:dyDescent="0.25">
      <c r="A3" s="31" t="s">
        <v>61</v>
      </c>
      <c r="B3" s="5">
        <v>23</v>
      </c>
      <c r="C3" s="147">
        <f>(Tabla5[[#This Row],[Papers]]*100)/236</f>
        <v>9.7457627118644066</v>
      </c>
    </row>
    <row r="4" spans="1:3" x14ac:dyDescent="0.25">
      <c r="A4" s="31" t="s">
        <v>57</v>
      </c>
      <c r="B4" s="5">
        <v>23</v>
      </c>
      <c r="C4" s="147">
        <f>(Tabla5[[#This Row],[Papers]]*100)/236</f>
        <v>9.7457627118644066</v>
      </c>
    </row>
    <row r="5" spans="1:3" x14ac:dyDescent="0.25">
      <c r="A5" s="121" t="s">
        <v>59</v>
      </c>
      <c r="B5" s="117">
        <v>21</v>
      </c>
      <c r="C5" s="147">
        <f>(Tabla5[[#This Row],[Papers]]*100)/236</f>
        <v>8.898305084745763</v>
      </c>
    </row>
    <row r="6" spans="1:3" x14ac:dyDescent="0.25">
      <c r="A6" s="26" t="s">
        <v>3315</v>
      </c>
      <c r="B6" s="5">
        <v>18</v>
      </c>
      <c r="C6" s="147">
        <f>(Tabla5[[#This Row],[Papers]]*100)/236</f>
        <v>7.6271186440677967</v>
      </c>
    </row>
    <row r="7" spans="1:3" x14ac:dyDescent="0.25">
      <c r="A7" s="26" t="s">
        <v>3317</v>
      </c>
      <c r="B7" s="5">
        <v>17</v>
      </c>
      <c r="C7" s="147">
        <f>(Tabla5[[#This Row],[Papers]]*100)/236</f>
        <v>7.2033898305084749</v>
      </c>
    </row>
    <row r="8" spans="1:3" x14ac:dyDescent="0.25">
      <c r="A8" s="120" t="s">
        <v>54</v>
      </c>
      <c r="B8" s="5">
        <v>9</v>
      </c>
      <c r="C8" s="147">
        <f>(Tabla5[[#This Row],[Papers]]*100)/236</f>
        <v>3.8135593220338984</v>
      </c>
    </row>
    <row r="9" spans="1:3" x14ac:dyDescent="0.25">
      <c r="A9" s="120" t="s">
        <v>56</v>
      </c>
      <c r="B9" s="5">
        <v>9</v>
      </c>
      <c r="C9" s="147">
        <f>(Tabla5[[#This Row],[Papers]]*100)/236</f>
        <v>3.8135593220338984</v>
      </c>
    </row>
    <row r="10" spans="1:3" x14ac:dyDescent="0.25">
      <c r="A10" s="120" t="s">
        <v>3365</v>
      </c>
      <c r="B10" s="5">
        <v>5</v>
      </c>
      <c r="C10" s="147">
        <f>(Tabla5[[#This Row],[Papers]]*100)/236</f>
        <v>2.1186440677966103</v>
      </c>
    </row>
    <row r="11" spans="1:3" x14ac:dyDescent="0.25">
      <c r="A11" s="120" t="s">
        <v>66</v>
      </c>
      <c r="B11" s="5">
        <v>5</v>
      </c>
      <c r="C11" s="147">
        <f>(Tabla5[[#This Row],[Papers]]*100)/236</f>
        <v>2.1186440677966103</v>
      </c>
    </row>
    <row r="12" spans="1:3" x14ac:dyDescent="0.25">
      <c r="A12" s="26" t="s">
        <v>3355</v>
      </c>
      <c r="B12" s="5">
        <v>5</v>
      </c>
      <c r="C12" s="147">
        <f>(Tabla5[[#This Row],[Papers]]*100)/236</f>
        <v>2.1186440677966103</v>
      </c>
    </row>
    <row r="13" spans="1:3" x14ac:dyDescent="0.25">
      <c r="A13" s="31" t="s">
        <v>3349</v>
      </c>
      <c r="B13" s="5">
        <v>5</v>
      </c>
      <c r="C13" s="147">
        <f>(Tabla5[[#This Row],[Papers]]*100)/236</f>
        <v>2.1186440677966103</v>
      </c>
    </row>
    <row r="14" spans="1:3" x14ac:dyDescent="0.25">
      <c r="A14" s="31" t="s">
        <v>62</v>
      </c>
      <c r="B14" s="5">
        <v>5</v>
      </c>
      <c r="C14" s="147">
        <f>(Tabla5[[#This Row],[Papers]]*100)/236</f>
        <v>2.1186440677966103</v>
      </c>
    </row>
    <row r="15" spans="1:3" x14ac:dyDescent="0.25">
      <c r="A15" s="31" t="s">
        <v>53</v>
      </c>
      <c r="B15" s="5">
        <v>4</v>
      </c>
      <c r="C15" s="147">
        <f>(Tabla5[[#This Row],[Papers]]*100)/236</f>
        <v>1.6949152542372881</v>
      </c>
    </row>
    <row r="16" spans="1:3" x14ac:dyDescent="0.25">
      <c r="A16" s="26" t="s">
        <v>58</v>
      </c>
      <c r="B16" s="5">
        <v>4</v>
      </c>
      <c r="C16" s="147">
        <f>(Tabla5[[#This Row],[Papers]]*100)/236</f>
        <v>1.6949152542372881</v>
      </c>
    </row>
    <row r="17" spans="1:3" x14ac:dyDescent="0.25">
      <c r="A17" s="31" t="s">
        <v>64</v>
      </c>
      <c r="B17" s="5">
        <v>3</v>
      </c>
      <c r="C17" s="147">
        <f>(Tabla5[[#This Row],[Papers]]*100)/236</f>
        <v>1.271186440677966</v>
      </c>
    </row>
    <row r="18" spans="1:3" x14ac:dyDescent="0.25">
      <c r="A18" s="26" t="s">
        <v>60</v>
      </c>
      <c r="B18" s="5">
        <v>3</v>
      </c>
      <c r="C18" s="147">
        <f>(Tabla5[[#This Row],[Papers]]*100)/236</f>
        <v>1.271186440677966</v>
      </c>
    </row>
    <row r="19" spans="1:3" x14ac:dyDescent="0.25">
      <c r="A19" s="121" t="s">
        <v>3489</v>
      </c>
      <c r="B19" s="5">
        <v>3</v>
      </c>
      <c r="C19" s="147">
        <f>(Tabla5[[#This Row],[Papers]]*100)/236</f>
        <v>1.271186440677966</v>
      </c>
    </row>
    <row r="20" spans="1:3" s="26" customFormat="1" x14ac:dyDescent="0.25">
      <c r="A20" s="26" t="s">
        <v>3464</v>
      </c>
      <c r="B20" s="5">
        <v>3</v>
      </c>
      <c r="C20" s="147">
        <f>(Tabla5[[#This Row],[Papers]]*100)/236</f>
        <v>1.271186440677966</v>
      </c>
    </row>
    <row r="21" spans="1:3" s="26" customFormat="1" x14ac:dyDescent="0.25">
      <c r="A21" s="31" t="s">
        <v>65</v>
      </c>
      <c r="B21" s="5">
        <v>3</v>
      </c>
      <c r="C21" s="147">
        <f>(Tabla5[[#This Row],[Papers]]*100)/236</f>
        <v>1.271186440677966</v>
      </c>
    </row>
    <row r="22" spans="1:3" s="26" customFormat="1" x14ac:dyDescent="0.25">
      <c r="A22" s="31" t="s">
        <v>3661</v>
      </c>
      <c r="B22" s="5">
        <v>2</v>
      </c>
      <c r="C22" s="147">
        <f>(Tabla5[[#This Row],[Papers]]*100)/236</f>
        <v>0.84745762711864403</v>
      </c>
    </row>
    <row r="23" spans="1:3" s="26" customFormat="1" x14ac:dyDescent="0.25">
      <c r="A23" s="31" t="s">
        <v>3428</v>
      </c>
      <c r="B23" s="5">
        <v>2</v>
      </c>
      <c r="C23" s="147">
        <f>(Tabla5[[#This Row],[Papers]]*100)/236</f>
        <v>0.84745762711864403</v>
      </c>
    </row>
    <row r="24" spans="1:3" s="26" customFormat="1" x14ac:dyDescent="0.25">
      <c r="A24" s="31" t="s">
        <v>63</v>
      </c>
      <c r="B24" s="5">
        <v>2</v>
      </c>
      <c r="C24" s="147">
        <f>(Tabla5[[#This Row],[Papers]]*100)/236</f>
        <v>0.84745762711864403</v>
      </c>
    </row>
    <row r="25" spans="1:3" s="26" customFormat="1" x14ac:dyDescent="0.25">
      <c r="A25" s="26" t="s">
        <v>3338</v>
      </c>
      <c r="B25" s="5">
        <v>2</v>
      </c>
      <c r="C25" s="147">
        <f>(Tabla5[[#This Row],[Papers]]*100)/236</f>
        <v>0.84745762711864403</v>
      </c>
    </row>
    <row r="26" spans="1:3" s="26" customFormat="1" x14ac:dyDescent="0.25">
      <c r="A26" s="31" t="s">
        <v>3664</v>
      </c>
      <c r="B26" s="5">
        <v>2</v>
      </c>
      <c r="C26" s="147">
        <f>(Tabla5[[#This Row],[Papers]]*100)/236</f>
        <v>0.84745762711864403</v>
      </c>
    </row>
    <row r="27" spans="1:3" s="26" customFormat="1" x14ac:dyDescent="0.25">
      <c r="A27" s="31" t="s">
        <v>3625</v>
      </c>
      <c r="B27" s="5">
        <v>2</v>
      </c>
      <c r="C27" s="147">
        <f>(Tabla5[[#This Row],[Papers]]*100)/236</f>
        <v>0.84745762711864403</v>
      </c>
    </row>
    <row r="28" spans="1:3" s="26" customFormat="1" x14ac:dyDescent="0.25">
      <c r="A28" s="31" t="s">
        <v>3639</v>
      </c>
      <c r="B28" s="5">
        <v>2</v>
      </c>
      <c r="C28" s="147">
        <f>(Tabla5[[#This Row],[Papers]]*100)/236</f>
        <v>0.84745762711864403</v>
      </c>
    </row>
    <row r="29" spans="1:3" s="26" customFormat="1" x14ac:dyDescent="0.25">
      <c r="A29" s="31" t="s">
        <v>3579</v>
      </c>
      <c r="B29" s="5">
        <v>1</v>
      </c>
      <c r="C29" s="147">
        <f>(Tabla5[[#This Row],[Papers]]*100)/236</f>
        <v>0.42372881355932202</v>
      </c>
    </row>
    <row r="30" spans="1:3" s="26" customFormat="1" x14ac:dyDescent="0.25">
      <c r="A30" s="121" t="s">
        <v>3523</v>
      </c>
      <c r="B30" s="5">
        <v>1</v>
      </c>
      <c r="C30" s="147">
        <f>(Tabla5[[#This Row],[Papers]]*100)/236</f>
        <v>0.42372881355932202</v>
      </c>
    </row>
    <row r="31" spans="1:3" s="26" customFormat="1" x14ac:dyDescent="0.25">
      <c r="A31" s="26" t="s">
        <v>3620</v>
      </c>
      <c r="B31" s="5">
        <v>1</v>
      </c>
      <c r="C31" s="147">
        <f>(Tabla5[[#This Row],[Papers]]*100)/236</f>
        <v>0.42372881355932202</v>
      </c>
    </row>
    <row r="32" spans="1:3" s="26" customFormat="1" x14ac:dyDescent="0.25">
      <c r="A32" s="26" t="s">
        <v>3422</v>
      </c>
      <c r="B32" s="5">
        <v>1</v>
      </c>
      <c r="C32" s="147">
        <f>(Tabla5[[#This Row],[Papers]]*100)/236</f>
        <v>0.42372881355932202</v>
      </c>
    </row>
    <row r="33" spans="1:3" s="26" customFormat="1" x14ac:dyDescent="0.25">
      <c r="A33" s="26" t="s">
        <v>3564</v>
      </c>
      <c r="B33" s="5">
        <v>1</v>
      </c>
      <c r="C33" s="147">
        <f>(Tabla5[[#This Row],[Papers]]*100)/236</f>
        <v>0.42372881355932202</v>
      </c>
    </row>
    <row r="34" spans="1:3" s="26" customFormat="1" x14ac:dyDescent="0.25">
      <c r="A34" s="26" t="s">
        <v>3602</v>
      </c>
      <c r="B34" s="5">
        <v>1</v>
      </c>
      <c r="C34" s="147">
        <f>(Tabla5[[#This Row],[Papers]]*100)/236</f>
        <v>0.42372881355932202</v>
      </c>
    </row>
    <row r="35" spans="1:3" s="26" customFormat="1" x14ac:dyDescent="0.25">
      <c r="A35" s="31" t="s">
        <v>3463</v>
      </c>
      <c r="B35" s="5">
        <v>1</v>
      </c>
      <c r="C35" s="147">
        <f>(Tabla5[[#This Row],[Papers]]*100)/236</f>
        <v>0.42372881355932202</v>
      </c>
    </row>
    <row r="36" spans="1:3" s="26" customFormat="1" x14ac:dyDescent="0.25">
      <c r="A36" s="26" t="s">
        <v>3663</v>
      </c>
      <c r="B36" s="5">
        <v>1</v>
      </c>
      <c r="C36" s="147">
        <f>(Tabla5[[#This Row],[Papers]]*100)/236</f>
        <v>0.42372881355932202</v>
      </c>
    </row>
    <row r="37" spans="1:3" s="26" customFormat="1" x14ac:dyDescent="0.25">
      <c r="A37" s="120" t="s">
        <v>3379</v>
      </c>
      <c r="B37" s="5">
        <v>1</v>
      </c>
      <c r="C37" s="147">
        <f>(Tabla5[[#This Row],[Papers]]*100)/236</f>
        <v>0.42372881355932202</v>
      </c>
    </row>
    <row r="38" spans="1:3" s="26" customFormat="1" x14ac:dyDescent="0.25">
      <c r="A38" s="120" t="s">
        <v>3666</v>
      </c>
      <c r="B38" s="5">
        <v>1</v>
      </c>
      <c r="C38" s="147">
        <f>(Tabla5[[#This Row],[Papers]]*100)/236</f>
        <v>0.42372881355932202</v>
      </c>
    </row>
    <row r="39" spans="1:3" s="26" customFormat="1" x14ac:dyDescent="0.25">
      <c r="A39" s="120" t="s">
        <v>3550</v>
      </c>
      <c r="B39" s="5">
        <v>1</v>
      </c>
      <c r="C39" s="147">
        <f>(Tabla5[[#This Row],[Papers]]*100)/236</f>
        <v>0.42372881355932202</v>
      </c>
    </row>
    <row r="40" spans="1:3" s="26" customFormat="1" x14ac:dyDescent="0.25">
      <c r="A40" s="120" t="s">
        <v>3431</v>
      </c>
      <c r="B40" s="5">
        <v>1</v>
      </c>
      <c r="C40" s="147">
        <f>(Tabla5[[#This Row],[Papers]]*100)/236</f>
        <v>0.42372881355932202</v>
      </c>
    </row>
    <row r="41" spans="1:3" x14ac:dyDescent="0.25">
      <c r="A41" s="120" t="s">
        <v>3458</v>
      </c>
      <c r="B41" s="5">
        <v>1</v>
      </c>
      <c r="C41" s="147">
        <f>(Tabla5[[#This Row],[Papers]]*100)/236</f>
        <v>0.42372881355932202</v>
      </c>
    </row>
    <row r="42" spans="1:3" x14ac:dyDescent="0.25">
      <c r="A42" s="120" t="s">
        <v>67</v>
      </c>
      <c r="B42" s="5">
        <v>1</v>
      </c>
      <c r="C42" s="147">
        <f>(Tabla5[[#This Row],[Papers]]*100)/236</f>
        <v>0.42372881355932202</v>
      </c>
    </row>
    <row r="43" spans="1:3" x14ac:dyDescent="0.25">
      <c r="A43" s="26"/>
      <c r="B43" s="117">
        <f>SUBTOTAL(109,Tabla5[Papers])</f>
        <v>236</v>
      </c>
    </row>
    <row r="44" spans="1:3" s="26" customFormat="1" x14ac:dyDescent="0.25">
      <c r="A44" s="122" t="s">
        <v>52</v>
      </c>
      <c r="B44" s="123" t="s">
        <v>3659</v>
      </c>
    </row>
    <row r="45" spans="1:3" x14ac:dyDescent="0.25">
      <c r="A45" s="122" t="s">
        <v>3335</v>
      </c>
      <c r="B45" s="124">
        <f>COUNTIF(BddCountry!B44:B279,A45)</f>
        <v>40</v>
      </c>
      <c r="C45" s="147">
        <f>(B45*100)/236</f>
        <v>16.949152542372882</v>
      </c>
    </row>
    <row r="46" spans="1:3" x14ac:dyDescent="0.25">
      <c r="A46" s="122" t="s">
        <v>61</v>
      </c>
      <c r="B46" s="124">
        <f>COUNTIF(BddCountry!B5:B240,A46)</f>
        <v>23</v>
      </c>
      <c r="C46" s="147">
        <f t="shared" ref="C46:C85" si="0">(B46*100)/236</f>
        <v>9.7457627118644066</v>
      </c>
    </row>
    <row r="47" spans="1:3" x14ac:dyDescent="0.25">
      <c r="A47" s="122" t="s">
        <v>57</v>
      </c>
      <c r="B47" s="124">
        <f>COUNTIF(BddCountry!B7:B242,A47)</f>
        <v>23</v>
      </c>
      <c r="C47" s="147">
        <f t="shared" si="0"/>
        <v>9.7457627118644066</v>
      </c>
    </row>
    <row r="48" spans="1:3" x14ac:dyDescent="0.25">
      <c r="A48" s="122" t="s">
        <v>59</v>
      </c>
      <c r="B48" s="124">
        <f>COUNTIF(BddCountry!B9:B244,A48)</f>
        <v>21</v>
      </c>
      <c r="C48" s="147">
        <f t="shared" si="0"/>
        <v>8.898305084745763</v>
      </c>
    </row>
    <row r="49" spans="1:3" x14ac:dyDescent="0.25">
      <c r="A49" s="122" t="s">
        <v>3315</v>
      </c>
      <c r="B49" s="124">
        <f>COUNTIF(BddCountry!B24:B259,A49)</f>
        <v>18</v>
      </c>
      <c r="C49" s="147">
        <f t="shared" si="0"/>
        <v>7.6271186440677967</v>
      </c>
    </row>
    <row r="50" spans="1:3" x14ac:dyDescent="0.25">
      <c r="A50" s="122" t="s">
        <v>3317</v>
      </c>
      <c r="B50" s="124">
        <f>COUNTIF(BddCountry!B20:B255,A50)</f>
        <v>17</v>
      </c>
      <c r="C50" s="147">
        <f t="shared" si="0"/>
        <v>7.2033898305084749</v>
      </c>
    </row>
    <row r="51" spans="1:3" x14ac:dyDescent="0.25">
      <c r="A51" s="122" t="s">
        <v>54</v>
      </c>
      <c r="B51" s="124">
        <f>COUNTIF(BddCountry!B16:B251,A51)</f>
        <v>9</v>
      </c>
      <c r="C51" s="147">
        <f t="shared" si="0"/>
        <v>3.8135593220338984</v>
      </c>
    </row>
    <row r="52" spans="1:3" x14ac:dyDescent="0.25">
      <c r="A52" s="122" t="s">
        <v>56</v>
      </c>
      <c r="B52" s="124">
        <f>COUNTIF(BddCountry!B23:B258,A52)</f>
        <v>9</v>
      </c>
      <c r="C52" s="147">
        <f t="shared" si="0"/>
        <v>3.8135593220338984</v>
      </c>
    </row>
    <row r="53" spans="1:3" x14ac:dyDescent="0.25">
      <c r="A53" s="122" t="s">
        <v>3365</v>
      </c>
      <c r="B53" s="124">
        <f>COUNTIF(BddCountry!B15:B250,A53)</f>
        <v>5</v>
      </c>
      <c r="C53" s="147">
        <f t="shared" si="0"/>
        <v>2.1186440677966103</v>
      </c>
    </row>
    <row r="54" spans="1:3" x14ac:dyDescent="0.25">
      <c r="A54" s="122" t="s">
        <v>66</v>
      </c>
      <c r="B54" s="124">
        <f>COUNTIF(BddCountry!B28:B263,A54)</f>
        <v>5</v>
      </c>
      <c r="C54" s="147">
        <f t="shared" si="0"/>
        <v>2.1186440677966103</v>
      </c>
    </row>
    <row r="55" spans="1:3" x14ac:dyDescent="0.25">
      <c r="A55" s="122" t="s">
        <v>3355</v>
      </c>
      <c r="B55" s="124">
        <f>COUNTIF(BddCountry!B29:B264,A55)</f>
        <v>5</v>
      </c>
      <c r="C55" s="147">
        <f t="shared" si="0"/>
        <v>2.1186440677966103</v>
      </c>
    </row>
    <row r="56" spans="1:3" x14ac:dyDescent="0.25">
      <c r="A56" s="122" t="s">
        <v>3349</v>
      </c>
      <c r="B56" s="124">
        <f>COUNTIF(BddCountry!B38:B273,A56)</f>
        <v>5</v>
      </c>
      <c r="C56" s="147">
        <f t="shared" si="0"/>
        <v>2.1186440677966103</v>
      </c>
    </row>
    <row r="57" spans="1:3" x14ac:dyDescent="0.25">
      <c r="A57" s="122" t="s">
        <v>62</v>
      </c>
      <c r="B57" s="124">
        <f>COUNTIF(BddCountry!B40:B275,A57)</f>
        <v>5</v>
      </c>
      <c r="C57" s="147">
        <f t="shared" si="0"/>
        <v>2.1186440677966103</v>
      </c>
    </row>
    <row r="58" spans="1:3" x14ac:dyDescent="0.25">
      <c r="A58" s="122" t="s">
        <v>53</v>
      </c>
      <c r="B58" s="124">
        <f>COUNTIF(BddCountry!B3:B238,A58)</f>
        <v>4</v>
      </c>
      <c r="C58" s="147">
        <f t="shared" si="0"/>
        <v>1.6949152542372881</v>
      </c>
    </row>
    <row r="59" spans="1:3" x14ac:dyDescent="0.25">
      <c r="A59" s="122" t="s">
        <v>58</v>
      </c>
      <c r="B59" s="124">
        <f>COUNTIF(BddCountry!B17:B252,A59)</f>
        <v>4</v>
      </c>
      <c r="C59" s="147">
        <f t="shared" si="0"/>
        <v>1.6949152542372881</v>
      </c>
    </row>
    <row r="60" spans="1:3" x14ac:dyDescent="0.25">
      <c r="A60" s="122" t="s">
        <v>64</v>
      </c>
      <c r="B60" s="124">
        <f>COUNTIF(BddCountry!B2:B237,A60)</f>
        <v>3</v>
      </c>
      <c r="C60" s="147">
        <f t="shared" si="0"/>
        <v>1.271186440677966</v>
      </c>
    </row>
    <row r="61" spans="1:3" x14ac:dyDescent="0.25">
      <c r="A61" s="122" t="s">
        <v>60</v>
      </c>
      <c r="B61" s="124">
        <f>COUNTIF(BddCountry!B13:B248,A61)</f>
        <v>3</v>
      </c>
      <c r="C61" s="147">
        <f t="shared" si="0"/>
        <v>1.271186440677966</v>
      </c>
    </row>
    <row r="62" spans="1:3" x14ac:dyDescent="0.25">
      <c r="A62" s="122" t="s">
        <v>3489</v>
      </c>
      <c r="B62" s="124">
        <f>COUNTIF(BddCountry!B31:B266,A62)</f>
        <v>3</v>
      </c>
      <c r="C62" s="147">
        <f t="shared" si="0"/>
        <v>1.271186440677966</v>
      </c>
    </row>
    <row r="63" spans="1:3" x14ac:dyDescent="0.25">
      <c r="A63" s="122" t="s">
        <v>3464</v>
      </c>
      <c r="B63" s="124">
        <f>COUNTIF(BddCountry!B37:B272,A63)</f>
        <v>3</v>
      </c>
      <c r="C63" s="147">
        <f t="shared" si="0"/>
        <v>1.271186440677966</v>
      </c>
    </row>
    <row r="64" spans="1:3" x14ac:dyDescent="0.25">
      <c r="A64" s="122" t="s">
        <v>65</v>
      </c>
      <c r="B64" s="124">
        <f>COUNTIF(BddCountry!B39:B274,A64)</f>
        <v>3</v>
      </c>
      <c r="C64" s="147">
        <f t="shared" si="0"/>
        <v>1.271186440677966</v>
      </c>
    </row>
    <row r="65" spans="1:3" x14ac:dyDescent="0.25">
      <c r="A65" s="122" t="s">
        <v>3661</v>
      </c>
      <c r="B65" s="124">
        <f>COUNTIF(BddCountry!B4:B239,A65)</f>
        <v>2</v>
      </c>
      <c r="C65" s="147">
        <f t="shared" si="0"/>
        <v>0.84745762711864403</v>
      </c>
    </row>
    <row r="66" spans="1:3" x14ac:dyDescent="0.25">
      <c r="A66" s="125" t="s">
        <v>3428</v>
      </c>
      <c r="B66" s="124">
        <f>COUNTIF(BddCountry!B8:B243,A66)</f>
        <v>2</v>
      </c>
      <c r="C66" s="147">
        <f t="shared" si="0"/>
        <v>0.84745762711864403</v>
      </c>
    </row>
    <row r="67" spans="1:3" x14ac:dyDescent="0.25">
      <c r="A67" s="122" t="s">
        <v>63</v>
      </c>
      <c r="B67" s="124">
        <f>COUNTIF(BddCountry!B10:B245,A67)</f>
        <v>2</v>
      </c>
      <c r="C67" s="147">
        <f t="shared" si="0"/>
        <v>0.84745762711864403</v>
      </c>
    </row>
    <row r="68" spans="1:3" x14ac:dyDescent="0.25">
      <c r="A68" s="122" t="s">
        <v>3338</v>
      </c>
      <c r="B68" s="124">
        <f>COUNTIF(BddCountry!B19:B254,A68)</f>
        <v>2</v>
      </c>
      <c r="C68" s="147">
        <f t="shared" si="0"/>
        <v>0.84745762711864403</v>
      </c>
    </row>
    <row r="69" spans="1:3" x14ac:dyDescent="0.25">
      <c r="A69" s="122" t="s">
        <v>3664</v>
      </c>
      <c r="B69" s="124">
        <f>COUNTIF(BddCountry!B30:B265,A69)</f>
        <v>2</v>
      </c>
      <c r="C69" s="147">
        <f t="shared" si="0"/>
        <v>0.84745762711864403</v>
      </c>
    </row>
    <row r="70" spans="1:3" x14ac:dyDescent="0.25">
      <c r="A70" s="125" t="s">
        <v>3625</v>
      </c>
      <c r="B70" s="124">
        <f>COUNTIF(BddCountry!B42:B277,A70)</f>
        <v>2</v>
      </c>
      <c r="C70" s="147">
        <f t="shared" si="0"/>
        <v>0.84745762711864403</v>
      </c>
    </row>
    <row r="71" spans="1:3" x14ac:dyDescent="0.25">
      <c r="A71" s="122" t="s">
        <v>3639</v>
      </c>
      <c r="B71" s="124">
        <f>COUNTIF(BddCountry!B43:B278,A71)</f>
        <v>2</v>
      </c>
      <c r="C71" s="147">
        <f t="shared" si="0"/>
        <v>0.84745762711864403</v>
      </c>
    </row>
    <row r="72" spans="1:3" x14ac:dyDescent="0.25">
      <c r="A72" s="122" t="s">
        <v>3579</v>
      </c>
      <c r="B72" s="124">
        <f>COUNTIF(BddCountry!B11:B246,A72)</f>
        <v>1</v>
      </c>
      <c r="C72" s="147">
        <f t="shared" si="0"/>
        <v>0.42372881355932202</v>
      </c>
    </row>
    <row r="73" spans="1:3" x14ac:dyDescent="0.25">
      <c r="A73" s="122" t="s">
        <v>3523</v>
      </c>
      <c r="B73" s="124">
        <f>COUNTIF(BddCountry!B12:B247,A73)</f>
        <v>1</v>
      </c>
      <c r="C73" s="147">
        <f t="shared" si="0"/>
        <v>0.42372881355932202</v>
      </c>
    </row>
    <row r="74" spans="1:3" x14ac:dyDescent="0.25">
      <c r="A74" s="122" t="s">
        <v>3620</v>
      </c>
      <c r="B74" s="124">
        <f>COUNTIF(BddCountry!B18:B253,A74)</f>
        <v>1</v>
      </c>
      <c r="C74" s="147">
        <f t="shared" si="0"/>
        <v>0.42372881355932202</v>
      </c>
    </row>
    <row r="75" spans="1:3" x14ac:dyDescent="0.25">
      <c r="A75" s="122" t="s">
        <v>3422</v>
      </c>
      <c r="B75" s="124">
        <f>COUNTIF(BddCountry!B21:B256,A75)</f>
        <v>1</v>
      </c>
      <c r="C75" s="147">
        <f t="shared" si="0"/>
        <v>0.42372881355932202</v>
      </c>
    </row>
    <row r="76" spans="1:3" x14ac:dyDescent="0.25">
      <c r="A76" s="122" t="s">
        <v>3564</v>
      </c>
      <c r="B76" s="124">
        <f>COUNTIF(BddCountry!B22:B257,A76)</f>
        <v>1</v>
      </c>
      <c r="C76" s="147">
        <f t="shared" si="0"/>
        <v>0.42372881355932202</v>
      </c>
    </row>
    <row r="77" spans="1:3" x14ac:dyDescent="0.25">
      <c r="A77" s="122" t="s">
        <v>3602</v>
      </c>
      <c r="B77" s="124">
        <f>COUNTIF(BddCountry!B25:B260,A77)</f>
        <v>1</v>
      </c>
      <c r="C77" s="147">
        <f t="shared" si="0"/>
        <v>0.42372881355932202</v>
      </c>
    </row>
    <row r="78" spans="1:3" x14ac:dyDescent="0.25">
      <c r="A78" s="122" t="s">
        <v>3463</v>
      </c>
      <c r="B78" s="124">
        <f>COUNTIF(BddCountry!B26:B261,A78)</f>
        <v>1</v>
      </c>
      <c r="C78" s="147">
        <f t="shared" si="0"/>
        <v>0.42372881355932202</v>
      </c>
    </row>
    <row r="79" spans="1:3" x14ac:dyDescent="0.25">
      <c r="A79" s="122" t="s">
        <v>3663</v>
      </c>
      <c r="B79" s="124">
        <f>COUNTIF(BddCountry!B27:B262,A79)</f>
        <v>1</v>
      </c>
      <c r="C79" s="147">
        <f t="shared" si="0"/>
        <v>0.42372881355932202</v>
      </c>
    </row>
    <row r="80" spans="1:3" x14ac:dyDescent="0.25">
      <c r="A80" s="125" t="s">
        <v>3379</v>
      </c>
      <c r="B80" s="124">
        <f>COUNTIF(BddCountry!B32:B267,A80)</f>
        <v>1</v>
      </c>
      <c r="C80" s="147">
        <f t="shared" si="0"/>
        <v>0.42372881355932202</v>
      </c>
    </row>
    <row r="81" spans="1:3" x14ac:dyDescent="0.25">
      <c r="A81" s="122" t="s">
        <v>3666</v>
      </c>
      <c r="B81" s="124">
        <f>COUNTIF(BddCountry!B33:B268,A81)</f>
        <v>1</v>
      </c>
      <c r="C81" s="147">
        <f t="shared" si="0"/>
        <v>0.42372881355932202</v>
      </c>
    </row>
    <row r="82" spans="1:3" x14ac:dyDescent="0.25">
      <c r="A82" s="122" t="s">
        <v>3550</v>
      </c>
      <c r="B82" s="124">
        <f>COUNTIF(BddCountry!B34:B269,A82)</f>
        <v>1</v>
      </c>
      <c r="C82" s="147">
        <f t="shared" si="0"/>
        <v>0.42372881355932202</v>
      </c>
    </row>
    <row r="83" spans="1:3" x14ac:dyDescent="0.25">
      <c r="A83" s="122" t="s">
        <v>3431</v>
      </c>
      <c r="B83" s="124">
        <f>COUNTIF(BddCountry!B35:B270,A83)</f>
        <v>1</v>
      </c>
      <c r="C83" s="147">
        <f t="shared" si="0"/>
        <v>0.42372881355932202</v>
      </c>
    </row>
    <row r="84" spans="1:3" x14ac:dyDescent="0.25">
      <c r="A84" s="125" t="s">
        <v>3458</v>
      </c>
      <c r="B84" s="124">
        <f>COUNTIF(BddCountry!B36:B271,A84)</f>
        <v>1</v>
      </c>
      <c r="C84" s="147">
        <f t="shared" si="0"/>
        <v>0.42372881355932202</v>
      </c>
    </row>
    <row r="85" spans="1:3" x14ac:dyDescent="0.25">
      <c r="A85" s="122" t="s">
        <v>67</v>
      </c>
      <c r="B85" s="124">
        <f>COUNTIF(BddCountry!B41:B276,A85)</f>
        <v>1</v>
      </c>
      <c r="C85" s="147">
        <f t="shared" si="0"/>
        <v>0.42372881355932202</v>
      </c>
    </row>
    <row r="86" spans="1:3" x14ac:dyDescent="0.25">
      <c r="A86" s="31"/>
      <c r="B86" s="31"/>
    </row>
  </sheetData>
  <autoFilter ref="A44:B44" xr:uid="{C271D78D-A167-46A3-9D81-F1627DA901B3}">
    <sortState xmlns:xlrd2="http://schemas.microsoft.com/office/spreadsheetml/2017/richdata2" ref="A45:B85">
      <sortCondition descending="1" ref="B44"/>
    </sortState>
  </autoFilter>
  <conditionalFormatting sqref="A54:A85 A45:A52">
    <cfRule type="duplicateValues" dxfId="43" priority="84"/>
  </conditionalFormatting>
  <conditionalFormatting sqref="A45:A85">
    <cfRule type="duplicateValues" dxfId="42" priority="90"/>
  </conditionalFormatting>
  <conditionalFormatting sqref="A11:A44 A6:A9">
    <cfRule type="duplicateValues" dxfId="41" priority="91"/>
  </conditionalFormatting>
  <conditionalFormatting sqref="A6:A44">
    <cfRule type="duplicateValues" dxfId="40" priority="94"/>
  </conditionalFormatting>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3"/>
  <dimension ref="A1:G11"/>
  <sheetViews>
    <sheetView topLeftCell="A9" zoomScale="90" zoomScaleNormal="90" workbookViewId="0">
      <selection activeCell="C18" sqref="C18"/>
    </sheetView>
  </sheetViews>
  <sheetFormatPr baseColWidth="10" defaultRowHeight="15" x14ac:dyDescent="0.25"/>
  <cols>
    <col min="2" max="2" width="10.85546875" style="26"/>
    <col min="3" max="3" width="22.42578125" customWidth="1"/>
    <col min="4" max="4" width="16.42578125" customWidth="1"/>
  </cols>
  <sheetData>
    <row r="1" spans="1:7" x14ac:dyDescent="0.25">
      <c r="B1" s="26" t="s">
        <v>92</v>
      </c>
      <c r="C1" s="26" t="s">
        <v>3669</v>
      </c>
      <c r="D1" t="s">
        <v>92</v>
      </c>
      <c r="E1" t="s">
        <v>46</v>
      </c>
    </row>
    <row r="2" spans="1:7" x14ac:dyDescent="0.25">
      <c r="A2">
        <v>2012</v>
      </c>
      <c r="B2" s="26">
        <f>COUNTIF(DataBaseFinal!$H$2:$H$733,Year!A2)</f>
        <v>71</v>
      </c>
      <c r="C2" s="26">
        <f>COUNTIF(PRINCIPAL!$G$2:$G$237,Year!A2)</f>
        <v>14</v>
      </c>
      <c r="F2" s="2">
        <f t="shared" ref="F2:F9" si="0">D2/C2</f>
        <v>0</v>
      </c>
      <c r="G2" s="2"/>
    </row>
    <row r="3" spans="1:7" x14ac:dyDescent="0.25">
      <c r="A3">
        <v>2013</v>
      </c>
      <c r="B3" s="26">
        <f>COUNTIF(DataBaseFinal!$H$2:$H$733,Year!A3)</f>
        <v>73</v>
      </c>
      <c r="C3" s="26">
        <f>COUNTIF(PRINCIPAL!$G$2:$G$237,Year!A3)</f>
        <v>17</v>
      </c>
      <c r="D3" s="26"/>
      <c r="F3" s="2">
        <f t="shared" si="0"/>
        <v>0</v>
      </c>
      <c r="G3" s="2"/>
    </row>
    <row r="4" spans="1:7" x14ac:dyDescent="0.25">
      <c r="A4" s="26">
        <v>2014</v>
      </c>
      <c r="B4" s="26">
        <f>COUNTIF(DataBaseFinal!$H$2:$H$733,Year!A4)</f>
        <v>90</v>
      </c>
      <c r="C4" s="26">
        <f>COUNTIF(PRINCIPAL!$G$2:$G$237,Year!A4)</f>
        <v>25</v>
      </c>
      <c r="D4" s="26"/>
      <c r="F4" s="2">
        <f t="shared" si="0"/>
        <v>0</v>
      </c>
      <c r="G4" s="2"/>
    </row>
    <row r="5" spans="1:7" x14ac:dyDescent="0.25">
      <c r="A5" s="26">
        <v>2015</v>
      </c>
      <c r="B5" s="26">
        <f>COUNTIF(DataBaseFinal!$H$2:$H$733,Year!A5)</f>
        <v>112</v>
      </c>
      <c r="C5" s="26">
        <f>COUNTIF(PRINCIPAL!$G$2:$G$237,Year!A5)</f>
        <v>32</v>
      </c>
      <c r="D5" s="26"/>
      <c r="F5" s="2">
        <f t="shared" si="0"/>
        <v>0</v>
      </c>
      <c r="G5" s="2"/>
    </row>
    <row r="6" spans="1:7" x14ac:dyDescent="0.25">
      <c r="A6" s="26">
        <v>2016</v>
      </c>
      <c r="B6" s="26">
        <f>COUNTIF(DataBaseFinal!$H$2:$H$733,Year!A6)</f>
        <v>95</v>
      </c>
      <c r="C6" s="26">
        <f>COUNTIF(PRINCIPAL!$G$2:$G$237,Year!A6)</f>
        <v>31</v>
      </c>
      <c r="D6" s="26"/>
      <c r="F6" s="2">
        <f t="shared" si="0"/>
        <v>0</v>
      </c>
      <c r="G6" s="2"/>
    </row>
    <row r="7" spans="1:7" x14ac:dyDescent="0.25">
      <c r="A7" s="26">
        <v>2017</v>
      </c>
      <c r="B7" s="26">
        <f>COUNTIF(DataBaseFinal!$H$2:$H$733,Year!A7)</f>
        <v>116</v>
      </c>
      <c r="C7" s="26">
        <f>COUNTIF(PRINCIPAL!$G$2:$G$237,Year!A7)</f>
        <v>45</v>
      </c>
      <c r="D7" s="26"/>
      <c r="F7" s="2">
        <f t="shared" si="0"/>
        <v>0</v>
      </c>
      <c r="G7" s="2"/>
    </row>
    <row r="8" spans="1:7" x14ac:dyDescent="0.25">
      <c r="A8" s="26">
        <v>2018</v>
      </c>
      <c r="B8" s="26">
        <f>COUNTIF(DataBaseFinal!$H$2:$H$733,Year!A8)</f>
        <v>131</v>
      </c>
      <c r="C8" s="26">
        <f>COUNTIF(PRINCIPAL!$G$2:$G$237,Year!A8)</f>
        <v>50</v>
      </c>
      <c r="D8" s="26"/>
      <c r="F8" s="2">
        <f t="shared" si="0"/>
        <v>0</v>
      </c>
      <c r="G8" s="2"/>
    </row>
    <row r="9" spans="1:7" x14ac:dyDescent="0.25">
      <c r="A9" s="26">
        <v>2019</v>
      </c>
      <c r="B9" s="26">
        <f>COUNTIF(DataBaseFinal!$H$2:$H$733,Year!A9)</f>
        <v>42</v>
      </c>
      <c r="C9" s="26">
        <f>COUNTIF(PRINCIPAL!$G$2:$G$237,Year!A9)</f>
        <v>21</v>
      </c>
      <c r="D9" s="26"/>
      <c r="F9" s="2">
        <f t="shared" si="0"/>
        <v>0</v>
      </c>
      <c r="G9" s="2"/>
    </row>
    <row r="11" spans="1:7" x14ac:dyDescent="0.25">
      <c r="B11" s="26">
        <f>SUM(B2:B10)</f>
        <v>730</v>
      </c>
      <c r="C11">
        <f>SUM(C2:C9)</f>
        <v>235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5">
    <tabColor theme="9" tint="0.39997558519241921"/>
  </sheetPr>
  <dimension ref="A1:Y237"/>
  <sheetViews>
    <sheetView topLeftCell="C13" zoomScale="85" zoomScaleNormal="85" workbookViewId="0">
      <selection activeCell="J20" sqref="J20"/>
    </sheetView>
  </sheetViews>
  <sheetFormatPr baseColWidth="10" defaultRowHeight="15" x14ac:dyDescent="0.25"/>
  <cols>
    <col min="1" max="1" width="72.140625" customWidth="1"/>
    <col min="2" max="2" width="37.5703125" bestFit="1" customWidth="1"/>
    <col min="3" max="3" width="15" customWidth="1"/>
    <col min="9" max="9" width="5.5703125" customWidth="1"/>
    <col min="10" max="10" width="15.28515625" bestFit="1" customWidth="1"/>
    <col min="11" max="11" width="21.7109375" bestFit="1" customWidth="1"/>
  </cols>
  <sheetData>
    <row r="1" spans="1:11" x14ac:dyDescent="0.25">
      <c r="A1" s="1" t="s">
        <v>9</v>
      </c>
      <c r="B1" s="1" t="s">
        <v>52</v>
      </c>
      <c r="C1" s="1" t="s">
        <v>8</v>
      </c>
      <c r="D1" s="1" t="s">
        <v>51</v>
      </c>
      <c r="E1" s="1" t="s">
        <v>76</v>
      </c>
      <c r="F1" s="1"/>
    </row>
    <row r="2" spans="1:11" x14ac:dyDescent="0.25">
      <c r="A2" t="s">
        <v>954</v>
      </c>
      <c r="B2" t="s">
        <v>57</v>
      </c>
      <c r="C2" t="s">
        <v>69</v>
      </c>
      <c r="D2">
        <v>2</v>
      </c>
      <c r="E2">
        <f>SUMIF(Principal[AUTOR],"*"&amp;Tabla4[[#This Row],[Author]]&amp;"*",Principal[cited by (*Scopus)])</f>
        <v>143</v>
      </c>
    </row>
    <row r="3" spans="1:11" x14ac:dyDescent="0.25">
      <c r="A3" t="s">
        <v>183</v>
      </c>
      <c r="B3" t="s">
        <v>3661</v>
      </c>
      <c r="C3" t="s">
        <v>69</v>
      </c>
      <c r="D3">
        <v>1</v>
      </c>
      <c r="E3" s="26">
        <f>SUMIF(Principal[AUTOR],"*"&amp;Tabla4[[#This Row],[Author]]&amp;"*",Principal[cited by (*Scopus)])</f>
        <v>72</v>
      </c>
      <c r="G3" s="1" t="s">
        <v>8</v>
      </c>
      <c r="H3" s="1" t="s">
        <v>73</v>
      </c>
      <c r="J3" s="1" t="s">
        <v>52</v>
      </c>
      <c r="K3" s="1" t="s">
        <v>74</v>
      </c>
    </row>
    <row r="4" spans="1:11" x14ac:dyDescent="0.25">
      <c r="A4" t="s">
        <v>1407</v>
      </c>
      <c r="B4" t="s">
        <v>3335</v>
      </c>
      <c r="C4" t="s">
        <v>69</v>
      </c>
      <c r="D4" s="26"/>
      <c r="E4" s="26">
        <f>SUMIF(Principal[AUTOR],"*"&amp;Tabla4[[#This Row],[Author]]&amp;"*",Principal[cited by (*Scopus)])</f>
        <v>69</v>
      </c>
      <c r="G4" t="s">
        <v>69</v>
      </c>
      <c r="H4">
        <f>COUNTIF(Tabla4[Type],"=Academia")</f>
        <v>221</v>
      </c>
      <c r="J4" t="s">
        <v>3335</v>
      </c>
      <c r="K4">
        <f>COUNTIF(Tabla4[Country],J4)</f>
        <v>40</v>
      </c>
    </row>
    <row r="5" spans="1:11" x14ac:dyDescent="0.25">
      <c r="A5" t="s">
        <v>1923</v>
      </c>
      <c r="B5" t="s">
        <v>3639</v>
      </c>
      <c r="C5" t="s">
        <v>69</v>
      </c>
      <c r="D5" s="26">
        <v>1</v>
      </c>
      <c r="E5" s="26">
        <f>SUMIF(Principal[AUTOR],"*"&amp;Tabla4[[#This Row],[Author]]&amp;"*",Principal[cited by (*Scopus)])</f>
        <v>66</v>
      </c>
      <c r="G5" t="s">
        <v>70</v>
      </c>
      <c r="H5">
        <f>COUNTIF(Tabla4[Type],"=Industry")</f>
        <v>5</v>
      </c>
      <c r="J5" t="s">
        <v>57</v>
      </c>
      <c r="K5" s="26">
        <f>COUNTIF(Tabla4[Country],J5)</f>
        <v>23</v>
      </c>
    </row>
    <row r="6" spans="1:11" x14ac:dyDescent="0.25">
      <c r="A6" t="s">
        <v>1618</v>
      </c>
      <c r="B6" t="s">
        <v>3317</v>
      </c>
      <c r="C6" t="s">
        <v>3263</v>
      </c>
      <c r="D6" s="26">
        <v>1</v>
      </c>
      <c r="E6" s="26">
        <f>SUMIF(Principal[AUTOR],"*"&amp;Tabla4[[#This Row],[Author]]&amp;"*",Principal[cited by (*Scopus)])</f>
        <v>62</v>
      </c>
      <c r="G6" t="s">
        <v>3263</v>
      </c>
      <c r="H6">
        <f>COUNTIF(Tabla4[Type],"=Both")</f>
        <v>8</v>
      </c>
      <c r="J6" t="s">
        <v>61</v>
      </c>
      <c r="K6" s="26">
        <f>COUNTIF(Tabla4[Country],J6)</f>
        <v>23</v>
      </c>
    </row>
    <row r="7" spans="1:11" x14ac:dyDescent="0.25">
      <c r="A7" t="s">
        <v>1744</v>
      </c>
      <c r="B7" t="s">
        <v>3335</v>
      </c>
      <c r="C7" t="s">
        <v>69</v>
      </c>
      <c r="D7" s="26">
        <v>1</v>
      </c>
      <c r="E7" s="26">
        <f>SUMIF(Principal[AUTOR],"*"&amp;Tabla4[[#This Row],[Author]]&amp;"*",Principal[cited by (*Scopus)])</f>
        <v>46</v>
      </c>
      <c r="G7" t="s">
        <v>72</v>
      </c>
      <c r="H7" s="26">
        <f>COUNTIF(Tabla4[Type],"=Freelance")</f>
        <v>1</v>
      </c>
      <c r="J7" t="s">
        <v>59</v>
      </c>
      <c r="K7" s="26">
        <f>COUNTIF(Tabla4[Country],J7)</f>
        <v>21</v>
      </c>
    </row>
    <row r="8" spans="1:11" x14ac:dyDescent="0.25">
      <c r="A8" t="s">
        <v>1969</v>
      </c>
      <c r="B8" t="s">
        <v>3335</v>
      </c>
      <c r="C8" t="s">
        <v>69</v>
      </c>
      <c r="D8" s="26">
        <v>1</v>
      </c>
      <c r="E8" s="26">
        <f>SUMIF(Principal[AUTOR],"*"&amp;Tabla4[[#This Row],[Author]]&amp;"*",Principal[cited by (*Scopus)])</f>
        <v>43</v>
      </c>
      <c r="H8">
        <f>SUM(H4:H7)</f>
        <v>235</v>
      </c>
      <c r="J8" t="s">
        <v>3315</v>
      </c>
      <c r="K8" s="26">
        <f>COUNTIF(Tabla4[Country],J8)</f>
        <v>18</v>
      </c>
    </row>
    <row r="9" spans="1:11" x14ac:dyDescent="0.25">
      <c r="A9" t="s">
        <v>1043</v>
      </c>
      <c r="B9" t="s">
        <v>65</v>
      </c>
      <c r="C9" t="s">
        <v>69</v>
      </c>
      <c r="D9" s="26">
        <v>1</v>
      </c>
      <c r="E9" s="26">
        <f>SUMIF(Principal[AUTOR],"*"&amp;Tabla4[[#This Row],[Author]]&amp;"*",Principal[cited by (*Scopus)])</f>
        <v>42</v>
      </c>
      <c r="J9" t="s">
        <v>3317</v>
      </c>
      <c r="K9" s="26">
        <f>COUNTIF(Tabla4[Country],J9)</f>
        <v>17</v>
      </c>
    </row>
    <row r="10" spans="1:11" x14ac:dyDescent="0.25">
      <c r="A10" t="s">
        <v>1665</v>
      </c>
      <c r="B10" t="s">
        <v>3335</v>
      </c>
      <c r="C10" t="s">
        <v>69</v>
      </c>
      <c r="D10" s="26">
        <v>1</v>
      </c>
      <c r="E10" s="26">
        <f>SUMIF(Principal[AUTOR],"*"&amp;Tabla4[[#This Row],[Author]]&amp;"*",Principal[cited by (*Scopus)])</f>
        <v>42</v>
      </c>
      <c r="J10" t="s">
        <v>56</v>
      </c>
      <c r="K10" s="26">
        <f>COUNTIF(Tabla4[Country],J10)</f>
        <v>9</v>
      </c>
    </row>
    <row r="11" spans="1:11" x14ac:dyDescent="0.25">
      <c r="A11" t="s">
        <v>647</v>
      </c>
      <c r="B11" t="s">
        <v>3664</v>
      </c>
      <c r="C11" t="s">
        <v>69</v>
      </c>
      <c r="D11" s="26">
        <v>1</v>
      </c>
      <c r="E11" s="26">
        <f>SUMIF(Principal[AUTOR],"*"&amp;Tabla4[[#This Row],[Author]]&amp;"*",Principal[cited by (*Scopus)])</f>
        <v>40</v>
      </c>
      <c r="J11" t="s">
        <v>54</v>
      </c>
      <c r="K11" s="26">
        <f>COUNTIF(Tabla4[Country],J11)</f>
        <v>9</v>
      </c>
    </row>
    <row r="12" spans="1:11" x14ac:dyDescent="0.25">
      <c r="A12" t="s">
        <v>2248</v>
      </c>
      <c r="B12" t="s">
        <v>56</v>
      </c>
      <c r="C12" t="s">
        <v>69</v>
      </c>
      <c r="D12" s="26">
        <v>1</v>
      </c>
      <c r="E12" s="26">
        <f>SUMIF(Principal[AUTOR],"*"&amp;Tabla4[[#This Row],[Author]]&amp;"*",Principal[cited by (*Scopus)])</f>
        <v>38</v>
      </c>
      <c r="J12" t="s">
        <v>3365</v>
      </c>
      <c r="K12" s="26">
        <f>COUNTIF(Tabla4[Country],J12)</f>
        <v>5</v>
      </c>
    </row>
    <row r="13" spans="1:11" x14ac:dyDescent="0.25">
      <c r="A13" t="s">
        <v>604</v>
      </c>
      <c r="B13" t="s">
        <v>3315</v>
      </c>
      <c r="C13" t="s">
        <v>69</v>
      </c>
      <c r="D13" s="26">
        <v>2</v>
      </c>
      <c r="E13" s="26">
        <f>SUMIF(Principal[AUTOR],"*"&amp;Tabla4[[#This Row],[Author]]&amp;"*",Principal[cited by (*Scopus)])</f>
        <v>31</v>
      </c>
      <c r="J13" t="s">
        <v>3349</v>
      </c>
      <c r="K13" s="26">
        <f>COUNTIF(Tabla4[Country],J13)</f>
        <v>5</v>
      </c>
    </row>
    <row r="14" spans="1:11" x14ac:dyDescent="0.25">
      <c r="A14" t="s">
        <v>604</v>
      </c>
      <c r="B14" t="s">
        <v>3315</v>
      </c>
      <c r="C14" t="s">
        <v>69</v>
      </c>
      <c r="D14" s="26"/>
      <c r="E14" s="26">
        <f>SUMIF(Principal[AUTOR],"*"&amp;Tabla4[[#This Row],[Author]]&amp;"*",Principal[cited by (*Scopus)])</f>
        <v>31</v>
      </c>
      <c r="J14" t="s">
        <v>3355</v>
      </c>
      <c r="K14" s="26">
        <f>COUNTIF(Tabla4[Country],J14)</f>
        <v>5</v>
      </c>
    </row>
    <row r="15" spans="1:11" x14ac:dyDescent="0.25">
      <c r="A15" t="s">
        <v>1003</v>
      </c>
      <c r="B15" t="s">
        <v>57</v>
      </c>
      <c r="C15" t="s">
        <v>69</v>
      </c>
      <c r="D15" s="26">
        <v>1</v>
      </c>
      <c r="E15" s="26">
        <f>SUMIF(Principal[AUTOR],"*"&amp;Tabla4[[#This Row],[Author]]&amp;"*",Principal[cited by (*Scopus)])</f>
        <v>30</v>
      </c>
      <c r="J15" t="s">
        <v>62</v>
      </c>
      <c r="K15" s="26">
        <f>COUNTIF(Tabla4[Country],J15)</f>
        <v>5</v>
      </c>
    </row>
    <row r="16" spans="1:11" x14ac:dyDescent="0.25">
      <c r="A16" t="s">
        <v>441</v>
      </c>
      <c r="B16" t="s">
        <v>57</v>
      </c>
      <c r="C16" t="s">
        <v>69</v>
      </c>
      <c r="D16" s="26">
        <v>1</v>
      </c>
      <c r="E16" s="26">
        <f>SUMIF(Principal[AUTOR],"*"&amp;Tabla4[[#This Row],[Author]]&amp;"*",Principal[cited by (*Scopus)])</f>
        <v>29</v>
      </c>
      <c r="J16" t="s">
        <v>65</v>
      </c>
      <c r="K16" s="26">
        <f>COUNTIF(Tabla4[Country],J16)</f>
        <v>3</v>
      </c>
    </row>
    <row r="17" spans="1:25" x14ac:dyDescent="0.25">
      <c r="A17" t="s">
        <v>3117</v>
      </c>
      <c r="B17" t="s">
        <v>59</v>
      </c>
      <c r="C17" t="s">
        <v>69</v>
      </c>
      <c r="D17" s="26">
        <v>1</v>
      </c>
      <c r="E17" s="26">
        <f>SUMIF(Principal[AUTOR],"*"&amp;Tabla4[[#This Row],[Author]]&amp;"*",Principal[cited by (*Scopus)])</f>
        <v>29</v>
      </c>
      <c r="J17" t="s">
        <v>3661</v>
      </c>
      <c r="K17" s="26">
        <f>COUNTIF(Tabla4[Country],J17)</f>
        <v>2</v>
      </c>
    </row>
    <row r="18" spans="1:25" x14ac:dyDescent="0.25">
      <c r="A18" t="s">
        <v>2707</v>
      </c>
      <c r="B18" t="s">
        <v>56</v>
      </c>
      <c r="C18" t="s">
        <v>69</v>
      </c>
      <c r="D18" s="26">
        <v>1</v>
      </c>
      <c r="E18" s="26">
        <f>SUMIF(Principal[AUTOR],"*"&amp;Tabla4[[#This Row],[Author]]&amp;"*",Principal[cited by (*Scopus)])</f>
        <v>28</v>
      </c>
      <c r="J18" t="s">
        <v>3639</v>
      </c>
      <c r="K18" s="26">
        <f>COUNTIF(Tabla4[Country],J18)</f>
        <v>2</v>
      </c>
    </row>
    <row r="19" spans="1:25" x14ac:dyDescent="0.25">
      <c r="A19" t="s">
        <v>1534</v>
      </c>
      <c r="B19" t="s">
        <v>3365</v>
      </c>
      <c r="C19" t="s">
        <v>69</v>
      </c>
      <c r="D19" s="26"/>
      <c r="E19" s="26">
        <f>SUMIF(Principal[AUTOR],"*"&amp;Tabla4[[#This Row],[Author]]&amp;"*",Principal[cited by (*Scopus)])</f>
        <v>28</v>
      </c>
      <c r="J19" t="s">
        <v>3664</v>
      </c>
      <c r="K19" s="26">
        <f>COUNTIF(Tabla4[Country],J19)</f>
        <v>2</v>
      </c>
    </row>
    <row r="20" spans="1:25" x14ac:dyDescent="0.25">
      <c r="A20" t="s">
        <v>1573</v>
      </c>
      <c r="B20" t="s">
        <v>57</v>
      </c>
      <c r="C20" t="s">
        <v>69</v>
      </c>
      <c r="D20" s="26">
        <v>1</v>
      </c>
      <c r="E20" s="26">
        <f>SUMIF(Principal[AUTOR],"*"&amp;Tabla4[[#This Row],[Author]]&amp;"*",Principal[cited by (*Scopus)])</f>
        <v>28</v>
      </c>
      <c r="J20" t="s">
        <v>3523</v>
      </c>
      <c r="K20" s="26">
        <f>COUNTIF(Tabla4[Country],J20)</f>
        <v>1</v>
      </c>
      <c r="V20" s="157" t="s">
        <v>4188</v>
      </c>
      <c r="W20" s="157" t="s">
        <v>4189</v>
      </c>
      <c r="X20" s="157" t="s">
        <v>10</v>
      </c>
      <c r="Y20" s="157" t="s">
        <v>109</v>
      </c>
    </row>
    <row r="21" spans="1:25" x14ac:dyDescent="0.25">
      <c r="A21" t="s">
        <v>1479</v>
      </c>
      <c r="B21" t="s">
        <v>3335</v>
      </c>
      <c r="C21" t="s">
        <v>69</v>
      </c>
      <c r="D21" s="26">
        <v>1</v>
      </c>
      <c r="E21" s="26">
        <f>SUMIF(Principal[AUTOR],"*"&amp;Tabla4[[#This Row],[Author]]&amp;"*",Principal[cited by (*Scopus)])</f>
        <v>26</v>
      </c>
      <c r="K21" s="26">
        <f>SUM(K4:K20)</f>
        <v>190</v>
      </c>
      <c r="V21" s="158">
        <v>2</v>
      </c>
      <c r="W21" s="158">
        <v>143</v>
      </c>
      <c r="X21" s="158">
        <v>2017</v>
      </c>
      <c r="Y21" s="158">
        <v>5</v>
      </c>
    </row>
    <row r="22" spans="1:25" x14ac:dyDescent="0.25">
      <c r="A22" t="s">
        <v>2664</v>
      </c>
      <c r="B22" t="s">
        <v>3365</v>
      </c>
      <c r="C22" t="s">
        <v>69</v>
      </c>
      <c r="D22" s="26">
        <v>1</v>
      </c>
      <c r="E22" s="26">
        <f>SUMIF(Principal[AUTOR],"*"&amp;Tabla4[[#This Row],[Author]]&amp;"*",Principal[cited by (*Scopus)])</f>
        <v>24</v>
      </c>
      <c r="K22" s="26"/>
      <c r="V22" s="158">
        <v>186</v>
      </c>
      <c r="W22" s="158">
        <v>72</v>
      </c>
      <c r="X22" s="158">
        <v>2014</v>
      </c>
      <c r="Y22" s="158">
        <v>5</v>
      </c>
    </row>
    <row r="23" spans="1:25" x14ac:dyDescent="0.25">
      <c r="A23" t="s">
        <v>2419</v>
      </c>
      <c r="B23" t="s">
        <v>3349</v>
      </c>
      <c r="C23" t="s">
        <v>69</v>
      </c>
      <c r="D23" s="26">
        <v>1</v>
      </c>
      <c r="E23" s="26">
        <f>SUMIF(Principal[AUTOR],"*"&amp;Tabla4[[#This Row],[Author]]&amp;"*",Principal[cited by (*Scopus)])</f>
        <v>22</v>
      </c>
      <c r="K23" s="26"/>
      <c r="V23" s="158">
        <v>25</v>
      </c>
      <c r="W23" s="158">
        <v>69</v>
      </c>
      <c r="X23" s="158">
        <v>2014</v>
      </c>
      <c r="Y23" s="158">
        <v>5</v>
      </c>
    </row>
    <row r="24" spans="1:25" x14ac:dyDescent="0.25">
      <c r="A24" t="s">
        <v>1849</v>
      </c>
      <c r="B24" t="s">
        <v>3317</v>
      </c>
      <c r="C24" t="s">
        <v>70</v>
      </c>
      <c r="D24" s="26">
        <v>1</v>
      </c>
      <c r="E24" s="26">
        <f>SUMIF(Principal[AUTOR],"*"&amp;Tabla4[[#This Row],[Author]]&amp;"*",Principal[cited by (*Scopus)])</f>
        <v>22</v>
      </c>
      <c r="K24" s="26"/>
      <c r="V24" s="158">
        <v>9</v>
      </c>
      <c r="W24" s="158">
        <v>66</v>
      </c>
      <c r="X24" s="158">
        <v>2013</v>
      </c>
      <c r="Y24" s="158">
        <v>5</v>
      </c>
    </row>
    <row r="25" spans="1:25" x14ac:dyDescent="0.25">
      <c r="A25" t="s">
        <v>1632</v>
      </c>
      <c r="B25" t="s">
        <v>57</v>
      </c>
      <c r="C25" t="s">
        <v>69</v>
      </c>
      <c r="D25" s="26">
        <v>2</v>
      </c>
      <c r="E25" s="26">
        <f>SUMIF(Principal[AUTOR],"*"&amp;Tabla4[[#This Row],[Author]]&amp;"*",Principal[cited by (*Scopus)])</f>
        <v>21</v>
      </c>
      <c r="K25" s="26"/>
      <c r="V25" s="158">
        <v>61</v>
      </c>
      <c r="W25" s="158">
        <v>62</v>
      </c>
      <c r="X25" s="158">
        <v>2012</v>
      </c>
      <c r="Y25" s="158">
        <v>5</v>
      </c>
    </row>
    <row r="26" spans="1:25" x14ac:dyDescent="0.25">
      <c r="A26" t="s">
        <v>1358</v>
      </c>
      <c r="B26" t="s">
        <v>54</v>
      </c>
      <c r="C26" t="s">
        <v>69</v>
      </c>
      <c r="D26" s="26">
        <v>1</v>
      </c>
      <c r="E26" s="26">
        <f>SUMIF(Principal[AUTOR],"*"&amp;Tabla4[[#This Row],[Author]]&amp;"*",Principal[cited by (*Scopus)])</f>
        <v>19</v>
      </c>
      <c r="K26" s="26"/>
      <c r="V26" s="158">
        <v>187</v>
      </c>
      <c r="W26" s="158">
        <v>46</v>
      </c>
      <c r="X26" s="158">
        <v>2014</v>
      </c>
      <c r="Y26" s="158">
        <v>5</v>
      </c>
    </row>
    <row r="27" spans="1:25" x14ac:dyDescent="0.25">
      <c r="A27" t="s">
        <v>2453</v>
      </c>
      <c r="B27" t="s">
        <v>61</v>
      </c>
      <c r="C27" t="s">
        <v>69</v>
      </c>
      <c r="D27" s="26">
        <v>2</v>
      </c>
      <c r="E27" s="26">
        <f>SUMIF(Principal[AUTOR],"*"&amp;Tabla4[[#This Row],[Author]]&amp;"*",Principal[cited by (*Scopus)])</f>
        <v>18</v>
      </c>
      <c r="K27" s="26"/>
      <c r="V27" s="158">
        <v>130</v>
      </c>
      <c r="W27" s="158">
        <v>43</v>
      </c>
      <c r="X27" s="158">
        <v>2012</v>
      </c>
      <c r="Y27" s="158">
        <v>5</v>
      </c>
    </row>
    <row r="28" spans="1:25" x14ac:dyDescent="0.25">
      <c r="A28" t="s">
        <v>3097</v>
      </c>
      <c r="B28" t="s">
        <v>3335</v>
      </c>
      <c r="C28" t="s">
        <v>72</v>
      </c>
      <c r="D28" s="26">
        <v>1</v>
      </c>
      <c r="E28" s="26">
        <f>SUMIF(Principal[AUTOR],"*"&amp;Tabla4[[#This Row],[Author]]&amp;"*",Principal[cited by (*Scopus)])</f>
        <v>18</v>
      </c>
      <c r="K28" s="26"/>
      <c r="V28" s="158">
        <v>165</v>
      </c>
      <c r="W28" s="158">
        <v>42</v>
      </c>
      <c r="X28" s="158">
        <v>2012</v>
      </c>
      <c r="Y28" s="158">
        <v>5</v>
      </c>
    </row>
    <row r="29" spans="1:25" x14ac:dyDescent="0.25">
      <c r="A29" t="s">
        <v>1973</v>
      </c>
      <c r="B29" t="s">
        <v>3355</v>
      </c>
      <c r="C29" t="s">
        <v>69</v>
      </c>
      <c r="D29" s="26">
        <v>1</v>
      </c>
      <c r="E29" s="26">
        <f>SUMIF(Principal[AUTOR],"*"&amp;Tabla4[[#This Row],[Author]]&amp;"*",Principal[cited by (*Scopus)])</f>
        <v>17</v>
      </c>
      <c r="K29" s="26"/>
      <c r="V29" s="158">
        <v>89</v>
      </c>
      <c r="W29" s="158">
        <v>42</v>
      </c>
      <c r="X29" s="158">
        <v>2014</v>
      </c>
      <c r="Y29" s="158">
        <v>5</v>
      </c>
    </row>
    <row r="30" spans="1:25" x14ac:dyDescent="0.25">
      <c r="A30" t="s">
        <v>2977</v>
      </c>
      <c r="B30" t="s">
        <v>59</v>
      </c>
      <c r="C30" t="s">
        <v>69</v>
      </c>
      <c r="D30" s="26">
        <v>3</v>
      </c>
      <c r="E30" s="26">
        <f>SUMIF(Principal[AUTOR],"*"&amp;Tabla4[[#This Row],[Author]]&amp;"*",Principal[cited by (*Scopus)])</f>
        <v>17</v>
      </c>
      <c r="K30" s="26"/>
      <c r="V30" s="158">
        <v>159</v>
      </c>
      <c r="W30" s="158">
        <v>40</v>
      </c>
      <c r="X30" s="158">
        <v>2012</v>
      </c>
      <c r="Y30" s="158">
        <v>5</v>
      </c>
    </row>
    <row r="31" spans="1:25" x14ac:dyDescent="0.25">
      <c r="A31" t="s">
        <v>1809</v>
      </c>
      <c r="B31" t="s">
        <v>3335</v>
      </c>
      <c r="C31" t="s">
        <v>69</v>
      </c>
      <c r="D31" s="26">
        <v>1</v>
      </c>
      <c r="E31" s="26">
        <f>SUMIF(Principal[AUTOR],"*"&amp;Tabla4[[#This Row],[Author]]&amp;"*",Principal[cited by (*Scopus)])</f>
        <v>17</v>
      </c>
      <c r="K31" s="26"/>
      <c r="V31" s="158">
        <v>65</v>
      </c>
      <c r="W31" s="158">
        <v>38</v>
      </c>
      <c r="X31" s="158">
        <v>2013</v>
      </c>
      <c r="Y31" s="158">
        <v>4</v>
      </c>
    </row>
    <row r="32" spans="1:25" x14ac:dyDescent="0.25">
      <c r="A32" t="s">
        <v>2297</v>
      </c>
      <c r="B32" t="s">
        <v>3335</v>
      </c>
      <c r="C32" t="s">
        <v>3263</v>
      </c>
      <c r="D32" s="26">
        <v>1</v>
      </c>
      <c r="E32" s="26">
        <f>SUMIF(Principal[AUTOR],"*"&amp;Tabla4[[#This Row],[Author]]&amp;"*",Principal[cited by (*Scopus)])</f>
        <v>17</v>
      </c>
      <c r="K32" s="26"/>
      <c r="V32" s="158">
        <v>138</v>
      </c>
      <c r="W32" s="158">
        <v>31</v>
      </c>
      <c r="X32" s="158">
        <v>2014</v>
      </c>
      <c r="Y32" s="158">
        <v>4</v>
      </c>
    </row>
    <row r="33" spans="1:25" x14ac:dyDescent="0.25">
      <c r="A33" t="s">
        <v>1787</v>
      </c>
      <c r="B33" t="s">
        <v>56</v>
      </c>
      <c r="C33" t="s">
        <v>69</v>
      </c>
      <c r="D33" s="26">
        <v>1</v>
      </c>
      <c r="E33" s="26">
        <f>SUMIF(Principal[AUTOR],"*"&amp;Tabla4[[#This Row],[Author]]&amp;"*",Principal[cited by (*Scopus)])</f>
        <v>15</v>
      </c>
      <c r="K33" s="26"/>
      <c r="V33" s="158">
        <v>35</v>
      </c>
      <c r="W33" s="158">
        <v>30</v>
      </c>
      <c r="X33" s="158">
        <v>2012</v>
      </c>
      <c r="Y33" s="158">
        <v>5</v>
      </c>
    </row>
    <row r="34" spans="1:25" x14ac:dyDescent="0.25">
      <c r="A34" t="s">
        <v>491</v>
      </c>
      <c r="B34" t="s">
        <v>3365</v>
      </c>
      <c r="C34" t="s">
        <v>69</v>
      </c>
      <c r="D34" s="26"/>
      <c r="E34" s="26">
        <f>SUMIF(Principal[AUTOR],"*"&amp;Tabla4[[#This Row],[Author]]&amp;"*",Principal[cited by (*Scopus)])</f>
        <v>15</v>
      </c>
      <c r="K34" s="26"/>
      <c r="V34" s="158">
        <v>87</v>
      </c>
      <c r="W34" s="158">
        <v>29</v>
      </c>
      <c r="X34" s="158">
        <v>2015</v>
      </c>
      <c r="Y34" s="158">
        <v>5</v>
      </c>
    </row>
    <row r="35" spans="1:25" x14ac:dyDescent="0.25">
      <c r="A35" t="s">
        <v>1080</v>
      </c>
      <c r="B35" t="s">
        <v>3317</v>
      </c>
      <c r="C35" t="s">
        <v>69</v>
      </c>
      <c r="D35" s="26">
        <v>1</v>
      </c>
      <c r="E35" s="26">
        <f>SUMIF(Principal[AUTOR],"*"&amp;Tabla4[[#This Row],[Author]]&amp;"*",Principal[cited by (*Scopus)])</f>
        <v>15</v>
      </c>
      <c r="K35" s="26"/>
      <c r="V35" s="158">
        <v>67</v>
      </c>
      <c r="W35" s="158">
        <v>28</v>
      </c>
      <c r="X35" s="158">
        <v>2015</v>
      </c>
      <c r="Y35" s="158">
        <v>5</v>
      </c>
    </row>
    <row r="36" spans="1:25" x14ac:dyDescent="0.25">
      <c r="A36" t="s">
        <v>161</v>
      </c>
      <c r="B36" t="s">
        <v>3317</v>
      </c>
      <c r="C36" t="s">
        <v>69</v>
      </c>
      <c r="D36" s="26">
        <v>1</v>
      </c>
      <c r="E36" s="26">
        <f>SUMIF(Principal[AUTOR],"*"&amp;Tabla4[[#This Row],[Author]]&amp;"*",Principal[cited by (*Scopus)])</f>
        <v>14</v>
      </c>
      <c r="K36" s="26"/>
      <c r="V36" s="158">
        <v>139</v>
      </c>
      <c r="W36" s="158">
        <v>28</v>
      </c>
      <c r="X36" s="158">
        <v>2015</v>
      </c>
      <c r="Y36" s="158">
        <v>5</v>
      </c>
    </row>
    <row r="37" spans="1:25" x14ac:dyDescent="0.25">
      <c r="A37" t="s">
        <v>2557</v>
      </c>
      <c r="B37" t="s">
        <v>57</v>
      </c>
      <c r="C37" t="s">
        <v>70</v>
      </c>
      <c r="D37" s="26">
        <v>1</v>
      </c>
      <c r="E37" s="26">
        <f>SUMIF(Principal[AUTOR],"*"&amp;Tabla4[[#This Row],[Author]]&amp;"*",Principal[cited by (*Scopus)])</f>
        <v>13</v>
      </c>
      <c r="K37" s="26"/>
      <c r="V37" s="158">
        <v>45</v>
      </c>
      <c r="W37" s="158">
        <v>28</v>
      </c>
      <c r="X37" s="158">
        <v>2014</v>
      </c>
      <c r="Y37" s="158">
        <v>5</v>
      </c>
    </row>
    <row r="38" spans="1:25" x14ac:dyDescent="0.25">
      <c r="A38" t="s">
        <v>418</v>
      </c>
      <c r="B38" t="s">
        <v>57</v>
      </c>
      <c r="C38" t="s">
        <v>69</v>
      </c>
      <c r="D38" s="26">
        <v>1</v>
      </c>
      <c r="E38" s="26">
        <f>SUMIF(Principal[AUTOR],"*"&amp;Tabla4[[#This Row],[Author]]&amp;"*",Principal[cited by (*Scopus)])</f>
        <v>12</v>
      </c>
      <c r="K38" s="26"/>
      <c r="V38" s="158">
        <v>73</v>
      </c>
      <c r="W38" s="158">
        <v>26</v>
      </c>
      <c r="X38" s="158">
        <v>2015</v>
      </c>
      <c r="Y38" s="158">
        <v>5</v>
      </c>
    </row>
    <row r="39" spans="1:25" x14ac:dyDescent="0.25">
      <c r="A39" t="s">
        <v>2469</v>
      </c>
      <c r="B39" t="s">
        <v>61</v>
      </c>
      <c r="C39" t="s">
        <v>69</v>
      </c>
      <c r="D39" s="26"/>
      <c r="E39" s="26">
        <f>SUMIF(Principal[AUTOR],"*"&amp;Tabla4[[#This Row],[Author]]&amp;"*",Principal[cited by (*Scopus)])</f>
        <v>12</v>
      </c>
      <c r="V39" s="158">
        <v>86</v>
      </c>
      <c r="W39" s="158">
        <v>24</v>
      </c>
      <c r="X39" s="158">
        <v>2015</v>
      </c>
      <c r="Y39" s="158">
        <v>5</v>
      </c>
    </row>
    <row r="40" spans="1:25" x14ac:dyDescent="0.25">
      <c r="A40" t="s">
        <v>154</v>
      </c>
      <c r="B40" t="s">
        <v>3335</v>
      </c>
      <c r="C40" t="s">
        <v>69</v>
      </c>
      <c r="D40" s="26">
        <v>1</v>
      </c>
      <c r="E40" s="26">
        <f>SUMIF(Principal[AUTOR],"*"&amp;Tabla4[[#This Row],[Author]]&amp;"*",Principal[cited by (*Scopus)])</f>
        <v>12</v>
      </c>
      <c r="V40" s="158">
        <v>196</v>
      </c>
      <c r="W40" s="158">
        <v>22</v>
      </c>
      <c r="X40" s="158">
        <v>2014</v>
      </c>
      <c r="Y40" s="158">
        <v>3</v>
      </c>
    </row>
    <row r="41" spans="1:25" x14ac:dyDescent="0.25">
      <c r="A41" t="s">
        <v>1279</v>
      </c>
      <c r="B41" t="s">
        <v>57</v>
      </c>
      <c r="C41" t="s">
        <v>69</v>
      </c>
      <c r="D41" s="26">
        <v>1</v>
      </c>
      <c r="E41" s="26">
        <f>SUMIF(Principal[AUTOR],"*"&amp;Tabla4[[#This Row],[Author]]&amp;"*",Principal[cited by (*Scopus)])</f>
        <v>12</v>
      </c>
      <c r="V41" s="80">
        <v>103</v>
      </c>
      <c r="W41" s="80">
        <v>22</v>
      </c>
      <c r="X41" s="80">
        <v>2016</v>
      </c>
      <c r="Y41" s="80">
        <v>2</v>
      </c>
    </row>
    <row r="42" spans="1:25" x14ac:dyDescent="0.25">
      <c r="A42" t="s">
        <v>2465</v>
      </c>
      <c r="B42" t="s">
        <v>57</v>
      </c>
      <c r="C42" t="s">
        <v>69</v>
      </c>
      <c r="D42" s="26">
        <v>1</v>
      </c>
      <c r="E42" s="26">
        <f>SUMIF(Principal[AUTOR],"*"&amp;Tabla4[[#This Row],[Author]]&amp;"*",Principal[cited by (*Scopus)])</f>
        <v>11</v>
      </c>
      <c r="V42" s="80">
        <v>24</v>
      </c>
      <c r="W42" s="80">
        <v>21</v>
      </c>
      <c r="X42" s="80">
        <v>2012</v>
      </c>
      <c r="Y42" s="80">
        <v>5</v>
      </c>
    </row>
    <row r="43" spans="1:25" x14ac:dyDescent="0.25">
      <c r="A43" t="s">
        <v>1064</v>
      </c>
      <c r="B43" t="s">
        <v>59</v>
      </c>
      <c r="C43" t="s">
        <v>69</v>
      </c>
      <c r="D43" s="26"/>
      <c r="E43" s="26">
        <f>SUMIF(Principal[AUTOR],"*"&amp;Tabla4[[#This Row],[Author]]&amp;"*",Principal[cited by (*Scopus)])</f>
        <v>11</v>
      </c>
      <c r="V43" s="80">
        <v>127</v>
      </c>
      <c r="W43" s="80">
        <v>19</v>
      </c>
      <c r="X43" s="80">
        <v>2015</v>
      </c>
      <c r="Y43" s="80">
        <v>5</v>
      </c>
    </row>
    <row r="44" spans="1:25" x14ac:dyDescent="0.25">
      <c r="A44" t="s">
        <v>2526</v>
      </c>
      <c r="B44" t="s">
        <v>3523</v>
      </c>
      <c r="C44" t="s">
        <v>69</v>
      </c>
      <c r="D44" s="26">
        <v>1</v>
      </c>
      <c r="E44" s="26">
        <f>SUMIF(Principal[AUTOR],"*"&amp;Tabla4[[#This Row],[Author]]&amp;"*",Principal[cited by (*Scopus)])</f>
        <v>11</v>
      </c>
      <c r="V44" s="80">
        <v>207</v>
      </c>
      <c r="W44" s="80">
        <v>18</v>
      </c>
      <c r="X44" s="80">
        <v>2015</v>
      </c>
      <c r="Y44" s="80">
        <v>3</v>
      </c>
    </row>
    <row r="45" spans="1:25" x14ac:dyDescent="0.25">
      <c r="A45" t="s">
        <v>245</v>
      </c>
      <c r="B45" t="s">
        <v>3335</v>
      </c>
      <c r="C45" t="s">
        <v>69</v>
      </c>
      <c r="D45" s="26">
        <v>1</v>
      </c>
      <c r="E45" s="26">
        <f>SUMIF(Principal[AUTOR],"*"&amp;Tabla4[[#This Row],[Author]]&amp;"*",Principal[cited by (*Scopus)])</f>
        <v>11</v>
      </c>
      <c r="V45" s="80">
        <v>38</v>
      </c>
      <c r="W45" s="80">
        <v>18</v>
      </c>
      <c r="X45" s="80">
        <v>2018</v>
      </c>
      <c r="Y45" s="80">
        <v>5</v>
      </c>
    </row>
    <row r="46" spans="1:25" x14ac:dyDescent="0.25">
      <c r="A46" t="s">
        <v>136</v>
      </c>
      <c r="B46" t="s">
        <v>57</v>
      </c>
      <c r="C46" t="s">
        <v>69</v>
      </c>
      <c r="D46" s="26">
        <v>1</v>
      </c>
      <c r="E46" s="26">
        <f>SUMIF(Principal[AUTOR],"*"&amp;Tabla4[[#This Row],[Author]]&amp;"*",Principal[cited by (*Scopus)])</f>
        <v>10</v>
      </c>
      <c r="V46" s="80">
        <v>80</v>
      </c>
      <c r="W46" s="80">
        <v>17</v>
      </c>
      <c r="X46" s="80">
        <v>2014</v>
      </c>
      <c r="Y46" s="80">
        <v>5</v>
      </c>
    </row>
    <row r="47" spans="1:25" x14ac:dyDescent="0.25">
      <c r="A47" t="s">
        <v>3046</v>
      </c>
      <c r="B47" t="s">
        <v>59</v>
      </c>
      <c r="C47" t="s">
        <v>69</v>
      </c>
      <c r="D47" s="26">
        <v>1</v>
      </c>
      <c r="E47" s="26">
        <f>SUMIF(Principal[AUTOR],"*"&amp;Tabla4[[#This Row],[Author]]&amp;"*",Principal[cited by (*Scopus)])</f>
        <v>10</v>
      </c>
      <c r="V47" s="80">
        <v>226</v>
      </c>
      <c r="W47" s="80">
        <v>17</v>
      </c>
      <c r="X47" s="80">
        <v>2017</v>
      </c>
      <c r="Y47" s="80">
        <v>4</v>
      </c>
    </row>
    <row r="48" spans="1:25" x14ac:dyDescent="0.25">
      <c r="A48" t="s">
        <v>1266</v>
      </c>
      <c r="B48" t="s">
        <v>62</v>
      </c>
      <c r="C48" t="s">
        <v>69</v>
      </c>
      <c r="D48" s="26">
        <v>1</v>
      </c>
      <c r="E48" s="26">
        <f>SUMIF(Principal[AUTOR],"*"&amp;Tabla4[[#This Row],[Author]]&amp;"*",Principal[cited by (*Scopus)])</f>
        <v>10</v>
      </c>
      <c r="V48" s="80">
        <v>120</v>
      </c>
      <c r="W48" s="80">
        <v>17</v>
      </c>
      <c r="X48" s="80">
        <v>2017</v>
      </c>
      <c r="Y48" s="80">
        <v>5</v>
      </c>
    </row>
    <row r="49" spans="1:25" x14ac:dyDescent="0.25">
      <c r="A49" t="s">
        <v>2329</v>
      </c>
      <c r="B49" t="s">
        <v>62</v>
      </c>
      <c r="C49" t="s">
        <v>69</v>
      </c>
      <c r="D49" s="26">
        <v>1</v>
      </c>
      <c r="E49" s="26">
        <f>SUMIF(Principal[AUTOR],"*"&amp;Tabla4[[#This Row],[Author]]&amp;"*",Principal[cited by (*Scopus)])</f>
        <v>10</v>
      </c>
      <c r="V49" s="80">
        <v>232</v>
      </c>
      <c r="W49" s="80">
        <v>17</v>
      </c>
      <c r="X49" s="80">
        <v>2014</v>
      </c>
      <c r="Y49" s="80">
        <v>3</v>
      </c>
    </row>
    <row r="50" spans="1:25" x14ac:dyDescent="0.25">
      <c r="A50" t="s">
        <v>681</v>
      </c>
      <c r="B50" t="s">
        <v>61</v>
      </c>
      <c r="C50" t="s">
        <v>69</v>
      </c>
      <c r="D50" s="26">
        <v>1</v>
      </c>
      <c r="E50" s="26">
        <f>SUMIF(Principal[AUTOR],"*"&amp;Tabla4[[#This Row],[Author]]&amp;"*",Principal[cited by (*Scopus)])</f>
        <v>10</v>
      </c>
      <c r="V50" s="80">
        <v>28</v>
      </c>
      <c r="W50" s="80">
        <v>15</v>
      </c>
      <c r="X50" s="80">
        <v>2016</v>
      </c>
      <c r="Y50" s="80">
        <v>5</v>
      </c>
    </row>
    <row r="51" spans="1:25" x14ac:dyDescent="0.25">
      <c r="A51" t="s">
        <v>2790</v>
      </c>
      <c r="B51" t="s">
        <v>3349</v>
      </c>
      <c r="C51" t="s">
        <v>69</v>
      </c>
      <c r="D51" s="26">
        <v>1</v>
      </c>
      <c r="E51" s="26">
        <f>SUMIF(Principal[AUTOR],"*"&amp;Tabla4[[#This Row],[Author]]&amp;"*",Principal[cited by (*Scopus)])</f>
        <v>10</v>
      </c>
      <c r="V51" s="80">
        <v>55</v>
      </c>
      <c r="W51" s="80">
        <v>15</v>
      </c>
      <c r="X51" s="80">
        <v>2015</v>
      </c>
      <c r="Y51" s="80">
        <v>5</v>
      </c>
    </row>
    <row r="52" spans="1:25" x14ac:dyDescent="0.25">
      <c r="A52" t="s">
        <v>2036</v>
      </c>
      <c r="B52" t="s">
        <v>62</v>
      </c>
      <c r="C52" t="s">
        <v>69</v>
      </c>
      <c r="D52" s="26">
        <v>1</v>
      </c>
      <c r="E52" s="26">
        <f>SUMIF(Principal[AUTOR],"*"&amp;Tabla4[[#This Row],[Author]]&amp;"*",Principal[cited by (*Scopus)])</f>
        <v>9</v>
      </c>
      <c r="V52" s="80">
        <v>145</v>
      </c>
      <c r="W52" s="80">
        <v>15</v>
      </c>
      <c r="X52" s="80">
        <v>2018</v>
      </c>
      <c r="Y52" s="80">
        <v>5</v>
      </c>
    </row>
    <row r="53" spans="1:25" x14ac:dyDescent="0.25">
      <c r="A53" t="s">
        <v>170</v>
      </c>
      <c r="B53" t="s">
        <v>3317</v>
      </c>
      <c r="C53" t="s">
        <v>69</v>
      </c>
      <c r="D53" s="26">
        <v>1</v>
      </c>
      <c r="E53" s="26">
        <f>SUMIF(Principal[AUTOR],"*"&amp;Tabla4[[#This Row],[Author]]&amp;"*",Principal[cited by (*Scopus)])</f>
        <v>9</v>
      </c>
      <c r="V53" s="80">
        <v>97</v>
      </c>
      <c r="W53" s="80">
        <v>14</v>
      </c>
      <c r="X53" s="80">
        <v>2014</v>
      </c>
      <c r="Y53" s="80">
        <v>4</v>
      </c>
    </row>
    <row r="54" spans="1:25" x14ac:dyDescent="0.25">
      <c r="A54" t="s">
        <v>2181</v>
      </c>
      <c r="B54" t="s">
        <v>3315</v>
      </c>
      <c r="C54" t="s">
        <v>69</v>
      </c>
      <c r="D54" s="26">
        <v>1</v>
      </c>
      <c r="E54" s="26">
        <f>SUMIF(Principal[AUTOR],"*"&amp;Tabla4[[#This Row],[Author]]&amp;"*",Principal[cited by (*Scopus)])</f>
        <v>9</v>
      </c>
      <c r="V54" s="80">
        <v>106</v>
      </c>
      <c r="W54" s="80">
        <v>13</v>
      </c>
      <c r="X54" s="80">
        <v>2012</v>
      </c>
      <c r="Y54" s="80">
        <v>5</v>
      </c>
    </row>
    <row r="55" spans="1:25" x14ac:dyDescent="0.25">
      <c r="A55" t="s">
        <v>190</v>
      </c>
      <c r="B55" t="s">
        <v>56</v>
      </c>
      <c r="C55" t="s">
        <v>69</v>
      </c>
      <c r="D55" s="26"/>
      <c r="E55" s="26">
        <f>SUMIF(Principal[AUTOR],"*"&amp;Tabla4[[#This Row],[Author]]&amp;"*",Principal[cited by (*Scopus)])</f>
        <v>9</v>
      </c>
      <c r="V55" s="80">
        <v>70</v>
      </c>
      <c r="W55" s="80">
        <v>12</v>
      </c>
      <c r="X55" s="80">
        <v>2014</v>
      </c>
      <c r="Y55" s="80">
        <v>3</v>
      </c>
    </row>
    <row r="56" spans="1:25" x14ac:dyDescent="0.25">
      <c r="A56" t="s">
        <v>2318</v>
      </c>
      <c r="B56" t="s">
        <v>58</v>
      </c>
      <c r="C56" t="s">
        <v>69</v>
      </c>
      <c r="D56" s="26">
        <v>1</v>
      </c>
      <c r="E56" s="26">
        <f>SUMIF(Principal[AUTOR],"*"&amp;Tabla4[[#This Row],[Author]]&amp;"*",Principal[cited by (*Scopus)])</f>
        <v>8</v>
      </c>
      <c r="V56" s="80">
        <v>113</v>
      </c>
      <c r="W56" s="80">
        <v>12</v>
      </c>
      <c r="X56" s="80">
        <v>2013</v>
      </c>
      <c r="Y56" s="80">
        <v>4</v>
      </c>
    </row>
    <row r="57" spans="1:25" x14ac:dyDescent="0.25">
      <c r="A57" t="s">
        <v>1453</v>
      </c>
      <c r="B57" t="s">
        <v>3335</v>
      </c>
      <c r="C57" t="s">
        <v>3263</v>
      </c>
      <c r="D57" s="26">
        <v>1</v>
      </c>
      <c r="E57" s="26">
        <f>SUMIF(Principal[AUTOR],"*"&amp;Tabla4[[#This Row],[Author]]&amp;"*",Principal[cited by (*Scopus)])</f>
        <v>8</v>
      </c>
      <c r="V57" s="80">
        <v>39</v>
      </c>
      <c r="W57" s="80">
        <v>12</v>
      </c>
      <c r="X57" s="80">
        <v>2016</v>
      </c>
      <c r="Y57" s="80">
        <v>5</v>
      </c>
    </row>
    <row r="58" spans="1:25" x14ac:dyDescent="0.25">
      <c r="A58" t="s">
        <v>636</v>
      </c>
      <c r="B58" t="s">
        <v>3550</v>
      </c>
      <c r="C58" t="s">
        <v>69</v>
      </c>
      <c r="D58" s="26">
        <v>1</v>
      </c>
      <c r="E58" s="26">
        <f>SUMIF(Principal[AUTOR],"*"&amp;Tabla4[[#This Row],[Author]]&amp;"*",Principal[cited by (*Scopus)])</f>
        <v>8</v>
      </c>
      <c r="V58" s="80">
        <v>7</v>
      </c>
      <c r="W58" s="80">
        <v>12</v>
      </c>
      <c r="X58" s="80">
        <v>2013</v>
      </c>
      <c r="Y58" s="80">
        <v>5</v>
      </c>
    </row>
    <row r="59" spans="1:25" x14ac:dyDescent="0.25">
      <c r="A59" t="s">
        <v>1747</v>
      </c>
      <c r="B59" t="s">
        <v>3335</v>
      </c>
      <c r="C59" t="s">
        <v>69</v>
      </c>
      <c r="D59" s="26">
        <v>1</v>
      </c>
      <c r="E59" s="26">
        <f>SUMIF(Principal[AUTOR],"*"&amp;Tabla4[[#This Row],[Author]]&amp;"*",Principal[cited by (*Scopus)])</f>
        <v>8</v>
      </c>
      <c r="V59" s="80">
        <v>19</v>
      </c>
      <c r="W59" s="80">
        <v>11</v>
      </c>
      <c r="X59" s="80">
        <v>2016</v>
      </c>
      <c r="Y59" s="80">
        <v>5</v>
      </c>
    </row>
    <row r="60" spans="1:25" x14ac:dyDescent="0.25">
      <c r="A60" t="s">
        <v>958</v>
      </c>
      <c r="B60" t="s">
        <v>3666</v>
      </c>
      <c r="C60" t="s">
        <v>69</v>
      </c>
      <c r="D60" s="26">
        <v>1</v>
      </c>
      <c r="E60" s="26">
        <f>SUMIF(Principal[AUTOR],"*"&amp;Tabla4[[#This Row],[Author]]&amp;"*",Principal[cited by (*Scopus)])</f>
        <v>7</v>
      </c>
      <c r="V60" s="80">
        <v>134</v>
      </c>
      <c r="W60" s="80">
        <v>11</v>
      </c>
      <c r="X60" s="80">
        <v>2016</v>
      </c>
      <c r="Y60" s="80">
        <v>5</v>
      </c>
    </row>
    <row r="61" spans="1:25" x14ac:dyDescent="0.25">
      <c r="A61" t="s">
        <v>546</v>
      </c>
      <c r="B61" t="s">
        <v>3315</v>
      </c>
      <c r="C61" t="s">
        <v>69</v>
      </c>
      <c r="D61" s="26">
        <v>1</v>
      </c>
      <c r="E61" s="26">
        <f>SUMIF(Principal[AUTOR],"*"&amp;Tabla4[[#This Row],[Author]]&amp;"*",Principal[cited by (*Scopus)])</f>
        <v>7</v>
      </c>
      <c r="V61" s="80">
        <v>122</v>
      </c>
      <c r="W61" s="80">
        <v>11</v>
      </c>
      <c r="X61" s="80">
        <v>2019</v>
      </c>
      <c r="Y61" s="80">
        <v>5</v>
      </c>
    </row>
    <row r="62" spans="1:25" x14ac:dyDescent="0.25">
      <c r="A62" t="s">
        <v>1060</v>
      </c>
      <c r="B62" t="s">
        <v>59</v>
      </c>
      <c r="C62" t="s">
        <v>69</v>
      </c>
      <c r="D62" s="26"/>
      <c r="E62" s="26">
        <f>SUMIF(Principal[AUTOR],"*"&amp;Tabla4[[#This Row],[Author]]&amp;"*",Principal[cited by (*Scopus)])</f>
        <v>7</v>
      </c>
      <c r="V62" s="80">
        <v>236</v>
      </c>
      <c r="W62" s="80">
        <v>11</v>
      </c>
      <c r="X62" s="80">
        <v>2017</v>
      </c>
      <c r="Y62" s="80">
        <v>3</v>
      </c>
    </row>
    <row r="63" spans="1:25" x14ac:dyDescent="0.25">
      <c r="A63" t="s">
        <v>2498</v>
      </c>
      <c r="B63" t="s">
        <v>3564</v>
      </c>
      <c r="C63" t="s">
        <v>69</v>
      </c>
      <c r="D63" s="26">
        <v>1</v>
      </c>
      <c r="E63" s="26">
        <f>SUMIF(Principal[AUTOR],"*"&amp;Tabla4[[#This Row],[Author]]&amp;"*",Principal[cited by (*Scopus)])</f>
        <v>7</v>
      </c>
      <c r="V63" s="80">
        <v>173</v>
      </c>
      <c r="W63" s="80">
        <v>10</v>
      </c>
      <c r="X63" s="80">
        <v>2012</v>
      </c>
      <c r="Y63" s="80">
        <v>5</v>
      </c>
    </row>
    <row r="64" spans="1:25" x14ac:dyDescent="0.25">
      <c r="A64" t="s">
        <v>1131</v>
      </c>
      <c r="B64" t="s">
        <v>3335</v>
      </c>
      <c r="C64" t="s">
        <v>69</v>
      </c>
      <c r="D64" s="26">
        <v>1</v>
      </c>
      <c r="E64" s="26">
        <f>SUMIF(Principal[AUTOR],"*"&amp;Tabla4[[#This Row],[Author]]&amp;"*",Principal[cited by (*Scopus)])</f>
        <v>7</v>
      </c>
      <c r="V64" s="80">
        <v>154</v>
      </c>
      <c r="W64" s="80">
        <v>10</v>
      </c>
      <c r="X64" s="80">
        <v>2017</v>
      </c>
      <c r="Y64" s="80">
        <v>5</v>
      </c>
    </row>
    <row r="65" spans="1:25" x14ac:dyDescent="0.25">
      <c r="A65" t="s">
        <v>871</v>
      </c>
      <c r="B65" t="s">
        <v>59</v>
      </c>
      <c r="C65" t="s">
        <v>69</v>
      </c>
      <c r="D65" s="26">
        <v>1</v>
      </c>
      <c r="E65" s="26">
        <f>SUMIF(Principal[AUTOR],"*"&amp;Tabla4[[#This Row],[Author]]&amp;"*",Principal[cited by (*Scopus)])</f>
        <v>7</v>
      </c>
      <c r="V65" s="80">
        <v>16</v>
      </c>
      <c r="W65" s="80">
        <v>10</v>
      </c>
      <c r="X65" s="80">
        <v>2016</v>
      </c>
      <c r="Y65" s="80">
        <v>5</v>
      </c>
    </row>
    <row r="66" spans="1:25" x14ac:dyDescent="0.25">
      <c r="A66" t="s">
        <v>1222</v>
      </c>
      <c r="B66" t="s">
        <v>3335</v>
      </c>
      <c r="C66" t="s">
        <v>69</v>
      </c>
      <c r="D66" s="26">
        <v>1</v>
      </c>
      <c r="E66" s="26">
        <f>SUMIF(Principal[AUTOR],"*"&amp;Tabla4[[#This Row],[Author]]&amp;"*",Principal[cited by (*Scopus)])</f>
        <v>6</v>
      </c>
      <c r="V66" s="80">
        <v>23</v>
      </c>
      <c r="W66" s="80">
        <v>10</v>
      </c>
      <c r="X66" s="80">
        <v>2016</v>
      </c>
      <c r="Y66" s="80">
        <v>5</v>
      </c>
    </row>
    <row r="67" spans="1:25" x14ac:dyDescent="0.25">
      <c r="A67" t="s">
        <v>484</v>
      </c>
      <c r="B67" t="s">
        <v>57</v>
      </c>
      <c r="C67" t="s">
        <v>69</v>
      </c>
      <c r="D67" s="26">
        <v>2</v>
      </c>
      <c r="E67" s="26">
        <f>SUMIF(Principal[AUTOR],"*"&amp;Tabla4[[#This Row],[Author]]&amp;"*",Principal[cited by (*Scopus)])</f>
        <v>6</v>
      </c>
      <c r="V67" s="80">
        <v>176</v>
      </c>
      <c r="W67" s="80">
        <v>10</v>
      </c>
      <c r="X67" s="80">
        <v>2013</v>
      </c>
      <c r="Y67" s="80">
        <v>3</v>
      </c>
    </row>
    <row r="68" spans="1:25" x14ac:dyDescent="0.25">
      <c r="A68" t="s">
        <v>2688</v>
      </c>
      <c r="B68" t="s">
        <v>57</v>
      </c>
      <c r="C68" t="s">
        <v>69</v>
      </c>
      <c r="D68" s="26">
        <v>1</v>
      </c>
      <c r="E68" s="26">
        <f>SUMIF(Principal[AUTOR],"*"&amp;Tabla4[[#This Row],[Author]]&amp;"*",Principal[cited by (*Scopus)])</f>
        <v>6</v>
      </c>
      <c r="V68" s="80">
        <v>90</v>
      </c>
      <c r="W68" s="80">
        <v>10</v>
      </c>
      <c r="X68" s="80">
        <v>2018</v>
      </c>
      <c r="Y68" s="80">
        <v>4</v>
      </c>
    </row>
    <row r="69" spans="1:25" x14ac:dyDescent="0.25">
      <c r="A69" t="s">
        <v>1516</v>
      </c>
      <c r="B69" t="s">
        <v>3458</v>
      </c>
      <c r="C69" t="s">
        <v>69</v>
      </c>
      <c r="D69" s="26">
        <v>1</v>
      </c>
      <c r="E69" s="26">
        <f>SUMIF(Principal[AUTOR],"*"&amp;Tabla4[[#This Row],[Author]]&amp;"*",Principal[cited by (*Scopus)])</f>
        <v>6</v>
      </c>
    </row>
    <row r="70" spans="1:25" x14ac:dyDescent="0.25">
      <c r="A70" t="s">
        <v>188</v>
      </c>
      <c r="B70" t="s">
        <v>56</v>
      </c>
      <c r="C70" t="s">
        <v>69</v>
      </c>
      <c r="D70" s="26">
        <v>2</v>
      </c>
      <c r="E70" s="26">
        <f>SUMIF(Principal[AUTOR],"*"&amp;Tabla4[[#This Row],[Author]]&amp;"*",Principal[cited by (*Scopus)])</f>
        <v>6</v>
      </c>
    </row>
    <row r="71" spans="1:25" x14ac:dyDescent="0.25">
      <c r="A71" t="s">
        <v>1788</v>
      </c>
      <c r="B71" t="s">
        <v>66</v>
      </c>
      <c r="C71" t="s">
        <v>69</v>
      </c>
      <c r="D71" s="26">
        <v>1</v>
      </c>
      <c r="E71" s="26">
        <f>SUMIF(Principal[AUTOR],"*"&amp;Tabla4[[#This Row],[Author]]&amp;"*",Principal[cited by (*Scopus)])</f>
        <v>6</v>
      </c>
    </row>
    <row r="72" spans="1:25" x14ac:dyDescent="0.25">
      <c r="A72" t="s">
        <v>1893</v>
      </c>
      <c r="B72" t="s">
        <v>3335</v>
      </c>
      <c r="C72" t="s">
        <v>69</v>
      </c>
      <c r="D72" s="26">
        <v>2</v>
      </c>
      <c r="E72" s="26">
        <f>SUMIF(Principal[AUTOR],"*"&amp;Tabla4[[#This Row],[Author]]&amp;"*",Principal[cited by (*Scopus)])</f>
        <v>5</v>
      </c>
    </row>
    <row r="73" spans="1:25" x14ac:dyDescent="0.25">
      <c r="A73" t="s">
        <v>1661</v>
      </c>
      <c r="B73" t="s">
        <v>3317</v>
      </c>
      <c r="C73" t="s">
        <v>69</v>
      </c>
      <c r="D73" s="26">
        <v>1</v>
      </c>
      <c r="E73" s="26">
        <f>SUMIF(Principal[AUTOR],"*"&amp;Tabla4[[#This Row],[Author]]&amp;"*",Principal[cited by (*Scopus)])</f>
        <v>5</v>
      </c>
    </row>
    <row r="74" spans="1:25" x14ac:dyDescent="0.25">
      <c r="A74" t="s">
        <v>152</v>
      </c>
      <c r="B74" t="s">
        <v>59</v>
      </c>
      <c r="C74" t="s">
        <v>69</v>
      </c>
      <c r="D74" s="26">
        <v>1</v>
      </c>
      <c r="E74" s="26">
        <f>SUMIF(Principal[AUTOR],"*"&amp;Tabla4[[#This Row],[Author]]&amp;"*",Principal[cited by (*Scopus)])</f>
        <v>5</v>
      </c>
    </row>
    <row r="75" spans="1:25" x14ac:dyDescent="0.25">
      <c r="A75" t="s">
        <v>1072</v>
      </c>
      <c r="B75" t="s">
        <v>57</v>
      </c>
      <c r="C75" t="s">
        <v>69</v>
      </c>
      <c r="D75" s="26">
        <v>1</v>
      </c>
      <c r="E75" s="26">
        <f>SUMIF(Principal[AUTOR],"*"&amp;Tabla4[[#This Row],[Author]]&amp;"*",Principal[cited by (*Scopus)])</f>
        <v>5</v>
      </c>
    </row>
    <row r="76" spans="1:25" x14ac:dyDescent="0.25">
      <c r="A76" t="s">
        <v>2377</v>
      </c>
      <c r="B76" t="s">
        <v>67</v>
      </c>
      <c r="C76" t="s">
        <v>69</v>
      </c>
      <c r="D76" s="26">
        <v>1</v>
      </c>
      <c r="E76" s="26">
        <f>SUMIF(Principal[AUTOR],"*"&amp;Tabla4[[#This Row],[Author]]&amp;"*",Principal[cited by (*Scopus)])</f>
        <v>5</v>
      </c>
    </row>
    <row r="77" spans="1:25" x14ac:dyDescent="0.25">
      <c r="A77" t="s">
        <v>1505</v>
      </c>
      <c r="B77" t="s">
        <v>66</v>
      </c>
      <c r="C77" t="s">
        <v>69</v>
      </c>
      <c r="D77" s="26">
        <v>1</v>
      </c>
      <c r="E77" s="26">
        <f>SUMIF(Principal[AUTOR],"*"&amp;Tabla4[[#This Row],[Author]]&amp;"*",Principal[cited by (*Scopus)])</f>
        <v>5</v>
      </c>
    </row>
    <row r="78" spans="1:25" x14ac:dyDescent="0.25">
      <c r="A78" t="s">
        <v>2210</v>
      </c>
      <c r="B78" t="s">
        <v>57</v>
      </c>
      <c r="C78" t="s">
        <v>69</v>
      </c>
      <c r="D78" s="26">
        <v>1</v>
      </c>
      <c r="E78" s="26">
        <f>SUMIF(Principal[AUTOR],"*"&amp;Tabla4[[#This Row],[Author]]&amp;"*",Principal[cited by (*Scopus)])</f>
        <v>5</v>
      </c>
    </row>
    <row r="79" spans="1:25" x14ac:dyDescent="0.25">
      <c r="A79" t="s">
        <v>1109</v>
      </c>
      <c r="B79" t="s">
        <v>61</v>
      </c>
      <c r="C79" t="s">
        <v>69</v>
      </c>
      <c r="D79" s="26">
        <v>1</v>
      </c>
      <c r="E79" s="26">
        <f>SUMIF(Principal[AUTOR],"*"&amp;Tabla4[[#This Row],[Author]]&amp;"*",Principal[cited by (*Scopus)])</f>
        <v>5</v>
      </c>
    </row>
    <row r="80" spans="1:25" x14ac:dyDescent="0.25">
      <c r="A80" t="s">
        <v>734</v>
      </c>
      <c r="B80" t="s">
        <v>66</v>
      </c>
      <c r="C80" t="s">
        <v>69</v>
      </c>
      <c r="D80" s="26">
        <v>2</v>
      </c>
      <c r="E80" s="26">
        <f>SUMIF(Principal[AUTOR],"*"&amp;Tabla4[[#This Row],[Author]]&amp;"*",Principal[cited by (*Scopus)])</f>
        <v>5</v>
      </c>
    </row>
    <row r="81" spans="1:5" x14ac:dyDescent="0.25">
      <c r="A81" t="s">
        <v>2159</v>
      </c>
      <c r="B81" t="s">
        <v>3365</v>
      </c>
      <c r="C81" t="s">
        <v>69</v>
      </c>
      <c r="D81" s="26">
        <v>1</v>
      </c>
      <c r="E81" s="26">
        <f>SUMIF(Principal[AUTOR],"*"&amp;Tabla4[[#This Row],[Author]]&amp;"*",Principal[cited by (*Scopus)])</f>
        <v>4</v>
      </c>
    </row>
    <row r="82" spans="1:5" x14ac:dyDescent="0.25">
      <c r="A82" t="s">
        <v>457</v>
      </c>
      <c r="B82" t="s">
        <v>62</v>
      </c>
      <c r="C82" t="s">
        <v>69</v>
      </c>
      <c r="D82" s="26">
        <v>1</v>
      </c>
      <c r="E82" s="26">
        <f>SUMIF(Principal[AUTOR],"*"&amp;Tabla4[[#This Row],[Author]]&amp;"*",Principal[cited by (*Scopus)])</f>
        <v>4</v>
      </c>
    </row>
    <row r="83" spans="1:5" x14ac:dyDescent="0.25">
      <c r="A83" t="s">
        <v>2570</v>
      </c>
      <c r="B83" t="s">
        <v>64</v>
      </c>
      <c r="C83" t="s">
        <v>69</v>
      </c>
      <c r="D83" s="26">
        <v>1</v>
      </c>
      <c r="E83" s="26">
        <f>SUMIF(Principal[AUTOR],"*"&amp;Tabla4[[#This Row],[Author]]&amp;"*",Principal[cited by (*Scopus)])</f>
        <v>4</v>
      </c>
    </row>
    <row r="84" spans="1:5" x14ac:dyDescent="0.25">
      <c r="A84" t="s">
        <v>2672</v>
      </c>
      <c r="B84" t="s">
        <v>61</v>
      </c>
      <c r="C84" t="s">
        <v>69</v>
      </c>
      <c r="D84" s="26">
        <v>1</v>
      </c>
      <c r="E84" s="26">
        <f>SUMIF(Principal[AUTOR],"*"&amp;Tabla4[[#This Row],[Author]]&amp;"*",Principal[cited by (*Scopus)])</f>
        <v>4</v>
      </c>
    </row>
    <row r="85" spans="1:5" x14ac:dyDescent="0.25">
      <c r="A85" t="s">
        <v>1048</v>
      </c>
      <c r="B85" t="s">
        <v>65</v>
      </c>
      <c r="C85" t="s">
        <v>69</v>
      </c>
      <c r="D85" s="26">
        <v>1</v>
      </c>
      <c r="E85" s="26">
        <f>SUMIF(Principal[AUTOR],"*"&amp;Tabla4[[#This Row],[Author]]&amp;"*",Principal[cited by (*Scopus)])</f>
        <v>4</v>
      </c>
    </row>
    <row r="86" spans="1:5" x14ac:dyDescent="0.25">
      <c r="A86" t="s">
        <v>1440</v>
      </c>
      <c r="B86" t="s">
        <v>3355</v>
      </c>
      <c r="C86" t="s">
        <v>69</v>
      </c>
      <c r="D86" s="26">
        <v>1</v>
      </c>
      <c r="E86" s="26">
        <f>SUMIF(Principal[AUTOR],"*"&amp;Tabla4[[#This Row],[Author]]&amp;"*",Principal[cited by (*Scopus)])</f>
        <v>4</v>
      </c>
    </row>
    <row r="87" spans="1:5" x14ac:dyDescent="0.25">
      <c r="A87" t="s">
        <v>3088</v>
      </c>
      <c r="B87" t="s">
        <v>63</v>
      </c>
      <c r="C87" t="s">
        <v>69</v>
      </c>
      <c r="D87" s="26">
        <v>1</v>
      </c>
      <c r="E87" s="26">
        <f>SUMIF(Principal[AUTOR],"*"&amp;Tabla4[[#This Row],[Author]]&amp;"*",Principal[cited by (*Scopus)])</f>
        <v>4</v>
      </c>
    </row>
    <row r="88" spans="1:5" x14ac:dyDescent="0.25">
      <c r="A88" t="s">
        <v>1135</v>
      </c>
      <c r="B88" t="s">
        <v>61</v>
      </c>
      <c r="C88" t="s">
        <v>69</v>
      </c>
      <c r="D88" s="26">
        <v>1</v>
      </c>
      <c r="E88" s="26">
        <f>SUMIF(Principal[AUTOR],"*"&amp;Tabla4[[#This Row],[Author]]&amp;"*",Principal[cited by (*Scopus)])</f>
        <v>4</v>
      </c>
    </row>
    <row r="89" spans="1:5" x14ac:dyDescent="0.25">
      <c r="A89" t="s">
        <v>405</v>
      </c>
      <c r="B89" t="s">
        <v>57</v>
      </c>
      <c r="C89" t="s">
        <v>69</v>
      </c>
      <c r="D89" s="26"/>
      <c r="E89" s="26">
        <f>SUMIF(Principal[AUTOR],"*"&amp;Tabla4[[#This Row],[Author]]&amp;"*",Principal[cited by (*Scopus)])</f>
        <v>3</v>
      </c>
    </row>
    <row r="90" spans="1:5" x14ac:dyDescent="0.25">
      <c r="A90" t="s">
        <v>2870</v>
      </c>
      <c r="B90" t="s">
        <v>3335</v>
      </c>
      <c r="C90" t="s">
        <v>69</v>
      </c>
      <c r="D90" s="26">
        <v>1</v>
      </c>
      <c r="E90" s="26">
        <f>SUMIF(Principal[AUTOR],"*"&amp;Tabla4[[#This Row],[Author]]&amp;"*",Principal[cited by (*Scopus)])</f>
        <v>3</v>
      </c>
    </row>
    <row r="91" spans="1:5" x14ac:dyDescent="0.25">
      <c r="A91" t="s">
        <v>413</v>
      </c>
      <c r="B91" t="s">
        <v>53</v>
      </c>
      <c r="C91" t="s">
        <v>69</v>
      </c>
      <c r="D91" s="26"/>
      <c r="E91" s="26">
        <f>SUMIF(Principal[AUTOR],"*"&amp;Tabla4[[#This Row],[Author]]&amp;"*",Principal[cited by (*Scopus)])</f>
        <v>3</v>
      </c>
    </row>
    <row r="92" spans="1:5" x14ac:dyDescent="0.25">
      <c r="A92" t="s">
        <v>2502</v>
      </c>
      <c r="B92" t="s">
        <v>3639</v>
      </c>
      <c r="C92" t="s">
        <v>69</v>
      </c>
      <c r="D92" s="26">
        <v>1</v>
      </c>
      <c r="E92" s="26">
        <f>SUMIF(Principal[AUTOR],"*"&amp;Tabla4[[#This Row],[Author]]&amp;"*",Principal[cited by (*Scopus)])</f>
        <v>3</v>
      </c>
    </row>
    <row r="93" spans="1:5" x14ac:dyDescent="0.25">
      <c r="A93" t="s">
        <v>1910</v>
      </c>
      <c r="B93" t="s">
        <v>61</v>
      </c>
      <c r="C93" t="s">
        <v>69</v>
      </c>
      <c r="D93" s="26">
        <v>2</v>
      </c>
      <c r="E93" s="26">
        <f>SUMIF(Principal[AUTOR],"*"&amp;Tabla4[[#This Row],[Author]]&amp;"*",Principal[cited by (*Scopus)])</f>
        <v>3</v>
      </c>
    </row>
    <row r="94" spans="1:5" x14ac:dyDescent="0.25">
      <c r="A94" t="s">
        <v>1293</v>
      </c>
      <c r="B94" t="s">
        <v>58</v>
      </c>
      <c r="C94" t="s">
        <v>69</v>
      </c>
      <c r="D94" s="26">
        <v>1</v>
      </c>
      <c r="E94" s="26">
        <f>SUMIF(Principal[AUTOR],"*"&amp;Tabla4[[#This Row],[Author]]&amp;"*",Principal[cited by (*Scopus)])</f>
        <v>3</v>
      </c>
    </row>
    <row r="95" spans="1:5" x14ac:dyDescent="0.25">
      <c r="A95" t="s">
        <v>1194</v>
      </c>
      <c r="B95" t="s">
        <v>3335</v>
      </c>
      <c r="C95" t="s">
        <v>69</v>
      </c>
      <c r="D95" s="26">
        <v>1</v>
      </c>
      <c r="E95" s="26">
        <f>SUMIF(Principal[AUTOR],"*"&amp;Tabla4[[#This Row],[Author]]&amp;"*",Principal[cited by (*Scopus)])</f>
        <v>3</v>
      </c>
    </row>
    <row r="96" spans="1:5" x14ac:dyDescent="0.25">
      <c r="A96" t="s">
        <v>1214</v>
      </c>
      <c r="B96" t="s">
        <v>54</v>
      </c>
      <c r="C96" t="s">
        <v>3263</v>
      </c>
      <c r="D96" s="26">
        <v>1</v>
      </c>
      <c r="E96" s="26">
        <f>SUMIF(Principal[AUTOR],"*"&amp;Tabla4[[#This Row],[Author]]&amp;"*",Principal[cited by (*Scopus)])</f>
        <v>3</v>
      </c>
    </row>
    <row r="97" spans="1:5" x14ac:dyDescent="0.25">
      <c r="A97" t="s">
        <v>522</v>
      </c>
      <c r="B97" t="s">
        <v>3431</v>
      </c>
      <c r="C97" t="s">
        <v>69</v>
      </c>
      <c r="D97" s="26">
        <v>1</v>
      </c>
      <c r="E97" s="26">
        <f>SUMIF(Principal[AUTOR],"*"&amp;Tabla4[[#This Row],[Author]]&amp;"*",Principal[cited by (*Scopus)])</f>
        <v>3</v>
      </c>
    </row>
    <row r="98" spans="1:5" x14ac:dyDescent="0.25">
      <c r="A98" t="s">
        <v>1254</v>
      </c>
      <c r="B98" t="s">
        <v>56</v>
      </c>
      <c r="C98" t="s">
        <v>69</v>
      </c>
      <c r="D98" s="26">
        <v>1</v>
      </c>
      <c r="E98" s="26">
        <f>SUMIF(Principal[AUTOR],"*"&amp;Tabla4[[#This Row],[Author]]&amp;"*",Principal[cited by (*Scopus)])</f>
        <v>3</v>
      </c>
    </row>
    <row r="99" spans="1:5" x14ac:dyDescent="0.25">
      <c r="A99" t="s">
        <v>1728</v>
      </c>
      <c r="B99" t="s">
        <v>59</v>
      </c>
      <c r="C99" t="s">
        <v>69</v>
      </c>
      <c r="D99" s="26">
        <v>1</v>
      </c>
      <c r="E99" s="26">
        <f>SUMIF(Principal[AUTOR],"*"&amp;Tabla4[[#This Row],[Author]]&amp;"*",Principal[cited by (*Scopus)])</f>
        <v>3</v>
      </c>
    </row>
    <row r="100" spans="1:5" x14ac:dyDescent="0.25">
      <c r="A100" t="s">
        <v>2402</v>
      </c>
      <c r="B100" t="s">
        <v>3315</v>
      </c>
      <c r="C100" t="s">
        <v>69</v>
      </c>
      <c r="D100" s="26">
        <v>1</v>
      </c>
      <c r="E100" s="26">
        <f>SUMIF(Principal[AUTOR],"*"&amp;Tabla4[[#This Row],[Author]]&amp;"*",Principal[cited by (*Scopus)])</f>
        <v>3</v>
      </c>
    </row>
    <row r="101" spans="1:5" x14ac:dyDescent="0.25">
      <c r="A101" t="s">
        <v>1052</v>
      </c>
      <c r="B101" t="s">
        <v>3489</v>
      </c>
      <c r="C101" t="s">
        <v>69</v>
      </c>
      <c r="D101" s="26">
        <v>1</v>
      </c>
      <c r="E101" s="26">
        <f>SUMIF(Principal[AUTOR],"*"&amp;Tabla4[[#This Row],[Author]]&amp;"*",Principal[cited by (*Scopus)])</f>
        <v>3</v>
      </c>
    </row>
    <row r="102" spans="1:5" x14ac:dyDescent="0.25">
      <c r="A102" t="s">
        <v>2223</v>
      </c>
      <c r="B102" t="s">
        <v>3315</v>
      </c>
      <c r="C102" t="s">
        <v>69</v>
      </c>
      <c r="D102" s="26">
        <v>1</v>
      </c>
      <c r="E102" s="26">
        <f>SUMIF(Principal[AUTOR],"*"&amp;Tabla4[[#This Row],[Author]]&amp;"*",Principal[cited by (*Scopus)])</f>
        <v>3</v>
      </c>
    </row>
    <row r="103" spans="1:5" x14ac:dyDescent="0.25">
      <c r="A103" t="s">
        <v>576</v>
      </c>
      <c r="B103" t="s">
        <v>3335</v>
      </c>
      <c r="C103" t="s">
        <v>69</v>
      </c>
      <c r="D103" s="26"/>
      <c r="E103" s="26">
        <f>SUMIF(Principal[AUTOR],"*"&amp;Tabla4[[#This Row],[Author]]&amp;"*",Principal[cited by (*Scopus)])</f>
        <v>3</v>
      </c>
    </row>
    <row r="104" spans="1:5" x14ac:dyDescent="0.25">
      <c r="A104" t="s">
        <v>2653</v>
      </c>
      <c r="B104" t="s">
        <v>3335</v>
      </c>
      <c r="C104" t="s">
        <v>3263</v>
      </c>
      <c r="D104" s="26">
        <v>1</v>
      </c>
      <c r="E104" s="26">
        <f>SUMIF(Principal[AUTOR],"*"&amp;Tabla4[[#This Row],[Author]]&amp;"*",Principal[cited by (*Scopus)])</f>
        <v>3</v>
      </c>
    </row>
    <row r="105" spans="1:5" x14ac:dyDescent="0.25">
      <c r="A105" t="s">
        <v>1068</v>
      </c>
      <c r="B105" t="s">
        <v>58</v>
      </c>
      <c r="C105" t="s">
        <v>69</v>
      </c>
      <c r="D105" s="26">
        <v>1</v>
      </c>
      <c r="E105" s="26">
        <f>SUMIF(Principal[AUTOR],"*"&amp;Tabla4[[#This Row],[Author]]&amp;"*",Principal[cited by (*Scopus)])</f>
        <v>3</v>
      </c>
    </row>
    <row r="106" spans="1:5" x14ac:dyDescent="0.25">
      <c r="A106" t="s">
        <v>1076</v>
      </c>
      <c r="B106" t="s">
        <v>65</v>
      </c>
      <c r="C106" t="s">
        <v>69</v>
      </c>
      <c r="D106" s="26">
        <v>1</v>
      </c>
      <c r="E106" s="26">
        <f>SUMIF(Principal[AUTOR],"*"&amp;Tabla4[[#This Row],[Author]]&amp;"*",Principal[cited by (*Scopus)])</f>
        <v>3</v>
      </c>
    </row>
    <row r="107" spans="1:5" x14ac:dyDescent="0.25">
      <c r="A107" t="s">
        <v>2549</v>
      </c>
      <c r="B107" t="s">
        <v>3315</v>
      </c>
      <c r="C107" t="s">
        <v>69</v>
      </c>
      <c r="D107" s="26">
        <v>1</v>
      </c>
      <c r="E107" s="26">
        <f>SUMIF(Principal[AUTOR],"*"&amp;Tabla4[[#This Row],[Author]]&amp;"*",Principal[cited by (*Scopus)])</f>
        <v>3</v>
      </c>
    </row>
    <row r="108" spans="1:5" x14ac:dyDescent="0.25">
      <c r="A108" t="s">
        <v>2973</v>
      </c>
      <c r="B108" t="s">
        <v>60</v>
      </c>
      <c r="C108" t="s">
        <v>69</v>
      </c>
      <c r="D108" s="26">
        <v>1</v>
      </c>
      <c r="E108" s="26">
        <f>SUMIF(Principal[AUTOR],"*"&amp;Tabla4[[#This Row],[Author]]&amp;"*",Principal[cited by (*Scopus)])</f>
        <v>3</v>
      </c>
    </row>
    <row r="109" spans="1:5" x14ac:dyDescent="0.25">
      <c r="A109" t="s">
        <v>628</v>
      </c>
      <c r="B109" t="s">
        <v>57</v>
      </c>
      <c r="C109" t="s">
        <v>69</v>
      </c>
      <c r="D109" s="26">
        <v>1</v>
      </c>
      <c r="E109" s="26">
        <f>SUMIF(Principal[AUTOR],"*"&amp;Tabla4[[#This Row],[Author]]&amp;"*",Principal[cited by (*Scopus)])</f>
        <v>3</v>
      </c>
    </row>
    <row r="110" spans="1:5" x14ac:dyDescent="0.25">
      <c r="A110" t="s">
        <v>1493</v>
      </c>
      <c r="B110" t="s">
        <v>3464</v>
      </c>
      <c r="C110" t="s">
        <v>69</v>
      </c>
      <c r="D110" s="26">
        <v>2</v>
      </c>
      <c r="E110" s="26">
        <f>SUMIF(Principal[AUTOR],"*"&amp;Tabla4[[#This Row],[Author]]&amp;"*",Principal[cited by (*Scopus)])</f>
        <v>3</v>
      </c>
    </row>
    <row r="111" spans="1:5" x14ac:dyDescent="0.25">
      <c r="A111" t="s">
        <v>1403</v>
      </c>
      <c r="B111" t="s">
        <v>53</v>
      </c>
      <c r="C111" t="s">
        <v>69</v>
      </c>
      <c r="D111" s="26">
        <v>1</v>
      </c>
      <c r="E111" s="26">
        <f>SUMIF(Principal[AUTOR],"*"&amp;Tabla4[[#This Row],[Author]]&amp;"*",Principal[cited by (*Scopus)])</f>
        <v>3</v>
      </c>
    </row>
    <row r="112" spans="1:5" x14ac:dyDescent="0.25">
      <c r="A112" t="s">
        <v>1724</v>
      </c>
      <c r="B112" t="s">
        <v>3315</v>
      </c>
      <c r="C112" t="s">
        <v>69</v>
      </c>
      <c r="D112" s="26">
        <v>1</v>
      </c>
      <c r="E112" s="26">
        <f>SUMIF(Principal[AUTOR],"*"&amp;Tabla4[[#This Row],[Author]]&amp;"*",Principal[cited by (*Scopus)])</f>
        <v>3</v>
      </c>
    </row>
    <row r="113" spans="1:5" x14ac:dyDescent="0.25">
      <c r="A113" t="s">
        <v>1885</v>
      </c>
      <c r="B113" t="s">
        <v>61</v>
      </c>
      <c r="C113" t="s">
        <v>69</v>
      </c>
      <c r="D113" s="26"/>
      <c r="E113" s="26">
        <f>SUMIF(Principal[AUTOR],"*"&amp;Tabla4[[#This Row],[Author]]&amp;"*",Principal[cited by (*Scopus)])</f>
        <v>3</v>
      </c>
    </row>
    <row r="114" spans="1:5" x14ac:dyDescent="0.25">
      <c r="A114" t="s">
        <v>1542</v>
      </c>
      <c r="B114" t="s">
        <v>66</v>
      </c>
      <c r="C114" t="s">
        <v>69</v>
      </c>
      <c r="D114" s="26"/>
      <c r="E114" s="26">
        <f>SUMIF(Principal[AUTOR],"*"&amp;Tabla4[[#This Row],[Author]]&amp;"*",Principal[cited by (*Scopus)])</f>
        <v>3</v>
      </c>
    </row>
    <row r="115" spans="1:5" x14ac:dyDescent="0.25">
      <c r="A115" t="s">
        <v>1700</v>
      </c>
      <c r="B115" t="s">
        <v>61</v>
      </c>
      <c r="C115" t="s">
        <v>3263</v>
      </c>
      <c r="D115" s="26">
        <v>1</v>
      </c>
      <c r="E115" s="26">
        <f>SUMIF(Principal[AUTOR],"*"&amp;Tabla4[[#This Row],[Author]]&amp;"*",Principal[cited by (*Scopus)])</f>
        <v>3</v>
      </c>
    </row>
    <row r="116" spans="1:5" x14ac:dyDescent="0.25">
      <c r="A116" t="s">
        <v>2866</v>
      </c>
      <c r="B116" t="s">
        <v>3335</v>
      </c>
      <c r="C116" t="s">
        <v>69</v>
      </c>
      <c r="D116" s="26">
        <v>2</v>
      </c>
      <c r="E116" s="26">
        <f>SUMIF(Principal[AUTOR],"*"&amp;Tabla4[[#This Row],[Author]]&amp;"*",Principal[cited by (*Scopus)])</f>
        <v>2</v>
      </c>
    </row>
    <row r="117" spans="1:5" x14ac:dyDescent="0.25">
      <c r="A117" t="s">
        <v>1566</v>
      </c>
      <c r="B117" t="s">
        <v>57</v>
      </c>
      <c r="C117" t="s">
        <v>69</v>
      </c>
      <c r="D117" s="26">
        <v>1</v>
      </c>
      <c r="E117" s="26">
        <f>SUMIF(Principal[AUTOR],"*"&amp;Tabla4[[#This Row],[Author]]&amp;"*",Principal[cited by (*Scopus)])</f>
        <v>2</v>
      </c>
    </row>
    <row r="118" spans="1:5" x14ac:dyDescent="0.25">
      <c r="A118" t="s">
        <v>971</v>
      </c>
      <c r="B118" t="s">
        <v>61</v>
      </c>
      <c r="C118" t="s">
        <v>69</v>
      </c>
      <c r="D118" s="26">
        <v>1</v>
      </c>
      <c r="E118" s="26">
        <f>SUMIF(Principal[AUTOR],"*"&amp;Tabla4[[#This Row],[Author]]&amp;"*",Principal[cited by (*Scopus)])</f>
        <v>2</v>
      </c>
    </row>
    <row r="119" spans="1:5" x14ac:dyDescent="0.25">
      <c r="A119" t="s">
        <v>2783</v>
      </c>
      <c r="B119" t="s">
        <v>61</v>
      </c>
      <c r="C119" t="s">
        <v>69</v>
      </c>
      <c r="D119" s="26">
        <v>1</v>
      </c>
      <c r="E119" s="26">
        <f>SUMIF(Principal[AUTOR],"*"&amp;Tabla4[[#This Row],[Author]]&amp;"*",Principal[cited by (*Scopus)])</f>
        <v>2</v>
      </c>
    </row>
    <row r="120" spans="1:5" x14ac:dyDescent="0.25">
      <c r="A120" t="s">
        <v>2361</v>
      </c>
      <c r="B120" t="s">
        <v>66</v>
      </c>
      <c r="C120" t="s">
        <v>69</v>
      </c>
      <c r="D120" s="26">
        <v>1</v>
      </c>
      <c r="E120" s="26">
        <f>SUMIF(Principal[AUTOR],"*"&amp;Tabla4[[#This Row],[Author]]&amp;"*",Principal[cited by (*Scopus)])</f>
        <v>2</v>
      </c>
    </row>
    <row r="121" spans="1:5" x14ac:dyDescent="0.25">
      <c r="A121" t="s">
        <v>1419</v>
      </c>
      <c r="B121" t="s">
        <v>61</v>
      </c>
      <c r="C121" t="s">
        <v>69</v>
      </c>
      <c r="D121" s="26">
        <v>1</v>
      </c>
      <c r="E121" s="26">
        <f>SUMIF(Principal[AUTOR],"*"&amp;Tabla4[[#This Row],[Author]]&amp;"*",Principal[cited by (*Scopus)])</f>
        <v>2</v>
      </c>
    </row>
    <row r="122" spans="1:5" x14ac:dyDescent="0.25">
      <c r="A122" t="s">
        <v>2748</v>
      </c>
      <c r="B122" t="s">
        <v>3349</v>
      </c>
      <c r="C122" t="s">
        <v>69</v>
      </c>
      <c r="D122" s="26">
        <v>2</v>
      </c>
      <c r="E122" s="26">
        <f>SUMIF(Principal[AUTOR],"*"&amp;Tabla4[[#This Row],[Author]]&amp;"*",Principal[cited by (*Scopus)])</f>
        <v>2</v>
      </c>
    </row>
    <row r="123" spans="1:5" x14ac:dyDescent="0.25">
      <c r="A123" t="s">
        <v>510</v>
      </c>
      <c r="B123" t="s">
        <v>54</v>
      </c>
      <c r="C123" t="s">
        <v>69</v>
      </c>
      <c r="D123" s="26"/>
      <c r="E123" s="26">
        <f>SUMIF(Principal[AUTOR],"*"&amp;Tabla4[[#This Row],[Author]]&amp;"*",Principal[cited by (*Scopus)])</f>
        <v>2</v>
      </c>
    </row>
    <row r="124" spans="1:5" x14ac:dyDescent="0.25">
      <c r="A124" t="s">
        <v>514</v>
      </c>
      <c r="B124" t="s">
        <v>3335</v>
      </c>
      <c r="C124" t="s">
        <v>69</v>
      </c>
      <c r="D124" s="26">
        <v>1</v>
      </c>
      <c r="E124" s="26">
        <f>SUMIF(Principal[AUTOR],"*"&amp;Tabla4[[#This Row],[Author]]&amp;"*",Principal[cited by (*Scopus)])</f>
        <v>2</v>
      </c>
    </row>
    <row r="125" spans="1:5" x14ac:dyDescent="0.25">
      <c r="A125" t="s">
        <v>2835</v>
      </c>
      <c r="B125" t="s">
        <v>57</v>
      </c>
      <c r="C125" t="s">
        <v>69</v>
      </c>
      <c r="D125" s="26">
        <v>1</v>
      </c>
      <c r="E125" s="26">
        <f>SUMIF(Principal[AUTOR],"*"&amp;Tabla4[[#This Row],[Author]]&amp;"*",Principal[cited by (*Scopus)])</f>
        <v>2</v>
      </c>
    </row>
    <row r="126" spans="1:5" x14ac:dyDescent="0.25">
      <c r="A126" t="s">
        <v>1678</v>
      </c>
      <c r="B126" t="s">
        <v>57</v>
      </c>
      <c r="C126" t="s">
        <v>69</v>
      </c>
      <c r="D126" s="26">
        <v>1</v>
      </c>
      <c r="E126" s="26">
        <f>SUMIF(Principal[AUTOR],"*"&amp;Tabla4[[#This Row],[Author]]&amp;"*",Principal[cited by (*Scopus)])</f>
        <v>2</v>
      </c>
    </row>
    <row r="127" spans="1:5" x14ac:dyDescent="0.25">
      <c r="A127" t="s">
        <v>2602</v>
      </c>
      <c r="B127" t="s">
        <v>3335</v>
      </c>
      <c r="C127" t="s">
        <v>69</v>
      </c>
      <c r="D127" s="26">
        <v>1</v>
      </c>
      <c r="E127" s="26">
        <f>SUMIF(Principal[AUTOR],"*"&amp;Tabla4[[#This Row],[Author]]&amp;"*",Principal[cited by (*Scopus)])</f>
        <v>2</v>
      </c>
    </row>
    <row r="128" spans="1:5" x14ac:dyDescent="0.25">
      <c r="A128" t="s">
        <v>1525</v>
      </c>
      <c r="B128" t="s">
        <v>3338</v>
      </c>
      <c r="C128" t="s">
        <v>69</v>
      </c>
      <c r="D128" s="26">
        <v>1</v>
      </c>
      <c r="E128" s="26">
        <f>SUMIF(Principal[AUTOR],"*"&amp;Tabla4[[#This Row],[Author]]&amp;"*",Principal[cited by (*Scopus)])</f>
        <v>2</v>
      </c>
    </row>
    <row r="129" spans="1:5" x14ac:dyDescent="0.25">
      <c r="A129" t="s">
        <v>551</v>
      </c>
      <c r="B129" t="s">
        <v>3315</v>
      </c>
      <c r="C129" t="s">
        <v>69</v>
      </c>
      <c r="D129" s="26">
        <v>1</v>
      </c>
      <c r="E129" s="26">
        <f>SUMIF(Principal[AUTOR],"*"&amp;Tabla4[[#This Row],[Author]]&amp;"*",Principal[cited by (*Scopus)])</f>
        <v>2</v>
      </c>
    </row>
    <row r="130" spans="1:5" x14ac:dyDescent="0.25">
      <c r="A130" t="s">
        <v>2943</v>
      </c>
      <c r="B130" t="s">
        <v>59</v>
      </c>
      <c r="C130" t="s">
        <v>69</v>
      </c>
      <c r="D130" s="26">
        <v>4</v>
      </c>
      <c r="E130" s="26">
        <f>SUMIF(Principal[AUTOR],"*"&amp;Tabla4[[#This Row],[Author]]&amp;"*",Principal[cited by (*Scopus)])</f>
        <v>2</v>
      </c>
    </row>
    <row r="131" spans="1:5" x14ac:dyDescent="0.25">
      <c r="A131" t="s">
        <v>1737</v>
      </c>
      <c r="B131" t="s">
        <v>59</v>
      </c>
      <c r="C131" t="s">
        <v>69</v>
      </c>
      <c r="D131" s="26"/>
      <c r="E131" s="26">
        <f>SUMIF(Principal[AUTOR],"*"&amp;Tabla4[[#This Row],[Author]]&amp;"*",Principal[cited by (*Scopus)])</f>
        <v>2</v>
      </c>
    </row>
    <row r="132" spans="1:5" x14ac:dyDescent="0.25">
      <c r="A132" t="s">
        <v>168</v>
      </c>
      <c r="B132" t="s">
        <v>3335</v>
      </c>
      <c r="C132" t="s">
        <v>69</v>
      </c>
      <c r="D132" s="26">
        <v>1</v>
      </c>
      <c r="E132" s="26">
        <f>SUMIF(Principal[AUTOR],"*"&amp;Tabla4[[#This Row],[Author]]&amp;"*",Principal[cited by (*Scopus)])</f>
        <v>2</v>
      </c>
    </row>
    <row r="133" spans="1:5" x14ac:dyDescent="0.25">
      <c r="A133" t="s">
        <v>643</v>
      </c>
      <c r="B133" t="s">
        <v>54</v>
      </c>
      <c r="C133" t="s">
        <v>69</v>
      </c>
      <c r="D133" s="26">
        <v>1</v>
      </c>
      <c r="E133" s="26">
        <f>SUMIF(Principal[AUTOR],"*"&amp;Tabla4[[#This Row],[Author]]&amp;"*",Principal[cited by (*Scopus)])</f>
        <v>2</v>
      </c>
    </row>
    <row r="134" spans="1:5" x14ac:dyDescent="0.25">
      <c r="A134" t="s">
        <v>2801</v>
      </c>
      <c r="B134" t="s">
        <v>3661</v>
      </c>
      <c r="C134" t="s">
        <v>69</v>
      </c>
      <c r="D134" s="26">
        <v>1</v>
      </c>
      <c r="E134" s="26">
        <f>SUMIF(Principal[AUTOR],"*"&amp;Tabla4[[#This Row],[Author]]&amp;"*",Principal[cited by (*Scopus)])</f>
        <v>2</v>
      </c>
    </row>
    <row r="135" spans="1:5" x14ac:dyDescent="0.25">
      <c r="A135" t="s">
        <v>1845</v>
      </c>
      <c r="B135" t="s">
        <v>3315</v>
      </c>
      <c r="C135" t="s">
        <v>69</v>
      </c>
      <c r="D135" s="26">
        <v>1</v>
      </c>
      <c r="E135" s="26">
        <f>SUMIF(Principal[AUTOR],"*"&amp;Tabla4[[#This Row],[Author]]&amp;"*",Principal[cited by (*Scopus)])</f>
        <v>2</v>
      </c>
    </row>
    <row r="136" spans="1:5" x14ac:dyDescent="0.25">
      <c r="A136" t="s">
        <v>692</v>
      </c>
      <c r="B136" t="s">
        <v>54</v>
      </c>
      <c r="C136" t="s">
        <v>69</v>
      </c>
      <c r="D136" s="26">
        <v>1</v>
      </c>
      <c r="E136" s="26">
        <f>SUMIF(Principal[AUTOR],"*"&amp;Tabla4[[#This Row],[Author]]&amp;"*",Principal[cited by (*Scopus)])</f>
        <v>2</v>
      </c>
    </row>
    <row r="137" spans="1:5" x14ac:dyDescent="0.25">
      <c r="A137" t="s">
        <v>2043</v>
      </c>
      <c r="B137" t="s">
        <v>3365</v>
      </c>
      <c r="C137" t="s">
        <v>69</v>
      </c>
      <c r="D137" s="26">
        <v>1</v>
      </c>
      <c r="E137" s="26">
        <f>SUMIF(Principal[AUTOR],"*"&amp;Tabla4[[#This Row],[Author]]&amp;"*",Principal[cited by (*Scopus)])</f>
        <v>2</v>
      </c>
    </row>
    <row r="138" spans="1:5" x14ac:dyDescent="0.25">
      <c r="A138" t="s">
        <v>2775</v>
      </c>
      <c r="B138" t="s">
        <v>58</v>
      </c>
      <c r="C138" t="s">
        <v>69</v>
      </c>
      <c r="D138" s="26">
        <v>1</v>
      </c>
      <c r="E138" s="26">
        <f>SUMIF(Principal[AUTOR],"*"&amp;Tabla4[[#This Row],[Author]]&amp;"*",Principal[cited by (*Scopus)])</f>
        <v>2</v>
      </c>
    </row>
    <row r="139" spans="1:5" x14ac:dyDescent="0.25">
      <c r="A139" t="s">
        <v>763</v>
      </c>
      <c r="B139" t="s">
        <v>3317</v>
      </c>
      <c r="C139" t="s">
        <v>3263</v>
      </c>
      <c r="D139" s="26">
        <v>1</v>
      </c>
      <c r="E139" s="26">
        <f>SUMIF(Principal[AUTOR],"*"&amp;Tabla4[[#This Row],[Author]]&amp;"*",Principal[cited by (*Scopus)])</f>
        <v>2</v>
      </c>
    </row>
    <row r="140" spans="1:5" x14ac:dyDescent="0.25">
      <c r="A140" t="s">
        <v>2152</v>
      </c>
      <c r="B140" t="s">
        <v>3349</v>
      </c>
      <c r="C140" t="s">
        <v>69</v>
      </c>
      <c r="D140" s="26">
        <v>1</v>
      </c>
      <c r="E140" s="26">
        <f>SUMIF(Principal[AUTOR],"*"&amp;Tabla4[[#This Row],[Author]]&amp;"*",Principal[cited by (*Scopus)])</f>
        <v>2</v>
      </c>
    </row>
    <row r="141" spans="1:5" x14ac:dyDescent="0.25">
      <c r="A141" t="s">
        <v>2473</v>
      </c>
      <c r="B141" t="s">
        <v>57</v>
      </c>
      <c r="C141" t="s">
        <v>69</v>
      </c>
      <c r="D141" s="26">
        <v>1</v>
      </c>
      <c r="E141" s="26">
        <f>SUMIF(Principal[AUTOR],"*"&amp;Tabla4[[#This Row],[Author]]&amp;"*",Principal[cited by (*Scopus)])</f>
        <v>2</v>
      </c>
    </row>
    <row r="142" spans="1:5" x14ac:dyDescent="0.25">
      <c r="A142" t="s">
        <v>775</v>
      </c>
      <c r="B142" t="s">
        <v>3317</v>
      </c>
      <c r="C142" t="s">
        <v>69</v>
      </c>
      <c r="D142" s="26">
        <v>2</v>
      </c>
      <c r="E142" s="26">
        <f>SUMIF(Principal[AUTOR],"*"&amp;Tabla4[[#This Row],[Author]]&amp;"*",Principal[cited by (*Scopus)])</f>
        <v>2</v>
      </c>
    </row>
    <row r="143" spans="1:5" x14ac:dyDescent="0.25">
      <c r="A143" t="s">
        <v>2445</v>
      </c>
      <c r="B143" t="s">
        <v>3335</v>
      </c>
      <c r="C143" t="s">
        <v>69</v>
      </c>
      <c r="D143" s="26">
        <v>1</v>
      </c>
      <c r="E143" s="26">
        <f>SUMIF(Principal[AUTOR],"*"&amp;Tabla4[[#This Row],[Author]]&amp;"*",Principal[cited by (*Scopus)])</f>
        <v>2</v>
      </c>
    </row>
    <row r="144" spans="1:5" x14ac:dyDescent="0.25">
      <c r="A144" t="s">
        <v>1484</v>
      </c>
      <c r="B144" t="s">
        <v>3335</v>
      </c>
      <c r="C144" t="s">
        <v>69</v>
      </c>
      <c r="D144" s="26">
        <v>1</v>
      </c>
      <c r="E144" s="26">
        <f>SUMIF(Principal[AUTOR],"*"&amp;Tabla4[[#This Row],[Author]]&amp;"*",Principal[cited by (*Scopus)])</f>
        <v>2</v>
      </c>
    </row>
    <row r="145" spans="1:5" x14ac:dyDescent="0.25">
      <c r="A145" t="s">
        <v>216</v>
      </c>
      <c r="B145" t="s">
        <v>61</v>
      </c>
      <c r="C145" t="s">
        <v>69</v>
      </c>
      <c r="D145" s="26">
        <v>1</v>
      </c>
      <c r="E145" s="26">
        <f>SUMIF(Principal[AUTOR],"*"&amp;Tabla4[[#This Row],[Author]]&amp;"*",Principal[cited by (*Scopus)])</f>
        <v>2</v>
      </c>
    </row>
    <row r="146" spans="1:5" x14ac:dyDescent="0.25">
      <c r="A146" t="s">
        <v>1147</v>
      </c>
      <c r="B146" t="s">
        <v>59</v>
      </c>
      <c r="C146" t="s">
        <v>69</v>
      </c>
      <c r="D146" s="26">
        <v>1</v>
      </c>
      <c r="E146" s="26">
        <f>SUMIF(Principal[AUTOR],"*"&amp;Tabla4[[#This Row],[Author]]&amp;"*",Principal[cited by (*Scopus)])</f>
        <v>2</v>
      </c>
    </row>
    <row r="147" spans="1:5" x14ac:dyDescent="0.25">
      <c r="A147" t="s">
        <v>875</v>
      </c>
      <c r="B147" t="s">
        <v>54</v>
      </c>
      <c r="C147" t="s">
        <v>69</v>
      </c>
      <c r="D147" s="26">
        <v>1</v>
      </c>
      <c r="E147" s="26">
        <f>SUMIF(Principal[AUTOR],"*"&amp;Tabla4[[#This Row],[Author]]&amp;"*",Principal[cited by (*Scopus)])</f>
        <v>2</v>
      </c>
    </row>
    <row r="148" spans="1:5" x14ac:dyDescent="0.25">
      <c r="A148" t="s">
        <v>1813</v>
      </c>
      <c r="B148" t="s">
        <v>64</v>
      </c>
      <c r="C148" t="s">
        <v>3263</v>
      </c>
      <c r="D148" s="26">
        <v>1</v>
      </c>
      <c r="E148" s="26">
        <f>SUMIF(Principal[AUTOR],"*"&amp;Tabla4[[#This Row],[Author]]&amp;"*",Principal[cited by (*Scopus)])</f>
        <v>1</v>
      </c>
    </row>
    <row r="149" spans="1:5" x14ac:dyDescent="0.25">
      <c r="A149" t="s">
        <v>433</v>
      </c>
      <c r="B149" t="s">
        <v>3349</v>
      </c>
      <c r="C149" t="s">
        <v>69</v>
      </c>
      <c r="D149" s="26">
        <v>1</v>
      </c>
      <c r="E149" s="26">
        <f>SUMIF(Principal[AUTOR],"*"&amp;Tabla4[[#This Row],[Author]]&amp;"*",Principal[cited by (*Scopus)])</f>
        <v>1</v>
      </c>
    </row>
    <row r="150" spans="1:5" x14ac:dyDescent="0.25">
      <c r="A150" t="s">
        <v>1461</v>
      </c>
      <c r="B150" t="s">
        <v>3355</v>
      </c>
      <c r="C150" t="s">
        <v>69</v>
      </c>
      <c r="D150" s="26">
        <v>1</v>
      </c>
      <c r="E150" s="26">
        <f>SUMIF(Principal[AUTOR],"*"&amp;Tabla4[[#This Row],[Author]]&amp;"*",Principal[cited by (*Scopus)])</f>
        <v>1</v>
      </c>
    </row>
    <row r="151" spans="1:5" x14ac:dyDescent="0.25">
      <c r="A151" t="s">
        <v>2703</v>
      </c>
      <c r="B151" t="s">
        <v>3335</v>
      </c>
      <c r="C151" t="s">
        <v>69</v>
      </c>
      <c r="D151" s="26"/>
      <c r="E151" s="26">
        <f>SUMIF(Principal[AUTOR],"*"&amp;Tabla4[[#This Row],[Author]]&amp;"*",Principal[cited by (*Scopus)])</f>
        <v>1</v>
      </c>
    </row>
    <row r="152" spans="1:5" x14ac:dyDescent="0.25">
      <c r="A152" t="s">
        <v>141</v>
      </c>
      <c r="B152" t="s">
        <v>54</v>
      </c>
      <c r="C152" t="s">
        <v>69</v>
      </c>
      <c r="D152" s="26">
        <v>1</v>
      </c>
      <c r="E152" s="26">
        <f>SUMIF(Principal[AUTOR],"*"&amp;Tabla4[[#This Row],[Author]]&amp;"*",Principal[cited by (*Scopus)])</f>
        <v>1</v>
      </c>
    </row>
    <row r="153" spans="1:5" x14ac:dyDescent="0.25">
      <c r="A153" t="s">
        <v>2131</v>
      </c>
      <c r="B153" t="s">
        <v>3317</v>
      </c>
      <c r="C153" t="s">
        <v>69</v>
      </c>
      <c r="D153" s="26">
        <v>1</v>
      </c>
      <c r="E153" s="26">
        <f>SUMIF(Principal[AUTOR],"*"&amp;Tabla4[[#This Row],[Author]]&amp;"*",Principal[cited by (*Scopus)])</f>
        <v>1</v>
      </c>
    </row>
    <row r="154" spans="1:5" x14ac:dyDescent="0.25">
      <c r="A154" t="s">
        <v>1865</v>
      </c>
      <c r="B154" t="s">
        <v>59</v>
      </c>
      <c r="C154" t="s">
        <v>69</v>
      </c>
      <c r="D154" s="26">
        <v>1</v>
      </c>
      <c r="E154" s="26">
        <f>SUMIF(Principal[AUTOR],"*"&amp;Tabla4[[#This Row],[Author]]&amp;"*",Principal[cited by (*Scopus)])</f>
        <v>1</v>
      </c>
    </row>
    <row r="155" spans="1:5" x14ac:dyDescent="0.25">
      <c r="A155" t="s">
        <v>1682</v>
      </c>
      <c r="B155" t="s">
        <v>62</v>
      </c>
      <c r="C155" t="s">
        <v>69</v>
      </c>
      <c r="D155" s="26">
        <v>1</v>
      </c>
      <c r="E155" s="26">
        <f>SUMIF(Principal[AUTOR],"*"&amp;Tabla4[[#This Row],[Author]]&amp;"*",Principal[cited by (*Scopus)])</f>
        <v>1</v>
      </c>
    </row>
    <row r="156" spans="1:5" x14ac:dyDescent="0.25">
      <c r="A156" t="s">
        <v>2219</v>
      </c>
      <c r="B156" t="s">
        <v>61</v>
      </c>
      <c r="C156" t="s">
        <v>69</v>
      </c>
      <c r="D156" s="26">
        <v>1</v>
      </c>
      <c r="E156" s="26">
        <f>SUMIF(Principal[AUTOR],"*"&amp;Tabla4[[#This Row],[Author]]&amp;"*",Principal[cited by (*Scopus)])</f>
        <v>1</v>
      </c>
    </row>
    <row r="157" spans="1:5" x14ac:dyDescent="0.25">
      <c r="A157" t="s">
        <v>2252</v>
      </c>
      <c r="B157" t="s">
        <v>3428</v>
      </c>
      <c r="C157" t="s">
        <v>69</v>
      </c>
      <c r="D157" s="26">
        <v>1</v>
      </c>
      <c r="E157" s="26">
        <f>SUMIF(Principal[AUTOR],"*"&amp;Tabla4[[#This Row],[Author]]&amp;"*",Principal[cited by (*Scopus)])</f>
        <v>1</v>
      </c>
    </row>
    <row r="158" spans="1:5" x14ac:dyDescent="0.25">
      <c r="A158" t="s">
        <v>2427</v>
      </c>
      <c r="B158" t="s">
        <v>53</v>
      </c>
      <c r="C158" t="s">
        <v>69</v>
      </c>
      <c r="D158" s="26">
        <v>1</v>
      </c>
      <c r="E158" s="26">
        <f>SUMIF(Principal[AUTOR],"*"&amp;Tabla4[[#This Row],[Author]]&amp;"*",Principal[cited by (*Scopus)])</f>
        <v>1</v>
      </c>
    </row>
    <row r="159" spans="1:5" x14ac:dyDescent="0.25">
      <c r="A159" t="s">
        <v>2457</v>
      </c>
      <c r="B159" t="s">
        <v>3317</v>
      </c>
      <c r="C159" t="s">
        <v>69</v>
      </c>
      <c r="D159" s="26">
        <v>1</v>
      </c>
      <c r="E159" s="26">
        <f>SUMIF(Principal[AUTOR],"*"&amp;Tabla4[[#This Row],[Author]]&amp;"*",Principal[cited by (*Scopus)])</f>
        <v>1</v>
      </c>
    </row>
    <row r="160" spans="1:5" x14ac:dyDescent="0.25">
      <c r="A160" t="s">
        <v>534</v>
      </c>
      <c r="B160" t="s">
        <v>3335</v>
      </c>
      <c r="C160" t="s">
        <v>69</v>
      </c>
      <c r="D160" s="26">
        <v>1</v>
      </c>
      <c r="E160" s="26">
        <f>SUMIF(Principal[AUTOR],"*"&amp;Tabla4[[#This Row],[Author]]&amp;"*",Principal[cited by (*Scopus)])</f>
        <v>1</v>
      </c>
    </row>
    <row r="161" spans="1:5" x14ac:dyDescent="0.25">
      <c r="A161" t="s">
        <v>1901</v>
      </c>
      <c r="B161" t="s">
        <v>3464</v>
      </c>
      <c r="C161" t="s">
        <v>69</v>
      </c>
      <c r="D161" s="26">
        <v>1</v>
      </c>
      <c r="E161" s="26">
        <f>SUMIF(Principal[AUTOR],"*"&amp;Tabla4[[#This Row],[Author]]&amp;"*",Principal[cited by (*Scopus)])</f>
        <v>1</v>
      </c>
    </row>
    <row r="162" spans="1:5" x14ac:dyDescent="0.25">
      <c r="A162" t="s">
        <v>2099</v>
      </c>
      <c r="B162" t="s">
        <v>54</v>
      </c>
      <c r="C162" t="s">
        <v>69</v>
      </c>
      <c r="D162" s="26">
        <v>1</v>
      </c>
      <c r="E162" s="26">
        <f>SUMIF(Principal[AUTOR],"*"&amp;Tabla4[[#This Row],[Author]]&amp;"*",Principal[cited by (*Scopus)])</f>
        <v>1</v>
      </c>
    </row>
    <row r="163" spans="1:5" x14ac:dyDescent="0.25">
      <c r="A163" t="s">
        <v>572</v>
      </c>
      <c r="B163" t="s">
        <v>59</v>
      </c>
      <c r="C163" t="s">
        <v>69</v>
      </c>
      <c r="D163" s="26">
        <v>1</v>
      </c>
      <c r="E163" s="26">
        <f>SUMIF(Principal[AUTOR],"*"&amp;Tabla4[[#This Row],[Author]]&amp;"*",Principal[cited by (*Scopus)])</f>
        <v>1</v>
      </c>
    </row>
    <row r="164" spans="1:5" x14ac:dyDescent="0.25">
      <c r="A164" t="s">
        <v>592</v>
      </c>
      <c r="B164" t="s">
        <v>3355</v>
      </c>
      <c r="C164" t="s">
        <v>69</v>
      </c>
      <c r="D164" s="26">
        <v>1</v>
      </c>
      <c r="E164" s="26">
        <f>SUMIF(Principal[AUTOR],"*"&amp;Tabla4[[#This Row],[Author]]&amp;"*",Principal[cited by (*Scopus)])</f>
        <v>1</v>
      </c>
    </row>
    <row r="165" spans="1:5" x14ac:dyDescent="0.25">
      <c r="A165" t="s">
        <v>2202</v>
      </c>
      <c r="B165" t="s">
        <v>3335</v>
      </c>
      <c r="C165" t="s">
        <v>69</v>
      </c>
      <c r="D165" s="26">
        <v>1</v>
      </c>
      <c r="E165" s="26">
        <f>SUMIF(Principal[AUTOR],"*"&amp;Tabla4[[#This Row],[Author]]&amp;"*",Principal[cited by (*Scopus)])</f>
        <v>1</v>
      </c>
    </row>
    <row r="166" spans="1:5" x14ac:dyDescent="0.25">
      <c r="A166" t="s">
        <v>3131</v>
      </c>
      <c r="B166" t="s">
        <v>61</v>
      </c>
      <c r="C166" t="s">
        <v>69</v>
      </c>
      <c r="D166" s="26">
        <v>1</v>
      </c>
      <c r="E166" s="26">
        <f>SUMIF(Principal[AUTOR],"*"&amp;Tabla4[[#This Row],[Author]]&amp;"*",Principal[cited by (*Scopus)])</f>
        <v>1</v>
      </c>
    </row>
    <row r="167" spans="1:5" x14ac:dyDescent="0.25">
      <c r="A167" t="s">
        <v>1096</v>
      </c>
      <c r="B167" t="s">
        <v>61</v>
      </c>
      <c r="C167" t="s">
        <v>69</v>
      </c>
      <c r="D167" s="26">
        <v>1</v>
      </c>
      <c r="E167" s="26">
        <f>SUMIF(Principal[AUTOR],"*"&amp;Tabla4[[#This Row],[Author]]&amp;"*",Principal[cited by (*Scopus)])</f>
        <v>1</v>
      </c>
    </row>
    <row r="168" spans="1:5" x14ac:dyDescent="0.25">
      <c r="A168" t="s">
        <v>2256</v>
      </c>
      <c r="B168" t="s">
        <v>3579</v>
      </c>
      <c r="C168" t="s">
        <v>69</v>
      </c>
      <c r="D168" s="26">
        <v>1</v>
      </c>
      <c r="E168" s="26">
        <f>SUMIF(Principal[AUTOR],"*"&amp;Tabla4[[#This Row],[Author]]&amp;"*",Principal[cited by (*Scopus)])</f>
        <v>1</v>
      </c>
    </row>
    <row r="169" spans="1:5" x14ac:dyDescent="0.25">
      <c r="A169" t="s">
        <v>660</v>
      </c>
      <c r="B169" t="s">
        <v>59</v>
      </c>
      <c r="C169" t="s">
        <v>69</v>
      </c>
      <c r="D169" s="26">
        <v>1</v>
      </c>
      <c r="E169" s="26">
        <f>SUMIF(Principal[AUTOR],"*"&amp;Tabla4[[#This Row],[Author]]&amp;"*",Principal[cited by (*Scopus)])</f>
        <v>1</v>
      </c>
    </row>
    <row r="170" spans="1:5" x14ac:dyDescent="0.25">
      <c r="A170" t="s">
        <v>1354</v>
      </c>
      <c r="B170" t="s">
        <v>3335</v>
      </c>
      <c r="C170" t="s">
        <v>70</v>
      </c>
      <c r="D170" s="26">
        <v>1</v>
      </c>
      <c r="E170" s="26">
        <f>SUMIF(Principal[AUTOR],"*"&amp;Tabla4[[#This Row],[Author]]&amp;"*",Principal[cited by (*Scopus)])</f>
        <v>1</v>
      </c>
    </row>
    <row r="171" spans="1:5" x14ac:dyDescent="0.25">
      <c r="A171" t="s">
        <v>2013</v>
      </c>
      <c r="B171" t="s">
        <v>3489</v>
      </c>
      <c r="C171" t="s">
        <v>69</v>
      </c>
      <c r="D171" s="26">
        <v>2</v>
      </c>
      <c r="E171" s="26">
        <f>SUMIF(Principal[AUTOR],"*"&amp;Tabla4[[#This Row],[Author]]&amp;"*",Principal[cited by (*Scopus)])</f>
        <v>1</v>
      </c>
    </row>
    <row r="172" spans="1:5" x14ac:dyDescent="0.25">
      <c r="A172" t="s">
        <v>2676</v>
      </c>
      <c r="B172" t="s">
        <v>61</v>
      </c>
      <c r="C172" t="s">
        <v>69</v>
      </c>
      <c r="D172" s="26">
        <v>1</v>
      </c>
      <c r="E172" s="26">
        <f>SUMIF(Principal[AUTOR],"*"&amp;Tabla4[[#This Row],[Author]]&amp;"*",Principal[cited by (*Scopus)])</f>
        <v>1</v>
      </c>
    </row>
    <row r="173" spans="1:5" x14ac:dyDescent="0.25">
      <c r="A173" t="s">
        <v>1230</v>
      </c>
      <c r="B173" t="s">
        <v>3602</v>
      </c>
      <c r="C173" t="s">
        <v>69</v>
      </c>
      <c r="D173" s="26">
        <v>1</v>
      </c>
      <c r="E173" s="26">
        <f>SUMIF(Principal[AUTOR],"*"&amp;Tabla4[[#This Row],[Author]]&amp;"*",Principal[cited by (*Scopus)])</f>
        <v>1</v>
      </c>
    </row>
    <row r="174" spans="1:5" x14ac:dyDescent="0.25">
      <c r="A174" t="s">
        <v>694</v>
      </c>
      <c r="B174" t="s">
        <v>3335</v>
      </c>
      <c r="C174" t="s">
        <v>69</v>
      </c>
      <c r="D174" s="26">
        <v>1</v>
      </c>
      <c r="E174" s="26">
        <f>SUMIF(Principal[AUTOR],"*"&amp;Tabla4[[#This Row],[Author]]&amp;"*",Principal[cited by (*Scopus)])</f>
        <v>1</v>
      </c>
    </row>
    <row r="175" spans="1:5" x14ac:dyDescent="0.25">
      <c r="A175" t="s">
        <v>807</v>
      </c>
      <c r="B175" t="s">
        <v>3315</v>
      </c>
      <c r="C175" t="s">
        <v>69</v>
      </c>
      <c r="D175" s="26">
        <v>1</v>
      </c>
      <c r="E175" s="26">
        <f>SUMIF(Principal[AUTOR],"*"&amp;Tabla4[[#This Row],[Author]]&amp;"*",Principal[cited by (*Scopus)])</f>
        <v>1</v>
      </c>
    </row>
    <row r="176" spans="1:5" x14ac:dyDescent="0.25">
      <c r="A176" t="s">
        <v>1988</v>
      </c>
      <c r="B176" t="s">
        <v>3315</v>
      </c>
      <c r="C176" t="s">
        <v>69</v>
      </c>
      <c r="D176" s="26">
        <v>1</v>
      </c>
      <c r="E176" s="26">
        <f>SUMIF(Principal[AUTOR],"*"&amp;Tabla4[[#This Row],[Author]]&amp;"*",Principal[cited by (*Scopus)])</f>
        <v>1</v>
      </c>
    </row>
    <row r="177" spans="1:5" x14ac:dyDescent="0.25">
      <c r="A177" t="s">
        <v>1284</v>
      </c>
      <c r="B177" t="s">
        <v>3355</v>
      </c>
      <c r="C177" t="s">
        <v>69</v>
      </c>
      <c r="D177" s="26">
        <v>1</v>
      </c>
      <c r="E177" s="26">
        <f>SUMIF(Principal[AUTOR],"*"&amp;Tabla4[[#This Row],[Author]]&amp;"*",Principal[cited by (*Scopus)])</f>
        <v>1</v>
      </c>
    </row>
    <row r="178" spans="1:5" x14ac:dyDescent="0.25">
      <c r="A178" t="s">
        <v>1792</v>
      </c>
      <c r="B178" t="s">
        <v>3335</v>
      </c>
      <c r="C178" t="s">
        <v>69</v>
      </c>
      <c r="D178" s="26">
        <v>1</v>
      </c>
      <c r="E178" s="26">
        <f>SUMIF(Principal[AUTOR],"*"&amp;Tabla4[[#This Row],[Author]]&amp;"*",Principal[cited by (*Scopus)])</f>
        <v>1</v>
      </c>
    </row>
    <row r="179" spans="1:5" x14ac:dyDescent="0.25">
      <c r="A179" t="s">
        <v>1550</v>
      </c>
      <c r="B179" t="s">
        <v>59</v>
      </c>
      <c r="C179" t="s">
        <v>69</v>
      </c>
      <c r="D179" s="26">
        <v>1</v>
      </c>
      <c r="E179" s="26">
        <f>SUMIF(Principal[AUTOR],"*"&amp;Tabla4[[#This Row],[Author]]&amp;"*",Principal[cited by (*Scopus)])</f>
        <v>0</v>
      </c>
    </row>
    <row r="180" spans="1:5" x14ac:dyDescent="0.25">
      <c r="A180" t="s">
        <v>2855</v>
      </c>
      <c r="B180" t="s">
        <v>3335</v>
      </c>
      <c r="C180" t="s">
        <v>69</v>
      </c>
      <c r="D180" s="26">
        <v>1</v>
      </c>
      <c r="E180" s="26">
        <f>SUMIF(Principal[AUTOR],"*"&amp;Tabla4[[#This Row],[Author]]&amp;"*",Principal[cited by (*Scopus)])</f>
        <v>0</v>
      </c>
    </row>
    <row r="181" spans="1:5" x14ac:dyDescent="0.25">
      <c r="A181" t="s">
        <v>134</v>
      </c>
      <c r="B181" t="s">
        <v>61</v>
      </c>
      <c r="C181" t="s">
        <v>69</v>
      </c>
      <c r="D181" s="26">
        <v>1</v>
      </c>
      <c r="E181" s="26">
        <f>SUMIF(Principal[AUTOR],"*"&amp;Tabla4[[#This Row],[Author]]&amp;"*",Principal[cited by (*Scopus)])</f>
        <v>0</v>
      </c>
    </row>
    <row r="182" spans="1:5" x14ac:dyDescent="0.25">
      <c r="A182" t="s">
        <v>425</v>
      </c>
      <c r="B182" t="s">
        <v>57</v>
      </c>
      <c r="C182" t="s">
        <v>69</v>
      </c>
      <c r="D182" s="26">
        <v>1</v>
      </c>
      <c r="E182" s="26">
        <f>SUMIF(Principal[AUTOR],"*"&amp;Tabla4[[#This Row],[Author]]&amp;"*",Principal[cited by (*Scopus)])</f>
        <v>0</v>
      </c>
    </row>
    <row r="183" spans="1:5" x14ac:dyDescent="0.25">
      <c r="A183" t="s">
        <v>429</v>
      </c>
      <c r="B183" t="s">
        <v>3315</v>
      </c>
      <c r="C183" t="s">
        <v>69</v>
      </c>
      <c r="D183" s="26">
        <v>1</v>
      </c>
      <c r="E183" s="26">
        <f>SUMIF(Principal[AUTOR],"*"&amp;Tabla4[[#This Row],[Author]]&amp;"*",Principal[cited by (*Scopus)])</f>
        <v>0</v>
      </c>
    </row>
    <row r="184" spans="1:5" x14ac:dyDescent="0.25">
      <c r="A184" t="s">
        <v>1538</v>
      </c>
      <c r="B184" t="s">
        <v>3317</v>
      </c>
      <c r="C184" t="s">
        <v>69</v>
      </c>
      <c r="D184" s="26">
        <v>1</v>
      </c>
      <c r="E184" s="26">
        <f>SUMIF(Principal[AUTOR],"*"&amp;Tabla4[[#This Row],[Author]]&amp;"*",Principal[cited by (*Scopus)])</f>
        <v>0</v>
      </c>
    </row>
    <row r="185" spans="1:5" x14ac:dyDescent="0.25">
      <c r="A185" t="s">
        <v>967</v>
      </c>
      <c r="B185" t="s">
        <v>3663</v>
      </c>
      <c r="C185" t="s">
        <v>69</v>
      </c>
      <c r="D185" s="26">
        <v>1</v>
      </c>
      <c r="E185" s="26">
        <f>SUMIF(Principal[AUTOR],"*"&amp;Tabla4[[#This Row],[Author]]&amp;"*",Principal[cited by (*Scopus)])</f>
        <v>0</v>
      </c>
    </row>
    <row r="186" spans="1:5" x14ac:dyDescent="0.25">
      <c r="A186" t="s">
        <v>2806</v>
      </c>
      <c r="B186" t="s">
        <v>53</v>
      </c>
      <c r="C186" t="s">
        <v>69</v>
      </c>
      <c r="D186" s="26">
        <v>1</v>
      </c>
      <c r="E186" s="26">
        <f>SUMIF(Principal[AUTOR],"*"&amp;Tabla4[[#This Row],[Author]]&amp;"*",Principal[cited by (*Scopus)])</f>
        <v>0</v>
      </c>
    </row>
    <row r="187" spans="1:5" x14ac:dyDescent="0.25">
      <c r="A187" t="s">
        <v>2810</v>
      </c>
      <c r="B187" t="s">
        <v>3338</v>
      </c>
      <c r="C187" t="s">
        <v>69</v>
      </c>
      <c r="D187" s="26">
        <v>1</v>
      </c>
      <c r="E187" s="26">
        <f>SUMIF(Principal[AUTOR],"*"&amp;Tabla4[[#This Row],[Author]]&amp;"*",Principal[cited by (*Scopus)])</f>
        <v>0</v>
      </c>
    </row>
    <row r="188" spans="1:5" x14ac:dyDescent="0.25">
      <c r="A188" t="s">
        <v>2054</v>
      </c>
      <c r="B188" t="s">
        <v>57</v>
      </c>
      <c r="C188" t="s">
        <v>69</v>
      </c>
      <c r="D188" s="26">
        <v>1</v>
      </c>
      <c r="E188" s="26">
        <f>SUMIF(Principal[AUTOR],"*"&amp;Tabla4[[#This Row],[Author]]&amp;"*",Principal[cited by (*Scopus)])</f>
        <v>0</v>
      </c>
    </row>
    <row r="189" spans="1:5" x14ac:dyDescent="0.25">
      <c r="A189" t="s">
        <v>999</v>
      </c>
      <c r="B189" t="s">
        <v>56</v>
      </c>
      <c r="C189" t="s">
        <v>69</v>
      </c>
      <c r="D189" s="26">
        <v>1</v>
      </c>
      <c r="E189" s="26">
        <f>SUMIF(Principal[AUTOR],"*"&amp;Tabla4[[#This Row],[Author]]&amp;"*",Principal[cited by (*Scopus)])</f>
        <v>0</v>
      </c>
    </row>
    <row r="190" spans="1:5" x14ac:dyDescent="0.25">
      <c r="A190" t="s">
        <v>1015</v>
      </c>
      <c r="B190" t="s">
        <v>3335</v>
      </c>
      <c r="C190" t="s">
        <v>69</v>
      </c>
      <c r="D190" s="26">
        <v>1</v>
      </c>
      <c r="E190" s="26">
        <f>SUMIF(Principal[AUTOR],"*"&amp;Tabla4[[#This Row],[Author]]&amp;"*",Principal[cited by (*Scopus)])</f>
        <v>0</v>
      </c>
    </row>
    <row r="191" spans="1:5" x14ac:dyDescent="0.25">
      <c r="A191" t="s">
        <v>465</v>
      </c>
      <c r="B191" t="s">
        <v>3379</v>
      </c>
      <c r="C191" t="s">
        <v>69</v>
      </c>
      <c r="D191" s="26">
        <v>1</v>
      </c>
      <c r="E191" s="26">
        <f>SUMIF(Principal[AUTOR],"*"&amp;Tabla4[[#This Row],[Author]]&amp;"*",Principal[cited by (*Scopus)])</f>
        <v>0</v>
      </c>
    </row>
    <row r="192" spans="1:5" x14ac:dyDescent="0.25">
      <c r="A192" t="s">
        <v>1652</v>
      </c>
      <c r="B192" t="s">
        <v>3335</v>
      </c>
      <c r="C192" t="s">
        <v>69</v>
      </c>
      <c r="D192" s="26">
        <v>1</v>
      </c>
      <c r="E192" s="26">
        <f>SUMIF(Principal[AUTOR],"*"&amp;Tabla4[[#This Row],[Author]]&amp;"*",Principal[cited by (*Scopus)])</f>
        <v>0</v>
      </c>
    </row>
    <row r="193" spans="1:5" x14ac:dyDescent="0.25">
      <c r="A193" t="s">
        <v>488</v>
      </c>
      <c r="B193" t="s">
        <v>60</v>
      </c>
      <c r="D193" s="26"/>
      <c r="E193" s="26">
        <f>SUMIF(Principal[AUTOR],"*"&amp;Tabla4[[#This Row],[Author]]&amp;"*",Principal[cited by (*Scopus)])</f>
        <v>0</v>
      </c>
    </row>
    <row r="194" spans="1:5" x14ac:dyDescent="0.25">
      <c r="A194" t="s">
        <v>2373</v>
      </c>
      <c r="B194" t="s">
        <v>61</v>
      </c>
      <c r="C194" t="s">
        <v>69</v>
      </c>
      <c r="D194" s="26">
        <v>1</v>
      </c>
      <c r="E194" s="26">
        <f>SUMIF(Principal[AUTOR],"*"&amp;Tabla4[[#This Row],[Author]]&amp;"*",Principal[cited by (*Scopus)])</f>
        <v>0</v>
      </c>
    </row>
    <row r="195" spans="1:5" x14ac:dyDescent="0.25">
      <c r="A195" t="s">
        <v>2009</v>
      </c>
      <c r="B195" t="s">
        <v>59</v>
      </c>
      <c r="C195" t="s">
        <v>69</v>
      </c>
      <c r="D195" s="26">
        <v>1</v>
      </c>
      <c r="E195" s="26">
        <f>SUMIF(Principal[AUTOR],"*"&amp;Tabla4[[#This Row],[Author]]&amp;"*",Principal[cited by (*Scopus)])</f>
        <v>0</v>
      </c>
    </row>
    <row r="196" spans="1:5" x14ac:dyDescent="0.25">
      <c r="A196" t="s">
        <v>2389</v>
      </c>
      <c r="B196" t="s">
        <v>61</v>
      </c>
      <c r="C196" t="s">
        <v>69</v>
      </c>
      <c r="D196" s="26">
        <v>1</v>
      </c>
      <c r="E196" s="26">
        <f>SUMIF(Principal[AUTOR],"*"&amp;Tabla4[[#This Row],[Author]]&amp;"*",Principal[cited by (*Scopus)])</f>
        <v>0</v>
      </c>
    </row>
    <row r="197" spans="1:5" x14ac:dyDescent="0.25">
      <c r="A197" t="s">
        <v>506</v>
      </c>
      <c r="B197" t="s">
        <v>3422</v>
      </c>
      <c r="C197" t="s">
        <v>69</v>
      </c>
      <c r="D197" s="26">
        <v>2</v>
      </c>
      <c r="E197" s="26">
        <f>SUMIF(Principal[AUTOR],"*"&amp;Tabla4[[#This Row],[Author]]&amp;"*",Principal[cited by (*Scopus)])</f>
        <v>0</v>
      </c>
    </row>
    <row r="198" spans="1:5" x14ac:dyDescent="0.25">
      <c r="A198" t="s">
        <v>2381</v>
      </c>
      <c r="B198" t="s">
        <v>61</v>
      </c>
      <c r="C198" t="s">
        <v>69</v>
      </c>
      <c r="D198" s="26">
        <v>1</v>
      </c>
      <c r="E198" s="26">
        <f>SUMIF(Principal[AUTOR],"*"&amp;Tabla4[[#This Row],[Author]]&amp;"*",Principal[cited by (*Scopus)])</f>
        <v>0</v>
      </c>
    </row>
    <row r="199" spans="1:5" x14ac:dyDescent="0.25">
      <c r="A199" t="s">
        <v>1031</v>
      </c>
      <c r="B199" t="s">
        <v>3428</v>
      </c>
      <c r="C199" t="s">
        <v>69</v>
      </c>
      <c r="D199" s="26">
        <v>1</v>
      </c>
      <c r="E199" s="26">
        <f>SUMIF(Principal[AUTOR],"*"&amp;Tabla4[[#This Row],[Author]]&amp;"*",Principal[cited by (*Scopus)])</f>
        <v>0</v>
      </c>
    </row>
    <row r="200" spans="1:5" x14ac:dyDescent="0.25">
      <c r="A200" t="s">
        <v>1829</v>
      </c>
      <c r="B200" t="s">
        <v>3335</v>
      </c>
      <c r="C200" t="s">
        <v>69</v>
      </c>
      <c r="D200" s="26">
        <v>2</v>
      </c>
      <c r="E200" s="26">
        <f>SUMIF(Principal[AUTOR],"*"&amp;Tabla4[[#This Row],[Author]]&amp;"*",Principal[cited by (*Scopus)])</f>
        <v>0</v>
      </c>
    </row>
    <row r="201" spans="1:5" x14ac:dyDescent="0.25">
      <c r="A201" t="s">
        <v>1829</v>
      </c>
      <c r="B201" t="s">
        <v>3335</v>
      </c>
      <c r="C201" t="s">
        <v>69</v>
      </c>
      <c r="D201" s="26"/>
      <c r="E201" s="26">
        <f>SUMIF(Principal[AUTOR],"*"&amp;Tabla4[[#This Row],[Author]]&amp;"*",Principal[cited by (*Scopus)])</f>
        <v>0</v>
      </c>
    </row>
    <row r="202" spans="1:5" x14ac:dyDescent="0.25">
      <c r="A202" t="s">
        <v>1708</v>
      </c>
      <c r="B202" t="s">
        <v>64</v>
      </c>
      <c r="C202" t="s">
        <v>69</v>
      </c>
      <c r="D202" s="26">
        <v>1</v>
      </c>
      <c r="E202" s="26">
        <f>SUMIF(Principal[AUTOR],"*"&amp;Tabla4[[#This Row],[Author]]&amp;"*",Principal[cited by (*Scopus)])</f>
        <v>0</v>
      </c>
    </row>
    <row r="203" spans="1:5" x14ac:dyDescent="0.25">
      <c r="A203" t="s">
        <v>2486</v>
      </c>
      <c r="B203" t="s">
        <v>63</v>
      </c>
      <c r="C203" t="s">
        <v>69</v>
      </c>
      <c r="D203" s="26">
        <v>1</v>
      </c>
      <c r="E203" s="26">
        <f>SUMIF(Principal[AUTOR],"*"&amp;Tabla4[[#This Row],[Author]]&amp;"*",Principal[cited by (*Scopus)])</f>
        <v>0</v>
      </c>
    </row>
    <row r="204" spans="1:5" x14ac:dyDescent="0.25">
      <c r="A204" t="s">
        <v>1960</v>
      </c>
      <c r="B204" t="s">
        <v>59</v>
      </c>
      <c r="C204" t="s">
        <v>69</v>
      </c>
      <c r="D204" s="26">
        <v>1</v>
      </c>
      <c r="E204" s="26">
        <f>SUMIF(Principal[AUTOR],"*"&amp;Tabla4[[#This Row],[Author]]&amp;"*",Principal[cited by (*Scopus)])</f>
        <v>0</v>
      </c>
    </row>
    <row r="205" spans="1:5" x14ac:dyDescent="0.25">
      <c r="A205" t="s">
        <v>2816</v>
      </c>
      <c r="B205" t="s">
        <v>3664</v>
      </c>
      <c r="C205" t="s">
        <v>69</v>
      </c>
      <c r="D205" s="26">
        <v>1</v>
      </c>
      <c r="E205" s="26">
        <f>SUMIF(Principal[AUTOR],"*"&amp;Tabla4[[#This Row],[Author]]&amp;"*",Principal[cited by (*Scopus)])</f>
        <v>0</v>
      </c>
    </row>
    <row r="206" spans="1:5" x14ac:dyDescent="0.25">
      <c r="A206" t="s">
        <v>2286</v>
      </c>
      <c r="B206" t="s">
        <v>56</v>
      </c>
      <c r="C206" t="s">
        <v>69</v>
      </c>
      <c r="D206" s="26">
        <v>1</v>
      </c>
      <c r="E206" s="26">
        <f>SUMIF(Principal[AUTOR],"*"&amp;Tabla4[[#This Row],[Author]]&amp;"*",Principal[cited by (*Scopus)])</f>
        <v>0</v>
      </c>
    </row>
    <row r="207" spans="1:5" x14ac:dyDescent="0.25">
      <c r="A207" t="s">
        <v>1056</v>
      </c>
      <c r="B207" t="s">
        <v>3463</v>
      </c>
      <c r="C207" t="s">
        <v>69</v>
      </c>
      <c r="D207" s="26">
        <v>1</v>
      </c>
      <c r="E207" s="26">
        <f>SUMIF(Principal[AUTOR],"*"&amp;Tabla4[[#This Row],[Author]]&amp;"*",Principal[cited by (*Scopus)])</f>
        <v>0</v>
      </c>
    </row>
    <row r="208" spans="1:5" x14ac:dyDescent="0.25">
      <c r="A208" t="s">
        <v>1766</v>
      </c>
      <c r="B208" t="s">
        <v>59</v>
      </c>
      <c r="C208" t="s">
        <v>69</v>
      </c>
      <c r="D208" s="26"/>
      <c r="E208" s="26">
        <f>SUMIF(Principal[AUTOR],"*"&amp;Tabla4[[#This Row],[Author]]&amp;"*",Principal[cited by (*Scopus)])</f>
        <v>0</v>
      </c>
    </row>
    <row r="209" spans="1:5" x14ac:dyDescent="0.25">
      <c r="A209" t="s">
        <v>2293</v>
      </c>
      <c r="B209" t="s">
        <v>3317</v>
      </c>
      <c r="C209" t="s">
        <v>69</v>
      </c>
      <c r="D209" s="26">
        <v>1</v>
      </c>
      <c r="E209" s="26">
        <f>SUMIF(Principal[AUTOR],"*"&amp;Tabla4[[#This Row],[Author]]&amp;"*",Principal[cited by (*Scopus)])</f>
        <v>0</v>
      </c>
    </row>
    <row r="210" spans="1:5" x14ac:dyDescent="0.25">
      <c r="A210" t="s">
        <v>1315</v>
      </c>
      <c r="B210" t="s">
        <v>54</v>
      </c>
      <c r="C210" t="s">
        <v>69</v>
      </c>
      <c r="D210" s="26">
        <v>1</v>
      </c>
      <c r="E210" s="26">
        <f>SUMIF(Principal[AUTOR],"*"&amp;Tabla4[[#This Row],[Author]]&amp;"*",Principal[cited by (*Scopus)])</f>
        <v>0</v>
      </c>
    </row>
    <row r="211" spans="1:5" x14ac:dyDescent="0.25">
      <c r="A211" t="s">
        <v>1686</v>
      </c>
      <c r="B211" t="s">
        <v>3335</v>
      </c>
      <c r="C211" t="s">
        <v>69</v>
      </c>
      <c r="D211" s="26">
        <v>1</v>
      </c>
      <c r="E211" s="26">
        <f>SUMIF(Principal[AUTOR],"*"&amp;Tabla4[[#This Row],[Author]]&amp;"*",Principal[cited by (*Scopus)])</f>
        <v>0</v>
      </c>
    </row>
    <row r="212" spans="1:5" x14ac:dyDescent="0.25">
      <c r="A212" t="s">
        <v>172</v>
      </c>
      <c r="B212" t="s">
        <v>3335</v>
      </c>
      <c r="C212" t="s">
        <v>69</v>
      </c>
      <c r="D212" s="26">
        <v>1</v>
      </c>
      <c r="E212" s="26">
        <f>SUMIF(Principal[AUTOR],"*"&amp;Tabla4[[#This Row],[Author]]&amp;"*",Principal[cited by (*Scopus)])</f>
        <v>0</v>
      </c>
    </row>
    <row r="213" spans="1:5" x14ac:dyDescent="0.25">
      <c r="A213" t="s">
        <v>2618</v>
      </c>
      <c r="B213" t="s">
        <v>3464</v>
      </c>
      <c r="C213" t="s">
        <v>69</v>
      </c>
      <c r="D213" s="26"/>
      <c r="E213" s="26">
        <f>SUMIF(Principal[AUTOR],"*"&amp;Tabla4[[#This Row],[Author]]&amp;"*",Principal[cited by (*Scopus)])</f>
        <v>0</v>
      </c>
    </row>
    <row r="214" spans="1:5" x14ac:dyDescent="0.25">
      <c r="A214" t="s">
        <v>2594</v>
      </c>
      <c r="B214" t="s">
        <v>59</v>
      </c>
      <c r="C214" t="s">
        <v>69</v>
      </c>
      <c r="D214" s="26">
        <v>1</v>
      </c>
      <c r="E214" s="26">
        <f>SUMIF(Principal[AUTOR],"*"&amp;Tabla4[[#This Row],[Author]]&amp;"*",Principal[cited by (*Scopus)])</f>
        <v>0</v>
      </c>
    </row>
    <row r="215" spans="1:5" x14ac:dyDescent="0.25">
      <c r="A215" t="s">
        <v>2338</v>
      </c>
      <c r="B215" t="s">
        <v>59</v>
      </c>
      <c r="C215" t="s">
        <v>69</v>
      </c>
      <c r="D215" s="26">
        <v>1</v>
      </c>
      <c r="E215" s="26">
        <f>SUMIF(Principal[AUTOR],"*"&amp;Tabla4[[#This Row],[Author]]&amp;"*",Principal[cited by (*Scopus)])</f>
        <v>0</v>
      </c>
    </row>
    <row r="216" spans="1:5" x14ac:dyDescent="0.25">
      <c r="A216" t="s">
        <v>2185</v>
      </c>
      <c r="B216" t="s">
        <v>3489</v>
      </c>
      <c r="C216" t="s">
        <v>69</v>
      </c>
      <c r="D216" s="26"/>
      <c r="E216" s="26">
        <f>SUMIF(Principal[AUTOR],"*"&amp;Tabla4[[#This Row],[Author]]&amp;"*",Principal[cited by (*Scopus)])</f>
        <v>0</v>
      </c>
    </row>
    <row r="217" spans="1:5" x14ac:dyDescent="0.25">
      <c r="A217" t="s">
        <v>685</v>
      </c>
      <c r="B217" t="s">
        <v>3317</v>
      </c>
      <c r="C217" t="s">
        <v>69</v>
      </c>
      <c r="D217" s="26">
        <v>1</v>
      </c>
      <c r="E217" s="26">
        <f>SUMIF(Principal[AUTOR],"*"&amp;Tabla4[[#This Row],[Author]]&amp;"*",Principal[cited by (*Scopus)])</f>
        <v>0</v>
      </c>
    </row>
    <row r="218" spans="1:5" x14ac:dyDescent="0.25">
      <c r="A218" t="s">
        <v>2107</v>
      </c>
      <c r="B218" t="s">
        <v>57</v>
      </c>
      <c r="C218" t="s">
        <v>69</v>
      </c>
      <c r="D218" s="26">
        <v>1</v>
      </c>
      <c r="E218" s="26">
        <f>SUMIF(Principal[AUTOR],"*"&amp;Tabla4[[#This Row],[Author]]&amp;"*",Principal[cited by (*Scopus)])</f>
        <v>0</v>
      </c>
    </row>
    <row r="219" spans="1:5" x14ac:dyDescent="0.25">
      <c r="A219" t="s">
        <v>1786</v>
      </c>
      <c r="B219" t="s">
        <v>3335</v>
      </c>
      <c r="C219" t="s">
        <v>69</v>
      </c>
      <c r="D219" s="26">
        <v>1</v>
      </c>
      <c r="E219" s="26">
        <f>SUMIF(Principal[AUTOR],"*"&amp;Tabla4[[#This Row],[Author]]&amp;"*",Principal[cited by (*Scopus)])</f>
        <v>0</v>
      </c>
    </row>
    <row r="220" spans="1:5" x14ac:dyDescent="0.25">
      <c r="A220" t="s">
        <v>3041</v>
      </c>
      <c r="B220" t="s">
        <v>60</v>
      </c>
      <c r="C220" t="s">
        <v>69</v>
      </c>
      <c r="D220" s="26">
        <v>1</v>
      </c>
      <c r="E220" s="26">
        <f>SUMIF(Principal[AUTOR],"*"&amp;Tabla4[[#This Row],[Author]]&amp;"*",Principal[cited by (*Scopus)])</f>
        <v>0</v>
      </c>
    </row>
    <row r="221" spans="1:5" x14ac:dyDescent="0.25">
      <c r="A221" t="s">
        <v>1915</v>
      </c>
      <c r="B221" t="s">
        <v>61</v>
      </c>
      <c r="C221" t="s">
        <v>69</v>
      </c>
      <c r="D221" s="26">
        <v>1</v>
      </c>
      <c r="E221" s="26">
        <f>SUMIF(Principal[AUTOR],"*"&amp;Tabla4[[#This Row],[Author]]&amp;"*",Principal[cited by (*Scopus)])</f>
        <v>0</v>
      </c>
    </row>
    <row r="222" spans="1:5" x14ac:dyDescent="0.25">
      <c r="A222" t="s">
        <v>715</v>
      </c>
      <c r="B222" t="s">
        <v>3315</v>
      </c>
      <c r="C222" t="s">
        <v>69</v>
      </c>
      <c r="D222" s="26">
        <v>1</v>
      </c>
      <c r="E222" s="26">
        <f>SUMIF(Principal[AUTOR],"*"&amp;Tabla4[[#This Row],[Author]]&amp;"*",Principal[cited by (*Scopus)])</f>
        <v>0</v>
      </c>
    </row>
    <row r="223" spans="1:5" x14ac:dyDescent="0.25">
      <c r="A223" t="s">
        <v>1288</v>
      </c>
      <c r="B223" t="s">
        <v>61</v>
      </c>
      <c r="C223" t="s">
        <v>69</v>
      </c>
      <c r="D223" s="26">
        <v>2</v>
      </c>
      <c r="E223" s="26">
        <f>SUMIF(Principal[AUTOR],"*"&amp;Tabla4[[#This Row],[Author]]&amp;"*",Principal[cited by (*Scopus)])</f>
        <v>0</v>
      </c>
    </row>
    <row r="224" spans="1:5" x14ac:dyDescent="0.25">
      <c r="A224" t="s">
        <v>1992</v>
      </c>
      <c r="B224" t="s">
        <v>3335</v>
      </c>
      <c r="C224" t="s">
        <v>69</v>
      </c>
      <c r="D224" s="26">
        <v>1</v>
      </c>
      <c r="E224" s="26">
        <f>SUMIF(Principal[AUTOR],"*"&amp;Tabla4[[#This Row],[Author]]&amp;"*",Principal[cited by (*Scopus)])</f>
        <v>0</v>
      </c>
    </row>
    <row r="225" spans="1:5" x14ac:dyDescent="0.25">
      <c r="A225" t="s">
        <v>1431</v>
      </c>
      <c r="B225" t="s">
        <v>3620</v>
      </c>
      <c r="C225" t="s">
        <v>69</v>
      </c>
      <c r="D225" s="26">
        <v>1</v>
      </c>
      <c r="E225" s="26">
        <f>SUMIF(Principal[AUTOR],"*"&amp;Tabla4[[#This Row],[Author]]&amp;"*",Principal[cited by (*Scopus)])</f>
        <v>0</v>
      </c>
    </row>
    <row r="226" spans="1:5" x14ac:dyDescent="0.25">
      <c r="A226" t="s">
        <v>1207</v>
      </c>
      <c r="B226" t="s">
        <v>3317</v>
      </c>
      <c r="C226" t="s">
        <v>69</v>
      </c>
      <c r="D226" s="26"/>
      <c r="E226" s="26">
        <f>SUMIF(Principal[AUTOR],"*"&amp;Tabla4[[#This Row],[Author]]&amp;"*",Principal[cited by (*Scopus)])</f>
        <v>0</v>
      </c>
    </row>
    <row r="227" spans="1:5" x14ac:dyDescent="0.25">
      <c r="A227" t="s">
        <v>792</v>
      </c>
      <c r="B227" t="s">
        <v>3315</v>
      </c>
      <c r="C227" t="s">
        <v>69</v>
      </c>
      <c r="D227" s="26">
        <v>1</v>
      </c>
      <c r="E227" s="26">
        <f>SUMIF(Principal[AUTOR],"*"&amp;Tabla4[[#This Row],[Author]]&amp;"*",Principal[cited by (*Scopus)])</f>
        <v>0</v>
      </c>
    </row>
    <row r="228" spans="1:5" x14ac:dyDescent="0.25">
      <c r="A228" t="s">
        <v>2862</v>
      </c>
      <c r="B228" t="s">
        <v>3625</v>
      </c>
      <c r="C228" t="s">
        <v>70</v>
      </c>
      <c r="D228" s="26">
        <v>1</v>
      </c>
      <c r="E228" s="26">
        <f>SUMIF(Principal[AUTOR],"*"&amp;Tabla4[[#This Row],[Author]]&amp;"*",Principal[cited by (*Scopus)])</f>
        <v>0</v>
      </c>
    </row>
    <row r="229" spans="1:5" x14ac:dyDescent="0.25">
      <c r="A229" t="s">
        <v>1238</v>
      </c>
      <c r="B229" t="s">
        <v>3317</v>
      </c>
      <c r="C229" t="s">
        <v>70</v>
      </c>
      <c r="D229" s="26">
        <v>2</v>
      </c>
      <c r="E229" s="26">
        <f>SUMIF(Principal[AUTOR],"*"&amp;Tabla4[[#This Row],[Author]]&amp;"*",Principal[cited by (*Scopus)])</f>
        <v>0</v>
      </c>
    </row>
    <row r="230" spans="1:5" x14ac:dyDescent="0.25">
      <c r="A230" t="s">
        <v>1546</v>
      </c>
      <c r="B230" t="s">
        <v>3317</v>
      </c>
      <c r="C230" t="s">
        <v>69</v>
      </c>
      <c r="D230" s="26"/>
      <c r="E230" s="26">
        <f>SUMIF(Principal[AUTOR],"*"&amp;Tabla4[[#This Row],[Author]]&amp;"*",Principal[cited by (*Scopus)])</f>
        <v>0</v>
      </c>
    </row>
    <row r="231" spans="1:5" x14ac:dyDescent="0.25">
      <c r="A231" t="s">
        <v>2075</v>
      </c>
      <c r="B231" t="s">
        <v>3625</v>
      </c>
      <c r="C231" t="s">
        <v>69</v>
      </c>
      <c r="D231" s="26">
        <v>1</v>
      </c>
      <c r="E231" s="26">
        <f>SUMIF(Principal[AUTOR],"*"&amp;Tabla4[[#This Row],[Author]]&amp;"*",Principal[cited by (*Scopus)])</f>
        <v>0</v>
      </c>
    </row>
    <row r="232" spans="1:5" x14ac:dyDescent="0.25">
      <c r="A232" t="s">
        <v>1750</v>
      </c>
      <c r="B232" t="s">
        <v>3315</v>
      </c>
      <c r="C232" t="s">
        <v>69</v>
      </c>
      <c r="D232" s="26">
        <v>1</v>
      </c>
      <c r="E232" s="26">
        <f>SUMIF(Principal[AUTOR],"*"&amp;Tabla4[[#This Row],[Author]]&amp;"*",Principal[cited by (*Scopus)])</f>
        <v>0</v>
      </c>
    </row>
    <row r="233" spans="1:5" x14ac:dyDescent="0.25">
      <c r="A233" t="s">
        <v>2171</v>
      </c>
      <c r="B233" t="s">
        <v>3317</v>
      </c>
      <c r="C233" t="s">
        <v>69</v>
      </c>
      <c r="D233" s="26">
        <v>1</v>
      </c>
      <c r="E233" s="26">
        <f>SUMIF(Principal[AUTOR],"*"&amp;Tabla4[[#This Row],[Author]]&amp;"*",Principal[cited by (*Scopus)])</f>
        <v>0</v>
      </c>
    </row>
    <row r="234" spans="1:5" x14ac:dyDescent="0.25">
      <c r="A234" t="s">
        <v>234</v>
      </c>
      <c r="B234" t="s">
        <v>59</v>
      </c>
      <c r="C234" t="s">
        <v>69</v>
      </c>
      <c r="D234" s="26">
        <v>1</v>
      </c>
      <c r="E234" s="26">
        <f>SUMIF(Principal[AUTOR],"*"&amp;Tabla4[[#This Row],[Author]]&amp;"*",Principal[cited by (*Scopus)])</f>
        <v>0</v>
      </c>
    </row>
    <row r="235" spans="1:5" x14ac:dyDescent="0.25">
      <c r="A235" t="s">
        <v>883</v>
      </c>
      <c r="B235" t="s">
        <v>3315</v>
      </c>
      <c r="C235" t="s">
        <v>69</v>
      </c>
      <c r="D235" s="26">
        <v>1</v>
      </c>
      <c r="E235" s="26">
        <f>SUMIF(Principal[AUTOR],"*"&amp;Tabla4[[#This Row],[Author]]&amp;"*",Principal[cited by (*Scopus)])</f>
        <v>0</v>
      </c>
    </row>
    <row r="236" spans="1:5" x14ac:dyDescent="0.25">
      <c r="A236" t="s">
        <v>2215</v>
      </c>
      <c r="B236" t="s">
        <v>3315</v>
      </c>
      <c r="C236" t="s">
        <v>69</v>
      </c>
      <c r="D236" s="26">
        <v>1</v>
      </c>
      <c r="E236" s="26">
        <f>SUMIF(Principal[AUTOR],"*"&amp;Tabla4[[#This Row],[Author]]&amp;"*",Principal[cited by (*Scopus)])</f>
        <v>0</v>
      </c>
    </row>
    <row r="237" spans="1:5" x14ac:dyDescent="0.25">
      <c r="A237" t="s">
        <v>1644</v>
      </c>
      <c r="B237" t="s">
        <v>56</v>
      </c>
      <c r="C237" t="s">
        <v>69</v>
      </c>
      <c r="D237" s="26">
        <v>1</v>
      </c>
      <c r="E237" s="26">
        <f>SUMIF(Principal[AUTOR],"*"&amp;Tabla4[[#This Row],[Author]]&amp;"*",Principal[cited by (*Scopus)])</f>
        <v>0</v>
      </c>
    </row>
  </sheetData>
  <sortState xmlns:xlrd2="http://schemas.microsoft.com/office/spreadsheetml/2017/richdata2" ref="J4:K20">
    <sortCondition descending="1" ref="K4:K20"/>
  </sortState>
  <pageMargins left="0.7" right="0.7" top="0.75" bottom="0.75" header="0.3" footer="0.3"/>
  <pageSetup paperSize="0" orientation="portrait" horizontalDpi="0" verticalDpi="0" copies="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7"/>
  <dimension ref="B5:J19"/>
  <sheetViews>
    <sheetView topLeftCell="A4" zoomScale="90" zoomScaleNormal="90" workbookViewId="0">
      <selection activeCell="B9" sqref="B5:B9"/>
    </sheetView>
  </sheetViews>
  <sheetFormatPr baseColWidth="10" defaultRowHeight="15" x14ac:dyDescent="0.25"/>
  <cols>
    <col min="2" max="2" width="26.85546875" customWidth="1"/>
    <col min="4" max="4" width="20.85546875" customWidth="1"/>
    <col min="5" max="5" width="20" customWidth="1"/>
    <col min="6" max="6" width="21" bestFit="1" customWidth="1"/>
    <col min="10" max="10" width="6.85546875" customWidth="1"/>
    <col min="15" max="15" width="24.5703125" bestFit="1" customWidth="1"/>
  </cols>
  <sheetData>
    <row r="5" spans="2:10" x14ac:dyDescent="0.25">
      <c r="B5" s="148" t="s">
        <v>3652</v>
      </c>
      <c r="C5" s="149"/>
      <c r="D5" s="150"/>
      <c r="E5" s="149"/>
      <c r="F5" s="150"/>
      <c r="G5" s="149"/>
      <c r="H5" s="150"/>
      <c r="I5" s="80">
        <v>2</v>
      </c>
      <c r="J5" s="155">
        <f>(I5*100)/341</f>
        <v>0.5865102639296188</v>
      </c>
    </row>
    <row r="6" spans="2:10" x14ac:dyDescent="0.25">
      <c r="B6" s="148" t="s">
        <v>4049</v>
      </c>
      <c r="C6" s="149" t="s">
        <v>3644</v>
      </c>
      <c r="D6" s="150" t="s">
        <v>3264</v>
      </c>
      <c r="E6" s="151"/>
      <c r="F6" s="150"/>
      <c r="G6" s="149"/>
      <c r="H6" s="150"/>
      <c r="I6" s="80">
        <v>5</v>
      </c>
      <c r="J6" s="155">
        <f t="shared" ref="J6:J18" si="0">(I6*100)/341</f>
        <v>1.466275659824047</v>
      </c>
    </row>
    <row r="7" spans="2:10" x14ac:dyDescent="0.25">
      <c r="B7" s="148" t="s">
        <v>4036</v>
      </c>
      <c r="C7" s="149" t="s">
        <v>4037</v>
      </c>
      <c r="D7" s="150" t="s">
        <v>4038</v>
      </c>
      <c r="E7" s="149" t="s">
        <v>4039</v>
      </c>
      <c r="F7" s="150" t="s">
        <v>4040</v>
      </c>
      <c r="G7" s="149" t="s">
        <v>3641</v>
      </c>
      <c r="H7" s="150" t="s">
        <v>4041</v>
      </c>
      <c r="I7" s="80">
        <v>6</v>
      </c>
      <c r="J7" s="155">
        <f t="shared" si="0"/>
        <v>1.7595307917888563</v>
      </c>
    </row>
    <row r="8" spans="2:10" x14ac:dyDescent="0.25">
      <c r="B8" s="148" t="s">
        <v>4052</v>
      </c>
      <c r="C8" s="149" t="s">
        <v>3368</v>
      </c>
      <c r="D8" s="150" t="s">
        <v>3651</v>
      </c>
      <c r="E8" s="149" t="s">
        <v>3650</v>
      </c>
      <c r="F8" s="150"/>
      <c r="G8" s="149"/>
      <c r="H8" s="150"/>
      <c r="I8" s="80">
        <v>6</v>
      </c>
      <c r="J8" s="155">
        <f t="shared" si="0"/>
        <v>1.7595307917888563</v>
      </c>
    </row>
    <row r="9" spans="2:10" x14ac:dyDescent="0.25">
      <c r="B9" s="148" t="s">
        <v>4047</v>
      </c>
      <c r="C9" s="149" t="s">
        <v>3648</v>
      </c>
      <c r="D9" s="150" t="s">
        <v>3595</v>
      </c>
      <c r="E9" s="149" t="s">
        <v>3642</v>
      </c>
      <c r="F9" s="150"/>
      <c r="G9" s="149"/>
      <c r="H9" s="150"/>
      <c r="I9" s="80">
        <v>8</v>
      </c>
      <c r="J9" s="155">
        <f t="shared" si="0"/>
        <v>2.3460410557184752</v>
      </c>
    </row>
    <row r="10" spans="2:10" x14ac:dyDescent="0.25">
      <c r="B10" s="148" t="s">
        <v>3158</v>
      </c>
      <c r="C10" s="149" t="s">
        <v>3647</v>
      </c>
      <c r="D10" s="150"/>
      <c r="E10" s="149"/>
      <c r="F10" s="150"/>
      <c r="G10" s="149"/>
      <c r="H10" s="150"/>
      <c r="I10" s="80">
        <v>12</v>
      </c>
      <c r="J10" s="155">
        <f t="shared" si="0"/>
        <v>3.5190615835777126</v>
      </c>
    </row>
    <row r="11" spans="2:10" x14ac:dyDescent="0.25">
      <c r="B11" s="148" t="s">
        <v>3653</v>
      </c>
      <c r="C11" s="149"/>
      <c r="D11" s="150"/>
      <c r="E11" s="149"/>
      <c r="F11" s="150"/>
      <c r="G11" s="149"/>
      <c r="H11" s="150"/>
      <c r="I11" s="80">
        <v>13</v>
      </c>
      <c r="J11" s="155">
        <f t="shared" si="0"/>
        <v>3.8123167155425222</v>
      </c>
    </row>
    <row r="12" spans="2:10" x14ac:dyDescent="0.25">
      <c r="B12" s="148" t="s">
        <v>3374</v>
      </c>
      <c r="C12" s="149" t="s">
        <v>3646</v>
      </c>
      <c r="D12" s="150" t="s">
        <v>4042</v>
      </c>
      <c r="E12" s="149" t="s">
        <v>4043</v>
      </c>
      <c r="F12" s="150"/>
      <c r="G12" s="149"/>
      <c r="H12" s="150"/>
      <c r="I12" s="80">
        <v>13</v>
      </c>
      <c r="J12" s="155">
        <f t="shared" si="0"/>
        <v>3.8123167155425222</v>
      </c>
    </row>
    <row r="13" spans="2:10" x14ac:dyDescent="0.25">
      <c r="B13" s="148" t="s">
        <v>3168</v>
      </c>
      <c r="C13" s="149" t="s">
        <v>3163</v>
      </c>
      <c r="D13" s="150" t="s">
        <v>3168</v>
      </c>
      <c r="E13" s="149" t="s">
        <v>4044</v>
      </c>
      <c r="F13" s="150" t="s">
        <v>3165</v>
      </c>
      <c r="G13" s="149" t="s">
        <v>3417</v>
      </c>
      <c r="H13" s="150"/>
      <c r="I13" s="80">
        <v>13</v>
      </c>
      <c r="J13" s="155">
        <f t="shared" si="0"/>
        <v>3.8123167155425222</v>
      </c>
    </row>
    <row r="14" spans="2:10" x14ac:dyDescent="0.25">
      <c r="B14" s="148" t="s">
        <v>3640</v>
      </c>
      <c r="C14" s="149" t="s">
        <v>3640</v>
      </c>
      <c r="D14" s="150" t="s">
        <v>3325</v>
      </c>
      <c r="E14" s="149"/>
      <c r="F14" s="150"/>
      <c r="G14" s="149"/>
      <c r="H14" s="150"/>
      <c r="I14" s="80">
        <v>16</v>
      </c>
      <c r="J14" s="155">
        <f t="shared" si="0"/>
        <v>4.6920821114369504</v>
      </c>
    </row>
    <row r="15" spans="2:10" x14ac:dyDescent="0.25">
      <c r="B15" s="148" t="s">
        <v>4050</v>
      </c>
      <c r="C15" s="149" t="s">
        <v>4050</v>
      </c>
      <c r="D15" s="150" t="s">
        <v>4051</v>
      </c>
      <c r="E15" s="149" t="s">
        <v>3348</v>
      </c>
      <c r="F15" s="150"/>
      <c r="G15" s="149"/>
      <c r="H15" s="150"/>
      <c r="I15" s="80">
        <v>19</v>
      </c>
      <c r="J15" s="155">
        <f t="shared" si="0"/>
        <v>5.5718475073313787</v>
      </c>
    </row>
    <row r="16" spans="2:10" x14ac:dyDescent="0.25">
      <c r="B16" s="148" t="s">
        <v>4053</v>
      </c>
      <c r="C16" s="149" t="s">
        <v>3655</v>
      </c>
      <c r="D16" s="150" t="s">
        <v>4054</v>
      </c>
      <c r="E16" s="149" t="s">
        <v>4055</v>
      </c>
      <c r="F16" s="150" t="s">
        <v>4056</v>
      </c>
      <c r="G16" s="149" t="s">
        <v>4057</v>
      </c>
      <c r="H16" s="150"/>
      <c r="I16" s="80">
        <v>23</v>
      </c>
      <c r="J16" s="155">
        <f t="shared" si="0"/>
        <v>6.7448680351906161</v>
      </c>
    </row>
    <row r="17" spans="2:10" x14ac:dyDescent="0.25">
      <c r="B17" s="148" t="s">
        <v>4045</v>
      </c>
      <c r="C17" s="149" t="s">
        <v>3244</v>
      </c>
      <c r="D17" s="150" t="s">
        <v>4046</v>
      </c>
      <c r="E17" s="149" t="s">
        <v>3649</v>
      </c>
      <c r="F17" s="150"/>
      <c r="G17" s="149"/>
      <c r="H17" s="150"/>
      <c r="I17" s="80">
        <v>90</v>
      </c>
      <c r="J17" s="155">
        <f t="shared" si="0"/>
        <v>26.392961876832846</v>
      </c>
    </row>
    <row r="18" spans="2:10" x14ac:dyDescent="0.25">
      <c r="B18" s="148" t="s">
        <v>4048</v>
      </c>
      <c r="C18" s="149" t="s">
        <v>3157</v>
      </c>
      <c r="D18" s="150" t="s">
        <v>3654</v>
      </c>
      <c r="E18" s="149" t="s">
        <v>3645</v>
      </c>
      <c r="F18" s="150" t="s">
        <v>3643</v>
      </c>
      <c r="G18" s="149"/>
      <c r="H18" s="150"/>
      <c r="I18" s="80">
        <v>115</v>
      </c>
      <c r="J18" s="155">
        <f t="shared" si="0"/>
        <v>33.724340175953081</v>
      </c>
    </row>
    <row r="19" spans="2:10" x14ac:dyDescent="0.25">
      <c r="I19">
        <f>SUM(I5:I18)</f>
        <v>341</v>
      </c>
      <c r="J19">
        <f>SUM(J5:J18)</f>
        <v>100</v>
      </c>
    </row>
  </sheetData>
  <conditionalFormatting sqref="E17 G5 C17:C18">
    <cfRule type="duplicateValues" dxfId="39" priority="4"/>
  </conditionalFormatting>
  <conditionalFormatting sqref="H5">
    <cfRule type="duplicateValues" dxfId="38" priority="3"/>
  </conditionalFormatting>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9"/>
  <dimension ref="B2:AA22"/>
  <sheetViews>
    <sheetView topLeftCell="B1" zoomScale="70" zoomScaleNormal="70" workbookViewId="0">
      <selection activeCell="G6" sqref="G6"/>
    </sheetView>
  </sheetViews>
  <sheetFormatPr baseColWidth="10" defaultRowHeight="15" x14ac:dyDescent="0.25"/>
  <sheetData>
    <row r="2" spans="2:27" ht="64.5" x14ac:dyDescent="0.25">
      <c r="B2" s="85" t="s">
        <v>4120</v>
      </c>
      <c r="C2" s="86" t="s">
        <v>3373</v>
      </c>
      <c r="D2" s="86" t="s">
        <v>3491</v>
      </c>
      <c r="E2" s="86"/>
      <c r="F2" s="86" t="s">
        <v>3656</v>
      </c>
      <c r="G2" s="86"/>
      <c r="H2" s="86"/>
      <c r="I2" s="86"/>
      <c r="J2" s="86"/>
      <c r="K2" s="86"/>
      <c r="L2" s="86"/>
      <c r="M2" s="86"/>
      <c r="N2" s="86"/>
      <c r="O2" s="86"/>
      <c r="P2" s="114"/>
      <c r="Q2" s="114"/>
      <c r="R2" s="114"/>
      <c r="S2" s="114"/>
      <c r="T2" s="80"/>
      <c r="U2" s="80">
        <v>4</v>
      </c>
      <c r="V2" s="155">
        <f t="shared" ref="V2:V12" si="0">(U2*100)/246</f>
        <v>1.6260162601626016</v>
      </c>
    </row>
    <row r="3" spans="2:27" ht="102.75" x14ac:dyDescent="0.25">
      <c r="B3" s="85" t="s">
        <v>3454</v>
      </c>
      <c r="C3" s="86" t="s">
        <v>4111</v>
      </c>
      <c r="H3" s="86"/>
      <c r="I3" s="86"/>
      <c r="J3" s="86"/>
      <c r="K3" s="86"/>
      <c r="L3" s="86"/>
      <c r="M3" s="86"/>
      <c r="N3" s="86"/>
      <c r="O3" s="86"/>
      <c r="P3" s="114"/>
      <c r="Q3" s="114"/>
      <c r="R3" s="114"/>
      <c r="S3" s="114"/>
      <c r="T3" s="80"/>
      <c r="U3" s="80">
        <v>6</v>
      </c>
      <c r="V3" s="155">
        <f t="shared" si="0"/>
        <v>2.4390243902439024</v>
      </c>
    </row>
    <row r="4" spans="2:27" ht="26.25" x14ac:dyDescent="0.25">
      <c r="B4" s="85" t="s">
        <v>3303</v>
      </c>
      <c r="C4" s="86" t="s">
        <v>4119</v>
      </c>
      <c r="D4" s="152" t="s">
        <v>4137</v>
      </c>
      <c r="E4" s="86"/>
      <c r="F4" s="86"/>
      <c r="G4" s="86"/>
      <c r="H4" s="86"/>
      <c r="I4" s="86"/>
      <c r="J4" s="86"/>
      <c r="K4" s="86"/>
      <c r="L4" s="86"/>
      <c r="M4" s="86"/>
      <c r="N4" s="86"/>
      <c r="O4" s="86"/>
      <c r="P4" s="114"/>
      <c r="Q4" s="114"/>
      <c r="R4" s="114"/>
      <c r="S4" s="114"/>
      <c r="T4" s="80"/>
      <c r="U4" s="80">
        <v>6</v>
      </c>
      <c r="V4" s="155">
        <f t="shared" si="0"/>
        <v>2.4390243902439024</v>
      </c>
    </row>
    <row r="5" spans="2:27" ht="51.75" x14ac:dyDescent="0.25">
      <c r="B5" s="85" t="s">
        <v>3232</v>
      </c>
      <c r="C5" s="86" t="s">
        <v>4117</v>
      </c>
      <c r="D5" s="86" t="s">
        <v>3300</v>
      </c>
      <c r="E5" s="86" t="s">
        <v>3522</v>
      </c>
      <c r="F5" s="86" t="s">
        <v>4118</v>
      </c>
      <c r="N5" s="86"/>
      <c r="O5" s="86"/>
      <c r="P5" s="114"/>
      <c r="Q5" s="114"/>
      <c r="R5" s="114"/>
      <c r="S5" s="114"/>
      <c r="T5" s="80"/>
      <c r="U5" s="80">
        <v>8</v>
      </c>
      <c r="V5" s="155">
        <f t="shared" si="0"/>
        <v>3.2520325203252032</v>
      </c>
    </row>
    <row r="6" spans="2:27" ht="51.75" x14ac:dyDescent="0.25">
      <c r="B6" s="85" t="s">
        <v>4107</v>
      </c>
      <c r="C6" s="86" t="s">
        <v>4108</v>
      </c>
      <c r="D6" s="86" t="s">
        <v>4109</v>
      </c>
      <c r="E6" s="86" t="s">
        <v>4110</v>
      </c>
      <c r="F6" s="86" t="s">
        <v>3537</v>
      </c>
      <c r="G6" s="86" t="s">
        <v>3436</v>
      </c>
      <c r="H6" s="86" t="s">
        <v>3505</v>
      </c>
      <c r="I6" s="86" t="s">
        <v>3310</v>
      </c>
      <c r="J6" s="86"/>
      <c r="K6" s="86"/>
      <c r="L6" s="86"/>
      <c r="M6" s="86"/>
      <c r="N6" s="86"/>
      <c r="O6" s="86"/>
      <c r="P6" s="114"/>
      <c r="Q6" s="114"/>
      <c r="R6" s="114"/>
      <c r="S6" s="114"/>
      <c r="T6" s="80"/>
      <c r="U6" s="80">
        <v>9</v>
      </c>
      <c r="V6" s="155">
        <f t="shared" si="0"/>
        <v>3.6585365853658538</v>
      </c>
      <c r="AA6" s="168"/>
    </row>
    <row r="7" spans="2:27" ht="77.25" x14ac:dyDescent="0.25">
      <c r="B7" s="85" t="s">
        <v>3207</v>
      </c>
      <c r="C7" s="86" t="s">
        <v>3479</v>
      </c>
      <c r="D7" s="86" t="s">
        <v>3285</v>
      </c>
      <c r="E7" s="86" t="s">
        <v>3575</v>
      </c>
      <c r="F7" s="86" t="s">
        <v>4088</v>
      </c>
      <c r="G7" s="86" t="s">
        <v>4089</v>
      </c>
      <c r="H7" s="86" t="s">
        <v>4090</v>
      </c>
      <c r="I7" s="86" t="s">
        <v>4091</v>
      </c>
      <c r="J7" s="86" t="s">
        <v>4092</v>
      </c>
      <c r="K7" s="86" t="s">
        <v>4093</v>
      </c>
      <c r="L7" s="153" t="s">
        <v>4138</v>
      </c>
      <c r="M7" s="86"/>
      <c r="N7" s="86"/>
      <c r="O7" s="86"/>
      <c r="P7" s="114"/>
      <c r="Q7" s="114"/>
      <c r="R7" s="114"/>
      <c r="S7" s="114"/>
      <c r="T7" s="80"/>
      <c r="U7" s="80">
        <v>15</v>
      </c>
      <c r="V7" s="155">
        <f t="shared" si="0"/>
        <v>6.0975609756097562</v>
      </c>
      <c r="AA7" s="168"/>
    </row>
    <row r="8" spans="2:27" ht="64.5" x14ac:dyDescent="0.25">
      <c r="B8" s="85" t="s">
        <v>4084</v>
      </c>
      <c r="C8" s="86" t="s">
        <v>3570</v>
      </c>
      <c r="D8" s="86" t="s">
        <v>4085</v>
      </c>
      <c r="E8" s="86" t="s">
        <v>4086</v>
      </c>
      <c r="F8" s="86" t="s">
        <v>4087</v>
      </c>
      <c r="G8" s="86" t="s">
        <v>3546</v>
      </c>
      <c r="H8" s="86" t="s">
        <v>3606</v>
      </c>
      <c r="I8" s="86"/>
      <c r="J8" s="86"/>
      <c r="K8" s="86"/>
      <c r="L8" s="86"/>
      <c r="M8" s="86"/>
      <c r="N8" s="86"/>
      <c r="O8" s="86"/>
      <c r="P8" s="114"/>
      <c r="Q8" s="114"/>
      <c r="R8" s="114"/>
      <c r="S8" s="114"/>
      <c r="T8" s="80"/>
      <c r="U8" s="80">
        <v>23</v>
      </c>
      <c r="V8" s="155">
        <f t="shared" si="0"/>
        <v>9.3495934959349594</v>
      </c>
      <c r="AA8" s="168"/>
    </row>
    <row r="9" spans="2:27" ht="64.5" x14ac:dyDescent="0.25">
      <c r="B9" s="85" t="s">
        <v>3279</v>
      </c>
      <c r="C9" s="86" t="s">
        <v>3485</v>
      </c>
      <c r="D9" s="86" t="s">
        <v>3404</v>
      </c>
      <c r="E9" s="86" t="s">
        <v>3337</v>
      </c>
      <c r="F9" s="86" t="s">
        <v>3437</v>
      </c>
      <c r="G9" s="86" t="s">
        <v>4113</v>
      </c>
      <c r="H9" s="86" t="s">
        <v>4114</v>
      </c>
      <c r="I9" s="86" t="s">
        <v>4115</v>
      </c>
      <c r="J9" s="86" t="s">
        <v>4116</v>
      </c>
      <c r="K9" s="86" t="s">
        <v>3291</v>
      </c>
      <c r="L9" s="86"/>
      <c r="M9" s="86"/>
      <c r="N9" s="86"/>
      <c r="O9" s="86"/>
      <c r="P9" s="114"/>
      <c r="Q9" s="114"/>
      <c r="R9" s="114"/>
      <c r="S9" s="114"/>
      <c r="T9" s="80"/>
      <c r="U9" s="80">
        <v>24</v>
      </c>
      <c r="V9" s="155">
        <f t="shared" si="0"/>
        <v>9.7560975609756095</v>
      </c>
      <c r="AA9" s="168"/>
    </row>
    <row r="10" spans="2:27" ht="64.5" x14ac:dyDescent="0.25">
      <c r="B10" s="85" t="s">
        <v>4096</v>
      </c>
      <c r="C10" s="86" t="s">
        <v>3266</v>
      </c>
      <c r="D10" s="86" t="s">
        <v>4227</v>
      </c>
      <c r="E10" s="86" t="s">
        <v>3507</v>
      </c>
      <c r="F10" s="86" t="s">
        <v>4098</v>
      </c>
      <c r="G10" s="86" t="s">
        <v>3360</v>
      </c>
      <c r="H10" s="86" t="s">
        <v>3254</v>
      </c>
      <c r="I10" s="86" t="s">
        <v>4099</v>
      </c>
      <c r="J10" s="86" t="s">
        <v>4100</v>
      </c>
      <c r="K10" s="86" t="s">
        <v>4101</v>
      </c>
      <c r="L10" s="86" t="s">
        <v>3203</v>
      </c>
      <c r="M10" s="86" t="s">
        <v>4103</v>
      </c>
      <c r="N10" s="86" t="s">
        <v>3429</v>
      </c>
      <c r="O10" s="86" t="s">
        <v>3440</v>
      </c>
      <c r="P10" s="86" t="s">
        <v>3476</v>
      </c>
      <c r="Q10" s="86" t="s">
        <v>4104</v>
      </c>
      <c r="R10" s="86" t="s">
        <v>4105</v>
      </c>
      <c r="S10" s="86" t="s">
        <v>4117</v>
      </c>
      <c r="T10" s="86" t="s">
        <v>4136</v>
      </c>
      <c r="U10" s="80">
        <v>29</v>
      </c>
      <c r="V10" s="155">
        <f t="shared" si="0"/>
        <v>11.788617886178862</v>
      </c>
      <c r="AA10" s="168"/>
    </row>
    <row r="11" spans="2:27" ht="39" x14ac:dyDescent="0.25">
      <c r="B11" s="85" t="s">
        <v>4094</v>
      </c>
      <c r="C11" s="86" t="s">
        <v>3314</v>
      </c>
      <c r="D11" s="86" t="s">
        <v>3478</v>
      </c>
      <c r="E11" s="86" t="s">
        <v>4095</v>
      </c>
      <c r="F11" s="152" t="s">
        <v>4134</v>
      </c>
      <c r="G11" s="152" t="s">
        <v>4135</v>
      </c>
      <c r="H11" s="86"/>
      <c r="I11" s="86"/>
      <c r="J11" s="86"/>
      <c r="K11" s="86"/>
      <c r="L11" s="86"/>
      <c r="M11" s="86"/>
      <c r="N11" s="86"/>
      <c r="O11" s="86"/>
      <c r="P11" s="114"/>
      <c r="Q11" s="114"/>
      <c r="R11" s="114"/>
      <c r="S11" s="114"/>
      <c r="T11" s="80"/>
      <c r="U11" s="80">
        <v>29</v>
      </c>
      <c r="V11" s="155">
        <f t="shared" si="0"/>
        <v>11.788617886178862</v>
      </c>
      <c r="AA11" s="168"/>
    </row>
    <row r="12" spans="2:27" ht="26.25" x14ac:dyDescent="0.25">
      <c r="B12" s="85" t="s">
        <v>4112</v>
      </c>
      <c r="C12" s="86" t="s">
        <v>3361</v>
      </c>
      <c r="D12" s="86" t="s">
        <v>3357</v>
      </c>
      <c r="E12" s="86" t="s">
        <v>3206</v>
      </c>
      <c r="F12" s="86" t="s">
        <v>3615</v>
      </c>
      <c r="G12" s="86" t="s">
        <v>3204</v>
      </c>
      <c r="H12" s="86" t="s">
        <v>3364</v>
      </c>
      <c r="I12" s="86" t="s">
        <v>3210</v>
      </c>
      <c r="J12" s="86" t="s">
        <v>3343</v>
      </c>
      <c r="K12" s="86"/>
      <c r="L12" s="86"/>
      <c r="M12" s="86"/>
      <c r="N12" s="86"/>
      <c r="O12" s="86"/>
      <c r="P12" s="114"/>
      <c r="Q12" s="114"/>
      <c r="R12" s="114"/>
      <c r="S12" s="114"/>
      <c r="T12" s="80"/>
      <c r="U12" s="80">
        <v>93</v>
      </c>
      <c r="V12" s="155">
        <f t="shared" si="0"/>
        <v>37.804878048780488</v>
      </c>
      <c r="AA12" s="168"/>
    </row>
    <row r="13" spans="2:27" ht="15.75" x14ac:dyDescent="0.25">
      <c r="U13">
        <f>SUM(U2:U12)</f>
        <v>246</v>
      </c>
      <c r="V13">
        <f>SUM(V2:V12)</f>
        <v>100</v>
      </c>
      <c r="AA13" s="168"/>
    </row>
    <row r="14" spans="2:27" ht="15.75" x14ac:dyDescent="0.25">
      <c r="AA14" s="168"/>
    </row>
    <row r="15" spans="2:27" ht="15.75" x14ac:dyDescent="0.25">
      <c r="AA15" s="168"/>
    </row>
    <row r="16" spans="2:27" ht="15.75" x14ac:dyDescent="0.25">
      <c r="AA16" s="168"/>
    </row>
    <row r="17" spans="27:27" ht="15.75" x14ac:dyDescent="0.25">
      <c r="AA17" s="168"/>
    </row>
    <row r="18" spans="27:27" ht="15.75" x14ac:dyDescent="0.25">
      <c r="AA18" s="168"/>
    </row>
    <row r="19" spans="27:27" ht="15.75" x14ac:dyDescent="0.25">
      <c r="AA19" s="168"/>
    </row>
    <row r="20" spans="27:27" ht="15.75" x14ac:dyDescent="0.25">
      <c r="AA20" s="168"/>
    </row>
    <row r="21" spans="27:27" ht="47.25" x14ac:dyDescent="0.25">
      <c r="AA21" s="168" t="s">
        <v>4104</v>
      </c>
    </row>
    <row r="22" spans="27:27" ht="15.75" x14ac:dyDescent="0.25">
      <c r="AA22" s="168"/>
    </row>
  </sheetData>
  <sortState xmlns:xlrd2="http://schemas.microsoft.com/office/spreadsheetml/2017/richdata2" ref="B2:U12">
    <sortCondition ref="U2:U12"/>
  </sortState>
  <conditionalFormatting sqref="C5:E5 E6 K9 N5:O5 C6 C2 C4:D4 G2:H2 G6:H6">
    <cfRule type="duplicateValues" dxfId="37" priority="16"/>
  </conditionalFormatting>
  <conditionalFormatting sqref="P5 J2:N2 J4:N4 M3:N3 I6:N6 K11:N12 K7:N8 M9:N9">
    <cfRule type="duplicateValues" dxfId="36" priority="19"/>
  </conditionalFormatting>
  <conditionalFormatting sqref="C8:C12 C7:G7 J7 D8:J9 D12 E11:J12">
    <cfRule type="duplicateValues" dxfId="35" priority="14"/>
  </conditionalFormatting>
  <conditionalFormatting sqref="C8:C12 D8:J9 D12 E11:J12">
    <cfRule type="duplicateValues" dxfId="34" priority="15"/>
  </conditionalFormatting>
  <conditionalFormatting sqref="H7:I7">
    <cfRule type="duplicateValues" dxfId="33" priority="13"/>
  </conditionalFormatting>
  <conditionalFormatting sqref="L3">
    <cfRule type="duplicateValues" dxfId="32" priority="12"/>
  </conditionalFormatting>
  <conditionalFormatting sqref="F4">
    <cfRule type="duplicateValues" dxfId="31" priority="11"/>
  </conditionalFormatting>
  <conditionalFormatting sqref="G4">
    <cfRule type="duplicateValues" dxfId="30" priority="10"/>
  </conditionalFormatting>
  <conditionalFormatting sqref="T5">
    <cfRule type="duplicateValues" dxfId="29" priority="9"/>
  </conditionalFormatting>
  <conditionalFormatting sqref="D11">
    <cfRule type="duplicateValues" dxfId="28" priority="8"/>
  </conditionalFormatting>
  <conditionalFormatting sqref="C3 J3:K3 C6:H6 O2:S4 O6:S9 O11:S12 C2:H2 K9 Q5:S5 C4:E4 H3:I4 N5:O5 C5:F5">
    <cfRule type="duplicateValues" dxfId="27" priority="110"/>
  </conditionalFormatting>
  <conditionalFormatting sqref="C3 K9 Q5:S5 J3:K3 C6:H6 C2:H2 C4:E4 H3:I4 N5:O5 C5:F5">
    <cfRule type="duplicateValues" dxfId="26" priority="122"/>
  </conditionalFormatting>
  <conditionalFormatting sqref="AA13:AA16">
    <cfRule type="duplicateValues" dxfId="25" priority="4"/>
  </conditionalFormatting>
  <conditionalFormatting sqref="AA17:AA21">
    <cfRule type="duplicateValues" dxfId="24" priority="5"/>
  </conditionalFormatting>
  <conditionalFormatting sqref="AA22">
    <cfRule type="duplicateValues" dxfId="23" priority="3"/>
  </conditionalFormatting>
  <conditionalFormatting sqref="AA6:AA12">
    <cfRule type="duplicateValues" dxfId="22" priority="6"/>
  </conditionalFormatting>
  <conditionalFormatting sqref="D10:T10">
    <cfRule type="duplicateValues" dxfId="21" priority="1"/>
  </conditionalFormatting>
  <conditionalFormatting sqref="D10:T10">
    <cfRule type="duplicateValues" dxfId="20" priority="2"/>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D3535-4526-40C6-946A-B0C5BAC54090}">
  <sheetPr codeName="Hoja7"/>
  <dimension ref="A2:F51"/>
  <sheetViews>
    <sheetView zoomScale="70" zoomScaleNormal="70" workbookViewId="0">
      <selection activeCell="C2" sqref="C2:F20"/>
    </sheetView>
  </sheetViews>
  <sheetFormatPr baseColWidth="10" defaultRowHeight="15.75" x14ac:dyDescent="0.25"/>
  <cols>
    <col min="3" max="3" width="48.28515625" style="167" customWidth="1"/>
    <col min="4" max="4" width="17.28515625" style="167" bestFit="1" customWidth="1"/>
    <col min="5" max="5" width="15.28515625" bestFit="1" customWidth="1"/>
    <col min="9" max="9" width="70.140625" customWidth="1"/>
  </cols>
  <sheetData>
    <row r="2" spans="3:6" ht="15" x14ac:dyDescent="0.25">
      <c r="C2" s="159" t="s">
        <v>4096</v>
      </c>
      <c r="D2" s="159" t="s">
        <v>3659</v>
      </c>
      <c r="E2" s="159" t="s">
        <v>4217</v>
      </c>
      <c r="F2" s="159" t="s">
        <v>4228</v>
      </c>
    </row>
    <row r="3" spans="3:6" x14ac:dyDescent="0.25">
      <c r="C3" s="168" t="s">
        <v>4100</v>
      </c>
      <c r="D3" s="179" t="s">
        <v>4219</v>
      </c>
      <c r="E3" s="80">
        <v>4</v>
      </c>
      <c r="F3" s="155">
        <f>(E3*100)/29</f>
        <v>13.793103448275861</v>
      </c>
    </row>
    <row r="4" spans="3:6" x14ac:dyDescent="0.25">
      <c r="C4" s="168" t="s">
        <v>3507</v>
      </c>
      <c r="D4" s="179" t="s">
        <v>4220</v>
      </c>
      <c r="E4" s="80">
        <v>3</v>
      </c>
      <c r="F4" s="155">
        <f>(E4*100)/29</f>
        <v>10.344827586206897</v>
      </c>
    </row>
    <row r="5" spans="3:6" x14ac:dyDescent="0.25">
      <c r="C5" s="168" t="s">
        <v>3266</v>
      </c>
      <c r="D5" s="179" t="s">
        <v>4218</v>
      </c>
      <c r="E5" s="80">
        <v>2</v>
      </c>
      <c r="F5" s="155">
        <f>(E5*100)/29</f>
        <v>6.8965517241379306</v>
      </c>
    </row>
    <row r="6" spans="3:6" x14ac:dyDescent="0.25">
      <c r="C6" s="168" t="s">
        <v>3360</v>
      </c>
      <c r="D6" s="179" t="s">
        <v>4223</v>
      </c>
      <c r="E6" s="80">
        <v>2</v>
      </c>
      <c r="F6" s="155">
        <f>(E6*100)/29</f>
        <v>6.8965517241379306</v>
      </c>
    </row>
    <row r="7" spans="3:6" x14ac:dyDescent="0.25">
      <c r="C7" s="168" t="s">
        <v>3440</v>
      </c>
      <c r="D7" s="179" t="s">
        <v>4226</v>
      </c>
      <c r="E7" s="80">
        <v>2</v>
      </c>
      <c r="F7" s="155">
        <f>(E7*100)/29</f>
        <v>6.8965517241379306</v>
      </c>
    </row>
    <row r="8" spans="3:6" x14ac:dyDescent="0.25">
      <c r="C8" s="168" t="s">
        <v>4098</v>
      </c>
      <c r="D8" s="179" t="s">
        <v>4225</v>
      </c>
      <c r="E8" s="80">
        <v>2</v>
      </c>
      <c r="F8" s="155">
        <f>(E8*100)/29</f>
        <v>6.8965517241379306</v>
      </c>
    </row>
    <row r="9" spans="3:6" x14ac:dyDescent="0.25">
      <c r="C9" s="168" t="s">
        <v>3203</v>
      </c>
      <c r="D9" s="179" t="s">
        <v>4224</v>
      </c>
      <c r="E9" s="80">
        <v>2</v>
      </c>
      <c r="F9" s="155">
        <f>(E9*100)/29</f>
        <v>6.8965517241379306</v>
      </c>
    </row>
    <row r="10" spans="3:6" x14ac:dyDescent="0.25">
      <c r="C10" s="168" t="s">
        <v>4117</v>
      </c>
      <c r="D10" s="179" t="s">
        <v>4222</v>
      </c>
      <c r="E10" s="80">
        <v>2</v>
      </c>
      <c r="F10" s="155">
        <f>(E10*100)/29</f>
        <v>6.8965517241379306</v>
      </c>
    </row>
    <row r="11" spans="3:6" x14ac:dyDescent="0.25">
      <c r="C11" s="168" t="s">
        <v>4136</v>
      </c>
      <c r="D11" s="179">
        <v>69</v>
      </c>
      <c r="E11" s="80">
        <v>1</v>
      </c>
      <c r="F11" s="155">
        <f>(E11*100)/29</f>
        <v>3.4482758620689653</v>
      </c>
    </row>
    <row r="12" spans="3:6" x14ac:dyDescent="0.25">
      <c r="C12" s="168" t="s">
        <v>4221</v>
      </c>
      <c r="D12" s="179">
        <v>158</v>
      </c>
      <c r="E12" s="80">
        <v>1</v>
      </c>
      <c r="F12" s="155">
        <f>(E12*100)/29</f>
        <v>3.4482758620689653</v>
      </c>
    </row>
    <row r="13" spans="3:6" x14ac:dyDescent="0.25">
      <c r="C13" s="168" t="s">
        <v>3254</v>
      </c>
      <c r="D13" s="179">
        <v>1</v>
      </c>
      <c r="E13" s="80">
        <v>1</v>
      </c>
      <c r="F13" s="155">
        <f>(E13*100)/29</f>
        <v>3.4482758620689653</v>
      </c>
    </row>
    <row r="14" spans="3:6" x14ac:dyDescent="0.25">
      <c r="C14" s="168" t="s">
        <v>4099</v>
      </c>
      <c r="D14" s="179">
        <v>150</v>
      </c>
      <c r="E14" s="80">
        <v>1</v>
      </c>
      <c r="F14" s="155">
        <f>(E14*100)/29</f>
        <v>3.4482758620689653</v>
      </c>
    </row>
    <row r="15" spans="3:6" x14ac:dyDescent="0.25">
      <c r="C15" s="168" t="s">
        <v>4101</v>
      </c>
      <c r="D15" s="179">
        <v>142</v>
      </c>
      <c r="E15" s="80">
        <v>1</v>
      </c>
      <c r="F15" s="155">
        <f>(E15*100)/29</f>
        <v>3.4482758620689653</v>
      </c>
    </row>
    <row r="16" spans="3:6" x14ac:dyDescent="0.25">
      <c r="C16" s="168" t="s">
        <v>4103</v>
      </c>
      <c r="D16" s="179">
        <v>127</v>
      </c>
      <c r="E16" s="80">
        <v>1</v>
      </c>
      <c r="F16" s="155">
        <f>(E16*100)/29</f>
        <v>3.4482758620689653</v>
      </c>
    </row>
    <row r="17" spans="1:6" x14ac:dyDescent="0.25">
      <c r="C17" s="168" t="s">
        <v>3429</v>
      </c>
      <c r="D17" s="179">
        <v>80</v>
      </c>
      <c r="E17" s="80">
        <v>1</v>
      </c>
      <c r="F17" s="155">
        <f>(E17*100)/29</f>
        <v>3.4482758620689653</v>
      </c>
    </row>
    <row r="18" spans="1:6" x14ac:dyDescent="0.25">
      <c r="C18" s="168" t="s">
        <v>3476</v>
      </c>
      <c r="D18" s="179">
        <v>108</v>
      </c>
      <c r="E18" s="80">
        <v>1</v>
      </c>
      <c r="F18" s="155">
        <f>(E18*100)/29</f>
        <v>3.4482758620689653</v>
      </c>
    </row>
    <row r="19" spans="1:6" x14ac:dyDescent="0.25">
      <c r="C19" s="168" t="s">
        <v>4104</v>
      </c>
      <c r="D19" s="179">
        <v>182</v>
      </c>
      <c r="E19" s="80">
        <v>1</v>
      </c>
      <c r="F19" s="155">
        <f>(E19*100)/29</f>
        <v>3.4482758620689653</v>
      </c>
    </row>
    <row r="20" spans="1:6" x14ac:dyDescent="0.25">
      <c r="C20" s="168" t="s">
        <v>4105</v>
      </c>
      <c r="D20" s="179">
        <v>157</v>
      </c>
      <c r="E20" s="80">
        <v>1</v>
      </c>
      <c r="F20" s="155">
        <f>(E20*100)/29</f>
        <v>3.4482758620689653</v>
      </c>
    </row>
    <row r="21" spans="1:6" x14ac:dyDescent="0.25">
      <c r="C21" s="169"/>
      <c r="D21" s="169"/>
      <c r="E21" s="80"/>
      <c r="F21" s="155"/>
    </row>
    <row r="23" spans="1:6" x14ac:dyDescent="0.25">
      <c r="A23" s="13">
        <v>166</v>
      </c>
      <c r="B23" s="13">
        <v>166</v>
      </c>
      <c r="C23" s="167" t="s">
        <v>3578</v>
      </c>
    </row>
    <row r="24" spans="1:6" x14ac:dyDescent="0.25">
      <c r="A24">
        <v>4</v>
      </c>
      <c r="C24" s="167" t="s">
        <v>3203</v>
      </c>
    </row>
    <row r="25" spans="1:6" x14ac:dyDescent="0.25">
      <c r="A25">
        <v>3</v>
      </c>
      <c r="C25" s="167" t="s">
        <v>3266</v>
      </c>
    </row>
    <row r="26" spans="1:6" x14ac:dyDescent="0.25">
      <c r="A26">
        <v>205</v>
      </c>
      <c r="C26" s="167" t="s">
        <v>3266</v>
      </c>
    </row>
    <row r="27" spans="1:6" x14ac:dyDescent="0.25">
      <c r="A27">
        <v>157</v>
      </c>
      <c r="C27" s="167" t="s">
        <v>3563</v>
      </c>
    </row>
    <row r="28" spans="1:6" x14ac:dyDescent="0.25">
      <c r="A28">
        <v>158</v>
      </c>
      <c r="C28" s="167" t="s">
        <v>3565</v>
      </c>
    </row>
    <row r="29" spans="1:6" x14ac:dyDescent="0.25">
      <c r="A29">
        <v>108</v>
      </c>
      <c r="C29" s="167" t="s">
        <v>3476</v>
      </c>
    </row>
    <row r="30" spans="1:6" x14ac:dyDescent="0.25">
      <c r="A30">
        <v>80</v>
      </c>
      <c r="C30" s="167" t="s">
        <v>3429</v>
      </c>
    </row>
    <row r="31" spans="1:6" x14ac:dyDescent="0.25">
      <c r="A31">
        <v>106</v>
      </c>
      <c r="C31" s="167" t="s">
        <v>3440</v>
      </c>
    </row>
    <row r="32" spans="1:6" x14ac:dyDescent="0.25">
      <c r="A32">
        <v>87</v>
      </c>
      <c r="C32" s="167" t="s">
        <v>3440</v>
      </c>
    </row>
    <row r="33" spans="1:3" x14ac:dyDescent="0.25">
      <c r="A33">
        <v>182</v>
      </c>
      <c r="C33" s="167" t="s">
        <v>3601</v>
      </c>
    </row>
    <row r="34" spans="1:3" x14ac:dyDescent="0.25">
      <c r="A34">
        <v>49</v>
      </c>
      <c r="C34" s="167" t="s">
        <v>3389</v>
      </c>
    </row>
    <row r="35" spans="1:3" x14ac:dyDescent="0.25">
      <c r="A35">
        <v>50</v>
      </c>
      <c r="C35" s="167" t="s">
        <v>3389</v>
      </c>
    </row>
    <row r="36" spans="1:3" x14ac:dyDescent="0.25">
      <c r="A36">
        <v>175</v>
      </c>
      <c r="C36" s="167" t="s">
        <v>3389</v>
      </c>
    </row>
    <row r="37" spans="1:3" x14ac:dyDescent="0.25">
      <c r="A37">
        <v>53</v>
      </c>
      <c r="C37" s="167" t="s">
        <v>3393</v>
      </c>
    </row>
    <row r="38" spans="1:3" x14ac:dyDescent="0.25">
      <c r="A38">
        <v>142</v>
      </c>
      <c r="C38" s="167" t="s">
        <v>3534</v>
      </c>
    </row>
    <row r="39" spans="1:3" x14ac:dyDescent="0.25">
      <c r="A39">
        <v>150</v>
      </c>
      <c r="C39" s="167" t="s">
        <v>3552</v>
      </c>
    </row>
    <row r="40" spans="1:3" x14ac:dyDescent="0.25">
      <c r="A40">
        <v>214</v>
      </c>
      <c r="C40" s="167" t="s">
        <v>3617</v>
      </c>
    </row>
    <row r="41" spans="1:3" x14ac:dyDescent="0.25">
      <c r="A41">
        <v>203</v>
      </c>
      <c r="C41" s="167" t="s">
        <v>3617</v>
      </c>
    </row>
    <row r="42" spans="1:3" x14ac:dyDescent="0.25">
      <c r="A42">
        <v>130</v>
      </c>
      <c r="C42" s="167" t="s">
        <v>3507</v>
      </c>
    </row>
    <row r="43" spans="1:3" x14ac:dyDescent="0.25">
      <c r="A43">
        <v>126</v>
      </c>
      <c r="C43" s="167" t="s">
        <v>3507</v>
      </c>
    </row>
    <row r="44" spans="1:3" x14ac:dyDescent="0.25">
      <c r="A44">
        <v>178</v>
      </c>
      <c r="C44" s="167" t="s">
        <v>3507</v>
      </c>
    </row>
    <row r="45" spans="1:3" x14ac:dyDescent="0.25">
      <c r="A45">
        <v>127</v>
      </c>
      <c r="C45" s="167" t="s">
        <v>3510</v>
      </c>
    </row>
    <row r="46" spans="1:3" x14ac:dyDescent="0.25">
      <c r="A46">
        <v>1</v>
      </c>
      <c r="C46" s="167" t="s">
        <v>3254</v>
      </c>
    </row>
    <row r="47" spans="1:3" x14ac:dyDescent="0.25">
      <c r="A47">
        <v>33</v>
      </c>
      <c r="C47" s="167" t="s">
        <v>3360</v>
      </c>
    </row>
    <row r="48" spans="1:3" x14ac:dyDescent="0.25">
      <c r="A48">
        <v>207</v>
      </c>
      <c r="C48" s="167" t="s">
        <v>3360</v>
      </c>
    </row>
    <row r="49" spans="1:3" x14ac:dyDescent="0.25">
      <c r="A49">
        <v>69</v>
      </c>
      <c r="C49" s="167" t="s">
        <v>4136</v>
      </c>
    </row>
    <row r="50" spans="1:3" x14ac:dyDescent="0.25">
      <c r="A50" s="13">
        <v>122</v>
      </c>
      <c r="C50" s="167" t="s">
        <v>3498</v>
      </c>
    </row>
    <row r="51" spans="1:3" x14ac:dyDescent="0.25">
      <c r="A51">
        <v>70</v>
      </c>
      <c r="C51" s="167" t="s">
        <v>3421</v>
      </c>
    </row>
  </sheetData>
  <autoFilter ref="C2:F2" xr:uid="{442C5D66-843F-4C2D-AE27-A55CE13C996C}">
    <sortState xmlns:xlrd2="http://schemas.microsoft.com/office/spreadsheetml/2017/richdata2" ref="C3:F20">
      <sortCondition descending="1" ref="F2"/>
    </sortState>
  </autoFilter>
  <conditionalFormatting sqref="C10:D13">
    <cfRule type="duplicateValues" dxfId="19" priority="6"/>
  </conditionalFormatting>
  <conditionalFormatting sqref="C14:D18">
    <cfRule type="duplicateValues" dxfId="18" priority="7"/>
  </conditionalFormatting>
  <conditionalFormatting sqref="C19:D19">
    <cfRule type="duplicateValues" dxfId="17" priority="3"/>
  </conditionalFormatting>
  <conditionalFormatting sqref="C3:D9">
    <cfRule type="duplicateValues" dxfId="16" priority="118"/>
  </conditionalFormatting>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8"/>
  <dimension ref="B3:AA20"/>
  <sheetViews>
    <sheetView topLeftCell="A16" zoomScale="80" zoomScaleNormal="80" workbookViewId="0">
      <selection activeCell="W31" sqref="W31"/>
    </sheetView>
  </sheetViews>
  <sheetFormatPr baseColWidth="10" defaultRowHeight="15" x14ac:dyDescent="0.25"/>
  <sheetData>
    <row r="3" spans="2:23" x14ac:dyDescent="0.25">
      <c r="B3" s="128" t="s">
        <v>4083</v>
      </c>
      <c r="C3" s="83" t="s">
        <v>3492</v>
      </c>
      <c r="D3" s="83" t="s">
        <v>3453</v>
      </c>
      <c r="E3" s="83" t="s">
        <v>3556</v>
      </c>
      <c r="F3" s="83"/>
      <c r="G3" s="83"/>
      <c r="H3" s="83"/>
      <c r="I3" s="83"/>
      <c r="J3" s="83"/>
      <c r="K3" s="83"/>
      <c r="L3" s="83"/>
      <c r="M3" s="83"/>
      <c r="N3" s="83"/>
      <c r="O3" s="83"/>
      <c r="P3" s="83"/>
      <c r="Q3" s="154"/>
      <c r="R3" s="154"/>
      <c r="S3" s="154"/>
      <c r="T3" s="154"/>
      <c r="U3" s="80"/>
      <c r="V3" s="80">
        <v>3</v>
      </c>
      <c r="W3" s="155">
        <f>(V3*100)/246</f>
        <v>1.2195121951219512</v>
      </c>
    </row>
    <row r="4" spans="2:23" ht="25.5" x14ac:dyDescent="0.25">
      <c r="B4" s="127" t="s">
        <v>4060</v>
      </c>
      <c r="C4" s="82" t="s">
        <v>3553</v>
      </c>
      <c r="D4" s="82" t="s">
        <v>4061</v>
      </c>
      <c r="E4" s="82" t="s">
        <v>3531</v>
      </c>
      <c r="F4" s="82" t="s">
        <v>3560</v>
      </c>
      <c r="G4" s="82" t="s">
        <v>3423</v>
      </c>
      <c r="H4" s="82"/>
      <c r="I4" s="82"/>
      <c r="J4" s="82"/>
      <c r="K4" s="82"/>
      <c r="L4" s="82"/>
      <c r="M4" s="82"/>
      <c r="N4" s="82"/>
      <c r="O4" s="82"/>
      <c r="P4" s="82"/>
      <c r="Q4" s="154"/>
      <c r="R4" s="154"/>
      <c r="S4" s="154"/>
      <c r="T4" s="154"/>
      <c r="U4" s="80"/>
      <c r="V4" s="80">
        <v>5</v>
      </c>
      <c r="W4" s="155">
        <f t="shared" ref="W4:W16" si="0">(V4*100)/246</f>
        <v>2.0325203252032522</v>
      </c>
    </row>
    <row r="5" spans="2:23" ht="38.25" x14ac:dyDescent="0.25">
      <c r="B5" s="127" t="s">
        <v>4046</v>
      </c>
      <c r="C5" s="82" t="s">
        <v>3527</v>
      </c>
      <c r="D5" s="82" t="s">
        <v>3613</v>
      </c>
      <c r="E5" s="82" t="s">
        <v>3517</v>
      </c>
      <c r="F5" s="82"/>
      <c r="G5" s="82"/>
      <c r="H5" s="82"/>
      <c r="I5" s="82"/>
      <c r="J5" s="82"/>
      <c r="K5" s="82"/>
      <c r="L5" s="82"/>
      <c r="M5" s="82"/>
      <c r="N5" s="82"/>
      <c r="O5" s="82"/>
      <c r="P5" s="82"/>
      <c r="Q5" s="154"/>
      <c r="R5" s="154"/>
      <c r="S5" s="154"/>
      <c r="T5" s="154"/>
      <c r="U5" s="80"/>
      <c r="V5" s="80">
        <v>5</v>
      </c>
      <c r="W5" s="155">
        <f t="shared" si="0"/>
        <v>2.0325203252032522</v>
      </c>
    </row>
    <row r="6" spans="2:23" ht="51" x14ac:dyDescent="0.25">
      <c r="B6" s="127" t="s">
        <v>4058</v>
      </c>
      <c r="C6" s="82" t="s">
        <v>3603</v>
      </c>
      <c r="D6" s="82" t="s">
        <v>3477</v>
      </c>
      <c r="E6" s="82" t="s">
        <v>4059</v>
      </c>
      <c r="F6" s="82"/>
      <c r="G6" s="82"/>
      <c r="H6" s="82"/>
      <c r="I6" s="82"/>
      <c r="J6" s="82"/>
      <c r="K6" s="82"/>
      <c r="L6" s="82"/>
      <c r="M6" s="82"/>
      <c r="N6" s="82"/>
      <c r="O6" s="82"/>
      <c r="P6" s="82"/>
      <c r="Q6" s="154"/>
      <c r="R6" s="154"/>
      <c r="S6" s="154"/>
      <c r="T6" s="154"/>
      <c r="U6" s="80"/>
      <c r="V6" s="80">
        <v>7</v>
      </c>
      <c r="W6" s="155">
        <f t="shared" si="0"/>
        <v>2.845528455284553</v>
      </c>
    </row>
    <row r="7" spans="2:23" s="26" customFormat="1" ht="38.25" x14ac:dyDescent="0.25">
      <c r="B7" s="127" t="s">
        <v>4066</v>
      </c>
      <c r="C7" s="82" t="s">
        <v>3624</v>
      </c>
      <c r="D7" s="82" t="s">
        <v>3384</v>
      </c>
      <c r="E7" s="82" t="s">
        <v>3526</v>
      </c>
      <c r="F7" s="82" t="s">
        <v>4067</v>
      </c>
      <c r="G7" s="82" t="s">
        <v>3499</v>
      </c>
      <c r="H7" s="82" t="s">
        <v>3394</v>
      </c>
      <c r="I7" s="82" t="s">
        <v>3628</v>
      </c>
      <c r="J7" s="82" t="s">
        <v>3313</v>
      </c>
      <c r="K7" s="82" t="s">
        <v>3497</v>
      </c>
      <c r="L7" s="82"/>
      <c r="M7" s="82"/>
      <c r="N7" s="82"/>
      <c r="O7" s="82"/>
      <c r="P7" s="82"/>
      <c r="Q7" s="154"/>
      <c r="R7" s="154"/>
      <c r="S7" s="154"/>
      <c r="T7" s="154"/>
      <c r="U7" s="80"/>
      <c r="V7" s="80">
        <v>9</v>
      </c>
      <c r="W7" s="155">
        <f t="shared" si="0"/>
        <v>3.6585365853658538</v>
      </c>
    </row>
    <row r="8" spans="2:23" ht="25.5" x14ac:dyDescent="0.25">
      <c r="B8" s="127" t="s">
        <v>4076</v>
      </c>
      <c r="C8" s="83" t="s">
        <v>3468</v>
      </c>
      <c r="D8" s="83" t="s">
        <v>3465</v>
      </c>
      <c r="E8" s="83" t="s">
        <v>3442</v>
      </c>
      <c r="F8" s="83" t="s">
        <v>3196</v>
      </c>
      <c r="G8" s="83" t="s">
        <v>3435</v>
      </c>
      <c r="H8" s="82"/>
      <c r="I8" s="82"/>
      <c r="J8" s="82"/>
      <c r="K8" s="82"/>
      <c r="L8" s="82"/>
      <c r="M8" s="82"/>
      <c r="N8" s="82"/>
      <c r="O8" s="82"/>
      <c r="P8" s="82"/>
      <c r="Q8" s="154"/>
      <c r="R8" s="154"/>
      <c r="S8" s="154"/>
      <c r="T8" s="154"/>
      <c r="U8" s="80"/>
      <c r="V8" s="80">
        <v>10</v>
      </c>
      <c r="W8" s="155">
        <f t="shared" si="0"/>
        <v>4.0650406504065044</v>
      </c>
    </row>
    <row r="9" spans="2:23" x14ac:dyDescent="0.25">
      <c r="B9" s="128" t="s">
        <v>4077</v>
      </c>
      <c r="C9" s="83" t="s">
        <v>3472</v>
      </c>
      <c r="D9" s="83" t="s">
        <v>3287</v>
      </c>
      <c r="E9" s="83" t="s">
        <v>3193</v>
      </c>
      <c r="F9" s="83" t="s">
        <v>3351</v>
      </c>
      <c r="G9" s="83" t="s">
        <v>3582</v>
      </c>
      <c r="H9" s="83" t="s">
        <v>3353</v>
      </c>
      <c r="I9" s="83" t="s">
        <v>3536</v>
      </c>
      <c r="J9" s="83" t="s">
        <v>3189</v>
      </c>
      <c r="K9" s="83"/>
      <c r="L9" s="83"/>
      <c r="M9" s="83"/>
      <c r="N9" s="83"/>
      <c r="O9" s="83"/>
      <c r="P9" s="83"/>
      <c r="Q9" s="154"/>
      <c r="R9" s="154"/>
      <c r="S9" s="154"/>
      <c r="T9" s="154"/>
      <c r="U9" s="80"/>
      <c r="V9" s="80">
        <v>11</v>
      </c>
      <c r="W9" s="155">
        <f t="shared" si="0"/>
        <v>4.4715447154471546</v>
      </c>
    </row>
    <row r="10" spans="2:23" ht="25.5" x14ac:dyDescent="0.25">
      <c r="B10" s="127" t="s">
        <v>4065</v>
      </c>
      <c r="C10" s="82" t="s">
        <v>3190</v>
      </c>
      <c r="D10" s="82"/>
      <c r="E10" s="82"/>
      <c r="F10" s="82"/>
      <c r="G10" s="82"/>
      <c r="H10" s="82"/>
      <c r="I10" s="82"/>
      <c r="J10" s="82"/>
      <c r="K10" s="82"/>
      <c r="L10" s="82"/>
      <c r="M10" s="82"/>
      <c r="N10" s="82"/>
      <c r="O10" s="82"/>
      <c r="P10" s="82"/>
      <c r="Q10" s="154"/>
      <c r="R10" s="154"/>
      <c r="S10" s="154"/>
      <c r="T10" s="154"/>
      <c r="U10" s="80"/>
      <c r="V10" s="80">
        <v>13</v>
      </c>
      <c r="W10" s="155">
        <f t="shared" si="0"/>
        <v>5.2845528455284549</v>
      </c>
    </row>
    <row r="11" spans="2:23" ht="38.25" x14ac:dyDescent="0.25">
      <c r="B11" s="127" t="s">
        <v>4063</v>
      </c>
      <c r="C11" s="82" t="s">
        <v>4064</v>
      </c>
      <c r="D11" s="82" t="s">
        <v>3461</v>
      </c>
      <c r="E11" s="82" t="s">
        <v>3441</v>
      </c>
      <c r="F11" s="82" t="s">
        <v>3174</v>
      </c>
      <c r="G11" s="82" t="s">
        <v>3275</v>
      </c>
      <c r="H11" s="82" t="s">
        <v>3380</v>
      </c>
      <c r="I11" s="82" t="s">
        <v>3596</v>
      </c>
      <c r="J11" s="82" t="s">
        <v>3533</v>
      </c>
      <c r="K11" s="83" t="s">
        <v>3378</v>
      </c>
      <c r="L11" s="82"/>
      <c r="M11" s="82"/>
      <c r="N11" s="82"/>
      <c r="O11" s="82"/>
      <c r="P11" s="82"/>
      <c r="Q11" s="154"/>
      <c r="R11" s="154"/>
      <c r="S11" s="154"/>
      <c r="T11" s="154"/>
      <c r="U11" s="80"/>
      <c r="V11" s="80">
        <v>17</v>
      </c>
      <c r="W11" s="155">
        <f t="shared" si="0"/>
        <v>6.9105691056910565</v>
      </c>
    </row>
    <row r="12" spans="2:23" ht="38.25" x14ac:dyDescent="0.25">
      <c r="B12" s="127" t="s">
        <v>4081</v>
      </c>
      <c r="C12" s="82" t="s">
        <v>3194</v>
      </c>
      <c r="D12" s="82" t="s">
        <v>3195</v>
      </c>
      <c r="E12" s="82" t="s">
        <v>4082</v>
      </c>
      <c r="F12" s="82" t="s">
        <v>3597</v>
      </c>
      <c r="G12" s="82" t="s">
        <v>3388</v>
      </c>
      <c r="H12" s="82" t="s">
        <v>3329</v>
      </c>
      <c r="I12" s="82" t="s">
        <v>3449</v>
      </c>
      <c r="J12" s="82" t="s">
        <v>3265</v>
      </c>
      <c r="K12" s="82" t="s">
        <v>3278</v>
      </c>
      <c r="L12" s="82" t="s">
        <v>3480</v>
      </c>
      <c r="M12" s="82" t="s">
        <v>3614</v>
      </c>
      <c r="N12" s="82" t="s">
        <v>3334</v>
      </c>
      <c r="O12" s="82"/>
      <c r="P12" s="82"/>
      <c r="Q12" s="154"/>
      <c r="R12" s="154"/>
      <c r="S12" s="154"/>
      <c r="T12" s="154"/>
      <c r="U12" s="80"/>
      <c r="V12" s="80">
        <v>21</v>
      </c>
      <c r="W12" s="155">
        <f t="shared" si="0"/>
        <v>8.536585365853659</v>
      </c>
    </row>
    <row r="13" spans="2:23" ht="29.25" customHeight="1" x14ac:dyDescent="0.25">
      <c r="B13" s="127" t="s">
        <v>4068</v>
      </c>
      <c r="C13" s="82" t="s">
        <v>3198</v>
      </c>
      <c r="D13" s="82" t="s">
        <v>3362</v>
      </c>
      <c r="E13" s="82" t="s">
        <v>3494</v>
      </c>
      <c r="F13" s="82" t="s">
        <v>3619</v>
      </c>
      <c r="G13" s="82" t="s">
        <v>4069</v>
      </c>
      <c r="H13" s="82" t="s">
        <v>3180</v>
      </c>
      <c r="I13" s="82" t="s">
        <v>3179</v>
      </c>
      <c r="J13" s="82" t="s">
        <v>3181</v>
      </c>
      <c r="K13" s="82" t="s">
        <v>4070</v>
      </c>
      <c r="L13" s="82" t="s">
        <v>3299</v>
      </c>
      <c r="M13" s="82" t="s">
        <v>3301</v>
      </c>
      <c r="N13" s="82" t="s">
        <v>3178</v>
      </c>
      <c r="O13" s="82" t="s">
        <v>3199</v>
      </c>
      <c r="P13" s="82" t="s">
        <v>3521</v>
      </c>
      <c r="Q13" s="82" t="s">
        <v>4071</v>
      </c>
      <c r="R13" s="82" t="s">
        <v>4072</v>
      </c>
      <c r="S13" s="82" t="s">
        <v>4050</v>
      </c>
      <c r="T13" s="80" t="s">
        <v>4123</v>
      </c>
      <c r="U13" s="80"/>
      <c r="V13" s="80">
        <v>21</v>
      </c>
      <c r="W13" s="155">
        <f t="shared" si="0"/>
        <v>8.536585365853659</v>
      </c>
    </row>
    <row r="14" spans="2:23" ht="24.75" customHeight="1" x14ac:dyDescent="0.25">
      <c r="B14" s="128" t="s">
        <v>4078</v>
      </c>
      <c r="C14" s="83" t="s">
        <v>3612</v>
      </c>
      <c r="D14" s="83" t="s">
        <v>3554</v>
      </c>
      <c r="E14" s="83" t="s">
        <v>4079</v>
      </c>
      <c r="F14" s="83" t="s">
        <v>4080</v>
      </c>
      <c r="G14" s="83" t="s">
        <v>3191</v>
      </c>
      <c r="H14" s="83" t="s">
        <v>3425</v>
      </c>
      <c r="I14" s="83"/>
      <c r="J14" s="83"/>
      <c r="K14" s="83"/>
      <c r="L14" s="83"/>
      <c r="M14" s="83"/>
      <c r="N14" s="83"/>
      <c r="O14" s="83"/>
      <c r="P14" s="83"/>
      <c r="Q14" s="154"/>
      <c r="R14" s="154"/>
      <c r="S14" s="154"/>
      <c r="T14" s="154"/>
      <c r="U14" s="80"/>
      <c r="V14" s="80">
        <v>24</v>
      </c>
      <c r="W14" s="155">
        <f t="shared" si="0"/>
        <v>9.7560975609756095</v>
      </c>
    </row>
    <row r="15" spans="2:23" ht="38.25" x14ac:dyDescent="0.25">
      <c r="B15" s="127" t="s">
        <v>4062</v>
      </c>
      <c r="C15" s="82" t="s">
        <v>3591</v>
      </c>
      <c r="D15" s="82" t="s">
        <v>3548</v>
      </c>
      <c r="E15" s="82" t="s">
        <v>3572</v>
      </c>
      <c r="F15" s="82" t="s">
        <v>3267</v>
      </c>
      <c r="G15" s="82" t="s">
        <v>3256</v>
      </c>
      <c r="H15" s="82" t="s">
        <v>3270</v>
      </c>
      <c r="I15" s="82" t="s">
        <v>3176</v>
      </c>
      <c r="J15" s="82" t="s">
        <v>3439</v>
      </c>
      <c r="K15" s="82" t="s">
        <v>3171</v>
      </c>
      <c r="L15" s="82" t="s">
        <v>3173</v>
      </c>
      <c r="M15" s="82" t="s">
        <v>3175</v>
      </c>
      <c r="N15" s="82" t="s">
        <v>3469</v>
      </c>
      <c r="O15" s="82" t="s">
        <v>3172</v>
      </c>
      <c r="P15" s="82" t="s">
        <v>3474</v>
      </c>
      <c r="Q15" s="82" t="s">
        <v>3502</v>
      </c>
      <c r="R15" s="82" t="s">
        <v>3605</v>
      </c>
      <c r="S15" s="154"/>
      <c r="T15" s="154"/>
      <c r="U15" s="80"/>
      <c r="V15" s="80">
        <v>35</v>
      </c>
      <c r="W15" s="155">
        <f t="shared" si="0"/>
        <v>14.227642276422765</v>
      </c>
    </row>
    <row r="16" spans="2:23" ht="27" customHeight="1" x14ac:dyDescent="0.25">
      <c r="B16" s="127" t="s">
        <v>4073</v>
      </c>
      <c r="C16" s="82" t="s">
        <v>3509</v>
      </c>
      <c r="D16" s="82" t="s">
        <v>4074</v>
      </c>
      <c r="E16" s="82" t="s">
        <v>4075</v>
      </c>
      <c r="F16" s="82" t="s">
        <v>3391</v>
      </c>
      <c r="G16" s="82" t="s">
        <v>3420</v>
      </c>
      <c r="H16" s="82" t="s">
        <v>3372</v>
      </c>
      <c r="I16" s="82" t="s">
        <v>3490</v>
      </c>
      <c r="J16" s="82" t="s">
        <v>3609</v>
      </c>
      <c r="K16" s="82" t="s">
        <v>3305</v>
      </c>
      <c r="L16" s="82" t="s">
        <v>3182</v>
      </c>
      <c r="M16" s="82" t="s">
        <v>3187</v>
      </c>
      <c r="N16" s="82" t="s">
        <v>3289</v>
      </c>
      <c r="O16" s="82" t="s">
        <v>3630</v>
      </c>
      <c r="P16" s="82" t="s">
        <v>3681</v>
      </c>
      <c r="Q16" s="82" t="s">
        <v>3407</v>
      </c>
      <c r="R16" s="82" t="s">
        <v>3462</v>
      </c>
      <c r="S16" s="154"/>
      <c r="T16" s="154"/>
      <c r="U16" s="80"/>
      <c r="V16" s="80">
        <v>65</v>
      </c>
      <c r="W16" s="155">
        <f t="shared" si="0"/>
        <v>26.422764227642276</v>
      </c>
    </row>
    <row r="17" spans="13:27" x14ac:dyDescent="0.25">
      <c r="V17">
        <f>SUM(V3:V16)</f>
        <v>246</v>
      </c>
      <c r="W17" s="147">
        <f>SUM(W3:W16)</f>
        <v>100.00000000000001</v>
      </c>
    </row>
    <row r="18" spans="13:27" x14ac:dyDescent="0.25">
      <c r="M18" s="26"/>
      <c r="N18" s="26"/>
      <c r="O18" s="26"/>
      <c r="P18" s="26"/>
      <c r="Q18" s="26"/>
      <c r="R18" s="26"/>
      <c r="S18" s="26"/>
      <c r="T18" s="26"/>
      <c r="U18" s="26"/>
      <c r="V18" s="26"/>
      <c r="W18" s="26"/>
      <c r="X18" s="26"/>
      <c r="Y18" s="26"/>
      <c r="Z18" s="26"/>
      <c r="AA18" s="26"/>
    </row>
    <row r="19" spans="13:27" x14ac:dyDescent="0.25">
      <c r="M19" s="26"/>
      <c r="N19" s="26"/>
      <c r="O19" s="26"/>
      <c r="P19" s="26"/>
      <c r="Q19" s="26"/>
      <c r="R19" s="26"/>
      <c r="S19" s="26"/>
      <c r="T19" s="26"/>
      <c r="U19" s="26"/>
      <c r="V19" s="26"/>
      <c r="W19" s="26"/>
      <c r="X19" s="26"/>
      <c r="Y19" s="26"/>
      <c r="Z19" s="26"/>
      <c r="AA19" s="26"/>
    </row>
    <row r="20" spans="13:27" x14ac:dyDescent="0.25">
      <c r="M20" s="26"/>
      <c r="N20" s="26"/>
      <c r="O20" s="26"/>
      <c r="P20" s="26"/>
      <c r="Q20" s="26"/>
      <c r="R20" s="26"/>
      <c r="S20" s="26"/>
      <c r="T20" s="26"/>
      <c r="U20" s="26"/>
      <c r="V20" s="26"/>
      <c r="W20" s="26"/>
      <c r="X20" s="26"/>
      <c r="Y20" s="26"/>
      <c r="Z20" s="26"/>
      <c r="AA20" s="26"/>
    </row>
  </sheetData>
  <sortState xmlns:xlrd2="http://schemas.microsoft.com/office/spreadsheetml/2017/richdata2" ref="B6:V16">
    <sortCondition ref="V6:V16"/>
  </sortState>
  <conditionalFormatting sqref="L8:M8">
    <cfRule type="duplicateValues" dxfId="15" priority="13"/>
    <cfRule type="duplicateValues" dxfId="14" priority="14"/>
  </conditionalFormatting>
  <conditionalFormatting sqref="C15:D16 H14 R11">
    <cfRule type="duplicateValues" dxfId="13" priority="11"/>
    <cfRule type="duplicateValues" dxfId="12" priority="12"/>
  </conditionalFormatting>
  <conditionalFormatting sqref="Q10">
    <cfRule type="duplicateValues" dxfId="11" priority="9"/>
    <cfRule type="duplicateValues" dxfId="10" priority="10"/>
  </conditionalFormatting>
  <conditionalFormatting sqref="B12">
    <cfRule type="duplicateValues" dxfId="9" priority="8"/>
  </conditionalFormatting>
  <conditionalFormatting sqref="N11:Q11">
    <cfRule type="duplicateValues" dxfId="8" priority="7"/>
  </conditionalFormatting>
  <conditionalFormatting sqref="B13:P16 Q3:R3 R11 C12:P12 B11:M11 B3:P6 Q10:S10 B8:P10">
    <cfRule type="duplicateValues" dxfId="7" priority="17"/>
  </conditionalFormatting>
  <conditionalFormatting sqref="S10">
    <cfRule type="duplicateValues" dxfId="6" priority="5"/>
    <cfRule type="duplicateValues" dxfId="5" priority="6"/>
  </conditionalFormatting>
  <conditionalFormatting sqref="B7">
    <cfRule type="duplicateValues" dxfId="4" priority="1"/>
    <cfRule type="duplicateValues" dxfId="3" priority="2"/>
  </conditionalFormatting>
  <conditionalFormatting sqref="B7:P7">
    <cfRule type="duplicateValues" dxfId="2" priority="3"/>
  </conditionalFormatting>
  <conditionalFormatting sqref="E16:J16 D5:J5 R10 N8 C9:E9 C13:D14 O10:P10 C4:G4 C6:D6 C3:R3 B9:B10 K9 F8:K8 E14:F14 C12:J12 C8:D8">
    <cfRule type="duplicateValues" dxfId="1" priority="116"/>
    <cfRule type="duplicateValues" dxfId="0" priority="117"/>
  </conditionalFormatting>
  <dataValidations disablePrompts="1" count="1">
    <dataValidation type="list" allowBlank="1" showInputMessage="1" showErrorMessage="1" sqref="N19:S19 X19:Z19" xr:uid="{907F8E2B-7815-4522-9CBE-145586C5BCBE}">
      <formula1>$B$1:$B$56</formula1>
    </dataValidation>
  </dataValidation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C51C-EF01-4185-8D10-C664A5C6DCA3}">
  <sheetPr codeName="Hoja5">
    <tabColor theme="5" tint="0.39997558519241921"/>
  </sheetPr>
  <dimension ref="D1:H48"/>
  <sheetViews>
    <sheetView topLeftCell="D21" zoomScale="80" zoomScaleNormal="80" workbookViewId="0">
      <selection activeCell="H27" sqref="H27"/>
    </sheetView>
  </sheetViews>
  <sheetFormatPr baseColWidth="10" defaultRowHeight="15" x14ac:dyDescent="0.25"/>
  <cols>
    <col min="1" max="1" width="3.85546875" customWidth="1"/>
    <col min="2" max="2" width="3.42578125" customWidth="1"/>
    <col min="3" max="3" width="15" bestFit="1" customWidth="1"/>
    <col min="4" max="4" width="20" bestFit="1" customWidth="1"/>
    <col min="5" max="5" width="114.42578125" customWidth="1"/>
    <col min="8" max="8" width="96.140625" customWidth="1"/>
  </cols>
  <sheetData>
    <row r="1" spans="4:8" x14ac:dyDescent="0.25">
      <c r="F1" s="159"/>
      <c r="G1" s="159"/>
    </row>
    <row r="2" spans="4:8" ht="42.75" customHeight="1" x14ac:dyDescent="0.25">
      <c r="D2" s="159" t="s">
        <v>4146</v>
      </c>
      <c r="E2" s="159" t="s">
        <v>3659</v>
      </c>
      <c r="F2" s="159" t="s">
        <v>4160</v>
      </c>
      <c r="G2" s="172" t="s">
        <v>4161</v>
      </c>
      <c r="H2" s="178" t="s">
        <v>4205</v>
      </c>
    </row>
    <row r="3" spans="4:8" ht="16.5" customHeight="1" x14ac:dyDescent="0.25">
      <c r="D3" s="159" t="s">
        <v>18</v>
      </c>
      <c r="E3" s="159"/>
      <c r="F3" s="160"/>
      <c r="G3" s="173"/>
      <c r="H3" s="80"/>
    </row>
    <row r="4" spans="4:8" ht="90" x14ac:dyDescent="0.25">
      <c r="D4" s="161" t="s">
        <v>4048</v>
      </c>
      <c r="E4" s="162" t="s">
        <v>4190</v>
      </c>
      <c r="F4" s="160">
        <v>115</v>
      </c>
      <c r="G4" s="174">
        <v>33.724340175953081</v>
      </c>
      <c r="H4" s="171" t="s">
        <v>4192</v>
      </c>
    </row>
    <row r="5" spans="4:8" ht="60" x14ac:dyDescent="0.25">
      <c r="D5" s="161" t="s">
        <v>4045</v>
      </c>
      <c r="E5" s="162" t="s">
        <v>4147</v>
      </c>
      <c r="F5" s="160">
        <v>90</v>
      </c>
      <c r="G5" s="174">
        <v>26.392961876832846</v>
      </c>
      <c r="H5" s="171" t="s">
        <v>4193</v>
      </c>
    </row>
    <row r="6" spans="4:8" ht="30" x14ac:dyDescent="0.25">
      <c r="D6" s="161" t="s">
        <v>4053</v>
      </c>
      <c r="E6" s="162" t="s">
        <v>4148</v>
      </c>
      <c r="F6" s="160">
        <v>23</v>
      </c>
      <c r="G6" s="174">
        <v>6.7448680351906161</v>
      </c>
      <c r="H6" s="171" t="s">
        <v>4194</v>
      </c>
    </row>
    <row r="7" spans="4:8" x14ac:dyDescent="0.25">
      <c r="D7" s="161" t="s">
        <v>4050</v>
      </c>
      <c r="E7" s="162" t="s">
        <v>4149</v>
      </c>
      <c r="F7" s="160">
        <v>19</v>
      </c>
      <c r="G7" s="174">
        <v>5.5718475073313787</v>
      </c>
      <c r="H7" s="171" t="s">
        <v>4195</v>
      </c>
    </row>
    <row r="8" spans="4:8" x14ac:dyDescent="0.25">
      <c r="D8" s="161" t="s">
        <v>3640</v>
      </c>
      <c r="E8" s="162" t="s">
        <v>4150</v>
      </c>
      <c r="F8" s="160">
        <v>16</v>
      </c>
      <c r="G8" s="174">
        <v>4.6920821114369504</v>
      </c>
      <c r="H8" s="171" t="s">
        <v>4196</v>
      </c>
    </row>
    <row r="9" spans="4:8" x14ac:dyDescent="0.25">
      <c r="D9" s="161" t="s">
        <v>3168</v>
      </c>
      <c r="E9" s="162" t="s">
        <v>4151</v>
      </c>
      <c r="F9" s="160">
        <v>13</v>
      </c>
      <c r="G9" s="174">
        <v>3.8123167155425222</v>
      </c>
      <c r="H9" s="171" t="s">
        <v>4197</v>
      </c>
    </row>
    <row r="10" spans="4:8" x14ac:dyDescent="0.25">
      <c r="D10" s="161" t="s">
        <v>3374</v>
      </c>
      <c r="E10" s="162" t="s">
        <v>4152</v>
      </c>
      <c r="F10" s="160">
        <v>13</v>
      </c>
      <c r="G10" s="174">
        <v>3.8123167155425222</v>
      </c>
      <c r="H10" s="171" t="s">
        <v>4198</v>
      </c>
    </row>
    <row r="11" spans="4:8" x14ac:dyDescent="0.25">
      <c r="D11" s="161" t="s">
        <v>3653</v>
      </c>
      <c r="E11" s="162" t="s">
        <v>4153</v>
      </c>
      <c r="F11" s="160">
        <v>13</v>
      </c>
      <c r="G11" s="174">
        <v>3.8123167155425222</v>
      </c>
      <c r="H11" s="171" t="s">
        <v>4199</v>
      </c>
    </row>
    <row r="12" spans="4:8" x14ac:dyDescent="0.25">
      <c r="D12" s="161" t="s">
        <v>3158</v>
      </c>
      <c r="E12" s="162" t="s">
        <v>4191</v>
      </c>
      <c r="F12" s="160">
        <v>12</v>
      </c>
      <c r="G12" s="174">
        <v>3.5190615835777126</v>
      </c>
      <c r="H12" s="171" t="s">
        <v>4200</v>
      </c>
    </row>
    <row r="13" spans="4:8" x14ac:dyDescent="0.25">
      <c r="D13" s="161" t="s">
        <v>4047</v>
      </c>
      <c r="E13" s="162" t="s">
        <v>4154</v>
      </c>
      <c r="F13" s="160">
        <v>8</v>
      </c>
      <c r="G13" s="174">
        <v>2.3460410557184752</v>
      </c>
      <c r="H13" s="171" t="s">
        <v>4201</v>
      </c>
    </row>
    <row r="14" spans="4:8" x14ac:dyDescent="0.25">
      <c r="D14" s="161" t="s">
        <v>4052</v>
      </c>
      <c r="E14" s="162" t="s">
        <v>4155</v>
      </c>
      <c r="F14" s="160">
        <v>6</v>
      </c>
      <c r="G14" s="174">
        <v>1.7595307917888563</v>
      </c>
      <c r="H14" s="171" t="s">
        <v>4202</v>
      </c>
    </row>
    <row r="15" spans="4:8" x14ac:dyDescent="0.25">
      <c r="D15" s="161" t="s">
        <v>4036</v>
      </c>
      <c r="E15" s="162" t="s">
        <v>4156</v>
      </c>
      <c r="F15" s="160">
        <v>6</v>
      </c>
      <c r="G15" s="174">
        <v>1.7595307917888563</v>
      </c>
      <c r="H15" s="171" t="s">
        <v>4203</v>
      </c>
    </row>
    <row r="16" spans="4:8" x14ac:dyDescent="0.25">
      <c r="D16" s="161" t="s">
        <v>4049</v>
      </c>
      <c r="E16" s="162" t="s">
        <v>4157</v>
      </c>
      <c r="F16" s="160">
        <v>5</v>
      </c>
      <c r="G16" s="174">
        <v>1.466275659824047</v>
      </c>
      <c r="H16" s="171" t="s">
        <v>4204</v>
      </c>
    </row>
    <row r="17" spans="4:8" x14ac:dyDescent="0.25">
      <c r="D17" s="161" t="s">
        <v>3652</v>
      </c>
      <c r="E17" s="162" t="s">
        <v>4158</v>
      </c>
      <c r="F17" s="160">
        <v>2</v>
      </c>
      <c r="G17" s="174">
        <v>0.5865102639296188</v>
      </c>
      <c r="H17" s="171" t="s">
        <v>4158</v>
      </c>
    </row>
    <row r="18" spans="4:8" s="26" customFormat="1" ht="44.25" customHeight="1" x14ac:dyDescent="0.25">
      <c r="D18" s="159" t="s">
        <v>4146</v>
      </c>
      <c r="E18" s="159" t="s">
        <v>3659</v>
      </c>
      <c r="F18" s="159" t="s">
        <v>4160</v>
      </c>
      <c r="G18" s="172" t="s">
        <v>4161</v>
      </c>
      <c r="H18" s="80"/>
    </row>
    <row r="19" spans="4:8" x14ac:dyDescent="0.25">
      <c r="D19" s="163" t="s">
        <v>4159</v>
      </c>
      <c r="E19" s="164"/>
      <c r="F19" s="165"/>
      <c r="G19" s="175"/>
      <c r="H19" s="80"/>
    </row>
    <row r="20" spans="4:8" ht="67.5" customHeight="1" x14ac:dyDescent="0.25">
      <c r="D20" s="161" t="s">
        <v>4112</v>
      </c>
      <c r="E20" s="162" t="s">
        <v>4162</v>
      </c>
      <c r="F20" s="165">
        <v>93</v>
      </c>
      <c r="G20" s="176">
        <v>38</v>
      </c>
      <c r="H20" s="171" t="s">
        <v>4206</v>
      </c>
    </row>
    <row r="21" spans="4:8" ht="30" x14ac:dyDescent="0.25">
      <c r="D21" s="161" t="s">
        <v>4094</v>
      </c>
      <c r="E21" s="162" t="s">
        <v>4163</v>
      </c>
      <c r="F21" s="165">
        <v>29</v>
      </c>
      <c r="G21" s="176">
        <v>12</v>
      </c>
      <c r="H21" s="171" t="s">
        <v>4207</v>
      </c>
    </row>
    <row r="22" spans="4:8" ht="30" x14ac:dyDescent="0.25">
      <c r="D22" s="161" t="s">
        <v>4096</v>
      </c>
      <c r="E22" s="162" t="s">
        <v>4164</v>
      </c>
      <c r="F22" s="165">
        <v>29</v>
      </c>
      <c r="G22" s="176">
        <v>12</v>
      </c>
      <c r="H22" s="171" t="s">
        <v>4208</v>
      </c>
    </row>
    <row r="23" spans="4:8" x14ac:dyDescent="0.25">
      <c r="D23" s="161" t="s">
        <v>3279</v>
      </c>
      <c r="E23" s="162" t="s">
        <v>4165</v>
      </c>
      <c r="F23" s="165">
        <v>24</v>
      </c>
      <c r="G23" s="176">
        <v>10</v>
      </c>
      <c r="H23" s="171" t="s">
        <v>4209</v>
      </c>
    </row>
    <row r="24" spans="4:8" x14ac:dyDescent="0.25">
      <c r="D24" s="161" t="s">
        <v>4084</v>
      </c>
      <c r="E24" s="162" t="s">
        <v>4166</v>
      </c>
      <c r="F24" s="165">
        <v>23</v>
      </c>
      <c r="G24" s="176">
        <v>9</v>
      </c>
      <c r="H24" s="171" t="s">
        <v>4210</v>
      </c>
    </row>
    <row r="25" spans="4:8" x14ac:dyDescent="0.25">
      <c r="D25" s="161" t="s">
        <v>3207</v>
      </c>
      <c r="E25" s="162" t="s">
        <v>4167</v>
      </c>
      <c r="F25" s="165">
        <v>15</v>
      </c>
      <c r="G25" s="176">
        <v>6</v>
      </c>
      <c r="H25" s="171" t="s">
        <v>4211</v>
      </c>
    </row>
    <row r="26" spans="4:8" x14ac:dyDescent="0.25">
      <c r="D26" s="161" t="s">
        <v>4107</v>
      </c>
      <c r="E26" s="162" t="s">
        <v>4168</v>
      </c>
      <c r="F26" s="165">
        <v>9</v>
      </c>
      <c r="G26" s="176">
        <v>4</v>
      </c>
      <c r="H26" s="171" t="s">
        <v>4212</v>
      </c>
    </row>
    <row r="27" spans="4:8" x14ac:dyDescent="0.25">
      <c r="D27" s="161" t="s">
        <v>3232</v>
      </c>
      <c r="E27" s="162" t="s">
        <v>4169</v>
      </c>
      <c r="F27" s="165">
        <v>8</v>
      </c>
      <c r="G27" s="176">
        <v>3</v>
      </c>
      <c r="H27" s="171" t="s">
        <v>4213</v>
      </c>
    </row>
    <row r="28" spans="4:8" x14ac:dyDescent="0.25">
      <c r="D28" s="161" t="s">
        <v>3303</v>
      </c>
      <c r="E28" s="162" t="s">
        <v>4170</v>
      </c>
      <c r="F28" s="165">
        <v>6</v>
      </c>
      <c r="G28" s="176">
        <v>2</v>
      </c>
      <c r="H28" s="171" t="s">
        <v>4214</v>
      </c>
    </row>
    <row r="29" spans="4:8" x14ac:dyDescent="0.25">
      <c r="D29" s="161" t="s">
        <v>3454</v>
      </c>
      <c r="E29" s="162" t="s">
        <v>4171</v>
      </c>
      <c r="F29" s="165">
        <v>6</v>
      </c>
      <c r="G29" s="176">
        <v>2</v>
      </c>
      <c r="H29" s="171" t="s">
        <v>4215</v>
      </c>
    </row>
    <row r="30" spans="4:8" x14ac:dyDescent="0.25">
      <c r="D30" s="161" t="s">
        <v>4120</v>
      </c>
      <c r="E30" s="162" t="s">
        <v>4172</v>
      </c>
      <c r="F30" s="165">
        <v>4</v>
      </c>
      <c r="G30" s="176">
        <v>2</v>
      </c>
      <c r="H30" s="171" t="s">
        <v>4216</v>
      </c>
    </row>
    <row r="31" spans="4:8" s="26" customFormat="1" ht="44.25" customHeight="1" x14ac:dyDescent="0.25">
      <c r="D31" s="159" t="s">
        <v>4146</v>
      </c>
      <c r="E31" s="159" t="s">
        <v>3659</v>
      </c>
      <c r="F31" s="159" t="s">
        <v>4160</v>
      </c>
      <c r="G31" s="172" t="s">
        <v>4161</v>
      </c>
      <c r="H31" s="80"/>
    </row>
    <row r="32" spans="4:8" x14ac:dyDescent="0.25">
      <c r="D32" s="163" t="s">
        <v>19</v>
      </c>
      <c r="E32" s="166"/>
      <c r="F32" s="156"/>
      <c r="G32" s="156"/>
      <c r="H32" s="80"/>
    </row>
    <row r="33" spans="4:8" ht="45" x14ac:dyDescent="0.25">
      <c r="D33" s="161" t="s">
        <v>4073</v>
      </c>
      <c r="E33" s="162" t="s">
        <v>4174</v>
      </c>
      <c r="F33" s="161">
        <v>65</v>
      </c>
      <c r="G33" s="177">
        <v>26.422764227642276</v>
      </c>
      <c r="H33" s="171" t="s">
        <v>4229</v>
      </c>
    </row>
    <row r="34" spans="4:8" ht="39.75" customHeight="1" x14ac:dyDescent="0.25">
      <c r="D34" s="161" t="s">
        <v>4062</v>
      </c>
      <c r="E34" s="162" t="s">
        <v>4175</v>
      </c>
      <c r="F34" s="161">
        <v>35</v>
      </c>
      <c r="G34" s="177">
        <v>14.227642276422765</v>
      </c>
      <c r="H34" s="171" t="s">
        <v>4230</v>
      </c>
    </row>
    <row r="35" spans="4:8" x14ac:dyDescent="0.25">
      <c r="D35" s="161" t="s">
        <v>4078</v>
      </c>
      <c r="E35" s="162" t="s">
        <v>4176</v>
      </c>
      <c r="F35" s="161">
        <v>24</v>
      </c>
      <c r="G35" s="177">
        <v>9.7560975609756095</v>
      </c>
      <c r="H35" s="171" t="s">
        <v>4231</v>
      </c>
    </row>
    <row r="36" spans="4:8" x14ac:dyDescent="0.25">
      <c r="D36" s="161" t="s">
        <v>4068</v>
      </c>
      <c r="E36" s="162" t="s">
        <v>4177</v>
      </c>
      <c r="F36" s="161">
        <v>21</v>
      </c>
      <c r="G36" s="177">
        <v>8.536585365853659</v>
      </c>
      <c r="H36" s="171" t="s">
        <v>4232</v>
      </c>
    </row>
    <row r="37" spans="4:8" x14ac:dyDescent="0.25">
      <c r="D37" s="161" t="s">
        <v>4081</v>
      </c>
      <c r="E37" s="162" t="s">
        <v>4178</v>
      </c>
      <c r="F37" s="161">
        <v>21</v>
      </c>
      <c r="G37" s="177">
        <v>8.536585365853659</v>
      </c>
      <c r="H37" s="171" t="s">
        <v>4233</v>
      </c>
    </row>
    <row r="38" spans="4:8" ht="22.5" x14ac:dyDescent="0.25">
      <c r="D38" s="161" t="s">
        <v>4063</v>
      </c>
      <c r="E38" s="162" t="s">
        <v>4179</v>
      </c>
      <c r="F38" s="161">
        <v>17</v>
      </c>
      <c r="G38" s="177" t="s">
        <v>4234</v>
      </c>
      <c r="H38" s="171" t="s">
        <v>4235</v>
      </c>
    </row>
    <row r="39" spans="4:8" x14ac:dyDescent="0.25">
      <c r="D39" s="161" t="s">
        <v>4065</v>
      </c>
      <c r="E39" s="162" t="s">
        <v>4180</v>
      </c>
      <c r="F39" s="161">
        <v>13</v>
      </c>
      <c r="G39" s="177">
        <v>5.2845528455284549</v>
      </c>
      <c r="H39" s="171" t="s">
        <v>4236</v>
      </c>
    </row>
    <row r="40" spans="4:8" x14ac:dyDescent="0.25">
      <c r="D40" s="161" t="s">
        <v>4077</v>
      </c>
      <c r="E40" s="162" t="s">
        <v>4181</v>
      </c>
      <c r="F40" s="161">
        <v>11</v>
      </c>
      <c r="G40" s="177">
        <v>4.4715447154471546</v>
      </c>
      <c r="H40" s="171" t="s">
        <v>4237</v>
      </c>
    </row>
    <row r="41" spans="4:8" x14ac:dyDescent="0.25">
      <c r="D41" s="161" t="s">
        <v>4076</v>
      </c>
      <c r="E41" s="162" t="s">
        <v>4182</v>
      </c>
      <c r="F41" s="161">
        <v>10</v>
      </c>
      <c r="G41" s="177">
        <v>4.0650406504065044</v>
      </c>
      <c r="H41" s="171" t="s">
        <v>4238</v>
      </c>
    </row>
    <row r="42" spans="4:8" x14ac:dyDescent="0.25">
      <c r="D42" s="161" t="s">
        <v>4066</v>
      </c>
      <c r="E42" s="162" t="s">
        <v>4183</v>
      </c>
      <c r="F42" s="161">
        <v>9</v>
      </c>
      <c r="G42" s="177">
        <v>3.6585365853658538</v>
      </c>
      <c r="H42" s="171" t="s">
        <v>4239</v>
      </c>
    </row>
    <row r="43" spans="4:8" x14ac:dyDescent="0.25">
      <c r="D43" s="161" t="s">
        <v>4058</v>
      </c>
      <c r="E43" s="162" t="s">
        <v>4184</v>
      </c>
      <c r="F43" s="161">
        <v>7</v>
      </c>
      <c r="G43" s="177">
        <v>2.845528455284553</v>
      </c>
      <c r="H43" s="171" t="s">
        <v>4240</v>
      </c>
    </row>
    <row r="44" spans="4:8" x14ac:dyDescent="0.25">
      <c r="D44" s="161" t="s">
        <v>4046</v>
      </c>
      <c r="E44" s="162" t="s">
        <v>4185</v>
      </c>
      <c r="F44" s="161">
        <v>5</v>
      </c>
      <c r="G44" s="177">
        <v>2.0325203252032522</v>
      </c>
      <c r="H44" s="171" t="s">
        <v>4241</v>
      </c>
    </row>
    <row r="45" spans="4:8" x14ac:dyDescent="0.25">
      <c r="D45" s="161" t="s">
        <v>4060</v>
      </c>
      <c r="E45" s="162" t="s">
        <v>4186</v>
      </c>
      <c r="F45" s="161">
        <v>5</v>
      </c>
      <c r="G45" s="177">
        <v>2.0325203252032522</v>
      </c>
      <c r="H45" s="171" t="s">
        <v>4242</v>
      </c>
    </row>
    <row r="46" spans="4:8" x14ac:dyDescent="0.25">
      <c r="D46" s="161" t="s">
        <v>4083</v>
      </c>
      <c r="E46" s="162" t="s">
        <v>4187</v>
      </c>
      <c r="F46" s="161">
        <v>3</v>
      </c>
      <c r="G46" s="177">
        <v>1.2195121951219512</v>
      </c>
      <c r="H46" s="171" t="s">
        <v>4243</v>
      </c>
    </row>
    <row r="47" spans="4:8" x14ac:dyDescent="0.25">
      <c r="D47" s="26"/>
      <c r="E47" s="26"/>
      <c r="F47" s="26"/>
      <c r="G47" s="26"/>
    </row>
    <row r="48" spans="4:8" x14ac:dyDescent="0.25">
      <c r="D48" s="26"/>
      <c r="E48" s="26"/>
      <c r="F48" s="26"/>
      <c r="G48" s="2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6FEFF-A585-4509-B497-4D20B097EC7F}">
  <sheetPr codeName="Hoja6"/>
  <dimension ref="A1:DM119"/>
  <sheetViews>
    <sheetView workbookViewId="0">
      <selection activeCell="AA32" sqref="AA32"/>
    </sheetView>
  </sheetViews>
  <sheetFormatPr baseColWidth="10" defaultRowHeight="15" x14ac:dyDescent="0.25"/>
  <cols>
    <col min="1" max="1" width="14.140625" customWidth="1"/>
    <col min="2" max="2" width="116.42578125" customWidth="1"/>
    <col min="3" max="3" width="6.7109375" customWidth="1"/>
    <col min="4" max="4" width="4" style="26" bestFit="1" customWidth="1"/>
    <col min="5" max="5" width="3" style="26" bestFit="1" customWidth="1"/>
    <col min="6" max="6" width="4" bestFit="1" customWidth="1"/>
    <col min="7" max="7" width="3" bestFit="1" customWidth="1"/>
    <col min="8" max="8" width="4" bestFit="1" customWidth="1"/>
    <col min="9" max="9" width="3" bestFit="1" customWidth="1"/>
    <col min="10" max="10" width="4" bestFit="1" customWidth="1"/>
    <col min="11" max="11" width="3" bestFit="1" customWidth="1"/>
    <col min="12" max="12" width="4" bestFit="1" customWidth="1"/>
    <col min="13" max="13" width="3" bestFit="1" customWidth="1"/>
    <col min="14" max="15" width="4" bestFit="1" customWidth="1"/>
    <col min="16" max="17" width="3" bestFit="1" customWidth="1"/>
    <col min="18" max="18" width="4" bestFit="1" customWidth="1"/>
    <col min="19" max="21" width="3" bestFit="1" customWidth="1"/>
    <col min="22" max="28" width="4" bestFit="1" customWidth="1"/>
    <col min="29" max="32" width="3" bestFit="1" customWidth="1"/>
    <col min="33" max="34" width="4" bestFit="1" customWidth="1"/>
    <col min="35" max="36" width="3" bestFit="1" customWidth="1"/>
    <col min="37" max="39" width="4" bestFit="1" customWidth="1"/>
    <col min="40" max="42" width="3" bestFit="1" customWidth="1"/>
    <col min="43" max="44" width="4" bestFit="1" customWidth="1"/>
    <col min="45" max="45" width="3" bestFit="1" customWidth="1"/>
    <col min="46" max="48" width="4" bestFit="1" customWidth="1"/>
    <col min="49" max="52" width="3" bestFit="1" customWidth="1"/>
    <col min="53" max="53" width="2" bestFit="1" customWidth="1"/>
    <col min="54" max="62" width="4" bestFit="1" customWidth="1"/>
    <col min="63" max="65" width="3" bestFit="1" customWidth="1"/>
    <col min="66" max="66" width="4" bestFit="1" customWidth="1"/>
    <col min="67" max="72" width="3" bestFit="1" customWidth="1"/>
    <col min="73" max="73" width="4" bestFit="1" customWidth="1"/>
    <col min="74" max="75" width="3" bestFit="1" customWidth="1"/>
    <col min="76" max="77" width="4" bestFit="1" customWidth="1"/>
    <col min="78" max="78" width="2" bestFit="1" customWidth="1"/>
    <col min="79" max="81" width="3" bestFit="1" customWidth="1"/>
    <col min="82" max="82" width="4" bestFit="1" customWidth="1"/>
    <col min="83" max="83" width="3" bestFit="1" customWidth="1"/>
    <col min="84" max="94" width="4" bestFit="1" customWidth="1"/>
    <col min="95" max="95" width="3" bestFit="1" customWidth="1"/>
  </cols>
  <sheetData>
    <row r="1" spans="1:117" x14ac:dyDescent="0.25">
      <c r="B1" s="162" t="s">
        <v>4184</v>
      </c>
    </row>
    <row r="2" spans="1:117" x14ac:dyDescent="0.25">
      <c r="B2" s="26"/>
      <c r="C2">
        <v>173</v>
      </c>
      <c r="D2" s="26">
        <v>109</v>
      </c>
      <c r="E2" s="26">
        <v>126</v>
      </c>
      <c r="F2">
        <v>172</v>
      </c>
      <c r="G2">
        <v>183</v>
      </c>
      <c r="H2">
        <v>158</v>
      </c>
      <c r="I2">
        <v>117</v>
      </c>
    </row>
    <row r="3" spans="1:117" x14ac:dyDescent="0.25">
      <c r="A3" s="26">
        <v>109</v>
      </c>
      <c r="B3" s="5" t="str">
        <f>[2]!csvRange(A3:A95)</f>
        <v>109,117,126,158,172,173,183</v>
      </c>
    </row>
    <row r="4" spans="1:117" x14ac:dyDescent="0.25">
      <c r="A4" s="26">
        <v>117</v>
      </c>
    </row>
    <row r="5" spans="1:117" x14ac:dyDescent="0.25">
      <c r="A5" s="26">
        <v>126</v>
      </c>
      <c r="C5" s="170"/>
      <c r="D5" s="170"/>
      <c r="E5" s="170"/>
    </row>
    <row r="6" spans="1:117" x14ac:dyDescent="0.25">
      <c r="A6" s="26">
        <v>158</v>
      </c>
    </row>
    <row r="7" spans="1:117" x14ac:dyDescent="0.25">
      <c r="A7" s="26">
        <v>172</v>
      </c>
      <c r="C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170"/>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row>
    <row r="8" spans="1:117" x14ac:dyDescent="0.25">
      <c r="A8" s="26">
        <v>173</v>
      </c>
      <c r="C8" s="26"/>
    </row>
    <row r="9" spans="1:117" x14ac:dyDescent="0.25">
      <c r="A9" s="26">
        <v>183</v>
      </c>
      <c r="C9" s="26"/>
    </row>
    <row r="10" spans="1:117" x14ac:dyDescent="0.25">
      <c r="A10" s="26"/>
      <c r="C10" s="26"/>
    </row>
    <row r="11" spans="1:117" x14ac:dyDescent="0.25">
      <c r="A11" s="26"/>
      <c r="C11" s="26"/>
    </row>
    <row r="12" spans="1:117" x14ac:dyDescent="0.25">
      <c r="A12" s="26"/>
      <c r="C12" s="26"/>
    </row>
    <row r="13" spans="1:117" x14ac:dyDescent="0.25">
      <c r="A13" s="26"/>
      <c r="C13" s="26"/>
      <c r="E13" s="162"/>
    </row>
    <row r="14" spans="1:117" x14ac:dyDescent="0.25">
      <c r="A14" s="26"/>
      <c r="C14" s="26"/>
    </row>
    <row r="15" spans="1:117" x14ac:dyDescent="0.25">
      <c r="A15" s="26"/>
      <c r="C15" s="26"/>
    </row>
    <row r="16" spans="1:117" x14ac:dyDescent="0.25">
      <c r="A16" s="26"/>
      <c r="C16" s="26"/>
    </row>
    <row r="17" spans="1:3" x14ac:dyDescent="0.25">
      <c r="A17" s="26"/>
      <c r="C17" s="26"/>
    </row>
    <row r="18" spans="1:3" x14ac:dyDescent="0.25">
      <c r="A18" s="26"/>
      <c r="C18" s="26"/>
    </row>
    <row r="19" spans="1:3" x14ac:dyDescent="0.25">
      <c r="A19" s="26"/>
      <c r="C19" s="26"/>
    </row>
    <row r="20" spans="1:3" x14ac:dyDescent="0.25">
      <c r="A20" s="26"/>
      <c r="C20" s="26"/>
    </row>
    <row r="21" spans="1:3" x14ac:dyDescent="0.25">
      <c r="A21" s="26"/>
      <c r="C21" s="26"/>
    </row>
    <row r="22" spans="1:3" x14ac:dyDescent="0.25">
      <c r="A22" s="26"/>
      <c r="C22" s="26"/>
    </row>
    <row r="23" spans="1:3" x14ac:dyDescent="0.25">
      <c r="A23" s="26"/>
      <c r="C23" s="26"/>
    </row>
    <row r="24" spans="1:3" x14ac:dyDescent="0.25">
      <c r="A24" s="26"/>
      <c r="C24" s="26"/>
    </row>
    <row r="25" spans="1:3" x14ac:dyDescent="0.25">
      <c r="A25" s="26"/>
      <c r="C25" s="26"/>
    </row>
    <row r="26" spans="1:3" x14ac:dyDescent="0.25">
      <c r="A26" s="26"/>
      <c r="C26" s="26"/>
    </row>
    <row r="27" spans="1:3" x14ac:dyDescent="0.25">
      <c r="A27" s="26"/>
      <c r="C27" s="26"/>
    </row>
    <row r="28" spans="1:3" x14ac:dyDescent="0.25">
      <c r="A28" s="26"/>
      <c r="C28" s="26"/>
    </row>
    <row r="29" spans="1:3" x14ac:dyDescent="0.25">
      <c r="A29" s="26"/>
      <c r="C29" s="26"/>
    </row>
    <row r="30" spans="1:3" x14ac:dyDescent="0.25">
      <c r="A30" s="26"/>
      <c r="C30" s="26"/>
    </row>
    <row r="31" spans="1:3" x14ac:dyDescent="0.25">
      <c r="A31" s="26"/>
      <c r="C31" s="26"/>
    </row>
    <row r="32" spans="1:3" x14ac:dyDescent="0.25">
      <c r="A32" s="26"/>
      <c r="C32" s="26"/>
    </row>
    <row r="33" spans="1:3" x14ac:dyDescent="0.25">
      <c r="A33" s="26"/>
      <c r="C33" s="26"/>
    </row>
    <row r="34" spans="1:3" x14ac:dyDescent="0.25">
      <c r="A34" s="26"/>
      <c r="C34" s="26"/>
    </row>
    <row r="35" spans="1:3" x14ac:dyDescent="0.25">
      <c r="A35" s="26"/>
      <c r="C35" s="26"/>
    </row>
    <row r="36" spans="1:3" x14ac:dyDescent="0.25">
      <c r="A36" s="26"/>
      <c r="C36" s="26"/>
    </row>
    <row r="37" spans="1:3" x14ac:dyDescent="0.25">
      <c r="A37" s="26"/>
      <c r="C37" s="26"/>
    </row>
    <row r="38" spans="1:3" x14ac:dyDescent="0.25">
      <c r="A38" s="26"/>
      <c r="C38" s="26"/>
    </row>
    <row r="39" spans="1:3" x14ac:dyDescent="0.25">
      <c r="A39" s="26"/>
      <c r="C39" s="26"/>
    </row>
    <row r="40" spans="1:3" x14ac:dyDescent="0.25">
      <c r="A40" s="26"/>
      <c r="C40" s="26"/>
    </row>
    <row r="41" spans="1:3" x14ac:dyDescent="0.25">
      <c r="A41" s="26"/>
      <c r="C41" s="26"/>
    </row>
    <row r="42" spans="1:3" x14ac:dyDescent="0.25">
      <c r="A42" s="26"/>
      <c r="C42" s="26"/>
    </row>
    <row r="43" spans="1:3" x14ac:dyDescent="0.25">
      <c r="A43" s="26"/>
      <c r="C43" s="26"/>
    </row>
    <row r="44" spans="1:3" x14ac:dyDescent="0.25">
      <c r="A44" s="26"/>
      <c r="C44" s="26"/>
    </row>
    <row r="45" spans="1:3" x14ac:dyDescent="0.25">
      <c r="A45" s="26"/>
      <c r="C45" s="26"/>
    </row>
    <row r="46" spans="1:3" x14ac:dyDescent="0.25">
      <c r="A46" s="26"/>
      <c r="C46" s="26"/>
    </row>
    <row r="47" spans="1:3" x14ac:dyDescent="0.25">
      <c r="A47" s="26"/>
      <c r="C47" s="26"/>
    </row>
    <row r="48" spans="1:3" x14ac:dyDescent="0.25">
      <c r="A48" s="26"/>
      <c r="C48" s="26"/>
    </row>
    <row r="49" spans="1:5" x14ac:dyDescent="0.25">
      <c r="A49" s="26"/>
      <c r="C49" s="26"/>
    </row>
    <row r="50" spans="1:5" x14ac:dyDescent="0.25">
      <c r="A50" s="26"/>
      <c r="C50" s="26"/>
    </row>
    <row r="51" spans="1:5" x14ac:dyDescent="0.25">
      <c r="A51" s="26"/>
      <c r="C51" s="26"/>
    </row>
    <row r="52" spans="1:5" x14ac:dyDescent="0.25">
      <c r="A52" s="26"/>
      <c r="C52" s="26"/>
    </row>
    <row r="53" spans="1:5" x14ac:dyDescent="0.25">
      <c r="A53" s="26"/>
      <c r="C53" s="26"/>
    </row>
    <row r="54" spans="1:5" x14ac:dyDescent="0.25">
      <c r="A54" s="26"/>
      <c r="C54" s="26"/>
    </row>
    <row r="55" spans="1:5" x14ac:dyDescent="0.25">
      <c r="A55" s="26"/>
      <c r="C55" s="26"/>
    </row>
    <row r="56" spans="1:5" x14ac:dyDescent="0.25">
      <c r="A56" s="26"/>
      <c r="C56" s="26"/>
    </row>
    <row r="57" spans="1:5" x14ac:dyDescent="0.25">
      <c r="A57" s="26"/>
      <c r="C57" s="26"/>
    </row>
    <row r="58" spans="1:5" x14ac:dyDescent="0.25">
      <c r="A58" s="26"/>
      <c r="C58" s="26"/>
    </row>
    <row r="59" spans="1:5" x14ac:dyDescent="0.25">
      <c r="A59" s="26"/>
      <c r="C59" s="26"/>
    </row>
    <row r="60" spans="1:5" x14ac:dyDescent="0.25">
      <c r="A60" s="26"/>
      <c r="C60" s="26"/>
    </row>
    <row r="61" spans="1:5" x14ac:dyDescent="0.25">
      <c r="A61" s="26"/>
      <c r="C61" s="26"/>
    </row>
    <row r="62" spans="1:5" x14ac:dyDescent="0.25">
      <c r="A62" s="26"/>
      <c r="C62" s="170"/>
      <c r="D62" s="170"/>
      <c r="E62" s="170"/>
    </row>
    <row r="63" spans="1:5" x14ac:dyDescent="0.25">
      <c r="A63" s="26"/>
      <c r="C63" s="26"/>
    </row>
    <row r="64" spans="1:5" x14ac:dyDescent="0.25">
      <c r="A64" s="26"/>
      <c r="C64" s="26"/>
    </row>
    <row r="65" spans="1:3" x14ac:dyDescent="0.25">
      <c r="A65" s="26"/>
      <c r="C65" s="26"/>
    </row>
    <row r="66" spans="1:3" x14ac:dyDescent="0.25">
      <c r="A66" s="26"/>
      <c r="C66" s="26"/>
    </row>
    <row r="67" spans="1:3" x14ac:dyDescent="0.25">
      <c r="A67" s="26"/>
      <c r="C67" s="26"/>
    </row>
    <row r="68" spans="1:3" x14ac:dyDescent="0.25">
      <c r="A68" s="26"/>
      <c r="C68" s="26"/>
    </row>
    <row r="69" spans="1:3" x14ac:dyDescent="0.25">
      <c r="A69" s="26"/>
      <c r="C69" s="26"/>
    </row>
    <row r="70" spans="1:3" x14ac:dyDescent="0.25">
      <c r="A70" s="26"/>
      <c r="C70" s="26"/>
    </row>
    <row r="71" spans="1:3" x14ac:dyDescent="0.25">
      <c r="A71" s="26"/>
      <c r="C71" s="26"/>
    </row>
    <row r="72" spans="1:3" x14ac:dyDescent="0.25">
      <c r="A72" s="26"/>
      <c r="C72" s="26"/>
    </row>
    <row r="73" spans="1:3" x14ac:dyDescent="0.25">
      <c r="A73" s="26"/>
      <c r="C73" s="26"/>
    </row>
    <row r="74" spans="1:3" x14ac:dyDescent="0.25">
      <c r="A74" s="26"/>
      <c r="C74" s="26"/>
    </row>
    <row r="75" spans="1:3" x14ac:dyDescent="0.25">
      <c r="A75" s="26"/>
      <c r="C75" s="26"/>
    </row>
    <row r="76" spans="1:3" x14ac:dyDescent="0.25">
      <c r="A76" s="26"/>
      <c r="C76" s="26"/>
    </row>
    <row r="77" spans="1:3" x14ac:dyDescent="0.25">
      <c r="A77" s="26"/>
      <c r="C77" s="26"/>
    </row>
    <row r="78" spans="1:3" x14ac:dyDescent="0.25">
      <c r="A78" s="26"/>
      <c r="C78" s="26"/>
    </row>
    <row r="79" spans="1:3" x14ac:dyDescent="0.25">
      <c r="A79" s="26"/>
      <c r="C79" s="26"/>
    </row>
    <row r="80" spans="1:3" x14ac:dyDescent="0.25">
      <c r="A80" s="26"/>
      <c r="C80" s="26"/>
    </row>
    <row r="81" spans="1:3" x14ac:dyDescent="0.25">
      <c r="A81" s="26"/>
      <c r="C81" s="26"/>
    </row>
    <row r="82" spans="1:3" x14ac:dyDescent="0.25">
      <c r="A82" s="26"/>
      <c r="C82" s="26"/>
    </row>
    <row r="83" spans="1:3" x14ac:dyDescent="0.25">
      <c r="A83" s="26"/>
      <c r="C83" s="26"/>
    </row>
    <row r="84" spans="1:3" x14ac:dyDescent="0.25">
      <c r="A84" s="26"/>
      <c r="C84" s="26"/>
    </row>
    <row r="85" spans="1:3" x14ac:dyDescent="0.25">
      <c r="A85" s="26"/>
      <c r="C85" s="26"/>
    </row>
    <row r="86" spans="1:3" x14ac:dyDescent="0.25">
      <c r="A86" s="26"/>
      <c r="C86" s="26"/>
    </row>
    <row r="87" spans="1:3" x14ac:dyDescent="0.25">
      <c r="A87" s="26"/>
      <c r="C87" s="26"/>
    </row>
    <row r="88" spans="1:3" x14ac:dyDescent="0.25">
      <c r="A88" s="26"/>
      <c r="C88" s="26"/>
    </row>
    <row r="89" spans="1:3" x14ac:dyDescent="0.25">
      <c r="A89" s="26"/>
      <c r="C89" s="26"/>
    </row>
    <row r="90" spans="1:3" x14ac:dyDescent="0.25">
      <c r="A90" s="26"/>
      <c r="C90" s="26"/>
    </row>
    <row r="91" spans="1:3" x14ac:dyDescent="0.25">
      <c r="A91" s="26"/>
      <c r="C91" s="26"/>
    </row>
    <row r="92" spans="1:3" x14ac:dyDescent="0.25">
      <c r="A92" s="26"/>
      <c r="C92" s="26"/>
    </row>
    <row r="93" spans="1:3" x14ac:dyDescent="0.25">
      <c r="A93" s="26"/>
      <c r="C93" s="26"/>
    </row>
    <row r="94" spans="1:3" x14ac:dyDescent="0.25">
      <c r="A94" s="26"/>
      <c r="C94" s="26"/>
    </row>
    <row r="95" spans="1:3" x14ac:dyDescent="0.25">
      <c r="A95" s="26"/>
      <c r="C95" s="26"/>
    </row>
    <row r="96" spans="1:3" x14ac:dyDescent="0.25">
      <c r="C96" s="26"/>
    </row>
    <row r="97" spans="3:3" x14ac:dyDescent="0.25">
      <c r="C97" s="26"/>
    </row>
    <row r="98" spans="3:3" x14ac:dyDescent="0.25">
      <c r="C98" s="26"/>
    </row>
    <row r="99" spans="3:3" x14ac:dyDescent="0.25">
      <c r="C99" s="26"/>
    </row>
    <row r="100" spans="3:3" x14ac:dyDescent="0.25">
      <c r="C100" s="26"/>
    </row>
    <row r="101" spans="3:3" x14ac:dyDescent="0.25">
      <c r="C101" s="26"/>
    </row>
    <row r="102" spans="3:3" x14ac:dyDescent="0.25">
      <c r="C102" s="26"/>
    </row>
    <row r="103" spans="3:3" x14ac:dyDescent="0.25">
      <c r="C103" s="26"/>
    </row>
    <row r="104" spans="3:3" x14ac:dyDescent="0.25">
      <c r="C104" s="26"/>
    </row>
    <row r="105" spans="3:3" x14ac:dyDescent="0.25">
      <c r="C105" s="26"/>
    </row>
    <row r="106" spans="3:3" x14ac:dyDescent="0.25">
      <c r="C106" s="26"/>
    </row>
    <row r="107" spans="3:3" x14ac:dyDescent="0.25">
      <c r="C107" s="26"/>
    </row>
    <row r="108" spans="3:3" x14ac:dyDescent="0.25">
      <c r="C108" s="26"/>
    </row>
    <row r="109" spans="3:3" x14ac:dyDescent="0.25">
      <c r="C109" s="26"/>
    </row>
    <row r="110" spans="3:3" x14ac:dyDescent="0.25">
      <c r="C110" s="26"/>
    </row>
    <row r="111" spans="3:3" x14ac:dyDescent="0.25">
      <c r="C111" s="26"/>
    </row>
    <row r="112" spans="3:3" x14ac:dyDescent="0.25">
      <c r="C112" s="26"/>
    </row>
    <row r="113" spans="3:3" x14ac:dyDescent="0.25">
      <c r="C113" s="26"/>
    </row>
    <row r="114" spans="3:3" x14ac:dyDescent="0.25">
      <c r="C114" s="26"/>
    </row>
    <row r="115" spans="3:3" x14ac:dyDescent="0.25">
      <c r="C115" s="26"/>
    </row>
    <row r="116" spans="3:3" x14ac:dyDescent="0.25">
      <c r="C116" s="26"/>
    </row>
    <row r="117" spans="3:3" x14ac:dyDescent="0.25">
      <c r="C117" s="26"/>
    </row>
    <row r="118" spans="3:3" x14ac:dyDescent="0.25">
      <c r="C118" s="26"/>
    </row>
    <row r="119" spans="3:3" x14ac:dyDescent="0.25">
      <c r="C119" s="26"/>
    </row>
  </sheetData>
  <sortState xmlns:xlrd2="http://schemas.microsoft.com/office/spreadsheetml/2017/richdata2" ref="A3:A9">
    <sortCondition ref="A3"/>
  </sortState>
  <pageMargins left="0.7" right="0.7" top="0.75" bottom="0.75" header="0.3" footer="0.3"/>
  <pageSetup paperSize="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6"/>
  <dimension ref="A1:C34"/>
  <sheetViews>
    <sheetView tabSelected="1" topLeftCell="K26" zoomScale="90" zoomScaleNormal="90" workbookViewId="0">
      <selection activeCell="AB53" sqref="AB53"/>
    </sheetView>
  </sheetViews>
  <sheetFormatPr baseColWidth="10" defaultRowHeight="15" x14ac:dyDescent="0.25"/>
  <cols>
    <col min="1" max="1" width="22.85546875" bestFit="1" customWidth="1"/>
    <col min="2" max="2" width="22.85546875" customWidth="1"/>
    <col min="3" max="3" width="11.85546875" bestFit="1" customWidth="1"/>
  </cols>
  <sheetData>
    <row r="1" spans="1:3" x14ac:dyDescent="0.25">
      <c r="A1" s="1" t="s">
        <v>35</v>
      </c>
      <c r="B1" s="1" t="s">
        <v>35</v>
      </c>
      <c r="C1" s="1" t="s">
        <v>51</v>
      </c>
    </row>
    <row r="2" spans="1:3" x14ac:dyDescent="0.25">
      <c r="A2" t="s">
        <v>3</v>
      </c>
      <c r="B2" s="26" t="s">
        <v>3</v>
      </c>
      <c r="C2">
        <f>COUNTIF(Principal[Type of Publication],Type!A2)</f>
        <v>1</v>
      </c>
    </row>
    <row r="3" spans="1:3" x14ac:dyDescent="0.25">
      <c r="A3" t="s">
        <v>2</v>
      </c>
      <c r="B3" s="26" t="s">
        <v>2</v>
      </c>
      <c r="C3" s="26">
        <f>COUNTIF(Principal[Type of Publication],Type!A3)</f>
        <v>6</v>
      </c>
    </row>
    <row r="4" spans="1:3" x14ac:dyDescent="0.25">
      <c r="A4" t="s">
        <v>6</v>
      </c>
      <c r="B4" s="26" t="s">
        <v>6</v>
      </c>
      <c r="C4" s="26">
        <f>COUNTIF(Principal[Type of Publication],Type!A4)</f>
        <v>24</v>
      </c>
    </row>
    <row r="5" spans="1:3" x14ac:dyDescent="0.25">
      <c r="A5" t="s">
        <v>0</v>
      </c>
      <c r="B5" s="26" t="s">
        <v>0</v>
      </c>
      <c r="C5" s="26">
        <f>COUNTIF(Principal[Type of Publication],Type!A5)</f>
        <v>141</v>
      </c>
    </row>
    <row r="6" spans="1:3" x14ac:dyDescent="0.25">
      <c r="A6" t="s">
        <v>1</v>
      </c>
      <c r="B6" s="26" t="s">
        <v>1</v>
      </c>
      <c r="C6" s="26">
        <f>COUNTIF(Principal[Type of Publication],Type!A6)</f>
        <v>54</v>
      </c>
    </row>
    <row r="7" spans="1:3" x14ac:dyDescent="0.25">
      <c r="A7" t="s">
        <v>20</v>
      </c>
      <c r="B7" s="26" t="s">
        <v>20</v>
      </c>
      <c r="C7" s="26">
        <f>COUNTIF(Principal[Type of Publication],Type!A7)</f>
        <v>9</v>
      </c>
    </row>
    <row r="16" spans="1:3" x14ac:dyDescent="0.25">
      <c r="A16" s="1" t="s">
        <v>36</v>
      </c>
      <c r="B16" s="1" t="s">
        <v>36</v>
      </c>
      <c r="C16" s="1" t="s">
        <v>51</v>
      </c>
    </row>
    <row r="17" spans="1:3" x14ac:dyDescent="0.25">
      <c r="A17" t="s">
        <v>3622</v>
      </c>
      <c r="B17" t="s">
        <v>3622</v>
      </c>
      <c r="C17">
        <f>COUNTIF(Principal[Type of research],Type!A17)</f>
        <v>10</v>
      </c>
    </row>
    <row r="18" spans="1:3" x14ac:dyDescent="0.25">
      <c r="A18" t="s">
        <v>37</v>
      </c>
      <c r="B18" t="s">
        <v>37</v>
      </c>
      <c r="C18" s="26">
        <f>COUNTIF(Principal[Type of research],Type!A18)</f>
        <v>4</v>
      </c>
    </row>
    <row r="19" spans="1:3" x14ac:dyDescent="0.25">
      <c r="A19" t="s">
        <v>41</v>
      </c>
      <c r="B19" t="s">
        <v>41</v>
      </c>
      <c r="C19" s="26">
        <f>COUNTIF(Principal[Type of research],Type!A19)</f>
        <v>2</v>
      </c>
    </row>
    <row r="20" spans="1:3" x14ac:dyDescent="0.25">
      <c r="A20" t="s">
        <v>42</v>
      </c>
      <c r="B20" t="s">
        <v>42</v>
      </c>
      <c r="C20" s="26">
        <f>COUNTIF(Principal[Type of research],Type!A20)</f>
        <v>2</v>
      </c>
    </row>
    <row r="21" spans="1:3" x14ac:dyDescent="0.25">
      <c r="A21" t="s">
        <v>40</v>
      </c>
      <c r="B21" t="s">
        <v>40</v>
      </c>
      <c r="C21" s="26">
        <f>COUNTIF(Principal[Type of research],Type!A21)</f>
        <v>2</v>
      </c>
    </row>
    <row r="22" spans="1:3" x14ac:dyDescent="0.25">
      <c r="A22" t="s">
        <v>38</v>
      </c>
      <c r="B22" t="s">
        <v>38</v>
      </c>
      <c r="C22" s="26">
        <f>COUNTIF(Principal[Type of research],Type!A22)</f>
        <v>213</v>
      </c>
    </row>
    <row r="23" spans="1:3" x14ac:dyDescent="0.25">
      <c r="A23" t="s">
        <v>39</v>
      </c>
      <c r="B23" t="s">
        <v>39</v>
      </c>
      <c r="C23" s="26">
        <f>COUNTIF(Principal[Type of research],Type!A23)</f>
        <v>2</v>
      </c>
    </row>
    <row r="30" spans="1:3" x14ac:dyDescent="0.25">
      <c r="A30" s="1" t="s">
        <v>93</v>
      </c>
      <c r="B30" s="1" t="s">
        <v>93</v>
      </c>
      <c r="C30" s="1" t="s">
        <v>51</v>
      </c>
    </row>
    <row r="31" spans="1:3" x14ac:dyDescent="0.25">
      <c r="A31" t="s">
        <v>70</v>
      </c>
      <c r="B31" t="s">
        <v>70</v>
      </c>
      <c r="C31">
        <f>COUNTIF(Principal[Implication],Type!A31)</f>
        <v>5</v>
      </c>
    </row>
    <row r="32" spans="1:3" x14ac:dyDescent="0.25">
      <c r="A32" t="s">
        <v>69</v>
      </c>
      <c r="B32" t="s">
        <v>69</v>
      </c>
      <c r="C32" s="26">
        <f>COUNTIF(Principal[Implication],Type!A32)</f>
        <v>221</v>
      </c>
    </row>
    <row r="33" spans="1:3" x14ac:dyDescent="0.25">
      <c r="A33" t="s">
        <v>72</v>
      </c>
      <c r="B33" t="s">
        <v>72</v>
      </c>
      <c r="C33" s="26">
        <f>COUNTIF(Principal[Implication],Type!A33)</f>
        <v>1</v>
      </c>
    </row>
    <row r="34" spans="1:3" x14ac:dyDescent="0.25">
      <c r="A34" s="156" t="s">
        <v>3263</v>
      </c>
      <c r="B34" t="s">
        <v>3263</v>
      </c>
      <c r="C34" s="26">
        <f>COUNTIF(Principal[Implication],Type!A34)</f>
        <v>8</v>
      </c>
    </row>
  </sheetData>
  <autoFilter ref="A1:C7" xr:uid="{500D1400-0005-45D2-B244-963BDF8F6A82}">
    <sortState xmlns:xlrd2="http://schemas.microsoft.com/office/spreadsheetml/2017/richdata2" ref="A2:C7">
      <sortCondition ref="B1:B7"/>
    </sortState>
  </autoFilter>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3"/>
  <dimension ref="A1:N41"/>
  <sheetViews>
    <sheetView topLeftCell="A15" zoomScaleNormal="100" workbookViewId="0">
      <selection activeCell="L29" sqref="L29"/>
    </sheetView>
  </sheetViews>
  <sheetFormatPr baseColWidth="10" defaultRowHeight="15" x14ac:dyDescent="0.25"/>
  <cols>
    <col min="1" max="1" width="7.28515625" customWidth="1"/>
    <col min="2" max="6" width="20.85546875" customWidth="1"/>
    <col min="7" max="7" width="25.5703125" customWidth="1"/>
    <col min="8" max="8" width="28.140625" customWidth="1"/>
    <col min="10" max="10" width="19" bestFit="1" customWidth="1"/>
    <col min="11" max="12" width="8.28515625" customWidth="1"/>
    <col min="13" max="13" width="8.28515625" bestFit="1" customWidth="1"/>
    <col min="14" max="14" width="17.85546875" bestFit="1" customWidth="1"/>
  </cols>
  <sheetData>
    <row r="1" spans="1:14" s="5" customFormat="1" ht="30" customHeight="1" x14ac:dyDescent="0.25">
      <c r="A1" s="4" t="s">
        <v>90</v>
      </c>
      <c r="B1" s="4" t="s">
        <v>4139</v>
      </c>
      <c r="C1" s="4" t="s">
        <v>4140</v>
      </c>
      <c r="D1" s="4" t="s">
        <v>4141</v>
      </c>
      <c r="E1" s="4" t="s">
        <v>4142</v>
      </c>
      <c r="F1" s="4" t="s">
        <v>4143</v>
      </c>
      <c r="G1" s="4" t="s">
        <v>4144</v>
      </c>
      <c r="H1" s="4" t="s">
        <v>4145</v>
      </c>
    </row>
    <row r="2" spans="1:14" x14ac:dyDescent="0.25">
      <c r="A2">
        <v>1</v>
      </c>
      <c r="B2">
        <f>COUNTIF(Principal[AQ1],Quality!A2)</f>
        <v>0</v>
      </c>
      <c r="C2">
        <f>COUNTIF(Principal[AQ2],Quality!A2)</f>
        <v>0</v>
      </c>
      <c r="D2">
        <f>COUNTIF(Principal[AQ3],Quality!A2)</f>
        <v>1</v>
      </c>
      <c r="E2">
        <f>COUNTIF(Principal[AQ4],Quality!A2)</f>
        <v>0</v>
      </c>
      <c r="F2">
        <f>COUNTIF(Principal[AQ5],Quality!A2)</f>
        <v>0</v>
      </c>
      <c r="G2">
        <f>COUNTIF(Principal[AQ6],Quality!A2)</f>
        <v>1</v>
      </c>
      <c r="H2" s="26">
        <f>COUNTIF(Principal[AQ7],Quality!A2)</f>
        <v>20</v>
      </c>
      <c r="J2" s="1" t="s">
        <v>97</v>
      </c>
      <c r="K2" s="1" t="s">
        <v>100</v>
      </c>
      <c r="L2" s="1" t="s">
        <v>101</v>
      </c>
      <c r="M2" s="1" t="s">
        <v>98</v>
      </c>
      <c r="N2" s="1" t="s">
        <v>99</v>
      </c>
    </row>
    <row r="3" spans="1:14" x14ac:dyDescent="0.25">
      <c r="A3">
        <v>2</v>
      </c>
      <c r="B3" s="26">
        <f>COUNTIF(Principal[AQ1],Quality!A3)</f>
        <v>0</v>
      </c>
      <c r="C3" s="26">
        <f>COUNTIF(Principal[AQ2],Quality!A3)</f>
        <v>0</v>
      </c>
      <c r="D3" s="26">
        <f>COUNTIF(Principal[AQ3],Quality!A3)</f>
        <v>5</v>
      </c>
      <c r="E3">
        <f>COUNTIF(Principal[AQ4],Quality!A3)</f>
        <v>1</v>
      </c>
      <c r="F3">
        <f>COUNTIF(Principal[AQ5],Quality!A3)</f>
        <v>0</v>
      </c>
      <c r="G3">
        <f>COUNTIF(Principal[AQ6],Quality!A3)</f>
        <v>5</v>
      </c>
      <c r="H3" s="26">
        <f>COUNTIF(Principal[AQ7],Quality!A3)</f>
        <v>83</v>
      </c>
      <c r="J3" t="s">
        <v>105</v>
      </c>
      <c r="K3" s="6">
        <f>B9</f>
        <v>5</v>
      </c>
      <c r="L3" s="6">
        <f>B10</f>
        <v>5</v>
      </c>
      <c r="M3" s="6">
        <f>B7</f>
        <v>4.7288135593220337</v>
      </c>
      <c r="N3" s="6">
        <f>B8</f>
        <v>0.55598893222035706</v>
      </c>
    </row>
    <row r="4" spans="1:14" x14ac:dyDescent="0.25">
      <c r="A4">
        <v>3</v>
      </c>
      <c r="B4" s="26">
        <f>COUNTIF(Principal[AQ1],Quality!A4)</f>
        <v>13</v>
      </c>
      <c r="C4" s="26">
        <f>COUNTIF(Principal[AQ2],Quality!A4)</f>
        <v>15</v>
      </c>
      <c r="D4" s="26">
        <f>COUNTIF(Principal[AQ3],Quality!A4)</f>
        <v>27</v>
      </c>
      <c r="E4">
        <f>COUNTIF(Principal[AQ4],Quality!A4)</f>
        <v>16</v>
      </c>
      <c r="F4">
        <f>COUNTIF(Principal[AQ5],Quality!A4)</f>
        <v>15</v>
      </c>
      <c r="G4">
        <f>COUNTIF(Principal[AQ6],Quality!A4)</f>
        <v>27</v>
      </c>
      <c r="H4" s="26">
        <f>COUNTIF(Principal[AQ7],Quality!A4)</f>
        <v>59</v>
      </c>
      <c r="J4" t="s">
        <v>106</v>
      </c>
      <c r="K4" s="6">
        <f>C9</f>
        <v>5</v>
      </c>
      <c r="L4" s="6">
        <f>C10</f>
        <v>5</v>
      </c>
      <c r="M4" s="6">
        <f>C7</f>
        <v>4.6822033898305087</v>
      </c>
      <c r="N4" s="6">
        <f>C8</f>
        <v>0.58769384936734415</v>
      </c>
    </row>
    <row r="5" spans="1:14" x14ac:dyDescent="0.25">
      <c r="A5">
        <v>4</v>
      </c>
      <c r="B5" s="26">
        <f>COUNTIF(Principal[AQ1],Quality!A5)</f>
        <v>38</v>
      </c>
      <c r="C5" s="26">
        <f>COUNTIF(Principal[AQ2],Quality!A5)</f>
        <v>45</v>
      </c>
      <c r="D5" s="26">
        <f>COUNTIF(Principal[AQ3],Quality!A5)</f>
        <v>40</v>
      </c>
      <c r="E5">
        <f>COUNTIF(Principal[AQ4],Quality!A5)</f>
        <v>43</v>
      </c>
      <c r="F5">
        <f>COUNTIF(Principal[AQ5],Quality!A5)</f>
        <v>45</v>
      </c>
      <c r="G5">
        <f>COUNTIF(Principal[AQ6],Quality!A5)</f>
        <v>40</v>
      </c>
      <c r="H5" s="26">
        <f>COUNTIF(Principal[AQ7],Quality!A5)</f>
        <v>41</v>
      </c>
      <c r="J5" s="26" t="s">
        <v>107</v>
      </c>
      <c r="K5" s="6">
        <f>D9</f>
        <v>5</v>
      </c>
      <c r="L5" s="6">
        <f>D10</f>
        <v>5</v>
      </c>
      <c r="M5" s="6">
        <f>D7</f>
        <v>4.5211864406779663</v>
      </c>
      <c r="N5" s="6">
        <f>D8</f>
        <v>0.81186433149358939</v>
      </c>
    </row>
    <row r="6" spans="1:14" x14ac:dyDescent="0.25">
      <c r="A6">
        <v>5</v>
      </c>
      <c r="B6" s="26">
        <f>COUNTIF(Principal[AQ1],Quality!A6)</f>
        <v>185</v>
      </c>
      <c r="C6" s="26">
        <f>COUNTIF(Principal[AQ2],Quality!A6)</f>
        <v>176</v>
      </c>
      <c r="D6" s="26">
        <f>COUNTIF(Principal[AQ3],Quality!A6)</f>
        <v>163</v>
      </c>
      <c r="E6">
        <f>COUNTIF(Principal[AQ4],Quality!A6)</f>
        <v>176</v>
      </c>
      <c r="F6">
        <f>COUNTIF(Principal[AQ5],Quality!A6)</f>
        <v>176</v>
      </c>
      <c r="G6">
        <f>COUNTIF(Principal[AQ6],Quality!A6)</f>
        <v>163</v>
      </c>
      <c r="H6" s="26">
        <f>COUNTIF(Principal[AQ7],Quality!A6)</f>
        <v>33</v>
      </c>
      <c r="J6" s="26" t="s">
        <v>108</v>
      </c>
      <c r="K6" s="6">
        <f>E9</f>
        <v>5</v>
      </c>
      <c r="L6" s="6">
        <f>E10</f>
        <v>5</v>
      </c>
      <c r="M6" s="6">
        <f>E7</f>
        <v>4.6694915254237293</v>
      </c>
      <c r="N6" s="6">
        <f>E8</f>
        <v>0.61960982569524325</v>
      </c>
    </row>
    <row r="7" spans="1:14" x14ac:dyDescent="0.25">
      <c r="B7" s="6">
        <f>AVERAGE(Principal[AQ1])</f>
        <v>4.7288135593220337</v>
      </c>
      <c r="C7" s="6">
        <f>AVERAGE(Principal[AQ2])</f>
        <v>4.6822033898305087</v>
      </c>
      <c r="D7" s="6">
        <f>AVERAGE(Principal[AQ3])</f>
        <v>4.5211864406779663</v>
      </c>
      <c r="E7" s="6">
        <f>AVERAGE(Principal[AQ4])</f>
        <v>4.6694915254237293</v>
      </c>
      <c r="F7" s="6">
        <f>AVERAGE(Principal[AQ5])</f>
        <v>4.6822033898305087</v>
      </c>
      <c r="G7" s="6">
        <f>AVERAGE(Principal[AQ7])</f>
        <v>2.9322033898305087</v>
      </c>
      <c r="H7" s="6">
        <f>AVERAGE(Principal[AQ7])</f>
        <v>2.9322033898305087</v>
      </c>
      <c r="J7" s="26" t="s">
        <v>109</v>
      </c>
      <c r="K7" s="6">
        <f>F9</f>
        <v>5</v>
      </c>
      <c r="L7" s="6">
        <f>F10</f>
        <v>5</v>
      </c>
      <c r="M7" s="6">
        <f>F7</f>
        <v>4.6822033898305087</v>
      </c>
      <c r="N7" s="6">
        <f>F8</f>
        <v>0.58769384936734415</v>
      </c>
    </row>
    <row r="8" spans="1:14" x14ac:dyDescent="0.25">
      <c r="B8" s="6">
        <f>STDEV(Principal[AQ1])</f>
        <v>0.55598893222035706</v>
      </c>
      <c r="C8" s="6">
        <f>STDEV(Principal[AQ2])</f>
        <v>0.58769384936734415</v>
      </c>
      <c r="D8" s="6">
        <f>STDEV(Principal[AQ3])</f>
        <v>0.81186433149358939</v>
      </c>
      <c r="E8" s="6">
        <f>STDEV(Principal[AQ4])</f>
        <v>0.61960982569524325</v>
      </c>
      <c r="F8" s="6">
        <f>STDEV(Principal[AQ5])</f>
        <v>0.58769384936734415</v>
      </c>
      <c r="G8" s="6">
        <f>STDEV(Principal[AQ6])</f>
        <v>0.81186433149358939</v>
      </c>
      <c r="H8" s="6">
        <f>STDEV(Principal[AQ7])</f>
        <v>1.1938053838992173</v>
      </c>
      <c r="J8" s="26" t="s">
        <v>110</v>
      </c>
      <c r="K8" s="6">
        <f>G9</f>
        <v>5</v>
      </c>
      <c r="L8" s="6">
        <f>G10</f>
        <v>5</v>
      </c>
      <c r="M8" s="6">
        <f>G7</f>
        <v>2.9322033898305087</v>
      </c>
      <c r="N8" s="6">
        <f>G8</f>
        <v>0.81186433149358939</v>
      </c>
    </row>
    <row r="9" spans="1:14" x14ac:dyDescent="0.25">
      <c r="B9" s="6">
        <f>MODE(Principal[AQ1])</f>
        <v>5</v>
      </c>
      <c r="C9" s="6">
        <f>MODE(Principal[AQ2])</f>
        <v>5</v>
      </c>
      <c r="D9" s="6">
        <f>MODE(Principal[AQ3])</f>
        <v>5</v>
      </c>
      <c r="E9" s="6">
        <f>MODE(Principal[AQ4])</f>
        <v>5</v>
      </c>
      <c r="F9" s="6">
        <f>MODE(Principal[AQ5])</f>
        <v>5</v>
      </c>
      <c r="G9" s="6">
        <f>MODE(Principal[AQ6])</f>
        <v>5</v>
      </c>
      <c r="H9" s="6">
        <f>MODE(Principal[AQ7])</f>
        <v>2</v>
      </c>
      <c r="J9" s="26" t="s">
        <v>3155</v>
      </c>
      <c r="K9" s="6">
        <f>H9</f>
        <v>2</v>
      </c>
      <c r="L9" s="6">
        <f>H10</f>
        <v>3</v>
      </c>
      <c r="M9" s="6">
        <f>H7</f>
        <v>2.9322033898305087</v>
      </c>
      <c r="N9" s="6">
        <f>H8</f>
        <v>1.1938053838992173</v>
      </c>
    </row>
    <row r="10" spans="1:14" x14ac:dyDescent="0.25">
      <c r="B10" s="6">
        <f>MEDIAN(Principal[AQ1])</f>
        <v>5</v>
      </c>
      <c r="C10" s="6">
        <f>MEDIAN(Principal[AQ2])</f>
        <v>5</v>
      </c>
      <c r="D10" s="6">
        <f>MEDIAN(Principal[AQ3])</f>
        <v>5</v>
      </c>
      <c r="E10" s="6">
        <f>MEDIAN(Principal[AQ4])</f>
        <v>5</v>
      </c>
      <c r="F10" s="6">
        <f>MEDIAN(Principal[AQ5])</f>
        <v>5</v>
      </c>
      <c r="G10" s="6">
        <f>MEDIAN(Principal[AQ6])</f>
        <v>5</v>
      </c>
      <c r="H10" s="6">
        <f>MEDIAN(Principal[AQ7])</f>
        <v>3</v>
      </c>
      <c r="K10" s="6"/>
      <c r="L10" s="6"/>
      <c r="M10" s="6"/>
      <c r="N10" s="6"/>
    </row>
    <row r="13" spans="1:14" x14ac:dyDescent="0.25">
      <c r="A13" s="1"/>
      <c r="B13" s="1"/>
    </row>
    <row r="20" spans="1:2" x14ac:dyDescent="0.25">
      <c r="A20" s="1"/>
      <c r="B20" s="1"/>
    </row>
    <row r="27" spans="1:2" x14ac:dyDescent="0.25">
      <c r="A27" s="1"/>
      <c r="B27" s="1"/>
    </row>
    <row r="34" spans="1:2" x14ac:dyDescent="0.25">
      <c r="A34" s="1"/>
      <c r="B34" s="1"/>
    </row>
    <row r="41" spans="1:2" x14ac:dyDescent="0.25">
      <c r="A41" s="1"/>
      <c r="B41" s="1"/>
    </row>
  </sheetData>
  <phoneticPr fontId="20"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4"/>
  <dimension ref="A1:T331"/>
  <sheetViews>
    <sheetView topLeftCell="C57" zoomScale="77" zoomScaleNormal="70" workbookViewId="0">
      <selection activeCell="U42" sqref="U42"/>
    </sheetView>
  </sheetViews>
  <sheetFormatPr baseColWidth="10" defaultRowHeight="15" x14ac:dyDescent="0.25"/>
  <cols>
    <col min="2" max="2" width="13.140625" bestFit="1" customWidth="1"/>
    <col min="3" max="3" width="11.85546875" bestFit="1" customWidth="1"/>
    <col min="5" max="5" width="20.5703125" customWidth="1"/>
    <col min="6" max="6" width="2" bestFit="1" customWidth="1"/>
    <col min="7" max="7" width="20.5703125" customWidth="1"/>
    <col min="8" max="8" width="3" bestFit="1" customWidth="1"/>
    <col min="9" max="9" width="20.5703125" customWidth="1"/>
    <col min="12" max="12" width="32.7109375" customWidth="1"/>
    <col min="13" max="14" width="6.85546875" style="26" customWidth="1"/>
    <col min="15" max="15" width="3.85546875" bestFit="1" customWidth="1"/>
    <col min="16" max="16" width="32.28515625" style="26" customWidth="1"/>
    <col min="17" max="17" width="11.28515625" style="26" customWidth="1"/>
    <col min="18" max="18" width="5.42578125" customWidth="1"/>
  </cols>
  <sheetData>
    <row r="1" spans="1:18" ht="15.75" x14ac:dyDescent="0.25">
      <c r="A1" s="80" t="s">
        <v>3227</v>
      </c>
      <c r="B1" s="80" t="s">
        <v>96</v>
      </c>
      <c r="C1" s="80" t="s">
        <v>68</v>
      </c>
      <c r="L1" s="129" t="s">
        <v>18</v>
      </c>
      <c r="M1" s="129"/>
      <c r="N1" s="129"/>
      <c r="P1" s="129"/>
    </row>
    <row r="2" spans="1:18" ht="15.75" x14ac:dyDescent="0.25">
      <c r="A2" s="80">
        <v>1</v>
      </c>
      <c r="B2" s="137">
        <v>1</v>
      </c>
      <c r="C2" s="137">
        <f>COUNTIFS(Principal[Ad Hoc Algorithms],"x",Principal[Proyect Features Info],"x")</f>
        <v>1</v>
      </c>
      <c r="K2">
        <v>1</v>
      </c>
      <c r="L2" s="26" t="s">
        <v>4036</v>
      </c>
      <c r="M2" s="26">
        <v>6</v>
      </c>
      <c r="O2" s="129"/>
      <c r="P2" s="129" t="s">
        <v>3227</v>
      </c>
      <c r="Q2"/>
    </row>
    <row r="3" spans="1:18" x14ac:dyDescent="0.25">
      <c r="A3" s="80">
        <v>2</v>
      </c>
      <c r="B3" s="137">
        <v>1</v>
      </c>
      <c r="C3" s="137">
        <f>COUNTIFS(Principal[Data mining],"x",Principal[Proyect Features Info],"x")</f>
        <v>0</v>
      </c>
      <c r="K3">
        <v>2</v>
      </c>
      <c r="L3" s="26" t="s">
        <v>3374</v>
      </c>
      <c r="M3" s="26">
        <v>13</v>
      </c>
      <c r="O3" s="26">
        <v>1</v>
      </c>
      <c r="P3" s="26" t="s">
        <v>4084</v>
      </c>
      <c r="Q3">
        <v>23</v>
      </c>
    </row>
    <row r="4" spans="1:18" x14ac:dyDescent="0.25">
      <c r="A4" s="80">
        <v>3</v>
      </c>
      <c r="B4" s="137">
        <v>1</v>
      </c>
      <c r="C4" s="137">
        <f>COUNTIFS(Principal[Automatic],"x",Principal[Proyect Features Info],"x")</f>
        <v>0</v>
      </c>
      <c r="K4" s="26">
        <v>3</v>
      </c>
      <c r="L4" s="26" t="s">
        <v>3640</v>
      </c>
      <c r="M4" s="26">
        <v>16</v>
      </c>
      <c r="O4" s="26">
        <v>2</v>
      </c>
      <c r="P4" s="26" t="s">
        <v>3207</v>
      </c>
      <c r="Q4">
        <v>15</v>
      </c>
    </row>
    <row r="5" spans="1:18" x14ac:dyDescent="0.25">
      <c r="A5" s="80">
        <v>4</v>
      </c>
      <c r="B5" s="137">
        <v>1</v>
      </c>
      <c r="C5" s="137">
        <f>COUNTIFS(Principal[Artificial Intelligence / Machine Learning],"x",Principal[Proyect Features Info],"x")</f>
        <v>0</v>
      </c>
      <c r="K5" s="26">
        <v>4</v>
      </c>
      <c r="L5" s="26" t="s">
        <v>3168</v>
      </c>
      <c r="M5" s="26">
        <v>13</v>
      </c>
      <c r="O5" s="26">
        <v>3</v>
      </c>
      <c r="P5" s="26" t="s">
        <v>4094</v>
      </c>
      <c r="Q5">
        <v>29</v>
      </c>
    </row>
    <row r="6" spans="1:18" x14ac:dyDescent="0.25">
      <c r="A6" s="80">
        <v>5</v>
      </c>
      <c r="B6" s="137">
        <v>1</v>
      </c>
      <c r="C6" s="137">
        <f>COUNTIFS(Principal[Qualitative analyses],"x",Principal[Proyect Features Info],"x")</f>
        <v>0</v>
      </c>
      <c r="K6" s="26">
        <v>5</v>
      </c>
      <c r="L6" s="26" t="s">
        <v>4045</v>
      </c>
      <c r="M6" s="26">
        <v>90</v>
      </c>
      <c r="O6" s="26">
        <v>4</v>
      </c>
      <c r="P6" s="26" t="s">
        <v>4096</v>
      </c>
      <c r="Q6">
        <v>29</v>
      </c>
    </row>
    <row r="7" spans="1:18" x14ac:dyDescent="0.25">
      <c r="A7" s="80">
        <v>6</v>
      </c>
      <c r="B7" s="137">
        <v>1</v>
      </c>
      <c r="C7" s="137">
        <f>COUNTIFS(Principal[Heuristical techniques],"x",Principal[Proyect Features Info],"x")</f>
        <v>0</v>
      </c>
      <c r="K7" s="26">
        <v>6</v>
      </c>
      <c r="L7" s="26" t="s">
        <v>4047</v>
      </c>
      <c r="M7" s="26">
        <v>8</v>
      </c>
      <c r="O7" s="26">
        <v>5</v>
      </c>
      <c r="P7" s="26" t="s">
        <v>4107</v>
      </c>
      <c r="Q7">
        <v>9</v>
      </c>
    </row>
    <row r="8" spans="1:18" x14ac:dyDescent="0.25">
      <c r="A8" s="80">
        <v>7</v>
      </c>
      <c r="B8" s="137">
        <v>1</v>
      </c>
      <c r="C8" s="137">
        <f>COUNTIFS(Principal[Empirical/ Experimental],"X",Principal[Proyect Features Info],"X")</f>
        <v>4</v>
      </c>
      <c r="K8" s="26">
        <v>7</v>
      </c>
      <c r="L8" s="26" t="s">
        <v>3158</v>
      </c>
      <c r="M8" s="26">
        <v>12</v>
      </c>
      <c r="O8" s="26">
        <v>6</v>
      </c>
      <c r="P8" s="26" t="s">
        <v>3454</v>
      </c>
      <c r="Q8">
        <v>6</v>
      </c>
    </row>
    <row r="9" spans="1:18" x14ac:dyDescent="0.25">
      <c r="A9" s="80">
        <v>8</v>
      </c>
      <c r="B9" s="137">
        <v>1</v>
      </c>
      <c r="C9" s="137">
        <f>COUNTIFS(Principal[Statistical analyses],"X",Principal[Proyect Features Info],"X")</f>
        <v>1</v>
      </c>
      <c r="K9" s="26">
        <v>8</v>
      </c>
      <c r="L9" s="26" t="s">
        <v>4048</v>
      </c>
      <c r="M9" s="26">
        <v>115</v>
      </c>
      <c r="O9" s="26">
        <v>7</v>
      </c>
      <c r="P9" s="26" t="s">
        <v>4112</v>
      </c>
      <c r="Q9">
        <v>93</v>
      </c>
    </row>
    <row r="10" spans="1:18" x14ac:dyDescent="0.25">
      <c r="A10" s="80">
        <v>9</v>
      </c>
      <c r="B10" s="137">
        <v>1</v>
      </c>
      <c r="C10" s="137">
        <f>COUNTIFS(Principal[Prediction],"X",Principal[Proyect Features Info],"X")</f>
        <v>0</v>
      </c>
      <c r="K10" s="26">
        <v>9</v>
      </c>
      <c r="L10" s="26" t="s">
        <v>4049</v>
      </c>
      <c r="M10" s="26">
        <v>5</v>
      </c>
      <c r="O10" s="26">
        <v>8</v>
      </c>
      <c r="P10" s="26" t="s">
        <v>3279</v>
      </c>
      <c r="Q10">
        <v>24</v>
      </c>
    </row>
    <row r="11" spans="1:18" x14ac:dyDescent="0.25">
      <c r="A11" s="80">
        <v>10</v>
      </c>
      <c r="B11" s="137">
        <v>1</v>
      </c>
      <c r="C11" s="137">
        <f>COUNTIFS(Principal[Reverse Engineering],"X",Principal[Proyect Features Info],"X")</f>
        <v>0</v>
      </c>
      <c r="K11" s="26">
        <v>10</v>
      </c>
      <c r="L11" s="26" t="s">
        <v>3652</v>
      </c>
      <c r="M11" s="26">
        <v>2</v>
      </c>
      <c r="O11" s="26">
        <v>9</v>
      </c>
      <c r="P11" s="26" t="s">
        <v>3232</v>
      </c>
      <c r="Q11">
        <v>8</v>
      </c>
    </row>
    <row r="12" spans="1:18" x14ac:dyDescent="0.25">
      <c r="A12" s="80">
        <v>11</v>
      </c>
      <c r="B12" s="137">
        <v>1</v>
      </c>
      <c r="C12" s="137">
        <f>COUNTIFS(Principal[Testing-based techniques],"X",Principal[Proyect Features Info],"X")</f>
        <v>0</v>
      </c>
      <c r="K12" s="26">
        <v>11</v>
      </c>
      <c r="L12" s="26" t="s">
        <v>4050</v>
      </c>
      <c r="M12" s="26">
        <v>19</v>
      </c>
      <c r="O12" s="26">
        <v>10</v>
      </c>
      <c r="P12" s="26" t="s">
        <v>3303</v>
      </c>
      <c r="Q12">
        <v>6</v>
      </c>
    </row>
    <row r="13" spans="1:18" x14ac:dyDescent="0.25">
      <c r="A13" s="80">
        <v>1</v>
      </c>
      <c r="B13" s="138">
        <v>2</v>
      </c>
      <c r="C13" s="138">
        <f>COUNTIFS(Principal[Ad Hoc Algorithms],"X",Principal[Defects],"X")</f>
        <v>0</v>
      </c>
      <c r="K13" s="26">
        <v>12</v>
      </c>
      <c r="L13" s="26" t="s">
        <v>3653</v>
      </c>
      <c r="M13" s="26">
        <v>13</v>
      </c>
      <c r="O13" s="26">
        <v>11</v>
      </c>
      <c r="P13" s="26" t="s">
        <v>4120</v>
      </c>
      <c r="Q13" s="26">
        <v>4</v>
      </c>
    </row>
    <row r="14" spans="1:18" x14ac:dyDescent="0.25">
      <c r="A14" s="80">
        <v>2</v>
      </c>
      <c r="B14" s="138">
        <v>2</v>
      </c>
      <c r="C14" s="138">
        <f>COUNTIFS(Principal[Data mining],"X",Principal[Defects],"X")</f>
        <v>1</v>
      </c>
      <c r="K14" s="26">
        <v>13</v>
      </c>
      <c r="L14" s="26" t="s">
        <v>4052</v>
      </c>
      <c r="M14" s="26">
        <v>6</v>
      </c>
      <c r="R14" s="26"/>
    </row>
    <row r="15" spans="1:18" x14ac:dyDescent="0.25">
      <c r="A15" s="80">
        <v>3</v>
      </c>
      <c r="B15" s="138">
        <v>2</v>
      </c>
      <c r="C15" s="138">
        <f>COUNTIFS(Principal[Automatic],"X",Principal[Defects],"X")</f>
        <v>3</v>
      </c>
      <c r="K15" s="26">
        <v>14</v>
      </c>
      <c r="L15" s="26" t="s">
        <v>4053</v>
      </c>
      <c r="M15" s="26">
        <v>23</v>
      </c>
      <c r="P15" s="26" t="s">
        <v>4120</v>
      </c>
      <c r="R15" s="26"/>
    </row>
    <row r="16" spans="1:18" ht="15.75" x14ac:dyDescent="0.25">
      <c r="A16" s="80">
        <v>4</v>
      </c>
      <c r="B16" s="138">
        <v>2</v>
      </c>
      <c r="C16" s="138">
        <f>COUNTIFS(Principal[Artificial Intelligence / Machine Learning],"X",Principal[Defects],"X")</f>
        <v>3</v>
      </c>
      <c r="L16" s="129" t="s">
        <v>19</v>
      </c>
      <c r="P16" s="26" t="s">
        <v>3303</v>
      </c>
    </row>
    <row r="17" spans="1:16" x14ac:dyDescent="0.25">
      <c r="A17" s="80">
        <v>5</v>
      </c>
      <c r="B17" s="138">
        <v>2</v>
      </c>
      <c r="C17" s="138">
        <f>COUNTIFS(Principal[Qualitative analyses],"X",Principal[Defects],"X")</f>
        <v>0</v>
      </c>
      <c r="K17" s="26">
        <v>15</v>
      </c>
      <c r="L17" s="26" t="s">
        <v>4058</v>
      </c>
      <c r="M17" s="26">
        <v>3</v>
      </c>
      <c r="P17" s="26" t="s">
        <v>3232</v>
      </c>
    </row>
    <row r="18" spans="1:16" x14ac:dyDescent="0.25">
      <c r="A18" s="80">
        <v>6</v>
      </c>
      <c r="B18" s="138">
        <v>2</v>
      </c>
      <c r="C18" s="138">
        <f>COUNTIFS(Principal[Heuristical techniques],"X",Principal[Defects],"X")</f>
        <v>0</v>
      </c>
      <c r="K18" s="26">
        <v>16</v>
      </c>
      <c r="L18" s="26" t="s">
        <v>4060</v>
      </c>
      <c r="M18" s="26">
        <v>3</v>
      </c>
      <c r="P18" s="26" t="s">
        <v>3279</v>
      </c>
    </row>
    <row r="19" spans="1:16" x14ac:dyDescent="0.25">
      <c r="A19" s="80">
        <v>7</v>
      </c>
      <c r="B19" s="138">
        <v>2</v>
      </c>
      <c r="C19" s="138">
        <f>COUNTIFS(Principal[Empirical/ Experimental],"X",Principal[Defects],"X")</f>
        <v>4</v>
      </c>
      <c r="K19" s="26">
        <v>17</v>
      </c>
      <c r="L19" s="26" t="s">
        <v>4062</v>
      </c>
      <c r="M19" s="26">
        <v>34</v>
      </c>
      <c r="P19" s="26" t="s">
        <v>4112</v>
      </c>
    </row>
    <row r="20" spans="1:16" x14ac:dyDescent="0.25">
      <c r="A20" s="80">
        <v>8</v>
      </c>
      <c r="B20" s="138">
        <v>2</v>
      </c>
      <c r="C20" s="138">
        <f>COUNTIFS(Principal[Statistical analyses],"X",Principal[Defects],"X")</f>
        <v>1</v>
      </c>
      <c r="K20" s="26">
        <v>18</v>
      </c>
      <c r="L20" s="26" t="s">
        <v>4063</v>
      </c>
      <c r="M20" s="26">
        <v>15</v>
      </c>
      <c r="P20" s="26" t="s">
        <v>3454</v>
      </c>
    </row>
    <row r="21" spans="1:16" x14ac:dyDescent="0.25">
      <c r="A21" s="80">
        <v>9</v>
      </c>
      <c r="B21" s="138">
        <v>2</v>
      </c>
      <c r="C21" s="138">
        <f>COUNTIFS(Principal[Prediction],"X",Principal[Defects],"X")</f>
        <v>0</v>
      </c>
      <c r="K21" s="26">
        <v>19</v>
      </c>
      <c r="L21" s="26" t="s">
        <v>4065</v>
      </c>
      <c r="M21" s="26">
        <v>14</v>
      </c>
      <c r="P21" s="26" t="s">
        <v>4107</v>
      </c>
    </row>
    <row r="22" spans="1:16" x14ac:dyDescent="0.25">
      <c r="A22" s="80">
        <v>10</v>
      </c>
      <c r="B22" s="138">
        <v>2</v>
      </c>
      <c r="C22" s="138">
        <f>COUNTIFS(Principal[Reverse Engineering],"X",Principal[Defects],"X")</f>
        <v>1</v>
      </c>
      <c r="K22" s="26">
        <v>20</v>
      </c>
      <c r="L22" s="26" t="s">
        <v>4046</v>
      </c>
      <c r="M22" s="26">
        <v>5</v>
      </c>
      <c r="P22" s="26" t="s">
        <v>4096</v>
      </c>
    </row>
    <row r="23" spans="1:16" x14ac:dyDescent="0.25">
      <c r="A23" s="80">
        <v>11</v>
      </c>
      <c r="B23" s="138">
        <v>2</v>
      </c>
      <c r="C23" s="138">
        <f>COUNTIFS(Principal[Testing-based techniques],"X",Principal[Defects],"X")</f>
        <v>0</v>
      </c>
      <c r="K23" s="26">
        <v>21</v>
      </c>
      <c r="L23" s="26" t="s">
        <v>4066</v>
      </c>
      <c r="M23" s="26">
        <v>9</v>
      </c>
      <c r="P23" s="26" t="s">
        <v>4094</v>
      </c>
    </row>
    <row r="24" spans="1:16" x14ac:dyDescent="0.25">
      <c r="A24" s="80">
        <v>1</v>
      </c>
      <c r="B24" s="139">
        <v>3</v>
      </c>
      <c r="C24" s="139">
        <f>COUNTIFS(Principal[Ad Hoc Algorithms],"X",Principal[Comments],"X")</f>
        <v>1</v>
      </c>
      <c r="K24" s="26">
        <v>22</v>
      </c>
      <c r="L24" s="26" t="s">
        <v>4068</v>
      </c>
      <c r="M24" s="26">
        <v>24</v>
      </c>
      <c r="P24" s="26" t="s">
        <v>3207</v>
      </c>
    </row>
    <row r="25" spans="1:16" x14ac:dyDescent="0.25">
      <c r="A25" s="80">
        <v>2</v>
      </c>
      <c r="B25" s="139">
        <v>3</v>
      </c>
      <c r="C25" s="139">
        <f>COUNTIFS(Principal[Data mining],"X",Principal[Comments],"X")</f>
        <v>2</v>
      </c>
      <c r="K25" s="26">
        <v>23</v>
      </c>
      <c r="L25" s="26" t="s">
        <v>4073</v>
      </c>
      <c r="M25" s="26">
        <v>67</v>
      </c>
      <c r="P25" s="26" t="s">
        <v>4084</v>
      </c>
    </row>
    <row r="26" spans="1:16" x14ac:dyDescent="0.25">
      <c r="A26" s="80">
        <v>3</v>
      </c>
      <c r="B26" s="139">
        <v>3</v>
      </c>
      <c r="C26" s="139">
        <f>COUNTIFS(Principal[Automatic],"X",Principal[Comments],"X")</f>
        <v>2</v>
      </c>
      <c r="K26" s="26">
        <v>24</v>
      </c>
      <c r="L26" s="26" t="s">
        <v>4076</v>
      </c>
      <c r="M26" s="26">
        <v>8</v>
      </c>
    </row>
    <row r="27" spans="1:16" x14ac:dyDescent="0.25">
      <c r="A27" s="80">
        <v>4</v>
      </c>
      <c r="B27" s="139">
        <v>3</v>
      </c>
      <c r="C27" s="139">
        <f>COUNTIFS(Principal[Artificial Intelligence / Machine Learning],"X",Principal[Comments],"X")</f>
        <v>3</v>
      </c>
      <c r="K27" s="26">
        <v>25</v>
      </c>
      <c r="L27" s="26" t="s">
        <v>4077</v>
      </c>
      <c r="M27" s="26">
        <v>12</v>
      </c>
    </row>
    <row r="28" spans="1:16" x14ac:dyDescent="0.25">
      <c r="A28" s="80">
        <v>5</v>
      </c>
      <c r="B28" s="139">
        <v>3</v>
      </c>
      <c r="C28" s="139">
        <f>COUNTIFS(Principal[Qualitative analyses],"X",Principal[Comments],"X")</f>
        <v>1</v>
      </c>
      <c r="K28" s="26">
        <v>26</v>
      </c>
      <c r="L28" s="26" t="s">
        <v>4078</v>
      </c>
      <c r="M28" s="26">
        <v>24</v>
      </c>
    </row>
    <row r="29" spans="1:16" x14ac:dyDescent="0.25">
      <c r="A29" s="80">
        <v>6</v>
      </c>
      <c r="B29" s="139">
        <v>3</v>
      </c>
      <c r="C29" s="139">
        <f>COUNTIFS(Principal[Heuristical techniques],"X",Principal[Comments],"X")</f>
        <v>0</v>
      </c>
      <c r="K29" s="26">
        <v>27</v>
      </c>
      <c r="L29" s="26" t="s">
        <v>4081</v>
      </c>
      <c r="M29" s="26">
        <v>21</v>
      </c>
    </row>
    <row r="30" spans="1:16" x14ac:dyDescent="0.25">
      <c r="A30" s="80">
        <v>7</v>
      </c>
      <c r="B30" s="139">
        <v>3</v>
      </c>
      <c r="C30" s="139">
        <f>COUNTIFS(Principal[Empirical/ Experimental],"X",Principal[Comments],"X")</f>
        <v>7</v>
      </c>
      <c r="K30" s="26">
        <v>28</v>
      </c>
      <c r="L30" s="26" t="s">
        <v>4083</v>
      </c>
      <c r="M30" s="26">
        <v>3</v>
      </c>
    </row>
    <row r="31" spans="1:16" x14ac:dyDescent="0.25">
      <c r="A31" s="80">
        <v>8</v>
      </c>
      <c r="B31" s="139">
        <v>3</v>
      </c>
      <c r="C31" s="139">
        <f>COUNTIFS(Principal[Statistical analyses],"X",Principal[Comments],"X")</f>
        <v>2</v>
      </c>
    </row>
    <row r="32" spans="1:16" x14ac:dyDescent="0.25">
      <c r="A32" s="80">
        <v>9</v>
      </c>
      <c r="B32" s="139">
        <v>3</v>
      </c>
      <c r="C32" s="139">
        <f>COUNTIFS(Principal[Prediction],"X",Principal[Comments],"X")</f>
        <v>2</v>
      </c>
    </row>
    <row r="33" spans="1:3" x14ac:dyDescent="0.25">
      <c r="A33" s="80">
        <v>10</v>
      </c>
      <c r="B33" s="139">
        <v>3</v>
      </c>
      <c r="C33" s="139">
        <f>COUNTIFS(Principal[Reverse Engineering],"X",Principal[Comments],"X")</f>
        <v>0</v>
      </c>
    </row>
    <row r="34" spans="1:3" x14ac:dyDescent="0.25">
      <c r="A34" s="80">
        <v>11</v>
      </c>
      <c r="B34" s="139">
        <v>3</v>
      </c>
      <c r="C34" s="139">
        <f>COUNTIFS(Principal[Testing-based techniques],"X",Principal[Comments],"X")</f>
        <v>0</v>
      </c>
    </row>
    <row r="35" spans="1:3" x14ac:dyDescent="0.25">
      <c r="A35" s="80">
        <v>1</v>
      </c>
      <c r="B35" s="140">
        <v>4</v>
      </c>
      <c r="C35" s="139">
        <f>COUNTIFS(Principal[Ad Hoc Algorithms],"X",Principal[Branches],"X")</f>
        <v>3</v>
      </c>
    </row>
    <row r="36" spans="1:3" x14ac:dyDescent="0.25">
      <c r="A36" s="80">
        <v>2</v>
      </c>
      <c r="B36" s="140">
        <v>4</v>
      </c>
      <c r="C36" s="139">
        <f>COUNTIFS(Principal[Data mining],"X",Principal[Branches],"X")</f>
        <v>0</v>
      </c>
    </row>
    <row r="37" spans="1:3" x14ac:dyDescent="0.25">
      <c r="A37" s="80">
        <v>3</v>
      </c>
      <c r="B37" s="140">
        <v>4</v>
      </c>
      <c r="C37" s="139">
        <f>COUNTIFS(Principal[Automatic],"X",Principal[Branches],"X")</f>
        <v>0</v>
      </c>
    </row>
    <row r="38" spans="1:3" x14ac:dyDescent="0.25">
      <c r="A38" s="80">
        <v>4</v>
      </c>
      <c r="B38" s="140">
        <v>4</v>
      </c>
      <c r="C38" s="139">
        <f>COUNTIFS(Principal[Artificial Intelligence / Machine Learning],"X",Principal[Branches],"X")</f>
        <v>2</v>
      </c>
    </row>
    <row r="39" spans="1:3" x14ac:dyDescent="0.25">
      <c r="A39" s="80">
        <v>5</v>
      </c>
      <c r="B39" s="140">
        <v>4</v>
      </c>
      <c r="C39" s="139">
        <f>COUNTIFS(Principal[Qualitative analyses],"X",Principal[Branches],"X")</f>
        <v>0</v>
      </c>
    </row>
    <row r="40" spans="1:3" x14ac:dyDescent="0.25">
      <c r="A40" s="80">
        <v>6</v>
      </c>
      <c r="B40" s="140">
        <v>4</v>
      </c>
      <c r="C40" s="139">
        <f>COUNTIFS(Principal[Heuristical techniques],"X",Principal[Branches],"X")</f>
        <v>0</v>
      </c>
    </row>
    <row r="41" spans="1:3" x14ac:dyDescent="0.25">
      <c r="A41" s="80">
        <v>7</v>
      </c>
      <c r="B41" s="140">
        <v>4</v>
      </c>
      <c r="C41" s="139">
        <f>COUNTIFS(Principal[Empirical/ Experimental],"X",Principal[Branches],"X")</f>
        <v>8</v>
      </c>
    </row>
    <row r="42" spans="1:3" x14ac:dyDescent="0.25">
      <c r="A42" s="80">
        <v>8</v>
      </c>
      <c r="B42" s="140">
        <v>4</v>
      </c>
      <c r="C42" s="139">
        <f>COUNTIFS(Principal[Statistical analyses],"X",Principal[Branches],"X")</f>
        <v>0</v>
      </c>
    </row>
    <row r="43" spans="1:3" x14ac:dyDescent="0.25">
      <c r="A43" s="80">
        <v>9</v>
      </c>
      <c r="B43" s="140">
        <v>4</v>
      </c>
      <c r="C43" s="139">
        <f>COUNTIFS(Principal[Prediction],"X",Principal[Branches],"X")</f>
        <v>0</v>
      </c>
    </row>
    <row r="44" spans="1:3" x14ac:dyDescent="0.25">
      <c r="A44" s="80">
        <v>10</v>
      </c>
      <c r="B44" s="140">
        <v>4</v>
      </c>
      <c r="C44" s="139">
        <f>COUNTIFS(Principal[Reverse Engineering],"X",Principal[Branches],"X")</f>
        <v>0</v>
      </c>
    </row>
    <row r="45" spans="1:3" x14ac:dyDescent="0.25">
      <c r="A45" s="80">
        <v>11</v>
      </c>
      <c r="B45" s="140">
        <v>4</v>
      </c>
      <c r="C45" s="139">
        <f>COUNTIFS(Principal[Testing-based techniques],"X",Principal[Branches],"X")</f>
        <v>0</v>
      </c>
    </row>
    <row r="46" spans="1:3" x14ac:dyDescent="0.25">
      <c r="A46" s="80">
        <v>1</v>
      </c>
      <c r="B46" s="141">
        <v>5</v>
      </c>
      <c r="C46" s="139">
        <f>COUNTIFS(Principal[Ad Hoc Algorithms],"X",Principal[Source Code],"X")</f>
        <v>7</v>
      </c>
    </row>
    <row r="47" spans="1:3" x14ac:dyDescent="0.25">
      <c r="A47" s="80">
        <v>2</v>
      </c>
      <c r="B47" s="141">
        <v>5</v>
      </c>
      <c r="C47" s="139">
        <f>COUNTIFS(Principal[Data mining],"X",Principal[Source Code],"X")</f>
        <v>3</v>
      </c>
    </row>
    <row r="48" spans="1:3" x14ac:dyDescent="0.25">
      <c r="A48" s="80">
        <v>3</v>
      </c>
      <c r="B48" s="141">
        <v>5</v>
      </c>
      <c r="C48" s="139">
        <f>COUNTIFS(Principal[Automatic],"X",Principal[Source Code],"X")</f>
        <v>14</v>
      </c>
    </row>
    <row r="49" spans="1:3" x14ac:dyDescent="0.25">
      <c r="A49" s="80">
        <v>4</v>
      </c>
      <c r="B49" s="141">
        <v>5</v>
      </c>
      <c r="C49" s="139">
        <f>COUNTIFS(Principal[Artificial Intelligence / Machine Learning],"X",Principal[Source Code],"X")</f>
        <v>8</v>
      </c>
    </row>
    <row r="50" spans="1:3" x14ac:dyDescent="0.25">
      <c r="A50" s="80">
        <v>5</v>
      </c>
      <c r="B50" s="141">
        <v>5</v>
      </c>
      <c r="C50" s="139">
        <f>COUNTIFS(Principal[Qualitative analyses],"X",Principal[Source Code],"X")</f>
        <v>2</v>
      </c>
    </row>
    <row r="51" spans="1:3" x14ac:dyDescent="0.25">
      <c r="A51" s="80">
        <v>6</v>
      </c>
      <c r="B51" s="141">
        <v>5</v>
      </c>
      <c r="C51" s="139">
        <f>COUNTIFS(Principal[Heuristical techniques],"X",Principal[Source Code],"X")</f>
        <v>0</v>
      </c>
    </row>
    <row r="52" spans="1:3" x14ac:dyDescent="0.25">
      <c r="A52" s="80">
        <v>7</v>
      </c>
      <c r="B52" s="141">
        <v>5</v>
      </c>
      <c r="C52" s="139">
        <f>COUNTIFS(Principal[Empirical/ Experimental],"X",Principal[Source Code],"X")</f>
        <v>41</v>
      </c>
    </row>
    <row r="53" spans="1:3" x14ac:dyDescent="0.25">
      <c r="A53" s="80">
        <v>8</v>
      </c>
      <c r="B53" s="141">
        <v>5</v>
      </c>
      <c r="C53" s="139">
        <f>COUNTIFS(Principal[Statistical analyses],"X",Principal[Source Code],"X")</f>
        <v>11</v>
      </c>
    </row>
    <row r="54" spans="1:3" x14ac:dyDescent="0.25">
      <c r="A54" s="80">
        <v>9</v>
      </c>
      <c r="B54" s="141">
        <v>5</v>
      </c>
      <c r="C54" s="139">
        <f>COUNTIFS(Principal[Prediction],"X",Principal[Source Code],"X")</f>
        <v>3</v>
      </c>
    </row>
    <row r="55" spans="1:3" x14ac:dyDescent="0.25">
      <c r="A55" s="80">
        <v>10</v>
      </c>
      <c r="B55" s="141">
        <v>5</v>
      </c>
      <c r="C55" s="139">
        <f>COUNTIFS(Principal[Reverse Engineering],"X",Principal[Source Code],"X")</f>
        <v>3</v>
      </c>
    </row>
    <row r="56" spans="1:3" x14ac:dyDescent="0.25">
      <c r="A56" s="80">
        <v>11</v>
      </c>
      <c r="B56" s="141">
        <v>5</v>
      </c>
      <c r="C56" s="139">
        <f>COUNTIFS(Principal[Testing-based techniques],"X",Principal[Source Code],"X")</f>
        <v>2</v>
      </c>
    </row>
    <row r="57" spans="1:3" x14ac:dyDescent="0.25">
      <c r="A57" s="80">
        <v>1</v>
      </c>
      <c r="B57" s="137">
        <v>6</v>
      </c>
      <c r="C57" s="137">
        <f>COUNTIFS(Principal[Ad Hoc Algorithms],"X",Principal[Informal Information],"X")</f>
        <v>0</v>
      </c>
    </row>
    <row r="58" spans="1:3" x14ac:dyDescent="0.25">
      <c r="A58" s="80">
        <v>2</v>
      </c>
      <c r="B58" s="137">
        <v>6</v>
      </c>
      <c r="C58" s="137">
        <f>COUNTIFS(Principal[Data mining],"X",Principal[Informal Information],"X")</f>
        <v>0</v>
      </c>
    </row>
    <row r="59" spans="1:3" x14ac:dyDescent="0.25">
      <c r="A59" s="80">
        <v>3</v>
      </c>
      <c r="B59" s="137">
        <v>6</v>
      </c>
      <c r="C59" s="137">
        <f>COUNTIFS(Principal[Automatic],"X",Principal[Informal Information],"X")</f>
        <v>2</v>
      </c>
    </row>
    <row r="60" spans="1:3" x14ac:dyDescent="0.25">
      <c r="A60" s="80">
        <v>4</v>
      </c>
      <c r="B60" s="137">
        <v>6</v>
      </c>
      <c r="C60" s="137">
        <f>COUNTIFS(Principal[Artificial Intelligence / Machine Learning],"X",Principal[Informal Information],"X")</f>
        <v>1</v>
      </c>
    </row>
    <row r="61" spans="1:3" x14ac:dyDescent="0.25">
      <c r="A61" s="80">
        <v>5</v>
      </c>
      <c r="B61" s="137">
        <v>6</v>
      </c>
      <c r="C61" s="137">
        <f>COUNTIFS(Principal[Qualitative analyses],"X",Principal[Informal Information],"X")</f>
        <v>0</v>
      </c>
    </row>
    <row r="62" spans="1:3" x14ac:dyDescent="0.25">
      <c r="A62" s="80">
        <v>6</v>
      </c>
      <c r="B62" s="137">
        <v>6</v>
      </c>
      <c r="C62" s="137">
        <f>COUNTIFS(Principal[Heuristical techniques],"X",Principal[Informal Information],"X")</f>
        <v>1</v>
      </c>
    </row>
    <row r="63" spans="1:3" x14ac:dyDescent="0.25">
      <c r="A63" s="80">
        <v>7</v>
      </c>
      <c r="B63" s="137">
        <v>6</v>
      </c>
      <c r="C63" s="137">
        <f>COUNTIFS(Principal[Empirical/ Experimental],"X",Principal[Informal Information],"X")</f>
        <v>1</v>
      </c>
    </row>
    <row r="64" spans="1:3" x14ac:dyDescent="0.25">
      <c r="A64" s="80">
        <v>8</v>
      </c>
      <c r="B64" s="137">
        <v>6</v>
      </c>
      <c r="C64" s="137">
        <f>COUNTIFS(Principal[Statistical analyses],"X",Principal[Informal Information],"X")</f>
        <v>2</v>
      </c>
    </row>
    <row r="65" spans="1:3" x14ac:dyDescent="0.25">
      <c r="A65" s="80">
        <v>9</v>
      </c>
      <c r="B65" s="137">
        <v>6</v>
      </c>
      <c r="C65" s="137">
        <f>COUNTIFS(Principal[Prediction],"X",Principal[Informal Information],"X")</f>
        <v>1</v>
      </c>
    </row>
    <row r="66" spans="1:3" x14ac:dyDescent="0.25">
      <c r="A66" s="80">
        <v>10</v>
      </c>
      <c r="B66" s="137">
        <v>6</v>
      </c>
      <c r="C66" s="137">
        <f>COUNTIFS(Principal[Reverse Engineering],"X",Principal[Informal Information],"X")</f>
        <v>0</v>
      </c>
    </row>
    <row r="67" spans="1:3" x14ac:dyDescent="0.25">
      <c r="A67" s="80">
        <v>11</v>
      </c>
      <c r="B67" s="137">
        <v>6</v>
      </c>
      <c r="C67" s="137">
        <f>COUNTIFS(Principal[Testing-based techniques],"X",Principal[Informal Information],"X")</f>
        <v>0</v>
      </c>
    </row>
    <row r="68" spans="1:3" x14ac:dyDescent="0.25">
      <c r="A68" s="80">
        <v>1</v>
      </c>
      <c r="B68" s="142">
        <v>7</v>
      </c>
      <c r="C68" s="142">
        <f>COUNTIFS(Principal[Ad Hoc Algorithms],"X",Principal[Commiters],"X")</f>
        <v>1</v>
      </c>
    </row>
    <row r="69" spans="1:3" x14ac:dyDescent="0.25">
      <c r="A69" s="80">
        <v>2</v>
      </c>
      <c r="B69" s="142">
        <v>7</v>
      </c>
      <c r="C69" s="142">
        <f>COUNTIFS(Principal[Data mining],"X",Principal[Commiters],"X")</f>
        <v>1</v>
      </c>
    </row>
    <row r="70" spans="1:3" x14ac:dyDescent="0.25">
      <c r="A70" s="80">
        <v>3</v>
      </c>
      <c r="B70" s="142">
        <v>7</v>
      </c>
      <c r="C70" s="142">
        <f>COUNTIFS(Principal[Automatic],"X",Principal[Commiters],"X")</f>
        <v>1</v>
      </c>
    </row>
    <row r="71" spans="1:3" x14ac:dyDescent="0.25">
      <c r="A71" s="80">
        <v>4</v>
      </c>
      <c r="B71" s="142">
        <v>7</v>
      </c>
      <c r="C71" s="142">
        <f>COUNTIFS(Principal[Artificial Intelligence / Machine Learning],"X",Principal[Commiters],"X")</f>
        <v>0</v>
      </c>
    </row>
    <row r="72" spans="1:3" x14ac:dyDescent="0.25">
      <c r="A72" s="80">
        <v>5</v>
      </c>
      <c r="B72" s="142">
        <v>7</v>
      </c>
      <c r="C72" s="142">
        <f>COUNTIFS(Principal[Qualitative analyses],"X",Principal[Commiters],"X")</f>
        <v>1</v>
      </c>
    </row>
    <row r="73" spans="1:3" x14ac:dyDescent="0.25">
      <c r="A73" s="80">
        <v>6</v>
      </c>
      <c r="B73" s="142">
        <v>7</v>
      </c>
      <c r="C73" s="142">
        <f>COUNTIFS(Principal[Heuristical techniques],"X",Principal[Commiters],"X")</f>
        <v>0</v>
      </c>
    </row>
    <row r="74" spans="1:3" x14ac:dyDescent="0.25">
      <c r="A74" s="80">
        <v>7</v>
      </c>
      <c r="B74" s="142">
        <v>7</v>
      </c>
      <c r="C74" s="142">
        <f>COUNTIFS(Principal[Empirical/ Experimental],"X",Principal[Commiters],"X")</f>
        <v>7</v>
      </c>
    </row>
    <row r="75" spans="1:3" x14ac:dyDescent="0.25">
      <c r="A75" s="80">
        <v>8</v>
      </c>
      <c r="B75" s="142">
        <v>7</v>
      </c>
      <c r="C75" s="142">
        <f>COUNTIFS(Principal[Statistical analyses],"X",Principal[Commiters],"X")</f>
        <v>0</v>
      </c>
    </row>
    <row r="76" spans="1:3" x14ac:dyDescent="0.25">
      <c r="A76" s="80">
        <v>9</v>
      </c>
      <c r="B76" s="142">
        <v>7</v>
      </c>
      <c r="C76" s="142">
        <f>COUNTIFS(Principal[Prediction],"X",Principal[Commiters],"X")</f>
        <v>0</v>
      </c>
    </row>
    <row r="77" spans="1:3" x14ac:dyDescent="0.25">
      <c r="A77" s="80">
        <v>10</v>
      </c>
      <c r="B77" s="142">
        <v>7</v>
      </c>
      <c r="C77" s="142">
        <f>COUNTIFS(Principal[Reverse Engineering],"X",Principal[Commiters],"X")</f>
        <v>1</v>
      </c>
    </row>
    <row r="78" spans="1:3" x14ac:dyDescent="0.25">
      <c r="A78" s="80">
        <v>11</v>
      </c>
      <c r="B78" s="142">
        <v>7</v>
      </c>
      <c r="C78" s="142">
        <f>COUNTIFS(Principal[Testing-based techniques],"X",Principal[Commiters],"X")</f>
        <v>0</v>
      </c>
    </row>
    <row r="79" spans="1:3" x14ac:dyDescent="0.25">
      <c r="A79" s="80">
        <v>1</v>
      </c>
      <c r="B79" s="143">
        <v>8</v>
      </c>
      <c r="C79" s="145">
        <f>COUNTIFS(Principal[Ad Hoc Algorithms],"X",Principal[Commit data],"X")</f>
        <v>13</v>
      </c>
    </row>
    <row r="80" spans="1:3" x14ac:dyDescent="0.25">
      <c r="A80" s="80">
        <v>2</v>
      </c>
      <c r="B80" s="143">
        <v>8</v>
      </c>
      <c r="C80" s="145">
        <f>COUNTIFS(Principal[Data mining],"X",Principal[Commit data],"X")</f>
        <v>7</v>
      </c>
    </row>
    <row r="81" spans="1:20" x14ac:dyDescent="0.25">
      <c r="A81" s="80">
        <v>3</v>
      </c>
      <c r="B81" s="143">
        <v>8</v>
      </c>
      <c r="C81" s="145">
        <f>COUNTIFS(Principal[Automatic],"X",Principal[Commit data],"X")</f>
        <v>21</v>
      </c>
    </row>
    <row r="82" spans="1:20" x14ac:dyDescent="0.25">
      <c r="A82" s="80">
        <v>4</v>
      </c>
      <c r="B82" s="143">
        <v>8</v>
      </c>
      <c r="C82" s="145">
        <f>COUNTIFS(Principal[Artificial Intelligence / Machine Learning],"X",Principal[Commit data],"X")</f>
        <v>17</v>
      </c>
    </row>
    <row r="83" spans="1:20" x14ac:dyDescent="0.25">
      <c r="A83" s="80">
        <v>5</v>
      </c>
      <c r="B83" s="143">
        <v>8</v>
      </c>
      <c r="C83" s="145">
        <f>COUNTIFS(Principal[Qualitative analyses],"X",Principal[Commit data],"X")</f>
        <v>4</v>
      </c>
    </row>
    <row r="84" spans="1:20" x14ac:dyDescent="0.25">
      <c r="A84" s="80">
        <v>6</v>
      </c>
      <c r="B84" s="143">
        <v>8</v>
      </c>
      <c r="C84" s="145">
        <f>COUNTIFS(Principal[Heuristical techniques],"X",Principal[Commit data],"X")</f>
        <v>6</v>
      </c>
    </row>
    <row r="85" spans="1:20" x14ac:dyDescent="0.25">
      <c r="A85" s="80">
        <v>7</v>
      </c>
      <c r="B85" s="143">
        <v>8</v>
      </c>
      <c r="C85" s="145">
        <f>COUNTIFS(Principal[Empirical/ Experimental],"X",Principal[Commit data],"X")</f>
        <v>37</v>
      </c>
    </row>
    <row r="86" spans="1:20" x14ac:dyDescent="0.25">
      <c r="A86" s="80">
        <v>8</v>
      </c>
      <c r="B86" s="143">
        <v>8</v>
      </c>
      <c r="C86" s="145">
        <f>COUNTIFS(Principal[Statistical analyses],"X",Principal[Commit data],"X")</f>
        <v>5</v>
      </c>
    </row>
    <row r="87" spans="1:20" x14ac:dyDescent="0.25">
      <c r="A87" s="80">
        <v>9</v>
      </c>
      <c r="B87" s="143">
        <v>8</v>
      </c>
      <c r="C87" s="145">
        <f>COUNTIFS(Principal[Prediction],"X",Principal[Commit data],"X")</f>
        <v>3</v>
      </c>
    </row>
    <row r="88" spans="1:20" x14ac:dyDescent="0.25">
      <c r="A88" s="80">
        <v>10</v>
      </c>
      <c r="B88" s="143">
        <v>8</v>
      </c>
      <c r="C88" s="145">
        <f>COUNTIFS(Principal[Reverse Engineering],"X",Principal[Commit data],"X")</f>
        <v>4</v>
      </c>
    </row>
    <row r="89" spans="1:20" x14ac:dyDescent="0.25">
      <c r="A89" s="80">
        <v>11</v>
      </c>
      <c r="B89" s="143">
        <v>8</v>
      </c>
      <c r="C89" s="145">
        <f>COUNTIFS(Principal[Testing-based techniques],"X",Principal[Commit data],"X")</f>
        <v>3</v>
      </c>
      <c r="T89" t="s">
        <v>50</v>
      </c>
    </row>
    <row r="90" spans="1:20" x14ac:dyDescent="0.25">
      <c r="A90" s="80">
        <v>1</v>
      </c>
      <c r="B90" s="122">
        <v>9</v>
      </c>
      <c r="C90" s="145">
        <f>COUNTIFS(Principal[Ad Hoc Algorithms],"X",Principal[Logs],"X")</f>
        <v>1</v>
      </c>
    </row>
    <row r="91" spans="1:20" x14ac:dyDescent="0.25">
      <c r="A91" s="80">
        <v>2</v>
      </c>
      <c r="B91" s="122">
        <v>9</v>
      </c>
      <c r="C91" s="145">
        <f>COUNTIFS(Principal[Data mining],"X",Principal[Logs],"X")</f>
        <v>1</v>
      </c>
    </row>
    <row r="92" spans="1:20" x14ac:dyDescent="0.25">
      <c r="A92" s="80">
        <v>3</v>
      </c>
      <c r="B92" s="122">
        <v>9</v>
      </c>
      <c r="C92" s="145">
        <f>COUNTIFS(Principal[Automatic],"X",Principal[Logs],"X")</f>
        <v>0</v>
      </c>
    </row>
    <row r="93" spans="1:20" x14ac:dyDescent="0.25">
      <c r="A93" s="80">
        <v>4</v>
      </c>
      <c r="B93" s="122">
        <v>9</v>
      </c>
      <c r="C93" s="145">
        <f>COUNTIFS(Principal[Artificial Intelligence / Machine Learning],"X",Principal[Logs],"X")</f>
        <v>0</v>
      </c>
    </row>
    <row r="94" spans="1:20" x14ac:dyDescent="0.25">
      <c r="A94" s="80">
        <v>5</v>
      </c>
      <c r="B94" s="122">
        <v>9</v>
      </c>
      <c r="C94" s="145">
        <f>COUNTIFS(Principal[Qualitative analyses],"X",Principal[Logs],"X")</f>
        <v>1</v>
      </c>
    </row>
    <row r="95" spans="1:20" x14ac:dyDescent="0.25">
      <c r="A95" s="80">
        <v>6</v>
      </c>
      <c r="B95" s="122">
        <v>9</v>
      </c>
      <c r="C95" s="145">
        <f>COUNTIFS(Principal[Heuristical techniques],"X",Principal[Logs],"X")</f>
        <v>0</v>
      </c>
    </row>
    <row r="96" spans="1:20" x14ac:dyDescent="0.25">
      <c r="A96" s="80">
        <v>7</v>
      </c>
      <c r="B96" s="122">
        <v>9</v>
      </c>
      <c r="C96" s="145">
        <f>COUNTIFS(Principal[Empirical/ Experimental],"X",Principal[Logs],"X")</f>
        <v>1</v>
      </c>
    </row>
    <row r="97" spans="1:3" x14ac:dyDescent="0.25">
      <c r="A97" s="80">
        <v>8</v>
      </c>
      <c r="B97" s="122">
        <v>9</v>
      </c>
      <c r="C97" s="145">
        <f>COUNTIFS(Principal[Statistical analyses],"X",Principal[Logs],"X")</f>
        <v>1</v>
      </c>
    </row>
    <row r="98" spans="1:3" x14ac:dyDescent="0.25">
      <c r="A98" s="80">
        <v>9</v>
      </c>
      <c r="B98" s="122">
        <v>9</v>
      </c>
      <c r="C98" s="145">
        <f>COUNTIFS(Principal[Prediction],"X",Principal[Logs],"X")</f>
        <v>0</v>
      </c>
    </row>
    <row r="99" spans="1:3" x14ac:dyDescent="0.25">
      <c r="A99" s="80">
        <v>10</v>
      </c>
      <c r="B99" s="122">
        <v>9</v>
      </c>
      <c r="C99" s="145">
        <f>COUNTIFS(Principal[Reverse Engineering],"X",Principal[Logs],"X")</f>
        <v>0</v>
      </c>
    </row>
    <row r="100" spans="1:3" x14ac:dyDescent="0.25">
      <c r="A100" s="80">
        <v>11</v>
      </c>
      <c r="B100" s="122">
        <v>9</v>
      </c>
      <c r="C100" s="145">
        <f>COUNTIFS(Principal[Testing-based techniques],"X",Principal[Logs],"X")</f>
        <v>0</v>
      </c>
    </row>
    <row r="101" spans="1:3" x14ac:dyDescent="0.25">
      <c r="A101" s="80">
        <v>1</v>
      </c>
      <c r="B101" s="139">
        <v>10</v>
      </c>
      <c r="C101" s="145">
        <f>COUNTIFS(Principal[Ad Hoc Algorithms],"X",Principal[Graphs/News Feed],"X")</f>
        <v>0</v>
      </c>
    </row>
    <row r="102" spans="1:3" x14ac:dyDescent="0.25">
      <c r="A102" s="80">
        <v>2</v>
      </c>
      <c r="B102" s="139">
        <v>10</v>
      </c>
      <c r="C102" s="145">
        <f>COUNTIFS(Principal[Data mining],"X",Principal[Graphs/News Feed],"X")</f>
        <v>0</v>
      </c>
    </row>
    <row r="103" spans="1:3" x14ac:dyDescent="0.25">
      <c r="A103" s="80">
        <v>3</v>
      </c>
      <c r="B103" s="139">
        <v>10</v>
      </c>
      <c r="C103" s="145">
        <f>COUNTIFS(Principal[Automatic],"X",Principal[Graphs/News Feed],"X")</f>
        <v>0</v>
      </c>
    </row>
    <row r="104" spans="1:3" x14ac:dyDescent="0.25">
      <c r="A104" s="80">
        <v>4</v>
      </c>
      <c r="B104" s="139">
        <v>10</v>
      </c>
      <c r="C104" s="145">
        <f>COUNTIFS(Principal[Artificial Intelligence / Machine Learning],"X",Principal[Graphs/News Feed],"X")</f>
        <v>0</v>
      </c>
    </row>
    <row r="105" spans="1:3" x14ac:dyDescent="0.25">
      <c r="A105" s="80">
        <v>5</v>
      </c>
      <c r="B105" s="139">
        <v>10</v>
      </c>
      <c r="C105" s="145">
        <f>COUNTIFS(Principal[Qualitative analyses],"X",Principal[Graphs/News Feed],"X")</f>
        <v>0</v>
      </c>
    </row>
    <row r="106" spans="1:3" x14ac:dyDescent="0.25">
      <c r="A106" s="80">
        <v>6</v>
      </c>
      <c r="B106" s="139">
        <v>10</v>
      </c>
      <c r="C106" s="145">
        <f>COUNTIFS(Principal[Heuristical techniques],"X",Principal[Graphs/News Feed],"X")</f>
        <v>0</v>
      </c>
    </row>
    <row r="107" spans="1:3" x14ac:dyDescent="0.25">
      <c r="A107" s="80">
        <v>7</v>
      </c>
      <c r="B107" s="139">
        <v>10</v>
      </c>
      <c r="C107" s="145">
        <f>COUNTIFS(Principal[Empirical/ Experimental],"X",Principal[Graphs/News Feed],"X")</f>
        <v>1</v>
      </c>
    </row>
    <row r="108" spans="1:3" x14ac:dyDescent="0.25">
      <c r="A108" s="80">
        <v>8</v>
      </c>
      <c r="B108" s="139">
        <v>10</v>
      </c>
      <c r="C108" s="145">
        <f>COUNTIFS(Principal[Statistical analyses],"X",Principal[Graphs/News Feed],"X")</f>
        <v>1</v>
      </c>
    </row>
    <row r="109" spans="1:3" x14ac:dyDescent="0.25">
      <c r="A109" s="80">
        <v>9</v>
      </c>
      <c r="B109" s="139">
        <v>10</v>
      </c>
      <c r="C109" s="145">
        <f>COUNTIFS(Principal[Prediction],"X",Principal[Graphs/News Feed],"X")</f>
        <v>0</v>
      </c>
    </row>
    <row r="110" spans="1:3" x14ac:dyDescent="0.25">
      <c r="A110" s="80">
        <v>10</v>
      </c>
      <c r="B110" s="139">
        <v>10</v>
      </c>
      <c r="C110" s="145">
        <f>COUNTIFS(Principal[Reverse Engineering],"X",Principal[Graphs/News Feed],"X")</f>
        <v>0</v>
      </c>
    </row>
    <row r="111" spans="1:3" x14ac:dyDescent="0.25">
      <c r="A111" s="80">
        <v>11</v>
      </c>
      <c r="B111" s="139">
        <v>10</v>
      </c>
      <c r="C111" s="145">
        <f>COUNTIFS(Principal[Testing-based techniques],"X",Principal[Graphs/News Feed],"X")</f>
        <v>0</v>
      </c>
    </row>
    <row r="112" spans="1:3" x14ac:dyDescent="0.25">
      <c r="A112" s="80">
        <v>1</v>
      </c>
      <c r="B112" s="137">
        <v>11</v>
      </c>
      <c r="C112" s="145">
        <f>COUNTIFS(Principal[Ad Hoc Algorithms],"X",Principal[Issue],"X")</f>
        <v>3</v>
      </c>
    </row>
    <row r="113" spans="1:3" x14ac:dyDescent="0.25">
      <c r="A113" s="80">
        <v>2</v>
      </c>
      <c r="B113" s="137">
        <v>11</v>
      </c>
      <c r="C113" s="145">
        <f>COUNTIFS(Principal[Data mining],"X",Principal[Issue],"X")</f>
        <v>1</v>
      </c>
    </row>
    <row r="114" spans="1:3" x14ac:dyDescent="0.25">
      <c r="A114" s="80">
        <v>3</v>
      </c>
      <c r="B114" s="137">
        <v>11</v>
      </c>
      <c r="C114" s="145">
        <f>COUNTIFS(Principal[Automatic],"X",Principal[Issue],"X")</f>
        <v>2</v>
      </c>
    </row>
    <row r="115" spans="1:3" x14ac:dyDescent="0.25">
      <c r="A115" s="80">
        <v>4</v>
      </c>
      <c r="B115" s="137">
        <v>11</v>
      </c>
      <c r="C115" s="145">
        <f>COUNTIFS(Principal[Artificial Intelligence / Machine Learning],"X",Principal[Issue],"X")</f>
        <v>3</v>
      </c>
    </row>
    <row r="116" spans="1:3" x14ac:dyDescent="0.25">
      <c r="A116" s="80">
        <v>5</v>
      </c>
      <c r="B116" s="137">
        <v>11</v>
      </c>
      <c r="C116" s="145">
        <f>COUNTIFS(Principal[Qualitative analyses],"X",Principal[Issue],"X")</f>
        <v>0</v>
      </c>
    </row>
    <row r="117" spans="1:3" x14ac:dyDescent="0.25">
      <c r="A117" s="80">
        <v>6</v>
      </c>
      <c r="B117" s="137">
        <v>11</v>
      </c>
      <c r="C117" s="145">
        <f>COUNTIFS(Principal[Heuristical techniques],"X",Principal[Issue],"X")</f>
        <v>0</v>
      </c>
    </row>
    <row r="118" spans="1:3" x14ac:dyDescent="0.25">
      <c r="A118" s="80">
        <v>7</v>
      </c>
      <c r="B118" s="137">
        <v>11</v>
      </c>
      <c r="C118" s="145">
        <f>COUNTIFS(Principal[Empirical/ Experimental],"X",Principal[Issue],"X")</f>
        <v>5</v>
      </c>
    </row>
    <row r="119" spans="1:3" x14ac:dyDescent="0.25">
      <c r="A119" s="80">
        <v>8</v>
      </c>
      <c r="B119" s="137">
        <v>11</v>
      </c>
      <c r="C119" s="145">
        <f>COUNTIFS(Principal[Statistical analyses],"X",Principal[Issue],"X")</f>
        <v>4</v>
      </c>
    </row>
    <row r="120" spans="1:3" x14ac:dyDescent="0.25">
      <c r="A120" s="80">
        <v>9</v>
      </c>
      <c r="B120" s="137">
        <v>11</v>
      </c>
      <c r="C120" s="145">
        <f>COUNTIFS(Principal[Prediction],"X",Principal[Issue],"X")</f>
        <v>1</v>
      </c>
    </row>
    <row r="121" spans="1:3" x14ac:dyDescent="0.25">
      <c r="A121" s="80">
        <v>10</v>
      </c>
      <c r="B121" s="137">
        <v>11</v>
      </c>
      <c r="C121" s="145">
        <f>COUNTIFS(Principal[Reverse Engineering],"X",Principal[Issue],"X")</f>
        <v>1</v>
      </c>
    </row>
    <row r="122" spans="1:3" x14ac:dyDescent="0.25">
      <c r="A122" s="80">
        <v>11</v>
      </c>
      <c r="B122" s="137">
        <v>11</v>
      </c>
      <c r="C122" s="145">
        <f>COUNTIFS(Principal[Testing-based techniques],"X",Principal[Issue],"X")</f>
        <v>0</v>
      </c>
    </row>
    <row r="123" spans="1:3" x14ac:dyDescent="0.25">
      <c r="A123" s="80">
        <v>1</v>
      </c>
      <c r="B123" s="144">
        <v>12</v>
      </c>
      <c r="C123" s="145">
        <f>COUNTIFS(Principal[Ad Hoc Algorithms],"X",Principal[Pulls/ Pulls request],"X")</f>
        <v>2</v>
      </c>
    </row>
    <row r="124" spans="1:3" x14ac:dyDescent="0.25">
      <c r="A124" s="80">
        <v>2</v>
      </c>
      <c r="B124" s="144">
        <v>12</v>
      </c>
      <c r="C124" s="145">
        <f>COUNTIFS(Principal[Data mining],"X",Principal[Pulls/ Pulls request],"X")</f>
        <v>0</v>
      </c>
    </row>
    <row r="125" spans="1:3" x14ac:dyDescent="0.25">
      <c r="A125" s="80">
        <v>3</v>
      </c>
      <c r="B125" s="144">
        <v>12</v>
      </c>
      <c r="C125" s="145">
        <f>COUNTIFS(Principal[Automatic],"X",Principal[Pulls/ Pulls request],"X")</f>
        <v>2</v>
      </c>
    </row>
    <row r="126" spans="1:3" x14ac:dyDescent="0.25">
      <c r="A126" s="80">
        <v>4</v>
      </c>
      <c r="B126" s="144">
        <v>12</v>
      </c>
      <c r="C126" s="145">
        <f>COUNTIFS(Principal[Artificial Intelligence / Machine Learning],"X",Principal[Pulls/ Pulls request],"X")</f>
        <v>3</v>
      </c>
    </row>
    <row r="127" spans="1:3" x14ac:dyDescent="0.25">
      <c r="A127" s="80">
        <v>5</v>
      </c>
      <c r="B127" s="144">
        <v>12</v>
      </c>
      <c r="C127" s="145">
        <f>COUNTIFS(Principal[Qualitative analyses],"X",Principal[Pulls/ Pulls request],"X")</f>
        <v>0</v>
      </c>
    </row>
    <row r="128" spans="1:3" x14ac:dyDescent="0.25">
      <c r="A128" s="80">
        <v>6</v>
      </c>
      <c r="B128" s="144">
        <v>12</v>
      </c>
      <c r="C128" s="145">
        <f>COUNTIFS(Principal[Heuristical techniques],"X",Principal[Pulls/ Pulls request],"X")</f>
        <v>1</v>
      </c>
    </row>
    <row r="129" spans="1:3" x14ac:dyDescent="0.25">
      <c r="A129" s="80">
        <v>7</v>
      </c>
      <c r="B129" s="144">
        <v>12</v>
      </c>
      <c r="C129" s="145">
        <f>COUNTIFS(Principal[Empirical/ Experimental],"X",Principal[Pulls/ Pulls request],"X")</f>
        <v>4</v>
      </c>
    </row>
    <row r="130" spans="1:3" x14ac:dyDescent="0.25">
      <c r="A130" s="80">
        <v>8</v>
      </c>
      <c r="B130" s="144">
        <v>12</v>
      </c>
      <c r="C130" s="145">
        <f>COUNTIFS(Principal[Statistical analyses],"X",Principal[Pulls/ Pulls request],"X")</f>
        <v>1</v>
      </c>
    </row>
    <row r="131" spans="1:3" x14ac:dyDescent="0.25">
      <c r="A131" s="80">
        <v>9</v>
      </c>
      <c r="B131" s="144">
        <v>12</v>
      </c>
      <c r="C131" s="145">
        <f>COUNTIFS(Principal[Prediction],"X",Principal[Pulls/ Pulls request],"X")</f>
        <v>0</v>
      </c>
    </row>
    <row r="132" spans="1:3" x14ac:dyDescent="0.25">
      <c r="A132" s="80">
        <v>10</v>
      </c>
      <c r="B132" s="144">
        <v>12</v>
      </c>
      <c r="C132" s="145">
        <f>COUNTIFS(Principal[Reverse Engineering],"X",Principal[Pulls/ Pulls request],"X")</f>
        <v>0</v>
      </c>
    </row>
    <row r="133" spans="1:3" x14ac:dyDescent="0.25">
      <c r="A133" s="80">
        <v>11</v>
      </c>
      <c r="B133" s="144">
        <v>12</v>
      </c>
      <c r="C133" s="145">
        <f>COUNTIFS(Principal[Testing-based techniques],"X",Principal[Pulls/ Pulls request],"X")</f>
        <v>0</v>
      </c>
    </row>
    <row r="134" spans="1:3" x14ac:dyDescent="0.25">
      <c r="A134" s="80">
        <v>1</v>
      </c>
      <c r="B134" s="145">
        <v>13</v>
      </c>
      <c r="C134" s="145">
        <f>COUNTIFS(Principal[Ad Hoc Algorithms],"X",Principal[Level of interest],"X")</f>
        <v>1</v>
      </c>
    </row>
    <row r="135" spans="1:3" x14ac:dyDescent="0.25">
      <c r="A135" s="80">
        <v>2</v>
      </c>
      <c r="B135" s="145">
        <v>13</v>
      </c>
      <c r="C135" s="145">
        <f>COUNTIFS(Principal[Data mining],"X",Principal[Level of interest],"X")</f>
        <v>0</v>
      </c>
    </row>
    <row r="136" spans="1:3" x14ac:dyDescent="0.25">
      <c r="A136" s="80">
        <v>3</v>
      </c>
      <c r="B136" s="145">
        <v>13</v>
      </c>
      <c r="C136" s="145">
        <f>COUNTIFS(Principal[Automatic],"X",Principal[Level of interest],"X")</f>
        <v>0</v>
      </c>
    </row>
    <row r="137" spans="1:3" x14ac:dyDescent="0.25">
      <c r="A137" s="80">
        <v>4</v>
      </c>
      <c r="B137" s="145">
        <v>13</v>
      </c>
      <c r="C137" s="145">
        <f>COUNTIFS(Principal[Artificial Intelligence / Machine Learning],"X",Principal[Level of interest],"X")</f>
        <v>0</v>
      </c>
    </row>
    <row r="138" spans="1:3" x14ac:dyDescent="0.25">
      <c r="A138" s="80">
        <v>5</v>
      </c>
      <c r="B138" s="145">
        <v>13</v>
      </c>
      <c r="C138" s="145">
        <f>COUNTIFS(Principal[Qualitative analyses],"X",Principal[Level of interest],"X")</f>
        <v>0</v>
      </c>
    </row>
    <row r="139" spans="1:3" x14ac:dyDescent="0.25">
      <c r="A139" s="80">
        <v>6</v>
      </c>
      <c r="B139" s="145">
        <v>13</v>
      </c>
      <c r="C139" s="145">
        <f>COUNTIFS(Principal[Heuristical techniques],"X",Principal[Level of interest],"X")</f>
        <v>0</v>
      </c>
    </row>
    <row r="140" spans="1:3" x14ac:dyDescent="0.25">
      <c r="A140" s="80">
        <v>7</v>
      </c>
      <c r="B140" s="145">
        <v>13</v>
      </c>
      <c r="C140" s="145">
        <f>COUNTIFS(Principal[Empirical/ Experimental],"X",Principal[Level of interest],"X")</f>
        <v>5</v>
      </c>
    </row>
    <row r="141" spans="1:3" x14ac:dyDescent="0.25">
      <c r="A141" s="80">
        <v>8</v>
      </c>
      <c r="B141" s="145">
        <v>13</v>
      </c>
      <c r="C141" s="145">
        <f>COUNTIFS(Principal[Statistical analyses],"X",Principal[Level of interest],"X")</f>
        <v>0</v>
      </c>
    </row>
    <row r="142" spans="1:3" x14ac:dyDescent="0.25">
      <c r="A142" s="80">
        <v>9</v>
      </c>
      <c r="B142" s="145">
        <v>13</v>
      </c>
      <c r="C142" s="145">
        <f>COUNTIFS(Principal[Prediction],"X",Principal[Level of interest],"X")</f>
        <v>0</v>
      </c>
    </row>
    <row r="143" spans="1:3" x14ac:dyDescent="0.25">
      <c r="A143" s="80">
        <v>10</v>
      </c>
      <c r="B143" s="145">
        <v>13</v>
      </c>
      <c r="C143" s="145">
        <f>COUNTIFS(Principal[Reverse Engineering],"X",Principal[Level of interest],"X")</f>
        <v>0</v>
      </c>
    </row>
    <row r="144" spans="1:3" x14ac:dyDescent="0.25">
      <c r="A144" s="80">
        <v>11</v>
      </c>
      <c r="B144" s="145">
        <v>13</v>
      </c>
      <c r="C144" s="145">
        <f>COUNTIFS(Principal[Testing-based techniques],"X",Principal[Level of interest],"X")</f>
        <v>0</v>
      </c>
    </row>
    <row r="145" spans="1:3" x14ac:dyDescent="0.25">
      <c r="A145" s="80">
        <v>1</v>
      </c>
      <c r="B145" s="80">
        <v>14</v>
      </c>
      <c r="C145" s="145">
        <f>COUNTIFS(Principal[Ad Hoc Algorithms],"X",Principal[Repository info],"X")</f>
        <v>2</v>
      </c>
    </row>
    <row r="146" spans="1:3" x14ac:dyDescent="0.25">
      <c r="A146" s="80">
        <v>2</v>
      </c>
      <c r="B146" s="80">
        <v>14</v>
      </c>
      <c r="C146" s="145">
        <f>COUNTIFS(Principal[Data mining],"X",Principal[Repository info],"X")</f>
        <v>2</v>
      </c>
    </row>
    <row r="147" spans="1:3" x14ac:dyDescent="0.25">
      <c r="A147" s="80">
        <v>3</v>
      </c>
      <c r="B147" s="80">
        <v>14</v>
      </c>
      <c r="C147" s="145">
        <f>COUNTIFS(Principal[Automatic],"X",Principal[Repository info],"X")</f>
        <v>2</v>
      </c>
    </row>
    <row r="148" spans="1:3" x14ac:dyDescent="0.25">
      <c r="A148" s="80">
        <v>4</v>
      </c>
      <c r="B148" s="80">
        <v>14</v>
      </c>
      <c r="C148" s="145">
        <f>COUNTIFS(Principal[Artificial Intelligence / Machine Learning],"X",Principal[Repository info],"X")</f>
        <v>2</v>
      </c>
    </row>
    <row r="149" spans="1:3" x14ac:dyDescent="0.25">
      <c r="A149" s="80">
        <v>5</v>
      </c>
      <c r="B149" s="80">
        <v>14</v>
      </c>
      <c r="C149" s="145">
        <f>COUNTIFS(Principal[Qualitative analyses],"X",Principal[Repository info],"X")</f>
        <v>2</v>
      </c>
    </row>
    <row r="150" spans="1:3" x14ac:dyDescent="0.25">
      <c r="A150" s="80">
        <v>6</v>
      </c>
      <c r="B150" s="80">
        <v>14</v>
      </c>
      <c r="C150" s="145">
        <f>COUNTIFS(Principal[Heuristical techniques],"X",Principal[Repository info],"X")</f>
        <v>0</v>
      </c>
    </row>
    <row r="151" spans="1:3" x14ac:dyDescent="0.25">
      <c r="A151" s="80">
        <v>7</v>
      </c>
      <c r="B151" s="80">
        <v>14</v>
      </c>
      <c r="C151" s="145">
        <f>COUNTIFS(Principal[Empirical/ Experimental],"X",Principal[Repository info],"X")</f>
        <v>9</v>
      </c>
    </row>
    <row r="152" spans="1:3" x14ac:dyDescent="0.25">
      <c r="A152" s="80">
        <v>8</v>
      </c>
      <c r="B152" s="80">
        <v>14</v>
      </c>
      <c r="C152" s="145">
        <f>COUNTIFS(Principal[Statistical analyses],"X",Principal[Repository info],"X")</f>
        <v>3</v>
      </c>
    </row>
    <row r="153" spans="1:3" x14ac:dyDescent="0.25">
      <c r="A153" s="80">
        <v>9</v>
      </c>
      <c r="B153" s="80">
        <v>14</v>
      </c>
      <c r="C153" s="145">
        <f>COUNTIFS(Principal[Prediction],"X",Principal[Repository info],"X")</f>
        <v>2</v>
      </c>
    </row>
    <row r="154" spans="1:3" x14ac:dyDescent="0.25">
      <c r="A154" s="80">
        <v>10</v>
      </c>
      <c r="B154" s="80">
        <v>14</v>
      </c>
      <c r="C154" s="145">
        <f>COUNTIFS(Principal[Reverse Engineering],"X",Principal[Repository info],"X")</f>
        <v>1</v>
      </c>
    </row>
    <row r="155" spans="1:3" x14ac:dyDescent="0.25">
      <c r="A155" s="80">
        <v>11</v>
      </c>
      <c r="B155" s="80">
        <v>14</v>
      </c>
      <c r="C155" s="145">
        <f>COUNTIFS(Principal[Testing-based techniques],"X",Principal[Repository info],"X")</f>
        <v>0</v>
      </c>
    </row>
    <row r="156" spans="1:3" x14ac:dyDescent="0.25">
      <c r="A156" s="80">
        <v>1</v>
      </c>
      <c r="B156" s="80">
        <v>15</v>
      </c>
      <c r="C156">
        <v>0</v>
      </c>
    </row>
    <row r="157" spans="1:3" x14ac:dyDescent="0.25">
      <c r="A157" s="80">
        <v>2</v>
      </c>
      <c r="B157" s="80">
        <v>15</v>
      </c>
      <c r="C157">
        <v>0</v>
      </c>
    </row>
    <row r="158" spans="1:3" x14ac:dyDescent="0.25">
      <c r="A158" s="80">
        <v>3</v>
      </c>
      <c r="B158" s="80">
        <v>15</v>
      </c>
      <c r="C158">
        <v>0</v>
      </c>
    </row>
    <row r="159" spans="1:3" x14ac:dyDescent="0.25">
      <c r="A159" s="80">
        <v>4</v>
      </c>
      <c r="B159" s="80">
        <v>15</v>
      </c>
      <c r="C159">
        <v>0</v>
      </c>
    </row>
    <row r="160" spans="1:3" x14ac:dyDescent="0.25">
      <c r="A160" s="80">
        <v>5</v>
      </c>
      <c r="B160" s="80">
        <v>15</v>
      </c>
      <c r="C160">
        <v>0</v>
      </c>
    </row>
    <row r="161" spans="1:3" x14ac:dyDescent="0.25">
      <c r="A161" s="80">
        <v>6</v>
      </c>
      <c r="B161" s="80">
        <v>15</v>
      </c>
      <c r="C161">
        <v>0</v>
      </c>
    </row>
    <row r="162" spans="1:3" x14ac:dyDescent="0.25">
      <c r="A162" s="80">
        <v>7</v>
      </c>
      <c r="B162" s="80">
        <v>15</v>
      </c>
      <c r="C162">
        <v>0</v>
      </c>
    </row>
    <row r="163" spans="1:3" x14ac:dyDescent="0.25">
      <c r="A163" s="80">
        <v>8</v>
      </c>
      <c r="B163" s="80">
        <v>15</v>
      </c>
      <c r="C163">
        <v>0</v>
      </c>
    </row>
    <row r="164" spans="1:3" x14ac:dyDescent="0.25">
      <c r="A164" s="80">
        <v>9</v>
      </c>
      <c r="B164" s="80">
        <v>15</v>
      </c>
      <c r="C164">
        <v>0</v>
      </c>
    </row>
    <row r="165" spans="1:3" x14ac:dyDescent="0.25">
      <c r="A165" s="80">
        <v>10</v>
      </c>
      <c r="B165" s="80">
        <v>15</v>
      </c>
      <c r="C165">
        <v>0</v>
      </c>
    </row>
    <row r="166" spans="1:3" x14ac:dyDescent="0.25">
      <c r="A166" s="80">
        <v>11</v>
      </c>
      <c r="B166" s="80">
        <v>15</v>
      </c>
      <c r="C166">
        <v>0</v>
      </c>
    </row>
    <row r="167" spans="1:3" x14ac:dyDescent="0.25">
      <c r="A167" s="80">
        <v>1</v>
      </c>
      <c r="B167" s="80">
        <v>16</v>
      </c>
      <c r="C167" s="26">
        <v>0</v>
      </c>
    </row>
    <row r="168" spans="1:3" x14ac:dyDescent="0.25">
      <c r="A168" s="80">
        <v>2</v>
      </c>
      <c r="B168" s="80">
        <v>16</v>
      </c>
      <c r="C168" s="26">
        <v>0</v>
      </c>
    </row>
    <row r="169" spans="1:3" x14ac:dyDescent="0.25">
      <c r="A169" s="80">
        <v>3</v>
      </c>
      <c r="B169" s="80">
        <v>16</v>
      </c>
      <c r="C169" s="26">
        <v>0</v>
      </c>
    </row>
    <row r="170" spans="1:3" x14ac:dyDescent="0.25">
      <c r="A170" s="80">
        <v>4</v>
      </c>
      <c r="B170" s="80">
        <v>16</v>
      </c>
      <c r="C170" s="26">
        <v>0</v>
      </c>
    </row>
    <row r="171" spans="1:3" x14ac:dyDescent="0.25">
      <c r="A171" s="80">
        <v>5</v>
      </c>
      <c r="B171" s="80">
        <v>16</v>
      </c>
      <c r="C171" s="26">
        <v>0</v>
      </c>
    </row>
    <row r="172" spans="1:3" x14ac:dyDescent="0.25">
      <c r="A172" s="80">
        <v>6</v>
      </c>
      <c r="B172" s="80">
        <v>16</v>
      </c>
      <c r="C172" s="26">
        <v>0</v>
      </c>
    </row>
    <row r="173" spans="1:3" x14ac:dyDescent="0.25">
      <c r="A173" s="80">
        <v>7</v>
      </c>
      <c r="B173" s="80">
        <v>16</v>
      </c>
      <c r="C173" s="26">
        <v>0</v>
      </c>
    </row>
    <row r="174" spans="1:3" x14ac:dyDescent="0.25">
      <c r="A174" s="80">
        <v>8</v>
      </c>
      <c r="B174" s="80">
        <v>16</v>
      </c>
      <c r="C174" s="26">
        <v>0</v>
      </c>
    </row>
    <row r="175" spans="1:3" x14ac:dyDescent="0.25">
      <c r="A175" s="80">
        <v>9</v>
      </c>
      <c r="B175" s="80">
        <v>16</v>
      </c>
      <c r="C175" s="26">
        <v>0</v>
      </c>
    </row>
    <row r="176" spans="1:3" x14ac:dyDescent="0.25">
      <c r="A176" s="80">
        <v>10</v>
      </c>
      <c r="B176" s="80">
        <v>16</v>
      </c>
      <c r="C176" s="26">
        <v>0</v>
      </c>
    </row>
    <row r="177" spans="1:3" x14ac:dyDescent="0.25">
      <c r="A177" s="80">
        <v>11</v>
      </c>
      <c r="B177" s="80">
        <v>16</v>
      </c>
      <c r="C177" s="26">
        <v>0</v>
      </c>
    </row>
    <row r="178" spans="1:3" x14ac:dyDescent="0.25">
      <c r="A178" s="80">
        <v>1</v>
      </c>
      <c r="B178" s="80">
        <v>17</v>
      </c>
      <c r="C178" s="145">
        <f>COUNTIFS(Principal[Ad Hoc Algorithms],"X",Principal[Automatic processing],"X")</f>
        <v>2</v>
      </c>
    </row>
    <row r="179" spans="1:3" x14ac:dyDescent="0.25">
      <c r="A179" s="80">
        <v>2</v>
      </c>
      <c r="B179" s="80">
        <v>17</v>
      </c>
      <c r="C179" s="145">
        <f>COUNTIFS(Principal[Data mining],"X",Principal[Automatic processing],"X")</f>
        <v>0</v>
      </c>
    </row>
    <row r="180" spans="1:3" x14ac:dyDescent="0.25">
      <c r="A180" s="80">
        <v>3</v>
      </c>
      <c r="B180" s="80">
        <v>17</v>
      </c>
      <c r="C180" s="145">
        <f>COUNTIFS(Principal[Automatic],"X",Principal[Automatic processing],"X")</f>
        <v>1</v>
      </c>
    </row>
    <row r="181" spans="1:3" x14ac:dyDescent="0.25">
      <c r="A181" s="80">
        <v>4</v>
      </c>
      <c r="B181" s="80">
        <v>17</v>
      </c>
      <c r="C181" s="145">
        <f>COUNTIFS(Principal[Artificial Intelligence / Machine Learning],"X",Principal[Automatic processing],"X")</f>
        <v>2</v>
      </c>
    </row>
    <row r="182" spans="1:3" x14ac:dyDescent="0.25">
      <c r="A182" s="80">
        <v>5</v>
      </c>
      <c r="B182" s="80">
        <v>17</v>
      </c>
      <c r="C182" s="145">
        <f>COUNTIFS(Principal[Qualitative analyses],"X",Principal[Automatic processing],"X")</f>
        <v>1</v>
      </c>
    </row>
    <row r="183" spans="1:3" x14ac:dyDescent="0.25">
      <c r="A183" s="80">
        <v>6</v>
      </c>
      <c r="B183" s="80">
        <v>17</v>
      </c>
      <c r="C183" s="145">
        <f>COUNTIFS(Principal[Heuristical techniques],"X",Principal[Automatic processing],"X")</f>
        <v>1</v>
      </c>
    </row>
    <row r="184" spans="1:3" x14ac:dyDescent="0.25">
      <c r="A184" s="80">
        <v>7</v>
      </c>
      <c r="B184" s="80">
        <v>17</v>
      </c>
      <c r="C184" s="145">
        <f>COUNTIFS(Principal[Empirical/ Experimental],"X",Principal[Automatic processing],"X")</f>
        <v>0</v>
      </c>
    </row>
    <row r="185" spans="1:3" x14ac:dyDescent="0.25">
      <c r="A185" s="80">
        <v>8</v>
      </c>
      <c r="B185" s="80">
        <v>17</v>
      </c>
      <c r="C185" s="145">
        <f>COUNTIFS(Principal[Statistical analyses],"X",Principal[Automatic processing],"X")</f>
        <v>0</v>
      </c>
    </row>
    <row r="186" spans="1:3" x14ac:dyDescent="0.25">
      <c r="A186" s="80">
        <v>9</v>
      </c>
      <c r="B186" s="80">
        <v>17</v>
      </c>
      <c r="C186" s="145">
        <f>COUNTIFS(Principal[Prediction],"X",Principal[Automatic processing],"X")</f>
        <v>0</v>
      </c>
    </row>
    <row r="187" spans="1:3" x14ac:dyDescent="0.25">
      <c r="A187" s="80">
        <v>10</v>
      </c>
      <c r="B187" s="80">
        <v>17</v>
      </c>
      <c r="C187" s="145">
        <f>COUNTIFS(Principal[Reverse Engineering],"X",Principal[Automatic processing],"X")</f>
        <v>0</v>
      </c>
    </row>
    <row r="188" spans="1:3" x14ac:dyDescent="0.25">
      <c r="A188" s="80">
        <v>11</v>
      </c>
      <c r="B188" s="80">
        <v>17</v>
      </c>
      <c r="C188" s="145">
        <f>COUNTIFS(Principal[Testing-based techniques],"X",Principal[Automatic processing],"X")</f>
        <v>1</v>
      </c>
    </row>
    <row r="189" spans="1:3" x14ac:dyDescent="0.25">
      <c r="A189" s="80">
        <v>1</v>
      </c>
      <c r="B189" s="80">
        <v>18</v>
      </c>
      <c r="C189" s="145">
        <f>COUNTIFS(Principal[Ad Hoc Algorithms],"X",Principal[Branching Analysis],"X")</f>
        <v>1</v>
      </c>
    </row>
    <row r="190" spans="1:3" x14ac:dyDescent="0.25">
      <c r="A190" s="80">
        <v>2</v>
      </c>
      <c r="B190" s="80">
        <v>18</v>
      </c>
      <c r="C190" s="145">
        <f>COUNTIFS(Principal[Data mining],"X",Principal[Branching Analysis],"X")</f>
        <v>1</v>
      </c>
    </row>
    <row r="191" spans="1:3" x14ac:dyDescent="0.25">
      <c r="A191" s="80">
        <v>3</v>
      </c>
      <c r="B191" s="80">
        <v>18</v>
      </c>
      <c r="C191" s="145">
        <f>COUNTIFS(Principal[Automatic],"X",Principal[Branching Analysis],"X")</f>
        <v>1</v>
      </c>
    </row>
    <row r="192" spans="1:3" x14ac:dyDescent="0.25">
      <c r="A192" s="80">
        <v>4</v>
      </c>
      <c r="B192" s="80">
        <v>18</v>
      </c>
      <c r="C192" s="145">
        <f>COUNTIFS(Principal[Artificial Intelligence / Machine Learning],"X",Principal[Branching Analysis],"X")</f>
        <v>0</v>
      </c>
    </row>
    <row r="193" spans="1:3" x14ac:dyDescent="0.25">
      <c r="A193" s="80">
        <v>5</v>
      </c>
      <c r="B193" s="80">
        <v>18</v>
      </c>
      <c r="C193" s="145">
        <f>COUNTIFS(Principal[Qualitative analyses],"X",Principal[Branching Analysis],"X")</f>
        <v>0</v>
      </c>
    </row>
    <row r="194" spans="1:3" x14ac:dyDescent="0.25">
      <c r="A194" s="80">
        <v>6</v>
      </c>
      <c r="B194" s="80">
        <v>18</v>
      </c>
      <c r="C194" s="145">
        <f>COUNTIFS(Principal[Heuristical techniques],"X",Principal[Branching Analysis],"X")</f>
        <v>1</v>
      </c>
    </row>
    <row r="195" spans="1:3" x14ac:dyDescent="0.25">
      <c r="A195" s="80">
        <v>7</v>
      </c>
      <c r="B195" s="80">
        <v>18</v>
      </c>
      <c r="C195" s="145">
        <f>COUNTIFS(Principal[Empirical/ Experimental],"X",Principal[Branching Analysis],"X")</f>
        <v>1</v>
      </c>
    </row>
    <row r="196" spans="1:3" x14ac:dyDescent="0.25">
      <c r="A196" s="80">
        <v>8</v>
      </c>
      <c r="B196" s="80">
        <v>18</v>
      </c>
      <c r="C196" s="145">
        <f>COUNTIFS(Principal[Statistical analyses],"X",Principal[Branching Analysis],"X")</f>
        <v>0</v>
      </c>
    </row>
    <row r="197" spans="1:3" x14ac:dyDescent="0.25">
      <c r="A197" s="80">
        <v>9</v>
      </c>
      <c r="B197" s="80">
        <v>18</v>
      </c>
      <c r="C197" s="145">
        <f>COUNTIFS(Principal[Prediction],"X",Principal[Branching Analysis],"X")</f>
        <v>0</v>
      </c>
    </row>
    <row r="198" spans="1:3" x14ac:dyDescent="0.25">
      <c r="A198" s="80">
        <v>10</v>
      </c>
      <c r="B198" s="80">
        <v>18</v>
      </c>
      <c r="C198" s="145">
        <f>COUNTIFS(Principal[Reverse Engineering],"X",Principal[Branching Analysis],"X")</f>
        <v>0</v>
      </c>
    </row>
    <row r="199" spans="1:3" x14ac:dyDescent="0.25">
      <c r="A199" s="80">
        <v>11</v>
      </c>
      <c r="B199" s="80">
        <v>18</v>
      </c>
      <c r="C199" s="145">
        <f>COUNTIFS(Principal[Testing-based techniques],"X",Principal[Branching Analysis],"X")</f>
        <v>0</v>
      </c>
    </row>
    <row r="200" spans="1:3" x14ac:dyDescent="0.25">
      <c r="A200" s="80">
        <v>1</v>
      </c>
      <c r="B200" s="80">
        <v>19</v>
      </c>
      <c r="C200" s="145">
        <f>COUNTIFS(Principal[Ad Hoc Algorithms],"X",Principal[Changes Analysis],"X")</f>
        <v>5</v>
      </c>
    </row>
    <row r="201" spans="1:3" x14ac:dyDescent="0.25">
      <c r="A201" s="80">
        <v>2</v>
      </c>
      <c r="B201" s="80">
        <v>19</v>
      </c>
      <c r="C201" s="145">
        <f>COUNTIFS(Principal[Data mining],"X",Principal[Changes Analysis],"X")</f>
        <v>1</v>
      </c>
    </row>
    <row r="202" spans="1:3" x14ac:dyDescent="0.25">
      <c r="A202" s="80">
        <v>3</v>
      </c>
      <c r="B202" s="80">
        <v>19</v>
      </c>
      <c r="C202" s="145">
        <f>COUNTIFS(Principal[Automatic],"X",Principal[Changes Analysis],"X")</f>
        <v>4</v>
      </c>
    </row>
    <row r="203" spans="1:3" x14ac:dyDescent="0.25">
      <c r="A203" s="80">
        <v>4</v>
      </c>
      <c r="B203" s="80">
        <v>19</v>
      </c>
      <c r="C203" s="145">
        <f>COUNTIFS(Principal[Artificial Intelligence / Machine Learning],"X",Principal[Changes Analysis],"X")</f>
        <v>5</v>
      </c>
    </row>
    <row r="204" spans="1:3" x14ac:dyDescent="0.25">
      <c r="A204" s="80">
        <v>5</v>
      </c>
      <c r="B204" s="80">
        <v>19</v>
      </c>
      <c r="C204" s="145">
        <f>COUNTIFS(Principal[Qualitative analyses],"X",Principal[Changes Analysis],"X")</f>
        <v>0</v>
      </c>
    </row>
    <row r="205" spans="1:3" x14ac:dyDescent="0.25">
      <c r="A205" s="80">
        <v>6</v>
      </c>
      <c r="B205" s="80">
        <v>19</v>
      </c>
      <c r="C205" s="145">
        <f>COUNTIFS(Principal[Heuristical techniques],"X",Principal[Changes Analysis],"X")</f>
        <v>1</v>
      </c>
    </row>
    <row r="206" spans="1:3" x14ac:dyDescent="0.25">
      <c r="A206" s="80">
        <v>7</v>
      </c>
      <c r="B206" s="80">
        <v>19</v>
      </c>
      <c r="C206" s="145">
        <f>COUNTIFS(Principal[Empirical/ Experimental],"X",Principal[Changes Analysis],"X")</f>
        <v>17</v>
      </c>
    </row>
    <row r="207" spans="1:3" x14ac:dyDescent="0.25">
      <c r="A207" s="80">
        <v>8</v>
      </c>
      <c r="B207" s="80">
        <v>19</v>
      </c>
      <c r="C207" s="145">
        <f>COUNTIFS(Principal[Statistical analyses],"X",Principal[Changes Analysis],"X")</f>
        <v>2</v>
      </c>
    </row>
    <row r="208" spans="1:3" x14ac:dyDescent="0.25">
      <c r="A208" s="80">
        <v>9</v>
      </c>
      <c r="B208" s="80">
        <v>19</v>
      </c>
      <c r="C208" s="145">
        <f>COUNTIFS(Principal[Prediction],"X",Principal[Changes Analysis],"X")</f>
        <v>0</v>
      </c>
    </row>
    <row r="209" spans="1:3" x14ac:dyDescent="0.25">
      <c r="A209" s="80">
        <v>10</v>
      </c>
      <c r="B209" s="80">
        <v>19</v>
      </c>
      <c r="C209" s="145">
        <f>COUNTIFS(Principal[Reverse Engineering],"X",Principal[Changes Analysis],"X")</f>
        <v>2</v>
      </c>
    </row>
    <row r="210" spans="1:3" x14ac:dyDescent="0.25">
      <c r="A210" s="80">
        <v>11</v>
      </c>
      <c r="B210" s="80">
        <v>19</v>
      </c>
      <c r="C210" s="145">
        <f>COUNTIFS(Principal[Testing-based techniques],"X",Principal[Changes Analysis],"X")</f>
        <v>0</v>
      </c>
    </row>
    <row r="211" spans="1:3" x14ac:dyDescent="0.25">
      <c r="A211" s="80">
        <v>1</v>
      </c>
      <c r="B211" s="80">
        <v>20</v>
      </c>
      <c r="C211" s="145">
        <f>COUNTIFS(Principal[Ad Hoc Algorithms],"X",Principal[Commits/Committers classification],"X")</f>
        <v>2</v>
      </c>
    </row>
    <row r="212" spans="1:3" x14ac:dyDescent="0.25">
      <c r="A212" s="80">
        <v>2</v>
      </c>
      <c r="B212" s="80">
        <v>20</v>
      </c>
      <c r="C212" s="145">
        <f>COUNTIFS(Principal[Data mining],"X",Principal[Commits/Committers classification],"X")</f>
        <v>1</v>
      </c>
    </row>
    <row r="213" spans="1:3" x14ac:dyDescent="0.25">
      <c r="A213" s="80">
        <v>3</v>
      </c>
      <c r="B213" s="80">
        <v>20</v>
      </c>
      <c r="C213" s="145">
        <f>COUNTIFS(Principal[Automatic],"X",Principal[Commits/Committers classification],"X")</f>
        <v>2</v>
      </c>
    </row>
    <row r="214" spans="1:3" x14ac:dyDescent="0.25">
      <c r="A214" s="80">
        <v>4</v>
      </c>
      <c r="B214" s="80">
        <v>20</v>
      </c>
      <c r="C214" s="145">
        <f>COUNTIFS(Principal[Artificial Intelligence / Machine Learning],"X",Principal[Commits/Committers classification],"X")</f>
        <v>7</v>
      </c>
    </row>
    <row r="215" spans="1:3" x14ac:dyDescent="0.25">
      <c r="A215" s="80">
        <v>5</v>
      </c>
      <c r="B215" s="80">
        <v>20</v>
      </c>
      <c r="C215" s="145">
        <f>COUNTIFS(Principal[Qualitative analyses],"X",Principal[Commits/Committers classification],"X")</f>
        <v>0</v>
      </c>
    </row>
    <row r="216" spans="1:3" x14ac:dyDescent="0.25">
      <c r="A216" s="80">
        <v>6</v>
      </c>
      <c r="B216" s="80">
        <v>20</v>
      </c>
      <c r="C216" s="145">
        <f>COUNTIFS(Principal[Heuristical techniques],"X",Principal[Commits/Committers classification],"X")</f>
        <v>0</v>
      </c>
    </row>
    <row r="217" spans="1:3" x14ac:dyDescent="0.25">
      <c r="A217" s="80">
        <v>7</v>
      </c>
      <c r="B217" s="80">
        <v>20</v>
      </c>
      <c r="C217" s="145">
        <f>COUNTIFS(Principal[Empirical/ Experimental],"X",Principal[Commits/Committers classification],"X")</f>
        <v>3</v>
      </c>
    </row>
    <row r="218" spans="1:3" x14ac:dyDescent="0.25">
      <c r="A218" s="80">
        <v>8</v>
      </c>
      <c r="B218" s="80">
        <v>20</v>
      </c>
      <c r="C218" s="145">
        <f>COUNTIFS(Principal[Statistical analyses],"X",Principal[Commits/Committers classification],"X")</f>
        <v>3</v>
      </c>
    </row>
    <row r="219" spans="1:3" x14ac:dyDescent="0.25">
      <c r="A219" s="80">
        <v>9</v>
      </c>
      <c r="B219" s="80">
        <v>20</v>
      </c>
      <c r="C219" s="145">
        <f>COUNTIFS(Principal[Prediction],"X",Principal[Commits/Committers classification],"X")</f>
        <v>1</v>
      </c>
    </row>
    <row r="220" spans="1:3" x14ac:dyDescent="0.25">
      <c r="A220" s="80">
        <v>10</v>
      </c>
      <c r="B220" s="80">
        <v>20</v>
      </c>
      <c r="C220" s="145">
        <f>COUNTIFS(Principal[Reverse Engineering],"X",Principal[Commits/Committers classification],"X")</f>
        <v>0</v>
      </c>
    </row>
    <row r="221" spans="1:3" x14ac:dyDescent="0.25">
      <c r="A221" s="80">
        <v>11</v>
      </c>
      <c r="B221" s="80">
        <v>20</v>
      </c>
      <c r="C221" s="145">
        <f>COUNTIFS(Principal[Testing-based techniques],"X",Principal[Commits/Committers classification],"X")</f>
        <v>0</v>
      </c>
    </row>
    <row r="222" spans="1:3" x14ac:dyDescent="0.25">
      <c r="A222" s="80">
        <v>1</v>
      </c>
      <c r="B222" s="80">
        <v>21</v>
      </c>
      <c r="C222" s="145">
        <f>COUNTIFS(Principal[Ad Hoc Algorithms],"X",Principal[Cloning Detection],"X")</f>
        <v>2</v>
      </c>
    </row>
    <row r="223" spans="1:3" x14ac:dyDescent="0.25">
      <c r="A223" s="80">
        <v>2</v>
      </c>
      <c r="B223" s="80">
        <v>21</v>
      </c>
      <c r="C223" s="145">
        <f>COUNTIFS(Principal[Data mining],"X",Principal[Cloning Detection],"X")</f>
        <v>0</v>
      </c>
    </row>
    <row r="224" spans="1:3" x14ac:dyDescent="0.25">
      <c r="A224" s="80">
        <v>3</v>
      </c>
      <c r="B224" s="80">
        <v>21</v>
      </c>
      <c r="C224" s="145">
        <f>COUNTIFS(Principal[Automatic],"X",Principal[Cloning Detection],"X")</f>
        <v>4</v>
      </c>
    </row>
    <row r="225" spans="1:3" x14ac:dyDescent="0.25">
      <c r="A225" s="80">
        <v>4</v>
      </c>
      <c r="B225" s="80">
        <v>21</v>
      </c>
      <c r="C225" s="145">
        <f>COUNTIFS(Principal[Artificial Intelligence / Machine Learning],"X",Principal[Cloning Detection],"X")</f>
        <v>0</v>
      </c>
    </row>
    <row r="226" spans="1:3" x14ac:dyDescent="0.25">
      <c r="A226" s="80">
        <v>5</v>
      </c>
      <c r="B226" s="80">
        <v>21</v>
      </c>
      <c r="C226" s="145">
        <f>COUNTIFS(Principal[Qualitative analyses],"X",Principal[Cloning Detection],"X")</f>
        <v>1</v>
      </c>
    </row>
    <row r="227" spans="1:3" x14ac:dyDescent="0.25">
      <c r="A227" s="80">
        <v>6</v>
      </c>
      <c r="B227" s="80">
        <v>21</v>
      </c>
      <c r="C227" s="145">
        <f>COUNTIFS(Principal[Heuristical techniques],"X",Principal[Cloning Detection],"X")</f>
        <v>0</v>
      </c>
    </row>
    <row r="228" spans="1:3" x14ac:dyDescent="0.25">
      <c r="A228" s="80">
        <v>7</v>
      </c>
      <c r="B228" s="80">
        <v>21</v>
      </c>
      <c r="C228" s="145">
        <f>COUNTIFS(Principal[Empirical/ Experimental],"X",Principal[Cloning Detection],"X")</f>
        <v>3</v>
      </c>
    </row>
    <row r="229" spans="1:3" x14ac:dyDescent="0.25">
      <c r="A229" s="80">
        <v>8</v>
      </c>
      <c r="B229" s="80">
        <v>21</v>
      </c>
      <c r="C229" s="145">
        <f>COUNTIFS(Principal[Statistical analyses],"X",Principal[Cloning Detection],"X")</f>
        <v>3</v>
      </c>
    </row>
    <row r="230" spans="1:3" x14ac:dyDescent="0.25">
      <c r="A230" s="80">
        <v>9</v>
      </c>
      <c r="B230" s="80">
        <v>21</v>
      </c>
      <c r="C230" s="145">
        <f>COUNTIFS(Principal[Prediction],"X",Principal[Cloning Detection],"X")</f>
        <v>0</v>
      </c>
    </row>
    <row r="231" spans="1:3" x14ac:dyDescent="0.25">
      <c r="A231" s="80">
        <v>10</v>
      </c>
      <c r="B231" s="80">
        <v>21</v>
      </c>
      <c r="C231" s="145">
        <f>COUNTIFS(Principal[Reverse Engineering],"X",Principal[Cloning Detection],"X")</f>
        <v>0</v>
      </c>
    </row>
    <row r="232" spans="1:3" x14ac:dyDescent="0.25">
      <c r="A232" s="80">
        <v>11</v>
      </c>
      <c r="B232" s="80">
        <v>21</v>
      </c>
      <c r="C232" s="145">
        <f>COUNTIFS(Principal[Testing-based techniques],"X",Principal[Cloning Detection],"X")</f>
        <v>0</v>
      </c>
    </row>
    <row r="233" spans="1:3" x14ac:dyDescent="0.25">
      <c r="A233" s="80">
        <v>1</v>
      </c>
      <c r="B233" s="80">
        <v>22</v>
      </c>
      <c r="C233" s="145">
        <f>COUNTIFS(Principal[Ad Hoc Algorithms],"X",Principal[Code Review],"X")</f>
        <v>1</v>
      </c>
    </row>
    <row r="234" spans="1:3" x14ac:dyDescent="0.25">
      <c r="A234" s="80">
        <v>2</v>
      </c>
      <c r="B234" s="80">
        <v>22</v>
      </c>
      <c r="C234" s="145">
        <f>COUNTIFS(Principal[Data mining],"X",Principal[Code Review],"X")</f>
        <v>1</v>
      </c>
    </row>
    <row r="235" spans="1:3" x14ac:dyDescent="0.25">
      <c r="A235" s="80">
        <v>3</v>
      </c>
      <c r="B235" s="80">
        <v>22</v>
      </c>
      <c r="C235" s="145">
        <f>COUNTIFS(Principal[Automatic],"X",Principal[Code Review],"X")</f>
        <v>0</v>
      </c>
    </row>
    <row r="236" spans="1:3" x14ac:dyDescent="0.25">
      <c r="A236" s="80">
        <v>4</v>
      </c>
      <c r="B236" s="80">
        <v>22</v>
      </c>
      <c r="C236" s="145">
        <f>COUNTIFS(Principal[Artificial Intelligence / Machine Learning],"X",Principal[Code Review],"X")</f>
        <v>1</v>
      </c>
    </row>
    <row r="237" spans="1:3" x14ac:dyDescent="0.25">
      <c r="A237" s="80">
        <v>5</v>
      </c>
      <c r="B237" s="80">
        <v>22</v>
      </c>
      <c r="C237" s="145">
        <f>COUNTIFS(Principal[Qualitative analyses],"X",Principal[Code Review],"X")</f>
        <v>0</v>
      </c>
    </row>
    <row r="238" spans="1:3" x14ac:dyDescent="0.25">
      <c r="A238" s="80">
        <v>6</v>
      </c>
      <c r="B238" s="80">
        <v>22</v>
      </c>
      <c r="C238" s="145">
        <f>COUNTIFS(Principal[Heuristical techniques],"X",Principal[Code Review],"X")</f>
        <v>0</v>
      </c>
    </row>
    <row r="239" spans="1:3" x14ac:dyDescent="0.25">
      <c r="A239" s="80">
        <v>7</v>
      </c>
      <c r="B239" s="80">
        <v>22</v>
      </c>
      <c r="C239" s="145">
        <f>COUNTIFS(Principal[Empirical/ Experimental],"X",Principal[Code Review],"X")</f>
        <v>2</v>
      </c>
    </row>
    <row r="240" spans="1:3" x14ac:dyDescent="0.25">
      <c r="A240" s="80">
        <v>8</v>
      </c>
      <c r="B240" s="80">
        <v>22</v>
      </c>
      <c r="C240" s="145">
        <f>COUNTIFS(Principal[Statistical analyses],"X",Principal[Code Review],"X")</f>
        <v>1</v>
      </c>
    </row>
    <row r="241" spans="1:3" x14ac:dyDescent="0.25">
      <c r="A241" s="80">
        <v>9</v>
      </c>
      <c r="B241" s="80">
        <v>22</v>
      </c>
      <c r="C241" s="145">
        <f>COUNTIFS(Principal[Prediction],"X",Principal[Code Review],"X")</f>
        <v>0</v>
      </c>
    </row>
    <row r="242" spans="1:3" x14ac:dyDescent="0.25">
      <c r="A242" s="80">
        <v>10</v>
      </c>
      <c r="B242" s="80">
        <v>22</v>
      </c>
      <c r="C242" s="145">
        <f>COUNTIFS(Principal[Reverse Engineering],"X",Principal[Code Review],"X")</f>
        <v>0</v>
      </c>
    </row>
    <row r="243" spans="1:3" x14ac:dyDescent="0.25">
      <c r="A243" s="80">
        <v>11</v>
      </c>
      <c r="B243" s="80">
        <v>22</v>
      </c>
      <c r="C243" s="145">
        <f>COUNTIFS(Principal[Testing-based techniques],"X",Principal[Code Review],"X")</f>
        <v>0</v>
      </c>
    </row>
    <row r="244" spans="1:3" x14ac:dyDescent="0.25">
      <c r="A244" s="80">
        <v>1</v>
      </c>
      <c r="B244" s="80">
        <v>23</v>
      </c>
      <c r="C244" s="145">
        <f>COUNTIFS(Principal[Ad Hoc Algorithms],"X",Principal[Commit Analysis],"X")</f>
        <v>2</v>
      </c>
    </row>
    <row r="245" spans="1:3" x14ac:dyDescent="0.25">
      <c r="A245" s="80">
        <v>2</v>
      </c>
      <c r="B245" s="80">
        <v>23</v>
      </c>
      <c r="C245" s="145">
        <f>COUNTIFS(Principal[Data mining],"X",Principal[Commit Analysis],"X")</f>
        <v>1</v>
      </c>
    </row>
    <row r="246" spans="1:3" x14ac:dyDescent="0.25">
      <c r="A246" s="80">
        <v>3</v>
      </c>
      <c r="B246" s="80">
        <v>23</v>
      </c>
      <c r="C246" s="145">
        <f>COUNTIFS(Principal[Automatic],"X",Principal[Commit Analysis],"X")</f>
        <v>2</v>
      </c>
    </row>
    <row r="247" spans="1:3" x14ac:dyDescent="0.25">
      <c r="A247" s="80">
        <v>4</v>
      </c>
      <c r="B247" s="80">
        <v>23</v>
      </c>
      <c r="C247" s="145">
        <f>COUNTIFS(Principal[Artificial Intelligence / Machine Learning],"X",Principal[Commit Analysis],"X")</f>
        <v>3</v>
      </c>
    </row>
    <row r="248" spans="1:3" x14ac:dyDescent="0.25">
      <c r="A248" s="80">
        <v>5</v>
      </c>
      <c r="B248" s="80">
        <v>23</v>
      </c>
      <c r="C248" s="145">
        <f>COUNTIFS(Principal[Qualitative analyses],"X",Principal[Commit Analysis],"X")</f>
        <v>0</v>
      </c>
    </row>
    <row r="249" spans="1:3" x14ac:dyDescent="0.25">
      <c r="A249" s="80">
        <v>6</v>
      </c>
      <c r="B249" s="80">
        <v>23</v>
      </c>
      <c r="C249" s="145">
        <f>COUNTIFS(Principal[Heuristical techniques],"X",Principal[Commit Analysis],"X")</f>
        <v>1</v>
      </c>
    </row>
    <row r="250" spans="1:3" x14ac:dyDescent="0.25">
      <c r="A250" s="80">
        <v>7</v>
      </c>
      <c r="B250" s="80">
        <v>23</v>
      </c>
      <c r="C250" s="145">
        <f>COUNTIFS(Principal[Empirical/ Experimental],"X",Principal[Commit Analysis],"X")</f>
        <v>1</v>
      </c>
    </row>
    <row r="251" spans="1:3" x14ac:dyDescent="0.25">
      <c r="A251" s="80">
        <v>8</v>
      </c>
      <c r="B251" s="80">
        <v>23</v>
      </c>
      <c r="C251" s="145">
        <f>COUNTIFS(Principal[Statistical analyses],"X",Principal[Commit Analysis],"X")</f>
        <v>0</v>
      </c>
    </row>
    <row r="252" spans="1:3" x14ac:dyDescent="0.25">
      <c r="A252" s="80">
        <v>9</v>
      </c>
      <c r="B252" s="80">
        <v>23</v>
      </c>
      <c r="C252" s="145">
        <f>COUNTIFS(Principal[Prediction],"X",Principal[Commit Analysis],"X")</f>
        <v>2</v>
      </c>
    </row>
    <row r="253" spans="1:3" x14ac:dyDescent="0.25">
      <c r="A253" s="80">
        <v>10</v>
      </c>
      <c r="B253" s="80">
        <v>23</v>
      </c>
      <c r="C253" s="145">
        <f>COUNTIFS(Principal[Reverse Engineering],"X",Principal[Commit Analysis],"X")</f>
        <v>0</v>
      </c>
    </row>
    <row r="254" spans="1:3" x14ac:dyDescent="0.25">
      <c r="A254" s="80">
        <v>11</v>
      </c>
      <c r="B254" s="80">
        <v>23</v>
      </c>
      <c r="C254" s="145">
        <f>COUNTIFS(Principal[Testing-based techniques],"X",Principal[Commit Analysis],"X")</f>
        <v>0</v>
      </c>
    </row>
    <row r="255" spans="1:3" x14ac:dyDescent="0.25">
      <c r="A255" s="80">
        <v>1</v>
      </c>
      <c r="B255" s="80">
        <v>24</v>
      </c>
      <c r="C255" s="145">
        <f>COUNTIFS(Principal[Ad Hoc Algorithms],"X",Principal[Deffect/Issues Analysis],"X")</f>
        <v>1</v>
      </c>
    </row>
    <row r="256" spans="1:3" x14ac:dyDescent="0.25">
      <c r="A256" s="80">
        <v>2</v>
      </c>
      <c r="B256" s="80">
        <v>24</v>
      </c>
      <c r="C256" s="145">
        <f>COUNTIFS(Principal[Data mining],"X",Principal[Deffect/Issues Analysis],"X")</f>
        <v>1</v>
      </c>
    </row>
    <row r="257" spans="1:3" x14ac:dyDescent="0.25">
      <c r="A257" s="80">
        <v>3</v>
      </c>
      <c r="B257" s="80">
        <v>24</v>
      </c>
      <c r="C257" s="145">
        <f>COUNTIFS(Principal[Automatic],"X",Principal[Deffect/Issues Analysis],"X")</f>
        <v>0</v>
      </c>
    </row>
    <row r="258" spans="1:3" x14ac:dyDescent="0.25">
      <c r="A258" s="80">
        <v>4</v>
      </c>
      <c r="B258" s="80">
        <v>24</v>
      </c>
      <c r="C258" s="145">
        <f>COUNTIFS(Principal[Artificial Intelligence / Machine Learning],"X",Principal[Deffect/Issues Analysis],"X")</f>
        <v>4</v>
      </c>
    </row>
    <row r="259" spans="1:3" x14ac:dyDescent="0.25">
      <c r="A259" s="80">
        <v>5</v>
      </c>
      <c r="B259" s="80">
        <v>24</v>
      </c>
      <c r="C259" s="145">
        <f>COUNTIFS(Principal[Qualitative analyses],"X",Principal[Deffect/Issues Analysis],"X")</f>
        <v>1</v>
      </c>
    </row>
    <row r="260" spans="1:3" x14ac:dyDescent="0.25">
      <c r="A260" s="80">
        <v>6</v>
      </c>
      <c r="B260" s="80">
        <v>24</v>
      </c>
      <c r="C260" s="145">
        <f>COUNTIFS(Principal[Heuristical techniques],"X",Principal[Deffect/Issues Analysis],"X")</f>
        <v>1</v>
      </c>
    </row>
    <row r="261" spans="1:3" x14ac:dyDescent="0.25">
      <c r="A261" s="80">
        <v>7</v>
      </c>
      <c r="B261" s="80">
        <v>24</v>
      </c>
      <c r="C261" s="145">
        <f>COUNTIFS(Principal[Empirical/ Experimental],"X",Principal[Deffect/Issues Analysis],"X")</f>
        <v>7</v>
      </c>
    </row>
    <row r="262" spans="1:3" x14ac:dyDescent="0.25">
      <c r="A262" s="80">
        <v>8</v>
      </c>
      <c r="B262" s="80">
        <v>24</v>
      </c>
      <c r="C262" s="145">
        <f>COUNTIFS(Principal[Statistical analyses],"X",Principal[Deffect/Issues Analysis],"X")</f>
        <v>2</v>
      </c>
    </row>
    <row r="263" spans="1:3" x14ac:dyDescent="0.25">
      <c r="A263" s="80">
        <v>9</v>
      </c>
      <c r="B263" s="80">
        <v>24</v>
      </c>
      <c r="C263" s="145">
        <f>COUNTIFS(Principal[Prediction],"X",Principal[Deffect/Issues Analysis],"X")</f>
        <v>4</v>
      </c>
    </row>
    <row r="264" spans="1:3" x14ac:dyDescent="0.25">
      <c r="A264" s="80">
        <v>10</v>
      </c>
      <c r="B264" s="80">
        <v>24</v>
      </c>
      <c r="C264" s="145">
        <f>COUNTIFS(Principal[Reverse Engineering],"X",Principal[Deffect/Issues Analysis],"X")</f>
        <v>1</v>
      </c>
    </row>
    <row r="265" spans="1:3" x14ac:dyDescent="0.25">
      <c r="A265" s="80">
        <v>11</v>
      </c>
      <c r="B265" s="80">
        <v>24</v>
      </c>
      <c r="C265" s="145">
        <f>COUNTIFS(Principal[Testing-based techniques],"X",Principal[Deffect/Issues Analysis],"X")</f>
        <v>0</v>
      </c>
    </row>
    <row r="266" spans="1:3" x14ac:dyDescent="0.25">
      <c r="A266" s="80">
        <v>1</v>
      </c>
      <c r="B266" s="80">
        <v>25</v>
      </c>
      <c r="C266" s="145">
        <f>COUNTIFS(Principal[Ad Hoc Algorithms],"X",Principal[Developer behavior],"X")</f>
        <v>2</v>
      </c>
    </row>
    <row r="267" spans="1:3" x14ac:dyDescent="0.25">
      <c r="A267" s="80">
        <v>2</v>
      </c>
      <c r="B267" s="80">
        <v>25</v>
      </c>
      <c r="C267" s="145">
        <f>COUNTIFS(Principal[Data mining],"X",Principal[Developer behavior],"X")</f>
        <v>3</v>
      </c>
    </row>
    <row r="268" spans="1:3" x14ac:dyDescent="0.25">
      <c r="A268" s="80">
        <v>3</v>
      </c>
      <c r="B268" s="80">
        <v>25</v>
      </c>
      <c r="C268" s="145">
        <f>COUNTIFS(Principal[Automatic],"X",Principal[Developer behavior],"X")</f>
        <v>7</v>
      </c>
    </row>
    <row r="269" spans="1:3" x14ac:dyDescent="0.25">
      <c r="A269" s="80">
        <v>4</v>
      </c>
      <c r="B269" s="80">
        <v>25</v>
      </c>
      <c r="C269" s="145">
        <f>COUNTIFS(Principal[Artificial Intelligence / Machine Learning],"X",Principal[Developer behavior],"X")</f>
        <v>5</v>
      </c>
    </row>
    <row r="270" spans="1:3" x14ac:dyDescent="0.25">
      <c r="A270" s="80">
        <v>5</v>
      </c>
      <c r="B270" s="80">
        <v>25</v>
      </c>
      <c r="C270" s="145">
        <f>COUNTIFS(Principal[Qualitative analyses],"X",Principal[Developer behavior],"X")</f>
        <v>4</v>
      </c>
    </row>
    <row r="271" spans="1:3" x14ac:dyDescent="0.25">
      <c r="A271" s="80">
        <v>6</v>
      </c>
      <c r="B271" s="80">
        <v>25</v>
      </c>
      <c r="C271" s="145">
        <f>COUNTIFS(Principal[Heuristical techniques],"X",Principal[Developer behavior],"X")</f>
        <v>0</v>
      </c>
    </row>
    <row r="272" spans="1:3" x14ac:dyDescent="0.25">
      <c r="A272" s="80">
        <v>7</v>
      </c>
      <c r="B272" s="80">
        <v>25</v>
      </c>
      <c r="C272" s="145">
        <f>COUNTIFS(Principal[Empirical/ Experimental],"X",Principal[Developer behavior],"X")</f>
        <v>34</v>
      </c>
    </row>
    <row r="273" spans="1:3" x14ac:dyDescent="0.25">
      <c r="A273" s="80">
        <v>8</v>
      </c>
      <c r="B273" s="80">
        <v>25</v>
      </c>
      <c r="C273" s="145">
        <f>COUNTIFS(Principal[Statistical analyses],"X",Principal[Developer behavior],"X")</f>
        <v>8</v>
      </c>
    </row>
    <row r="274" spans="1:3" x14ac:dyDescent="0.25">
      <c r="A274" s="80">
        <v>9</v>
      </c>
      <c r="B274" s="80">
        <v>25</v>
      </c>
      <c r="C274" s="145">
        <f>COUNTIFS(Principal[Prediction],"X",Principal[Developer behavior],"X")</f>
        <v>1</v>
      </c>
    </row>
    <row r="275" spans="1:3" x14ac:dyDescent="0.25">
      <c r="A275" s="80">
        <v>10</v>
      </c>
      <c r="B275" s="80">
        <v>25</v>
      </c>
      <c r="C275" s="145">
        <f>COUNTIFS(Principal[Reverse Engineering],"X",Principal[Developer behavior],"X")</f>
        <v>1</v>
      </c>
    </row>
    <row r="276" spans="1:3" x14ac:dyDescent="0.25">
      <c r="A276" s="80">
        <v>11</v>
      </c>
      <c r="B276" s="80">
        <v>25</v>
      </c>
      <c r="C276" s="145">
        <f>COUNTIFS(Principal[Testing-based techniques],"X",Principal[Developer behavior],"X")</f>
        <v>1</v>
      </c>
    </row>
    <row r="277" spans="1:3" x14ac:dyDescent="0.25">
      <c r="A277" s="80">
        <v>1</v>
      </c>
      <c r="B277" s="80">
        <v>26</v>
      </c>
      <c r="C277" s="145">
        <f>COUNTIFS(Principal[Ad Hoc Algorithms],"X",Principal[Design Modelling],"X")</f>
        <v>2</v>
      </c>
    </row>
    <row r="278" spans="1:3" x14ac:dyDescent="0.25">
      <c r="A278" s="80">
        <v>2</v>
      </c>
      <c r="B278" s="80">
        <v>26</v>
      </c>
      <c r="C278" s="145">
        <f>COUNTIFS(Principal[Data mining],"X",Principal[Design Modelling],"X")</f>
        <v>0</v>
      </c>
    </row>
    <row r="279" spans="1:3" x14ac:dyDescent="0.25">
      <c r="A279" s="80">
        <v>3</v>
      </c>
      <c r="B279" s="80">
        <v>26</v>
      </c>
      <c r="C279" s="145">
        <f>COUNTIFS(Principal[Automatic],"X",Principal[Design Modelling],"X")</f>
        <v>0</v>
      </c>
    </row>
    <row r="280" spans="1:3" x14ac:dyDescent="0.25">
      <c r="A280" s="80">
        <v>4</v>
      </c>
      <c r="B280" s="80">
        <v>26</v>
      </c>
      <c r="C280" s="145">
        <f>COUNTIFS(Principal[Artificial Intelligence / Machine Learning],"X",Principal[Design Modelling],"X")</f>
        <v>0</v>
      </c>
    </row>
    <row r="281" spans="1:3" x14ac:dyDescent="0.25">
      <c r="A281" s="80">
        <v>5</v>
      </c>
      <c r="B281" s="80">
        <v>26</v>
      </c>
      <c r="C281" s="145">
        <f>COUNTIFS(Principal[Qualitative analyses],"X",Principal[Design Modelling],"X")</f>
        <v>1</v>
      </c>
    </row>
    <row r="282" spans="1:3" x14ac:dyDescent="0.25">
      <c r="A282" s="80">
        <v>6</v>
      </c>
      <c r="B282" s="80">
        <v>26</v>
      </c>
      <c r="C282" s="145">
        <f>COUNTIFS(Principal[Heuristical techniques],"X",Principal[Design Modelling],"X")</f>
        <v>0</v>
      </c>
    </row>
    <row r="283" spans="1:3" x14ac:dyDescent="0.25">
      <c r="A283" s="80">
        <v>7</v>
      </c>
      <c r="B283" s="80">
        <v>26</v>
      </c>
      <c r="C283" s="145">
        <f>COUNTIFS(Principal[Empirical/ Experimental],"X",Principal[Design Modelling],"X")</f>
        <v>6</v>
      </c>
    </row>
    <row r="284" spans="1:3" x14ac:dyDescent="0.25">
      <c r="A284" s="80">
        <v>8</v>
      </c>
      <c r="B284" s="80">
        <v>26</v>
      </c>
      <c r="C284" s="145">
        <f>COUNTIFS(Principal[Statistical analyses],"X",Principal[Design Modelling],"X")</f>
        <v>1</v>
      </c>
    </row>
    <row r="285" spans="1:3" x14ac:dyDescent="0.25">
      <c r="A285" s="80">
        <v>9</v>
      </c>
      <c r="B285" s="80">
        <v>26</v>
      </c>
      <c r="C285" s="145">
        <f>COUNTIFS(Principal[Prediction],"X",Principal[Design Modelling],"X")</f>
        <v>0</v>
      </c>
    </row>
    <row r="286" spans="1:3" x14ac:dyDescent="0.25">
      <c r="A286" s="80">
        <v>10</v>
      </c>
      <c r="B286" s="80">
        <v>26</v>
      </c>
      <c r="C286" s="145">
        <f>COUNTIFS(Principal[Reverse Engineering],"X",Principal[Design Modelling],"X")</f>
        <v>0</v>
      </c>
    </row>
    <row r="287" spans="1:3" x14ac:dyDescent="0.25">
      <c r="A287" s="80">
        <v>11</v>
      </c>
      <c r="B287" s="80">
        <v>26</v>
      </c>
      <c r="C287" s="145">
        <f>COUNTIFS(Principal[Testing-based techniques],"X",Principal[Design Modelling],"X")</f>
        <v>0</v>
      </c>
    </row>
    <row r="288" spans="1:3" x14ac:dyDescent="0.25">
      <c r="A288" s="80">
        <v>1</v>
      </c>
      <c r="B288" s="80">
        <v>27</v>
      </c>
      <c r="C288" s="145">
        <f>COUNTIFS(Principal[Ad Hoc Algorithms],"X",Principal[Maintenability Information],"X")</f>
        <v>0</v>
      </c>
    </row>
    <row r="289" spans="1:3" x14ac:dyDescent="0.25">
      <c r="A289" s="80">
        <v>2</v>
      </c>
      <c r="B289" s="80">
        <v>27</v>
      </c>
      <c r="C289" s="145">
        <f>COUNTIFS(Principal[Data mining],"X",Principal[Maintenability Information],"X")</f>
        <v>1</v>
      </c>
    </row>
    <row r="290" spans="1:3" x14ac:dyDescent="0.25">
      <c r="A290" s="80">
        <v>3</v>
      </c>
      <c r="B290" s="80">
        <v>27</v>
      </c>
      <c r="C290" s="145">
        <f>COUNTIFS(Principal[Automatic],"X",Principal[Maintenability Information],"X")</f>
        <v>2</v>
      </c>
    </row>
    <row r="291" spans="1:3" x14ac:dyDescent="0.25">
      <c r="A291" s="80">
        <v>4</v>
      </c>
      <c r="B291" s="80">
        <v>27</v>
      </c>
      <c r="C291" s="145">
        <f>COUNTIFS(Principal[Artificial Intelligence / Machine Learning],"X",Principal[Maintenability Information],"X")</f>
        <v>1</v>
      </c>
    </row>
    <row r="292" spans="1:3" x14ac:dyDescent="0.25">
      <c r="A292" s="80">
        <v>5</v>
      </c>
      <c r="B292" s="80">
        <v>27</v>
      </c>
      <c r="C292" s="145">
        <f>COUNTIFS(Principal[Qualitative analyses],"X",Principal[Maintenability Information],"X")</f>
        <v>0</v>
      </c>
    </row>
    <row r="293" spans="1:3" x14ac:dyDescent="0.25">
      <c r="A293" s="80">
        <v>6</v>
      </c>
      <c r="B293" s="80">
        <v>27</v>
      </c>
      <c r="C293" s="145">
        <f>COUNTIFS(Principal[Heuristical techniques],"X",Principal[Maintenability Information],"X")</f>
        <v>0</v>
      </c>
    </row>
    <row r="294" spans="1:3" x14ac:dyDescent="0.25">
      <c r="A294" s="80">
        <v>7</v>
      </c>
      <c r="B294" s="80">
        <v>27</v>
      </c>
      <c r="C294" s="145">
        <f>COUNTIFS(Principal[Empirical/ Experimental],"X",Principal[Maintenability Information],"X")</f>
        <v>7</v>
      </c>
    </row>
    <row r="295" spans="1:3" x14ac:dyDescent="0.25">
      <c r="A295" s="80">
        <v>8</v>
      </c>
      <c r="B295" s="80">
        <v>27</v>
      </c>
      <c r="C295" s="145">
        <f>COUNTIFS(Principal[Statistical analyses],"X",Principal[Maintenability Information],"X")</f>
        <v>0</v>
      </c>
    </row>
    <row r="296" spans="1:3" x14ac:dyDescent="0.25">
      <c r="A296" s="80">
        <v>9</v>
      </c>
      <c r="B296" s="80">
        <v>27</v>
      </c>
      <c r="C296" s="145">
        <f>COUNTIFS(Principal[Prediction],"X",Principal[Maintenability Information],"X")</f>
        <v>0</v>
      </c>
    </row>
    <row r="297" spans="1:3" x14ac:dyDescent="0.25">
      <c r="A297" s="80">
        <v>10</v>
      </c>
      <c r="B297" s="80">
        <v>27</v>
      </c>
      <c r="C297" s="145">
        <f>COUNTIFS(Principal[Reverse Engineering],"X",Principal[Maintenability Information],"X")</f>
        <v>0</v>
      </c>
    </row>
    <row r="298" spans="1:3" x14ac:dyDescent="0.25">
      <c r="A298" s="80">
        <v>11</v>
      </c>
      <c r="B298" s="80">
        <v>27</v>
      </c>
      <c r="C298" s="145">
        <f>COUNTIFS(Principal[Testing-based techniques],"X",Principal[Maintenability Information],"X")</f>
        <v>0</v>
      </c>
    </row>
    <row r="299" spans="1:3" x14ac:dyDescent="0.25">
      <c r="A299" s="80">
        <v>1</v>
      </c>
      <c r="B299" s="80">
        <v>28</v>
      </c>
      <c r="C299" s="145">
        <f>COUNTIFS(Principal[Ad Hoc Algorithms],"X",Principal[Metrics/Quality],"X")</f>
        <v>3</v>
      </c>
    </row>
    <row r="300" spans="1:3" x14ac:dyDescent="0.25">
      <c r="A300" s="80">
        <v>2</v>
      </c>
      <c r="B300" s="80">
        <v>28</v>
      </c>
      <c r="C300" s="145">
        <f>COUNTIFS(Principal[Data mining],"X",Principal[Metrics/Quality],"X")</f>
        <v>2</v>
      </c>
    </row>
    <row r="301" spans="1:3" x14ac:dyDescent="0.25">
      <c r="A301" s="80">
        <v>3</v>
      </c>
      <c r="B301" s="80">
        <v>28</v>
      </c>
      <c r="C301" s="145">
        <f>COUNTIFS(Principal[Automatic],"X",Principal[Metrics/Quality],"X")</f>
        <v>6</v>
      </c>
    </row>
    <row r="302" spans="1:3" x14ac:dyDescent="0.25">
      <c r="A302" s="80">
        <v>4</v>
      </c>
      <c r="B302" s="80">
        <v>28</v>
      </c>
      <c r="C302" s="145">
        <f>COUNTIFS(Principal[Artificial Intelligence / Machine Learning],"X",Principal[Metrics/Quality],"X")</f>
        <v>2</v>
      </c>
    </row>
    <row r="303" spans="1:3" x14ac:dyDescent="0.25">
      <c r="A303" s="80">
        <v>5</v>
      </c>
      <c r="B303" s="80">
        <v>28</v>
      </c>
      <c r="C303" s="145">
        <f>COUNTIFS(Principal[Qualitative analyses],"X",Principal[Metrics/Quality],"X")</f>
        <v>0</v>
      </c>
    </row>
    <row r="304" spans="1:3" x14ac:dyDescent="0.25">
      <c r="A304" s="80">
        <v>6</v>
      </c>
      <c r="B304" s="80">
        <v>28</v>
      </c>
      <c r="C304" s="145">
        <f>COUNTIFS(Principal[Heuristical techniques],"X",Principal[Metrics/Quality],"X")</f>
        <v>0</v>
      </c>
    </row>
    <row r="305" spans="1:3" x14ac:dyDescent="0.25">
      <c r="A305" s="80">
        <v>7</v>
      </c>
      <c r="B305" s="80">
        <v>28</v>
      </c>
      <c r="C305" s="145">
        <f>COUNTIFS(Principal[Empirical/ Experimental],"X",Principal[Metrics/Quality],"X")</f>
        <v>5</v>
      </c>
    </row>
    <row r="306" spans="1:3" x14ac:dyDescent="0.25">
      <c r="A306" s="80">
        <v>8</v>
      </c>
      <c r="B306" s="80">
        <v>28</v>
      </c>
      <c r="C306" s="145">
        <f>COUNTIFS(Principal[Statistical analyses],"X",Principal[Metrics/Quality],"X")</f>
        <v>3</v>
      </c>
    </row>
    <row r="307" spans="1:3" x14ac:dyDescent="0.25">
      <c r="A307" s="80">
        <v>9</v>
      </c>
      <c r="B307" s="80">
        <v>28</v>
      </c>
      <c r="C307" s="145">
        <f>COUNTIFS(Principal[Prediction],"X",Principal[Metrics/Quality],"X")</f>
        <v>1</v>
      </c>
    </row>
    <row r="308" spans="1:3" x14ac:dyDescent="0.25">
      <c r="A308" s="80">
        <v>10</v>
      </c>
      <c r="B308" s="80">
        <v>28</v>
      </c>
      <c r="C308" s="145">
        <f>COUNTIFS(Principal[Reverse Engineering],"X",Principal[Metrics/Quality],"X")</f>
        <v>1</v>
      </c>
    </row>
    <row r="309" spans="1:3" x14ac:dyDescent="0.25">
      <c r="A309" s="80">
        <v>11</v>
      </c>
      <c r="B309" s="80">
        <v>28</v>
      </c>
      <c r="C309" s="145">
        <f>COUNTIFS(Principal[Testing-based techniques],"X",Principal[Metrics/Quality],"X")</f>
        <v>1</v>
      </c>
    </row>
    <row r="310" spans="1:3" x14ac:dyDescent="0.25">
      <c r="A310" s="80">
        <v>1</v>
      </c>
      <c r="B310" s="146">
        <v>29</v>
      </c>
      <c r="C310" s="145">
        <f>COUNTIFS(Principal[Ad Hoc Algorithms],"X",Principal[Source Code Improvements],"X")</f>
        <v>2</v>
      </c>
    </row>
    <row r="311" spans="1:3" x14ac:dyDescent="0.25">
      <c r="A311" s="80">
        <v>2</v>
      </c>
      <c r="B311" s="146">
        <v>29</v>
      </c>
      <c r="C311" s="145">
        <f>COUNTIFS(Principal[Data mining],"X",Principal[Source Code Improvements],"X")</f>
        <v>4</v>
      </c>
    </row>
    <row r="312" spans="1:3" x14ac:dyDescent="0.25">
      <c r="A312" s="80">
        <v>3</v>
      </c>
      <c r="B312" s="146">
        <v>29</v>
      </c>
      <c r="C312" s="145">
        <f>COUNTIFS(Principal[Automatic],"X",Principal[Source Code Improvements],"X")</f>
        <v>2</v>
      </c>
    </row>
    <row r="313" spans="1:3" x14ac:dyDescent="0.25">
      <c r="A313" s="80">
        <v>4</v>
      </c>
      <c r="B313" s="146">
        <v>29</v>
      </c>
      <c r="C313" s="145">
        <f>COUNTIFS(Principal[Artificial Intelligence / Machine Learning],"X",Principal[Source Code Improvements],"X")</f>
        <v>1</v>
      </c>
    </row>
    <row r="314" spans="1:3" x14ac:dyDescent="0.25">
      <c r="A314" s="80">
        <v>5</v>
      </c>
      <c r="B314" s="146">
        <v>29</v>
      </c>
      <c r="C314" s="145">
        <f>COUNTIFS(Principal[Qualitative analyses],"X",Principal[Source Code Improvements],"X")</f>
        <v>1</v>
      </c>
    </row>
    <row r="315" spans="1:3" x14ac:dyDescent="0.25">
      <c r="A315" s="80">
        <v>6</v>
      </c>
      <c r="B315" s="146">
        <v>29</v>
      </c>
      <c r="C315" s="145">
        <f>COUNTIFS(Principal[Heuristical techniques],"X",Principal[Source Code Improvements],"X")</f>
        <v>0</v>
      </c>
    </row>
    <row r="316" spans="1:3" x14ac:dyDescent="0.25">
      <c r="A316" s="80">
        <v>7</v>
      </c>
      <c r="B316" s="146">
        <v>29</v>
      </c>
      <c r="C316" s="145">
        <f>COUNTIFS(Principal[Empirical/ Experimental],"X",Principal[Source Code Improvements],"X")</f>
        <v>9</v>
      </c>
    </row>
    <row r="317" spans="1:3" x14ac:dyDescent="0.25">
      <c r="A317" s="80">
        <v>8</v>
      </c>
      <c r="B317" s="146">
        <v>29</v>
      </c>
      <c r="C317" s="145">
        <f>COUNTIFS(Principal[Statistical analyses],"X",Principal[Source Code Improvements],"X")</f>
        <v>1</v>
      </c>
    </row>
    <row r="318" spans="1:3" x14ac:dyDescent="0.25">
      <c r="A318" s="80">
        <v>9</v>
      </c>
      <c r="B318" s="146">
        <v>29</v>
      </c>
      <c r="C318" s="145">
        <f>COUNTIFS(Principal[Prediction],"X",Principal[Source Code Improvements],"X")</f>
        <v>0</v>
      </c>
    </row>
    <row r="319" spans="1:3" x14ac:dyDescent="0.25">
      <c r="A319" s="80">
        <v>10</v>
      </c>
      <c r="B319" s="146">
        <v>29</v>
      </c>
      <c r="C319" s="145">
        <f>COUNTIFS(Principal[Reverse Engineering],"X",Principal[Source Code Improvements],"X")</f>
        <v>2</v>
      </c>
    </row>
    <row r="320" spans="1:3" x14ac:dyDescent="0.25">
      <c r="A320" s="80">
        <v>11</v>
      </c>
      <c r="B320" s="146">
        <v>29</v>
      </c>
      <c r="C320" s="145">
        <f>COUNTIFS(Principal[Testing-based techniques],"X",Principal[Source Code Improvements],"X")</f>
        <v>0</v>
      </c>
    </row>
    <row r="321" spans="1:3" x14ac:dyDescent="0.25">
      <c r="A321" s="80">
        <v>1</v>
      </c>
      <c r="B321" s="146">
        <v>30</v>
      </c>
      <c r="C321" s="145">
        <f>COUNTIFS(Principal[Ad Hoc Algorithms],"X",Principal[Testing Data],"X")</f>
        <v>0</v>
      </c>
    </row>
    <row r="322" spans="1:3" x14ac:dyDescent="0.25">
      <c r="A322" s="80">
        <v>2</v>
      </c>
      <c r="B322" s="146">
        <v>30</v>
      </c>
      <c r="C322" s="145">
        <f>COUNTIFS(Principal[Data mining],"X",Principal[Testing Data],"X")</f>
        <v>0</v>
      </c>
    </row>
    <row r="323" spans="1:3" x14ac:dyDescent="0.25">
      <c r="A323" s="80">
        <v>3</v>
      </c>
      <c r="B323" s="146">
        <v>30</v>
      </c>
      <c r="C323" s="145">
        <f>COUNTIFS(Principal[Automatic],"X",Principal[Testing Data],"X")</f>
        <v>0</v>
      </c>
    </row>
    <row r="324" spans="1:3" x14ac:dyDescent="0.25">
      <c r="A324" s="80">
        <v>4</v>
      </c>
      <c r="B324" s="146">
        <v>30</v>
      </c>
      <c r="C324" s="145">
        <f>COUNTIFS(Principal[Artificial Intelligence / Machine Learning],"X",Principal[Testing Data],"X")</f>
        <v>0</v>
      </c>
    </row>
    <row r="325" spans="1:3" x14ac:dyDescent="0.25">
      <c r="A325" s="80">
        <v>5</v>
      </c>
      <c r="B325" s="146">
        <v>30</v>
      </c>
      <c r="C325" s="145">
        <f>COUNTIFS(Principal[Qualitative analyses],"X",Principal[Testing Data],"X")</f>
        <v>0</v>
      </c>
    </row>
    <row r="326" spans="1:3" x14ac:dyDescent="0.25">
      <c r="A326" s="80">
        <v>6</v>
      </c>
      <c r="B326" s="146">
        <v>30</v>
      </c>
      <c r="C326" s="145">
        <f>COUNTIFS(Principal[Heuristical techniques],"X",Principal[Testing Data],"X")</f>
        <v>1</v>
      </c>
    </row>
    <row r="327" spans="1:3" x14ac:dyDescent="0.25">
      <c r="A327" s="80">
        <v>7</v>
      </c>
      <c r="B327" s="146">
        <v>30</v>
      </c>
      <c r="C327" s="145">
        <f>COUNTIFS(Principal[Empirical/ Experimental],"X",Principal[Testing Data],"X")</f>
        <v>1</v>
      </c>
    </row>
    <row r="328" spans="1:3" x14ac:dyDescent="0.25">
      <c r="A328" s="80">
        <v>8</v>
      </c>
      <c r="B328" s="146">
        <v>30</v>
      </c>
      <c r="C328" s="145">
        <f>COUNTIFS(Principal[Statistical analyses],"X",Principal[Testing Data],"X")</f>
        <v>0</v>
      </c>
    </row>
    <row r="329" spans="1:3" x14ac:dyDescent="0.25">
      <c r="A329" s="80">
        <v>9</v>
      </c>
      <c r="B329" s="146">
        <v>30</v>
      </c>
      <c r="C329" s="145">
        <f>COUNTIFS(Principal[Prediction],"X",Principal[Testing Data],"X")</f>
        <v>0</v>
      </c>
    </row>
    <row r="330" spans="1:3" x14ac:dyDescent="0.25">
      <c r="A330" s="80">
        <v>10</v>
      </c>
      <c r="B330" s="146">
        <v>30</v>
      </c>
      <c r="C330" s="145">
        <f>COUNTIFS(Principal[Reverse Engineering],"X",Principal[Testing Data],"X")</f>
        <v>0</v>
      </c>
    </row>
    <row r="331" spans="1:3" x14ac:dyDescent="0.25">
      <c r="A331" s="80">
        <v>11</v>
      </c>
      <c r="B331" s="146">
        <v>30</v>
      </c>
      <c r="C331" s="145">
        <f>COUNTIFS(Principal[Testing-based techniques],"X",Principal[Testing Data],"X")</f>
        <v>1</v>
      </c>
    </row>
  </sheetData>
  <sortState xmlns:xlrd2="http://schemas.microsoft.com/office/spreadsheetml/2017/richdata2" ref="K1:K6">
    <sortCondition ref="K6"/>
  </sortState>
  <pageMargins left="0.7" right="0.7" top="0.75" bottom="0.75" header="0.3" footer="0.3"/>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Owner xmlns="da7b2cf9-58f3-45e7-aa1f-199ed74828f4">
      <UserInfo>
        <DisplayName/>
        <AccountId xsi:nil="true"/>
        <AccountType/>
      </UserInfo>
    </Owner>
    <CultureName xmlns="da7b2cf9-58f3-45e7-aa1f-199ed74828f4" xsi:nil="true"/>
    <Students xmlns="da7b2cf9-58f3-45e7-aa1f-199ed74828f4">
      <UserInfo>
        <DisplayName/>
        <AccountId xsi:nil="true"/>
        <AccountType/>
      </UserInfo>
    </Students>
    <Has_Teacher_Only_SectionGroup xmlns="da7b2cf9-58f3-45e7-aa1f-199ed74828f4" xsi:nil="true"/>
    <Invited_Students xmlns="da7b2cf9-58f3-45e7-aa1f-199ed74828f4" xsi:nil="true"/>
    <Teachers xmlns="da7b2cf9-58f3-45e7-aa1f-199ed74828f4">
      <UserInfo>
        <DisplayName/>
        <AccountId xsi:nil="true"/>
        <AccountType/>
      </UserInfo>
    </Teachers>
    <AppVersion xmlns="da7b2cf9-58f3-45e7-aa1f-199ed74828f4" xsi:nil="true"/>
    <Invited_Teachers xmlns="da7b2cf9-58f3-45e7-aa1f-199ed74828f4" xsi:nil="true"/>
    <DefaultSectionNames xmlns="da7b2cf9-58f3-45e7-aa1f-199ed74828f4" xsi:nil="true"/>
    <Is_Collaboration_Space_Locked xmlns="da7b2cf9-58f3-45e7-aa1f-199ed74828f4" xsi:nil="true"/>
    <FolderType xmlns="da7b2cf9-58f3-45e7-aa1f-199ed74828f4" xsi:nil="true"/>
    <Self_Registration_Enabled xmlns="da7b2cf9-58f3-45e7-aa1f-199ed74828f4" xsi:nil="true"/>
    <NotebookType xmlns="da7b2cf9-58f3-45e7-aa1f-199ed74828f4" xsi:nil="true"/>
    <Student_Groups xmlns="da7b2cf9-58f3-45e7-aa1f-199ed74828f4">
      <UserInfo>
        <DisplayName/>
        <AccountId xsi:nil="true"/>
        <AccountType/>
      </UserInfo>
    </Student_Group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36E5F8AED63F6C459C0FF37C2787AABE" ma:contentTypeVersion="27" ma:contentTypeDescription="Crear nuevo documento." ma:contentTypeScope="" ma:versionID="a2f6eabe52717582f432784926838100">
  <xsd:schema xmlns:xsd="http://www.w3.org/2001/XMLSchema" xmlns:xs="http://www.w3.org/2001/XMLSchema" xmlns:p="http://schemas.microsoft.com/office/2006/metadata/properties" xmlns:ns3="da7b2cf9-58f3-45e7-aa1f-199ed74828f4" xmlns:ns4="c1ad3d6b-b21b-4645-9958-f1327d440d2d" targetNamespace="http://schemas.microsoft.com/office/2006/metadata/properties" ma:root="true" ma:fieldsID="1538f70203a157f064287742f2103797" ns3:_="" ns4:_="">
    <xsd:import namespace="da7b2cf9-58f3-45e7-aa1f-199ed74828f4"/>
    <xsd:import namespace="c1ad3d6b-b21b-4645-9958-f1327d440d2d"/>
    <xsd:element name="properties">
      <xsd:complexType>
        <xsd:sequence>
          <xsd:element name="documentManagement">
            <xsd:complexType>
              <xsd:all>
                <xsd:element ref="ns3:NotebookType" minOccurs="0"/>
                <xsd:element ref="ns3:FolderType" minOccurs="0"/>
                <xsd:element ref="ns3:Owner" minOccurs="0"/>
                <xsd:element ref="ns3:DefaultSectionNames" minOccurs="0"/>
                <xsd:element ref="ns3:CultureName" minOccurs="0"/>
                <xsd:element ref="ns3:AppVersion" minOccurs="0"/>
                <xsd:element ref="ns3:Teachers" minOccurs="0"/>
                <xsd:element ref="ns3:Students" minOccurs="0"/>
                <xsd:element ref="ns3:Student_Groups" minOccurs="0"/>
                <xsd:element ref="ns3:Invited_Teachers" minOccurs="0"/>
                <xsd:element ref="ns3:Invited_Students" minOccurs="0"/>
                <xsd:element ref="ns3:Self_Registration_Enabled" minOccurs="0"/>
                <xsd:element ref="ns3:Has_Teacher_Only_SectionGroup" minOccurs="0"/>
                <xsd:element ref="ns3:Is_Collaboration_Space_Locked" minOccurs="0"/>
                <xsd:element ref="ns4:SharedWithUsers" minOccurs="0"/>
                <xsd:element ref="ns4:SharedWithDetails" minOccurs="0"/>
                <xsd:element ref="ns4:SharingHintHash"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7b2cf9-58f3-45e7-aa1f-199ed74828f4" elementFormDefault="qualified">
    <xsd:import namespace="http://schemas.microsoft.com/office/2006/documentManagement/types"/>
    <xsd:import namespace="http://schemas.microsoft.com/office/infopath/2007/PartnerControls"/>
    <xsd:element name="NotebookType" ma:index="8" nillable="true" ma:displayName="Notebook Type" ma:internalName="NotebookType">
      <xsd:simpleType>
        <xsd:restriction base="dms:Text"/>
      </xsd:simpleType>
    </xsd:element>
    <xsd:element name="FolderType" ma:index="9" nillable="true" ma:displayName="Folder Type" ma:internalName="FolderType">
      <xsd:simpleType>
        <xsd:restriction base="dms:Text"/>
      </xsd:simpleType>
    </xsd:element>
    <xsd:element name="Owner" ma:index="10"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efaultSectionNames" ma:index="11" nillable="true" ma:displayName="Default Section Names" ma:internalName="DefaultSectionNames">
      <xsd:simpleType>
        <xsd:restriction base="dms:Note">
          <xsd:maxLength value="255"/>
        </xsd:restriction>
      </xsd:simpleType>
    </xsd:element>
    <xsd:element name="CultureName" ma:index="12" nillable="true" ma:displayName="Culture Name" ma:internalName="CultureName">
      <xsd:simpleType>
        <xsd:restriction base="dms:Text"/>
      </xsd:simpleType>
    </xsd:element>
    <xsd:element name="AppVersion" ma:index="13" nillable="true" ma:displayName="App Version" ma:internalName="AppVersion">
      <xsd:simpleType>
        <xsd:restriction base="dms:Text"/>
      </xsd:simpleType>
    </xsd:element>
    <xsd:element name="Teachers" ma:index="14" nillable="true" ma:displayName="Teachers" ma:internalName="Teach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s" ma:index="15" nillable="true" ma:displayName="Students" ma:internalName="Student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tudent_Groups" ma:index="16" nillable="true" ma:displayName="Student Groups" ma:internalName="Student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nvited_Teachers" ma:index="17" nillable="true" ma:displayName="Invited Teachers" ma:internalName="Invited_Teachers">
      <xsd:simpleType>
        <xsd:restriction base="dms:Note">
          <xsd:maxLength value="255"/>
        </xsd:restriction>
      </xsd:simpleType>
    </xsd:element>
    <xsd:element name="Invited_Students" ma:index="18" nillable="true" ma:displayName="Invited Students" ma:internalName="Invited_Students">
      <xsd:simpleType>
        <xsd:restriction base="dms:Note">
          <xsd:maxLength value="255"/>
        </xsd:restriction>
      </xsd:simpleType>
    </xsd:element>
    <xsd:element name="Self_Registration_Enabled" ma:index="19" nillable="true" ma:displayName="Self Registration Enabled" ma:internalName="Self_Registration_Enabled">
      <xsd:simpleType>
        <xsd:restriction base="dms:Boolean"/>
      </xsd:simpleType>
    </xsd:element>
    <xsd:element name="Has_Teacher_Only_SectionGroup" ma:index="20" nillable="true" ma:displayName="Has Teacher Only SectionGroup" ma:internalName="Has_Teacher_Only_SectionGroup">
      <xsd:simpleType>
        <xsd:restriction base="dms:Boolean"/>
      </xsd:simpleType>
    </xsd:element>
    <xsd:element name="Is_Collaboration_Space_Locked" ma:index="21" nillable="true" ma:displayName="Is Collaboration Space Locked" ma:internalName="Is_Collaboration_Space_Locked">
      <xsd:simpleType>
        <xsd:restriction base="dms:Boolean"/>
      </xsd:simpleType>
    </xsd:element>
    <xsd:element name="MediaServiceMetadata" ma:index="25" nillable="true" ma:displayName="MediaServiceMetadata" ma:description="" ma:hidden="true" ma:internalName="MediaServiceMetadata" ma:readOnly="true">
      <xsd:simpleType>
        <xsd:restriction base="dms:Note"/>
      </xsd:simpleType>
    </xsd:element>
    <xsd:element name="MediaServiceFastMetadata" ma:index="26" nillable="true" ma:displayName="MediaServiceFastMetadata" ma:description="" ma:hidden="true" ma:internalName="MediaServiceFastMetadata" ma:readOnly="true">
      <xsd:simpleType>
        <xsd:restriction base="dms:Note"/>
      </xsd:simpleType>
    </xsd:element>
    <xsd:element name="MediaServiceDateTaken" ma:index="27" nillable="true" ma:displayName="MediaServiceDateTaken" ma:description="" ma:hidden="true" ma:internalName="MediaServiceDateTaken" ma:readOnly="true">
      <xsd:simpleType>
        <xsd:restriction base="dms:Text"/>
      </xsd:simpleType>
    </xsd:element>
    <xsd:element name="MediaServiceAutoTags" ma:index="28" nillable="true" ma:displayName="MediaServiceAutoTags" ma:description="" ma:internalName="MediaServiceAutoTags" ma:readOnly="true">
      <xsd:simpleType>
        <xsd:restriction base="dms:Text"/>
      </xsd:simpleType>
    </xsd:element>
    <xsd:element name="MediaServiceLocation" ma:index="29" nillable="true" ma:displayName="MediaServiceLocation" ma:internalName="MediaServiceLocation" ma:readOnly="true">
      <xsd:simpleType>
        <xsd:restriction base="dms:Text"/>
      </xsd:simpleType>
    </xsd:element>
    <xsd:element name="MediaServiceOCR" ma:index="30" nillable="true" ma:displayName="MediaServiceOCR" ma:internalName="MediaServiceOCR" ma:readOnly="true">
      <xsd:simpleType>
        <xsd:restriction base="dms:Note">
          <xsd:maxLength value="255"/>
        </xsd:restriction>
      </xsd:simpleType>
    </xsd:element>
    <xsd:element name="MediaServiceGenerationTime" ma:index="31" nillable="true" ma:displayName="MediaServiceGenerationTime" ma:hidden="true" ma:internalName="MediaServiceGenerationTime" ma:readOnly="true">
      <xsd:simpleType>
        <xsd:restriction base="dms:Text"/>
      </xsd:simpleType>
    </xsd:element>
    <xsd:element name="MediaServiceEventHashCode" ma:index="32" nillable="true" ma:displayName="MediaServiceEventHashCode" ma:hidden="true" ma:internalName="MediaServiceEventHashCode" ma:readOnly="true">
      <xsd:simpleType>
        <xsd:restriction base="dms:Text"/>
      </xsd:simpleType>
    </xsd:element>
    <xsd:element name="MediaServiceAutoKeyPoints" ma:index="33" nillable="true" ma:displayName="MediaServiceAutoKeyPoints" ma:hidden="true" ma:internalName="MediaServiceAutoKeyPoints" ma:readOnly="true">
      <xsd:simpleType>
        <xsd:restriction base="dms:Note"/>
      </xsd:simpleType>
    </xsd:element>
    <xsd:element name="MediaServiceKeyPoints" ma:index="3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ad3d6b-b21b-4645-9958-f1327d440d2d" elementFormDefault="qualified">
    <xsd:import namespace="http://schemas.microsoft.com/office/2006/documentManagement/types"/>
    <xsd:import namespace="http://schemas.microsoft.com/office/infopath/2007/PartnerControls"/>
    <xsd:element name="SharedWithUsers" ma:index="22"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Detalles de uso compartido" ma:description="" ma:internalName="SharedWithDetails" ma:readOnly="true">
      <xsd:simpleType>
        <xsd:restriction base="dms:Note">
          <xsd:maxLength value="255"/>
        </xsd:restriction>
      </xsd:simpleType>
    </xsd:element>
    <xsd:element name="SharingHintHash" ma:index="24" nillable="true" ma:displayName="Hash de la sugerencia para compartir" ma:descriptio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3B5C8B-A6D4-4A97-BBE7-D4AD6DCB13D3}">
  <ds:schemaRefs>
    <ds:schemaRef ds:uri="http://schemas.microsoft.com/DataMashup"/>
  </ds:schemaRefs>
</ds:datastoreItem>
</file>

<file path=customXml/itemProps2.xml><?xml version="1.0" encoding="utf-8"?>
<ds:datastoreItem xmlns:ds="http://schemas.openxmlformats.org/officeDocument/2006/customXml" ds:itemID="{C0E91492-3607-4CE7-A682-B539A6FD5F59}">
  <ds:schemaRefs>
    <ds:schemaRef ds:uri="http://purl.org/dc/dcmitype/"/>
    <ds:schemaRef ds:uri="http://schemas.microsoft.com/office/2006/documentManagement/types"/>
    <ds:schemaRef ds:uri="http://schemas.microsoft.com/office/infopath/2007/PartnerControls"/>
    <ds:schemaRef ds:uri="http://purl.org/dc/terms/"/>
    <ds:schemaRef ds:uri="c1ad3d6b-b21b-4645-9958-f1327d440d2d"/>
    <ds:schemaRef ds:uri="http://purl.org/dc/elements/1.1/"/>
    <ds:schemaRef ds:uri="da7b2cf9-58f3-45e7-aa1f-199ed74828f4"/>
    <ds:schemaRef ds:uri="http://schemas.openxmlformats.org/package/2006/metadata/core-properties"/>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DEC2C6F8-3CFE-4FF0-98E4-C2697F7348D7}">
  <ds:schemaRefs>
    <ds:schemaRef ds:uri="http://schemas.microsoft.com/sharepoint/v3/contenttype/forms"/>
  </ds:schemaRefs>
</ds:datastoreItem>
</file>

<file path=customXml/itemProps4.xml><?xml version="1.0" encoding="utf-8"?>
<ds:datastoreItem xmlns:ds="http://schemas.openxmlformats.org/officeDocument/2006/customXml" ds:itemID="{F4B7F971-A931-418E-AE8E-0EA516B087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7b2cf9-58f3-45e7-aa1f-199ed74828f4"/>
    <ds:schemaRef ds:uri="c1ad3d6b-b21b-4645-9958-f1327d440d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20</vt:i4>
      </vt:variant>
      <vt:variant>
        <vt:lpstr>Rangos con nombre</vt:lpstr>
      </vt:variant>
      <vt:variant>
        <vt:i4>3</vt:i4>
      </vt:variant>
    </vt:vector>
  </HeadingPairs>
  <TitlesOfParts>
    <vt:vector size="23" baseType="lpstr">
      <vt:lpstr>DataBaseFinal</vt:lpstr>
      <vt:lpstr>Hoja1</vt:lpstr>
      <vt:lpstr>CategoriesFinal</vt:lpstr>
      <vt:lpstr>Categories</vt:lpstr>
      <vt:lpstr>BddCountry</vt:lpstr>
      <vt:lpstr>EXTRACTION_FORM</vt:lpstr>
      <vt:lpstr>ClassificationCategories</vt:lpstr>
      <vt:lpstr>PRINCIPAL</vt:lpstr>
      <vt:lpstr>Country</vt:lpstr>
      <vt:lpstr>Year</vt:lpstr>
      <vt:lpstr>Authors</vt:lpstr>
      <vt:lpstr>Input</vt:lpstr>
      <vt:lpstr>Methods-Techniques</vt:lpstr>
      <vt:lpstr>SubCategorieIA</vt:lpstr>
      <vt:lpstr>Output</vt:lpstr>
      <vt:lpstr>CategoriesAndPapers</vt:lpstr>
      <vt:lpstr>SORT</vt:lpstr>
      <vt:lpstr>Type</vt:lpstr>
      <vt:lpstr>Quality</vt:lpstr>
      <vt:lpstr>Bubble</vt:lpstr>
      <vt:lpstr>CategoriesAndPapers!_Hlk37778435</vt:lpstr>
      <vt:lpstr>DataBaseFinal!Scale</vt:lpstr>
      <vt:lpstr>Scale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Alarcos</dc:creator>
  <cp:lastModifiedBy>JSH</cp:lastModifiedBy>
  <cp:lastPrinted>2019-10-19T05:48:02Z</cp:lastPrinted>
  <dcterms:created xsi:type="dcterms:W3CDTF">2017-12-29T13:24:18Z</dcterms:created>
  <dcterms:modified xsi:type="dcterms:W3CDTF">2020-05-25T12:52:25Z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be7edea1-65ba-4298-bc42-37062cb53e9b</vt:lpwstr>
  </property>
  <property fmtid="{D5CDD505-2E9C-101B-9397-08002B2CF9AE}" pid="3" name="ContentTypeId">
    <vt:lpwstr>0x01010036E5F8AED63F6C459C0FF37C2787AABE</vt:lpwstr>
  </property>
</Properties>
</file>