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ettastoned\Documents\Online Courses\Visually Effective Dashboards_Leila Gharani\KPI Dashboard\"/>
    </mc:Choice>
  </mc:AlternateContent>
  <workbookProtection workbookAlgorithmName="SHA-512" workbookHashValue="lRAYw+egmgLIHP4c4CMYwi4hYvNJf3USJOAQtyLVf/qSjKtY5B6wODVmI32PUSn+yZkD620ac53cekA0+QJGbg==" workbookSaltValue="Cvpn0cP4Wc7VfCMSUC9nUw==" workbookSpinCount="100000" lockStructure="1"/>
  <bookViews>
    <workbookView xWindow="0" yWindow="0" windowWidth="23040" windowHeight="10644"/>
  </bookViews>
  <sheets>
    <sheet name="Dashboard" sheetId="3" r:id="rId1"/>
    <sheet name="Calculation" sheetId="4" r:id="rId2"/>
    <sheet name="Data" sheetId="2" r:id="rId3"/>
    <sheet name="Wireframe Model" sheetId="1" r:id="rId4"/>
  </sheets>
  <definedNames>
    <definedName name="cur_month">Dashboard!$F$7</definedName>
    <definedName name="cur_year">Dashboard!$F$6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0" i="4" l="1"/>
  <c r="BC23" i="4"/>
  <c r="BC24" i="4"/>
  <c r="BC25" i="4"/>
  <c r="BC26" i="4"/>
  <c r="BC27" i="4"/>
  <c r="BC28" i="4"/>
  <c r="BC17" i="4"/>
  <c r="AZ23" i="4"/>
  <c r="AZ24" i="4"/>
  <c r="AZ25" i="4"/>
  <c r="AZ26" i="4"/>
  <c r="AZ27" i="4"/>
  <c r="AZ28" i="4"/>
  <c r="AY18" i="4"/>
  <c r="AY19" i="4"/>
  <c r="AY20" i="4"/>
  <c r="AY21" i="4"/>
  <c r="AY22" i="4"/>
  <c r="AY23" i="4"/>
  <c r="AY24" i="4"/>
  <c r="AY25" i="4"/>
  <c r="AY26" i="4"/>
  <c r="AY27" i="4"/>
  <c r="AY28" i="4"/>
  <c r="AY17" i="4"/>
  <c r="AZ15" i="4"/>
  <c r="BA15" i="4"/>
  <c r="BB15" i="4"/>
  <c r="AZ16" i="4"/>
  <c r="BA16" i="4"/>
  <c r="BB16" i="4"/>
  <c r="AY16" i="4"/>
  <c r="AS12" i="4"/>
  <c r="AT20" i="4" s="1"/>
  <c r="AZ20" i="4" s="1"/>
  <c r="AV15" i="4"/>
  <c r="AU15" i="4"/>
  <c r="AT15" i="4"/>
  <c r="AZ13" i="4" l="1"/>
  <c r="AT27" i="4"/>
  <c r="AT22" i="4"/>
  <c r="AZ22" i="4" s="1"/>
  <c r="BC22" i="4" s="1"/>
  <c r="AV28" i="4"/>
  <c r="BB28" i="4" s="1"/>
  <c r="AU26" i="4"/>
  <c r="BA26" i="4" s="1"/>
  <c r="AU23" i="4"/>
  <c r="BA23" i="4" s="1"/>
  <c r="AV20" i="4"/>
  <c r="BB20" i="4" s="1"/>
  <c r="AU18" i="4"/>
  <c r="BA18" i="4" s="1"/>
  <c r="AT17" i="4"/>
  <c r="AZ17" i="4" s="1"/>
  <c r="AT25" i="4"/>
  <c r="AU27" i="4"/>
  <c r="BA27" i="4" s="1"/>
  <c r="AV24" i="4"/>
  <c r="BB24" i="4" s="1"/>
  <c r="AU22" i="4"/>
  <c r="BA22" i="4" s="1"/>
  <c r="AU19" i="4"/>
  <c r="BA19" i="4" s="1"/>
  <c r="AV17" i="4"/>
  <c r="BB17" i="4" s="1"/>
  <c r="AT28" i="4"/>
  <c r="AT24" i="4"/>
  <c r="AT18" i="4"/>
  <c r="AZ18" i="4" s="1"/>
  <c r="BC18" i="4" s="1"/>
  <c r="AV26" i="4"/>
  <c r="BB26" i="4" s="1"/>
  <c r="AU24" i="4"/>
  <c r="BA24" i="4" s="1"/>
  <c r="AU21" i="4"/>
  <c r="BA21" i="4" s="1"/>
  <c r="AV18" i="4"/>
  <c r="BB18" i="4" s="1"/>
  <c r="AT26" i="4"/>
  <c r="AT21" i="4"/>
  <c r="AZ21" i="4" s="1"/>
  <c r="BC21" i="4" s="1"/>
  <c r="AU28" i="4"/>
  <c r="BA28" i="4" s="1"/>
  <c r="AU25" i="4"/>
  <c r="BA25" i="4" s="1"/>
  <c r="AV22" i="4"/>
  <c r="BB22" i="4" s="1"/>
  <c r="AU20" i="4"/>
  <c r="BA20" i="4" s="1"/>
  <c r="AU17" i="4"/>
  <c r="BA17" i="4" s="1"/>
  <c r="AT23" i="4"/>
  <c r="AT19" i="4"/>
  <c r="AZ19" i="4" s="1"/>
  <c r="BC19" i="4" s="1"/>
  <c r="AV27" i="4"/>
  <c r="BB27" i="4" s="1"/>
  <c r="AV25" i="4"/>
  <c r="BB25" i="4" s="1"/>
  <c r="AV23" i="4"/>
  <c r="BB23" i="4" s="1"/>
  <c r="AV21" i="4"/>
  <c r="BB21" i="4" s="1"/>
  <c r="AV19" i="4"/>
  <c r="BB19" i="4" s="1"/>
  <c r="AM14" i="4"/>
  <c r="AM15" i="4"/>
  <c r="AN16" i="4"/>
  <c r="AM16" i="4"/>
  <c r="AI16" i="4"/>
  <c r="U11" i="4" l="1"/>
  <c r="V11" i="4"/>
  <c r="T11" i="4"/>
  <c r="R11" i="4"/>
  <c r="S11" i="4"/>
  <c r="W11" i="4"/>
  <c r="X11" i="4"/>
  <c r="Y11" i="4"/>
  <c r="R12" i="4"/>
  <c r="S12" i="4"/>
  <c r="T12" i="4"/>
  <c r="U12" i="4"/>
  <c r="V12" i="4"/>
  <c r="W12" i="4"/>
  <c r="X12" i="4"/>
  <c r="Y12" i="4"/>
  <c r="R14" i="4"/>
  <c r="S14" i="4"/>
  <c r="T14" i="4"/>
  <c r="U14" i="4"/>
  <c r="V14" i="4"/>
  <c r="W14" i="4"/>
  <c r="X14" i="4"/>
  <c r="Y14" i="4"/>
  <c r="Q11" i="4"/>
  <c r="Q12" i="4"/>
  <c r="Q14" i="4"/>
  <c r="P38" i="4"/>
  <c r="P18" i="4"/>
  <c r="AH18" i="4" s="1"/>
  <c r="P19" i="4"/>
  <c r="AH19" i="4" s="1"/>
  <c r="P20" i="4"/>
  <c r="AH20" i="4" s="1"/>
  <c r="P21" i="4"/>
  <c r="AH21" i="4" s="1"/>
  <c r="P22" i="4"/>
  <c r="AH22" i="4" s="1"/>
  <c r="P23" i="4"/>
  <c r="AH23" i="4" s="1"/>
  <c r="P24" i="4"/>
  <c r="AH24" i="4" s="1"/>
  <c r="P25" i="4"/>
  <c r="AH25" i="4" s="1"/>
  <c r="P26" i="4"/>
  <c r="AH26" i="4" s="1"/>
  <c r="P27" i="4"/>
  <c r="P28" i="4"/>
  <c r="P29" i="4"/>
  <c r="P30" i="4"/>
  <c r="P31" i="4"/>
  <c r="P32" i="4"/>
  <c r="P33" i="4"/>
  <c r="P34" i="4"/>
  <c r="P35" i="4"/>
  <c r="P36" i="4"/>
  <c r="P17" i="4"/>
  <c r="AH17" i="4" s="1"/>
  <c r="O29" i="4" l="1"/>
  <c r="AH29" i="4"/>
  <c r="O36" i="4"/>
  <c r="AH36" i="4"/>
  <c r="AI36" i="4" s="1"/>
  <c r="O32" i="4"/>
  <c r="AH32" i="4"/>
  <c r="AI32" i="4" s="1"/>
  <c r="O28" i="4"/>
  <c r="AH28" i="4"/>
  <c r="O31" i="4"/>
  <c r="AH31" i="4"/>
  <c r="O27" i="4"/>
  <c r="AH27" i="4"/>
  <c r="O33" i="4"/>
  <c r="AH33" i="4"/>
  <c r="AI33" i="4" s="1"/>
  <c r="O35" i="4"/>
  <c r="AH35" i="4"/>
  <c r="AI35" i="4" s="1"/>
  <c r="O34" i="4"/>
  <c r="AH34" i="4"/>
  <c r="AI34" i="4" s="1"/>
  <c r="O30" i="4"/>
  <c r="AH30" i="4"/>
  <c r="U35" i="4"/>
  <c r="R10" i="4"/>
  <c r="O25" i="4"/>
  <c r="D22" i="3" s="1"/>
  <c r="E22" i="3"/>
  <c r="O21" i="4"/>
  <c r="E18" i="3"/>
  <c r="O24" i="4"/>
  <c r="E21" i="3"/>
  <c r="O20" i="4"/>
  <c r="E17" i="3"/>
  <c r="W33" i="4"/>
  <c r="O23" i="4"/>
  <c r="E20" i="3"/>
  <c r="O19" i="4"/>
  <c r="E16" i="3"/>
  <c r="O26" i="4"/>
  <c r="E23" i="3"/>
  <c r="O22" i="4"/>
  <c r="E19" i="3"/>
  <c r="O18" i="4"/>
  <c r="E15" i="3"/>
  <c r="O17" i="4"/>
  <c r="D14" i="3" s="1"/>
  <c r="E14" i="3"/>
  <c r="Q35" i="4"/>
  <c r="S33" i="4"/>
  <c r="V34" i="4"/>
  <c r="Z35" i="4"/>
  <c r="AD35" i="4"/>
  <c r="Y35" i="4"/>
  <c r="R34" i="4"/>
  <c r="AB33" i="4"/>
  <c r="T32" i="4"/>
  <c r="AA32" i="4"/>
  <c r="AE36" i="4"/>
  <c r="AC34" i="4"/>
  <c r="AE32" i="4"/>
  <c r="W36" i="4"/>
  <c r="S36" i="4"/>
  <c r="X35" i="4"/>
  <c r="T35" i="4"/>
  <c r="Y34" i="4"/>
  <c r="U34" i="4"/>
  <c r="Q34" i="4"/>
  <c r="V33" i="4"/>
  <c r="R33" i="4"/>
  <c r="W32" i="4"/>
  <c r="S32" i="4"/>
  <c r="Z36" i="4"/>
  <c r="AB34" i="4"/>
  <c r="AA33" i="4"/>
  <c r="Z32" i="4"/>
  <c r="AD36" i="4"/>
  <c r="AC35" i="4"/>
  <c r="AE33" i="4"/>
  <c r="AD32" i="4"/>
  <c r="T36" i="4"/>
  <c r="V36" i="4"/>
  <c r="R36" i="4"/>
  <c r="W35" i="4"/>
  <c r="S35" i="4"/>
  <c r="X34" i="4"/>
  <c r="T34" i="4"/>
  <c r="Y33" i="4"/>
  <c r="U33" i="4"/>
  <c r="Q33" i="4"/>
  <c r="V32" i="4"/>
  <c r="R32" i="4"/>
  <c r="AB35" i="4"/>
  <c r="AA34" i="4"/>
  <c r="Z33" i="4"/>
  <c r="AC36" i="4"/>
  <c r="AE34" i="4"/>
  <c r="AD33" i="4"/>
  <c r="AC32" i="4"/>
  <c r="X36" i="4"/>
  <c r="X32" i="4"/>
  <c r="AA36" i="4"/>
  <c r="Y36" i="4"/>
  <c r="U36" i="4"/>
  <c r="Q36" i="4"/>
  <c r="V35" i="4"/>
  <c r="R35" i="4"/>
  <c r="W34" i="4"/>
  <c r="S34" i="4"/>
  <c r="X33" i="4"/>
  <c r="T33" i="4"/>
  <c r="Y32" i="4"/>
  <c r="U32" i="4"/>
  <c r="Q32" i="4"/>
  <c r="AB36" i="4"/>
  <c r="AA35" i="4"/>
  <c r="Z34" i="4"/>
  <c r="AB32" i="4"/>
  <c r="AE35" i="4"/>
  <c r="AD34" i="4"/>
  <c r="AC33" i="4"/>
  <c r="U10" i="4"/>
  <c r="Q10" i="4"/>
  <c r="V10" i="4"/>
  <c r="X10" i="4"/>
  <c r="W10" i="4"/>
  <c r="T10" i="4"/>
  <c r="Y10" i="4"/>
  <c r="S10" i="4"/>
  <c r="H16" i="4" a="1"/>
  <c r="I16" i="4" s="1"/>
  <c r="B6" i="2"/>
  <c r="C6" i="2"/>
  <c r="D6" i="2"/>
  <c r="E6" i="2"/>
  <c r="F6" i="2"/>
  <c r="G6" i="2"/>
  <c r="H6" i="2"/>
  <c r="I6" i="2"/>
  <c r="J6" i="2"/>
  <c r="A2" i="2"/>
  <c r="B2" i="2" s="1"/>
  <c r="E5" i="2" s="1"/>
  <c r="D23" i="3" l="1"/>
  <c r="D20" i="3"/>
  <c r="D21" i="3"/>
  <c r="D17" i="3"/>
  <c r="D18" i="3"/>
  <c r="D15" i="3"/>
  <c r="D19" i="3"/>
  <c r="D16" i="3"/>
  <c r="D4" i="2"/>
  <c r="E4" i="2"/>
  <c r="J16" i="4"/>
  <c r="H16" i="4"/>
  <c r="U5" i="2"/>
  <c r="U4" i="2" s="1"/>
  <c r="B5" i="2"/>
  <c r="B4" i="2" s="1"/>
  <c r="AO5" i="2"/>
  <c r="AO4" i="2" s="1"/>
  <c r="M5" i="2"/>
  <c r="M4" i="2" s="1"/>
  <c r="AK5" i="2"/>
  <c r="AK4" i="2" s="1"/>
  <c r="I5" i="2"/>
  <c r="I4" i="2" s="1"/>
  <c r="AS5" i="2"/>
  <c r="AS4" i="2" s="1"/>
  <c r="Q5" i="2"/>
  <c r="Q4" i="2" s="1"/>
  <c r="AQ5" i="2"/>
  <c r="AQ4" i="2" s="1"/>
  <c r="AM5" i="2"/>
  <c r="AM4" i="2" s="1"/>
  <c r="AI5" i="2"/>
  <c r="AI4" i="2" s="1"/>
  <c r="S5" i="2"/>
  <c r="S4" i="2" s="1"/>
  <c r="O5" i="2"/>
  <c r="O4" i="2" s="1"/>
  <c r="K5" i="2"/>
  <c r="K4" i="2" s="1"/>
  <c r="D5" i="2"/>
  <c r="AG5" i="2"/>
  <c r="AG4" i="2" s="1"/>
  <c r="AC5" i="2"/>
  <c r="AC4" i="2" s="1"/>
  <c r="Y5" i="2"/>
  <c r="Y4" i="2" s="1"/>
  <c r="F5" i="2"/>
  <c r="F4" i="2" s="1"/>
  <c r="AE5" i="2"/>
  <c r="AE4" i="2" s="1"/>
  <c r="AA5" i="2"/>
  <c r="AA4" i="2" s="1"/>
  <c r="W5" i="2"/>
  <c r="W4" i="2" s="1"/>
  <c r="AR5" i="2"/>
  <c r="AR4" i="2" s="1"/>
  <c r="AN5" i="2"/>
  <c r="AN4" i="2" s="1"/>
  <c r="AJ5" i="2"/>
  <c r="AJ4" i="2" s="1"/>
  <c r="T5" i="2"/>
  <c r="T4" i="2" s="1"/>
  <c r="P5" i="2"/>
  <c r="P4" i="2" s="1"/>
  <c r="L5" i="2"/>
  <c r="L4" i="2" s="1"/>
  <c r="H5" i="2"/>
  <c r="H4" i="2" s="1"/>
  <c r="AH5" i="2"/>
  <c r="AH4" i="2" s="1"/>
  <c r="AD5" i="2"/>
  <c r="AD4" i="2" s="1"/>
  <c r="Z5" i="2"/>
  <c r="Z4" i="2" s="1"/>
  <c r="G5" i="2"/>
  <c r="G4" i="2" s="1"/>
  <c r="AT5" i="2"/>
  <c r="AT4" i="2" s="1"/>
  <c r="AP5" i="2"/>
  <c r="AP4" i="2" s="1"/>
  <c r="AL5" i="2"/>
  <c r="AL4" i="2" s="1"/>
  <c r="V5" i="2"/>
  <c r="V4" i="2" s="1"/>
  <c r="R5" i="2"/>
  <c r="R4" i="2" s="1"/>
  <c r="N5" i="2"/>
  <c r="N4" i="2" s="1"/>
  <c r="J5" i="2"/>
  <c r="J4" i="2" s="1"/>
  <c r="C5" i="2"/>
  <c r="C4" i="2" s="1"/>
  <c r="AF5" i="2"/>
  <c r="AF4" i="2" s="1"/>
  <c r="AB5" i="2"/>
  <c r="AB4" i="2" s="1"/>
  <c r="X5" i="2"/>
  <c r="X4" i="2" s="1"/>
  <c r="U38" i="4" l="1"/>
  <c r="Q38" i="4"/>
  <c r="T38" i="4"/>
  <c r="X38" i="4"/>
  <c r="W38" i="4"/>
  <c r="S38" i="4"/>
  <c r="Y38" i="4"/>
  <c r="R38" i="4"/>
  <c r="V38" i="4"/>
  <c r="U26" i="4"/>
  <c r="Q17" i="4"/>
  <c r="Q19" i="4"/>
  <c r="T18" i="4"/>
  <c r="T23" i="4"/>
  <c r="W26" i="4"/>
  <c r="V20" i="4"/>
  <c r="Y20" i="4"/>
  <c r="X28" i="4"/>
  <c r="S31" i="4"/>
  <c r="U27" i="4"/>
  <c r="U21" i="4"/>
  <c r="Q29" i="4"/>
  <c r="Q31" i="4"/>
  <c r="Q25" i="4"/>
  <c r="F22" i="3" s="1"/>
  <c r="Q22" i="4"/>
  <c r="T25" i="4"/>
  <c r="T20" i="4"/>
  <c r="T21" i="4"/>
  <c r="T19" i="4"/>
  <c r="W22" i="4"/>
  <c r="W21" i="4"/>
  <c r="W17" i="4"/>
  <c r="V24" i="4"/>
  <c r="V18" i="4"/>
  <c r="V31" i="4"/>
  <c r="V29" i="4"/>
  <c r="Y21" i="4"/>
  <c r="Y31" i="4"/>
  <c r="Y25" i="4"/>
  <c r="Y22" i="4"/>
  <c r="X29" i="4"/>
  <c r="X24" i="4"/>
  <c r="X25" i="4"/>
  <c r="X19" i="4"/>
  <c r="S29" i="4"/>
  <c r="S23" i="4"/>
  <c r="S17" i="4"/>
  <c r="U25" i="4"/>
  <c r="U23" i="4"/>
  <c r="U17" i="4"/>
  <c r="R21" i="4"/>
  <c r="R31" i="4"/>
  <c r="R30" i="4"/>
  <c r="R24" i="4"/>
  <c r="R19" i="4"/>
  <c r="R17" i="4"/>
  <c r="R27" i="4"/>
  <c r="R26" i="4"/>
  <c r="R29" i="4"/>
  <c r="R18" i="4"/>
  <c r="R28" i="4"/>
  <c r="R23" i="4"/>
  <c r="R22" i="4"/>
  <c r="R25" i="4"/>
  <c r="N22" i="3" s="1"/>
  <c r="R20" i="4"/>
  <c r="Q20" i="4"/>
  <c r="T24" i="4"/>
  <c r="W30" i="4"/>
  <c r="W20" i="4"/>
  <c r="Y29" i="4"/>
  <c r="Y19" i="4"/>
  <c r="X22" i="4"/>
  <c r="X23" i="4"/>
  <c r="S20" i="4"/>
  <c r="Q27" i="4"/>
  <c r="Q24" i="4"/>
  <c r="Q18" i="4"/>
  <c r="T17" i="4"/>
  <c r="T30" i="4"/>
  <c r="T31" i="4"/>
  <c r="W31" i="4"/>
  <c r="W18" i="4"/>
  <c r="W27" i="4"/>
  <c r="W28" i="4"/>
  <c r="V30" i="4"/>
  <c r="V17" i="4"/>
  <c r="V27" i="4"/>
  <c r="V25" i="4"/>
  <c r="Y17" i="4"/>
  <c r="Y27" i="4"/>
  <c r="Y24" i="4"/>
  <c r="Y18" i="4"/>
  <c r="X21" i="4"/>
  <c r="X20" i="4"/>
  <c r="X31" i="4"/>
  <c r="S27" i="4"/>
  <c r="S25" i="4"/>
  <c r="S30" i="4"/>
  <c r="S28" i="4"/>
  <c r="U24" i="4"/>
  <c r="U19" i="4"/>
  <c r="U28" i="4"/>
  <c r="U22" i="4"/>
  <c r="Q26" i="4"/>
  <c r="T29" i="4"/>
  <c r="W25" i="4"/>
  <c r="V22" i="4"/>
  <c r="V19" i="4"/>
  <c r="Y26" i="4"/>
  <c r="X18" i="4"/>
  <c r="S26" i="4"/>
  <c r="S18" i="4"/>
  <c r="U30" i="4"/>
  <c r="Q21" i="4"/>
  <c r="Q28" i="4"/>
  <c r="Q23" i="4"/>
  <c r="F20" i="3" s="1"/>
  <c r="Q30" i="4"/>
  <c r="T26" i="4"/>
  <c r="T28" i="4"/>
  <c r="T22" i="4"/>
  <c r="T27" i="4"/>
  <c r="W23" i="4"/>
  <c r="W29" i="4"/>
  <c r="W19" i="4"/>
  <c r="W24" i="4"/>
  <c r="V26" i="4"/>
  <c r="V28" i="4"/>
  <c r="V23" i="4"/>
  <c r="V21" i="4"/>
  <c r="Y28" i="4"/>
  <c r="Y23" i="4"/>
  <c r="Y30" i="4"/>
  <c r="X30" i="4"/>
  <c r="X17" i="4"/>
  <c r="X26" i="4"/>
  <c r="X27" i="4"/>
  <c r="S19" i="4"/>
  <c r="S21" i="4"/>
  <c r="S22" i="4"/>
  <c r="S24" i="4"/>
  <c r="V21" i="3" s="1"/>
  <c r="U31" i="4"/>
  <c r="U29" i="4"/>
  <c r="U20" i="4"/>
  <c r="U18" i="4"/>
  <c r="V19" i="3" l="1"/>
  <c r="V22" i="3"/>
  <c r="F18" i="3"/>
  <c r="V16" i="3"/>
  <c r="F15" i="3"/>
  <c r="N17" i="3"/>
  <c r="R42" i="4"/>
  <c r="S42" i="4" s="1"/>
  <c r="R43" i="4"/>
  <c r="S43" i="4" s="1"/>
  <c r="R41" i="4"/>
  <c r="S41" i="4" s="1"/>
  <c r="F23" i="3"/>
  <c r="F21" i="3"/>
  <c r="V23" i="3"/>
  <c r="N20" i="3"/>
  <c r="N23" i="3"/>
  <c r="N21" i="3"/>
  <c r="V20" i="3"/>
  <c r="F19" i="3"/>
  <c r="V15" i="3"/>
  <c r="N15" i="3"/>
  <c r="N14" i="3"/>
  <c r="F16" i="3"/>
  <c r="AD38" i="4"/>
  <c r="AA38" i="4"/>
  <c r="N19" i="3"/>
  <c r="N16" i="3"/>
  <c r="N18" i="3"/>
  <c r="V14" i="3"/>
  <c r="V18" i="3"/>
  <c r="V17" i="3"/>
  <c r="F17" i="3"/>
  <c r="AB38" i="4"/>
  <c r="AE38" i="4"/>
  <c r="AC38" i="4"/>
  <c r="Z38" i="4"/>
  <c r="AC17" i="4"/>
  <c r="F14" i="3"/>
  <c r="AB30" i="4"/>
  <c r="AE30" i="4"/>
  <c r="AC30" i="4"/>
  <c r="Z30" i="4"/>
  <c r="AA30" i="4"/>
  <c r="AD30" i="4"/>
  <c r="AI30" i="4" s="1"/>
  <c r="AB29" i="4"/>
  <c r="AE29" i="4"/>
  <c r="AD31" i="4"/>
  <c r="AA31" i="4"/>
  <c r="AA29" i="4"/>
  <c r="AD29" i="4"/>
  <c r="Z31" i="4"/>
  <c r="AC31" i="4"/>
  <c r="AE31" i="4"/>
  <c r="AB31" i="4"/>
  <c r="Z29" i="4"/>
  <c r="AC29" i="4"/>
  <c r="AB25" i="4"/>
  <c r="AE25" i="4"/>
  <c r="AD28" i="4"/>
  <c r="AA28" i="4"/>
  <c r="AC22" i="4"/>
  <c r="Z22" i="4"/>
  <c r="AB24" i="4"/>
  <c r="AE24" i="4"/>
  <c r="Z23" i="4"/>
  <c r="AC23" i="4"/>
  <c r="AB18" i="4"/>
  <c r="AE18" i="4"/>
  <c r="Z26" i="4"/>
  <c r="AC26" i="4"/>
  <c r="AB27" i="4"/>
  <c r="AE27" i="4"/>
  <c r="Z24" i="4"/>
  <c r="AC24" i="4"/>
  <c r="AD25" i="4"/>
  <c r="AA25" i="4"/>
  <c r="AD18" i="4"/>
  <c r="AA18" i="4"/>
  <c r="AA17" i="4"/>
  <c r="AD17" i="4"/>
  <c r="Z25" i="4"/>
  <c r="AC25" i="4"/>
  <c r="Z19" i="4"/>
  <c r="AC19" i="4"/>
  <c r="AD27" i="4"/>
  <c r="AA27" i="4"/>
  <c r="AE22" i="4"/>
  <c r="AB22" i="4"/>
  <c r="AC28" i="4"/>
  <c r="Z28" i="4"/>
  <c r="AE26" i="4"/>
  <c r="AB26" i="4"/>
  <c r="AE28" i="4"/>
  <c r="AB28" i="4"/>
  <c r="Z27" i="4"/>
  <c r="AC27" i="4"/>
  <c r="AD22" i="4"/>
  <c r="AA22" i="4"/>
  <c r="AD19" i="4"/>
  <c r="AA19" i="4"/>
  <c r="AD21" i="4"/>
  <c r="AA21" i="4"/>
  <c r="AE17" i="4"/>
  <c r="AB17" i="4"/>
  <c r="Z17" i="4"/>
  <c r="AB19" i="4"/>
  <c r="AE19" i="4"/>
  <c r="AA16" i="3" s="1"/>
  <c r="AB16" i="3" s="1"/>
  <c r="AC18" i="4"/>
  <c r="Z18" i="4"/>
  <c r="AA20" i="4"/>
  <c r="AD20" i="4"/>
  <c r="AB21" i="4"/>
  <c r="AE21" i="4"/>
  <c r="Z21" i="4"/>
  <c r="H18" i="3" s="1"/>
  <c r="I18" i="3" s="1"/>
  <c r="AC21" i="4"/>
  <c r="AB20" i="4"/>
  <c r="AE20" i="4"/>
  <c r="Z20" i="4"/>
  <c r="H17" i="3" s="1"/>
  <c r="I17" i="3" s="1"/>
  <c r="AC20" i="4"/>
  <c r="AI20" i="4" s="1"/>
  <c r="AD23" i="4"/>
  <c r="AA23" i="4"/>
  <c r="AA26" i="4"/>
  <c r="AD26" i="4"/>
  <c r="AD24" i="4"/>
  <c r="AA24" i="4"/>
  <c r="AE23" i="4"/>
  <c r="AB23" i="4"/>
  <c r="AA20" i="3" l="1"/>
  <c r="AB20" i="3" s="1"/>
  <c r="AI25" i="4"/>
  <c r="S23" i="3"/>
  <c r="T23" i="3" s="1"/>
  <c r="S16" i="3"/>
  <c r="T16" i="3" s="1"/>
  <c r="S20" i="3"/>
  <c r="T20" i="3" s="1"/>
  <c r="AA23" i="3"/>
  <c r="AB23" i="3" s="1"/>
  <c r="P21" i="3"/>
  <c r="Q21" i="3" s="1"/>
  <c r="H23" i="3"/>
  <c r="I23" i="3" s="1"/>
  <c r="X18" i="3"/>
  <c r="Y18" i="3" s="1"/>
  <c r="P22" i="3"/>
  <c r="Q22" i="3" s="1"/>
  <c r="AA14" i="3"/>
  <c r="AB14" i="3" s="1"/>
  <c r="AA19" i="3"/>
  <c r="AB19" i="3" s="1"/>
  <c r="S22" i="3"/>
  <c r="T22" i="3" s="1"/>
  <c r="X20" i="3"/>
  <c r="Y20" i="3" s="1"/>
  <c r="X21" i="3"/>
  <c r="Y21" i="3" s="1"/>
  <c r="P18" i="3"/>
  <c r="Q18" i="3" s="1"/>
  <c r="AA22" i="3"/>
  <c r="AB22" i="3" s="1"/>
  <c r="S17" i="3"/>
  <c r="T17" i="3" s="1"/>
  <c r="P20" i="3"/>
  <c r="Q20" i="3" s="1"/>
  <c r="AA17" i="3"/>
  <c r="AB17" i="3" s="1"/>
  <c r="AA18" i="3"/>
  <c r="AB18" i="3" s="1"/>
  <c r="H15" i="3"/>
  <c r="I15" i="3" s="1"/>
  <c r="H21" i="3"/>
  <c r="I21" i="3" s="1"/>
  <c r="X22" i="3"/>
  <c r="Y22" i="3" s="1"/>
  <c r="AI24" i="4"/>
  <c r="AI31" i="4"/>
  <c r="AI19" i="4"/>
  <c r="AI26" i="4"/>
  <c r="AI23" i="4"/>
  <c r="AI28" i="4"/>
  <c r="AI17" i="4"/>
  <c r="AI22" i="4"/>
  <c r="AI18" i="4"/>
  <c r="AI27" i="4"/>
  <c r="AI29" i="4"/>
  <c r="AI21" i="4"/>
  <c r="K17" i="3"/>
  <c r="L17" i="3" s="1"/>
  <c r="K15" i="3"/>
  <c r="L15" i="3" s="1"/>
  <c r="K18" i="3"/>
  <c r="L18" i="3" s="1"/>
  <c r="K22" i="3"/>
  <c r="L22" i="3" s="1"/>
  <c r="K23" i="3"/>
  <c r="L23" i="3" s="1"/>
  <c r="K19" i="3"/>
  <c r="L19" i="3" s="1"/>
  <c r="P23" i="3"/>
  <c r="Q23" i="3" s="1"/>
  <c r="P17" i="3"/>
  <c r="Q17" i="3" s="1"/>
  <c r="X16" i="3"/>
  <c r="Y16" i="3" s="1"/>
  <c r="P19" i="3"/>
  <c r="Q19" i="3" s="1"/>
  <c r="K21" i="3"/>
  <c r="L21" i="3" s="1"/>
  <c r="K20" i="3"/>
  <c r="L20" i="3" s="1"/>
  <c r="H19" i="3"/>
  <c r="I19" i="3" s="1"/>
  <c r="H14" i="3"/>
  <c r="I14" i="3" s="1"/>
  <c r="Z43" i="4"/>
  <c r="Z42" i="4"/>
  <c r="S18" i="3"/>
  <c r="T18" i="3" s="1"/>
  <c r="S19" i="3"/>
  <c r="T19" i="3" s="1"/>
  <c r="H22" i="3"/>
  <c r="I22" i="3" s="1"/>
  <c r="H20" i="3"/>
  <c r="I20" i="3" s="1"/>
  <c r="P14" i="3"/>
  <c r="Q14" i="3" s="1"/>
  <c r="AA43" i="4"/>
  <c r="AA42" i="4"/>
  <c r="S21" i="3"/>
  <c r="T21" i="3" s="1"/>
  <c r="X17" i="3"/>
  <c r="Y17" i="3" s="1"/>
  <c r="X14" i="3"/>
  <c r="Y14" i="3" s="1"/>
  <c r="AB43" i="4"/>
  <c r="AB42" i="4"/>
  <c r="P16" i="3"/>
  <c r="Q16" i="3" s="1"/>
  <c r="X23" i="3"/>
  <c r="Y23" i="3" s="1"/>
  <c r="X19" i="3"/>
  <c r="Y19" i="3" s="1"/>
  <c r="AA21" i="3"/>
  <c r="AB21" i="3" s="1"/>
  <c r="P15" i="3"/>
  <c r="Q15" i="3" s="1"/>
  <c r="S15" i="3"/>
  <c r="T15" i="3" s="1"/>
  <c r="K14" i="3"/>
  <c r="L14" i="3" s="1"/>
  <c r="K16" i="3"/>
  <c r="L16" i="3" s="1"/>
  <c r="S14" i="3"/>
  <c r="T14" i="3" s="1"/>
  <c r="AA15" i="3"/>
  <c r="AB15" i="3" s="1"/>
  <c r="H16" i="3"/>
  <c r="I16" i="3" s="1"/>
  <c r="X15" i="3"/>
  <c r="Y15" i="3" s="1"/>
  <c r="AK17" i="4" l="1"/>
  <c r="AK19" i="4"/>
  <c r="AK21" i="4"/>
  <c r="AK22" i="4"/>
  <c r="AK20" i="4"/>
  <c r="AK18" i="4"/>
  <c r="AL22" i="4" l="1"/>
  <c r="AN22" i="4" s="1"/>
  <c r="AL21" i="4"/>
  <c r="AM21" i="4" s="1"/>
  <c r="AP21" i="4" s="1"/>
  <c r="AL19" i="4"/>
  <c r="AM19" i="4" s="1"/>
  <c r="AP19" i="4" s="1"/>
  <c r="AL18" i="4"/>
  <c r="AM18" i="4" s="1"/>
  <c r="AP18" i="4" s="1"/>
  <c r="AL20" i="4"/>
  <c r="AM20" i="4" s="1"/>
  <c r="AP20" i="4" s="1"/>
  <c r="AL17" i="4"/>
  <c r="AN17" i="4" s="1"/>
  <c r="AM22" i="4" l="1"/>
  <c r="AO22" i="4" s="1"/>
  <c r="AN20" i="4"/>
  <c r="AO20" i="4" s="1"/>
  <c r="AN21" i="4"/>
  <c r="AO21" i="4" s="1"/>
  <c r="AM17" i="4"/>
  <c r="AP17" i="4" s="1"/>
  <c r="AN18" i="4"/>
  <c r="AO18" i="4" s="1"/>
  <c r="AN19" i="4"/>
  <c r="AO19" i="4" s="1"/>
  <c r="AP22" i="4" l="1"/>
  <c r="AO17" i="4"/>
</calcChain>
</file>

<file path=xl/sharedStrings.xml><?xml version="1.0" encoding="utf-8"?>
<sst xmlns="http://schemas.openxmlformats.org/spreadsheetml/2006/main" count="379" uniqueCount="128">
  <si>
    <t>Selection</t>
  </si>
  <si>
    <t>Year</t>
  </si>
  <si>
    <t>Month</t>
  </si>
  <si>
    <t>Division</t>
  </si>
  <si>
    <t>KPI 1 Overview</t>
  </si>
  <si>
    <t xml:space="preserve">   KPI 3 Overview</t>
  </si>
  <si>
    <t>Revenue</t>
  </si>
  <si>
    <t>Profit</t>
  </si>
  <si>
    <t xml:space="preserve">       Profit</t>
  </si>
  <si>
    <t>Cash</t>
  </si>
  <si>
    <t xml:space="preserve">         Cash</t>
  </si>
  <si>
    <r>
      <t xml:space="preserve">  </t>
    </r>
    <r>
      <rPr>
        <b/>
        <sz val="11"/>
        <color theme="1"/>
        <rFont val="Arial"/>
        <family val="2"/>
        <scheme val="minor"/>
      </rPr>
      <t xml:space="preserve">  Revenue</t>
    </r>
  </si>
  <si>
    <r>
      <t xml:space="preserve">  </t>
    </r>
    <r>
      <rPr>
        <b/>
        <sz val="11"/>
        <color theme="1"/>
        <rFont val="Arial"/>
        <family val="2"/>
        <scheme val="minor"/>
      </rPr>
      <t xml:space="preserve"> KPI 2 Overview</t>
    </r>
  </si>
  <si>
    <t>List of Apps</t>
  </si>
  <si>
    <t>App1</t>
  </si>
  <si>
    <t>App2</t>
  </si>
  <si>
    <t>App3</t>
  </si>
  <si>
    <t>App10</t>
  </si>
  <si>
    <t>…</t>
  </si>
  <si>
    <t>Actual</t>
  </si>
  <si>
    <t>%     PY</t>
  </si>
  <si>
    <t>%     B</t>
  </si>
  <si>
    <t xml:space="preserve">Scrolling Data Table </t>
  </si>
  <si>
    <t>Scrolling Line Chart</t>
  </si>
  <si>
    <t>Column Chart Top/Bottom Analysis</t>
  </si>
  <si>
    <t xml:space="preserve">Color Scheme </t>
  </si>
  <si>
    <t>99/142/198</t>
  </si>
  <si>
    <t>92/197/222</t>
  </si>
  <si>
    <t>185/235/237</t>
  </si>
  <si>
    <t>Strex</t>
  </si>
  <si>
    <t>Amplefio</t>
  </si>
  <si>
    <t>Motocyco</t>
  </si>
  <si>
    <t>Scrap</t>
  </si>
  <si>
    <t>Atmos</t>
  </si>
  <si>
    <t>Mosquit</t>
  </si>
  <si>
    <t>Minor Liar</t>
  </si>
  <si>
    <t>Tanox</t>
  </si>
  <si>
    <t>Twenty20</t>
  </si>
  <si>
    <t>Misty Wash</t>
  </si>
  <si>
    <t>Accord</t>
  </si>
  <si>
    <t>Infic</t>
  </si>
  <si>
    <t>Commuta</t>
  </si>
  <si>
    <t>Utility Apps</t>
  </si>
  <si>
    <t>Arcade</t>
  </si>
  <si>
    <t>deRamblr</t>
  </si>
  <si>
    <t>Aviatrr</t>
  </si>
  <si>
    <t>Jellyfish</t>
  </si>
  <si>
    <t>Baden</t>
  </si>
  <si>
    <t>Pes</t>
  </si>
  <si>
    <t>Hackrr</t>
  </si>
  <si>
    <t>Twistrr</t>
  </si>
  <si>
    <t>Five Labs</t>
  </si>
  <si>
    <t>Perino</t>
  </si>
  <si>
    <t>Kryptis</t>
  </si>
  <si>
    <t>Fightrr</t>
  </si>
  <si>
    <t>Game Apps</t>
  </si>
  <si>
    <t>Didactic</t>
  </si>
  <si>
    <t>Rehire</t>
  </si>
  <si>
    <t>Dasring</t>
  </si>
  <si>
    <t>Silvrr</t>
  </si>
  <si>
    <t>Flowrrr</t>
  </si>
  <si>
    <t>Halotot</t>
  </si>
  <si>
    <t>Mirrrr</t>
  </si>
  <si>
    <t>Right App</t>
  </si>
  <si>
    <t>Pet Feed</t>
  </si>
  <si>
    <t>Kind Ape</t>
  </si>
  <si>
    <t>Sleops</t>
  </si>
  <si>
    <t>Inkly</t>
  </si>
  <si>
    <t>Voltage</t>
  </si>
  <si>
    <t>Blend</t>
  </si>
  <si>
    <t>WenCaL</t>
  </si>
  <si>
    <t>Productivity Apps</t>
  </si>
  <si>
    <t>Budget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</si>
  <si>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</si>
  <si>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</si>
  <si>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</si>
  <si>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</si>
  <si>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</si>
  <si>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</si>
  <si>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</si>
  <si>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</si>
  <si>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</si>
  <si>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</si>
  <si>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</si>
  <si>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</si>
  <si>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Actual PY</t>
  </si>
  <si>
    <t>Connected to Database via add-in</t>
  </si>
  <si>
    <t xml:space="preserve">Selections from Form Controls </t>
  </si>
  <si>
    <t>Drop Down Menu Lists</t>
  </si>
  <si>
    <t>App to Division Allocation</t>
  </si>
  <si>
    <t>KPIs</t>
  </si>
  <si>
    <t>Months</t>
  </si>
  <si>
    <t>Divisions</t>
  </si>
  <si>
    <t xml:space="preserve">Calculations for the Scrolling Data Table </t>
  </si>
  <si>
    <t>S.No.</t>
  </si>
  <si>
    <t>App</t>
  </si>
  <si>
    <t>PY</t>
  </si>
  <si>
    <t>Budget(B)</t>
  </si>
  <si>
    <t>Variance Actual to PY</t>
  </si>
  <si>
    <t>Variance Actual to Budget</t>
  </si>
  <si>
    <t>Revenue%</t>
  </si>
  <si>
    <t>Profit%</t>
  </si>
  <si>
    <t>Cash%</t>
  </si>
  <si>
    <r>
      <t>%</t>
    </r>
    <r>
      <rPr>
        <sz val="11"/>
        <color theme="1"/>
        <rFont val="Arial"/>
        <family val="2"/>
      </rPr>
      <t>Δ B</t>
    </r>
  </si>
  <si>
    <r>
      <t>%</t>
    </r>
    <r>
      <rPr>
        <sz val="11"/>
        <color theme="1"/>
        <rFont val="Arial"/>
        <family val="2"/>
      </rPr>
      <t>Δ PY</t>
    </r>
  </si>
  <si>
    <t>Scroll Bar Scrolling Table</t>
  </si>
  <si>
    <t>Min</t>
  </si>
  <si>
    <t>Max</t>
  </si>
  <si>
    <t>Unique Key/Column Header</t>
  </si>
  <si>
    <t>Calculations for Data Bars</t>
  </si>
  <si>
    <t>Calculations for KPI Headers</t>
  </si>
  <si>
    <t>AR-BR</t>
  </si>
  <si>
    <t>AP-BP</t>
  </si>
  <si>
    <t>AC-BC</t>
  </si>
  <si>
    <t>Top 6</t>
  </si>
  <si>
    <t>Unsorted</t>
  </si>
  <si>
    <t>Sorted</t>
  </si>
  <si>
    <t>Top 6/ Bottom 6 Apps based on KPI</t>
  </si>
  <si>
    <t>List Box Column Chart</t>
  </si>
  <si>
    <t>Option Butt Top/Bottom 6</t>
  </si>
  <si>
    <t>Data lbl Position</t>
  </si>
  <si>
    <t>Data lbl Values</t>
  </si>
  <si>
    <t>Scrolling Line chart - Profit for Apps</t>
  </si>
  <si>
    <t>Scroll Bar 2 Line Chart</t>
  </si>
  <si>
    <t>ComBox1 Selected Division</t>
  </si>
  <si>
    <t>Check Box PY</t>
  </si>
  <si>
    <t>Check Box Budget</t>
  </si>
  <si>
    <t>Actual Label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</si>
</sst>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[$$-409]#,##0"/>
  </numFmts>
  <fonts count="8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  <scheme val="minor"/>
    </font>
    <font>
      <sz val="8"/>
      <color rgb="FF00000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638EC6"/>
        <bgColor indexed="64"/>
      </patternFill>
    </fill>
    <fill>
      <patternFill patternType="solid">
        <fgColor rgb="FFB9EBED"/>
        <bgColor indexed="64"/>
      </patternFill>
    </fill>
    <fill>
      <patternFill patternType="solid">
        <fgColor rgb="FF5CC5D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679555650502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Border="1"/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6" borderId="0" xfId="0" applyFont="1" applyFill="1"/>
    <xf numFmtId="0" fontId="2" fillId="6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3" fillId="8" borderId="0" xfId="0" applyFont="1" applyFill="1"/>
    <xf numFmtId="0" fontId="2" fillId="8" borderId="0" xfId="0" applyFont="1" applyFill="1"/>
    <xf numFmtId="0" fontId="2" fillId="6" borderId="6" xfId="0" applyFont="1" applyFill="1" applyBorder="1"/>
    <xf numFmtId="0" fontId="3" fillId="7" borderId="6" xfId="0" applyFont="1" applyFill="1" applyBorder="1"/>
    <xf numFmtId="0" fontId="3" fillId="7" borderId="0" xfId="0" applyFont="1" applyFill="1"/>
    <xf numFmtId="0" fontId="3" fillId="8" borderId="6" xfId="0" applyFont="1" applyFill="1" applyBorder="1"/>
    <xf numFmtId="0" fontId="2" fillId="9" borderId="0" xfId="0" applyFont="1" applyFill="1"/>
    <xf numFmtId="0" fontId="0" fillId="9" borderId="0" xfId="0" applyFill="1"/>
    <xf numFmtId="0" fontId="3" fillId="9" borderId="0" xfId="0" applyFont="1" applyFill="1"/>
    <xf numFmtId="0" fontId="0" fillId="10" borderId="0" xfId="0" applyFill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1" borderId="0" xfId="0" applyFill="1"/>
    <xf numFmtId="9" fontId="0" fillId="0" borderId="0" xfId="1" applyNumberFormat="1" applyFont="1"/>
    <xf numFmtId="9" fontId="0" fillId="0" borderId="0" xfId="0" applyNumberFormat="1"/>
    <xf numFmtId="9" fontId="0" fillId="0" borderId="13" xfId="0" applyNumberFormat="1" applyBorder="1"/>
    <xf numFmtId="3" fontId="0" fillId="0" borderId="0" xfId="0" applyNumberFormat="1"/>
    <xf numFmtId="164" fontId="0" fillId="0" borderId="0" xfId="0" applyNumberFormat="1"/>
    <xf numFmtId="0" fontId="6" fillId="0" borderId="0" xfId="0" applyFont="1"/>
    <xf numFmtId="0" fontId="1" fillId="0" borderId="0" xfId="0" applyFont="1" applyAlignment="1">
      <alignment horizontal="centerContinuous"/>
    </xf>
    <xf numFmtId="0" fontId="0" fillId="12" borderId="0" xfId="0" applyFill="1"/>
    <xf numFmtId="0" fontId="5" fillId="11" borderId="0" xfId="0" applyFont="1" applyFill="1"/>
    <xf numFmtId="3" fontId="0" fillId="12" borderId="0" xfId="0" applyNumberFormat="1" applyFill="1"/>
    <xf numFmtId="164" fontId="0" fillId="12" borderId="0" xfId="0" applyNumberFormat="1" applyFill="1"/>
    <xf numFmtId="0" fontId="6" fillId="12" borderId="0" xfId="0" applyFont="1" applyFill="1"/>
    <xf numFmtId="3" fontId="0" fillId="0" borderId="13" xfId="0" applyNumberFormat="1" applyBorder="1"/>
    <xf numFmtId="0" fontId="2" fillId="9" borderId="0" xfId="0" applyFont="1" applyFill="1" applyAlignment="1">
      <alignment horizontal="centerContinuous"/>
    </xf>
    <xf numFmtId="165" fontId="0" fillId="0" borderId="0" xfId="0" applyNumberFormat="1"/>
    <xf numFmtId="0" fontId="2" fillId="11" borderId="0" xfId="0" applyFont="1" applyFill="1"/>
    <xf numFmtId="0" fontId="0" fillId="13" borderId="0" xfId="0" applyFill="1"/>
    <xf numFmtId="0" fontId="0" fillId="14" borderId="0" xfId="0" applyFill="1"/>
    <xf numFmtId="0" fontId="0" fillId="14" borderId="14" xfId="0" applyFill="1" applyBorder="1"/>
    <xf numFmtId="0" fontId="0" fillId="0" borderId="0" xfId="0" applyNumberFormat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/>
    <xf numFmtId="0" fontId="1" fillId="11" borderId="0" xfId="0" applyFont="1" applyFill="1" applyAlignment="1" applyProtection="1">
      <alignment horizontal="left"/>
      <protection locked="0"/>
    </xf>
    <xf numFmtId="0" fontId="2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FF4F4F"/>
      </font>
    </dxf>
    <dxf>
      <font>
        <color theme="9"/>
      </font>
    </dxf>
    <dxf>
      <font>
        <color rgb="FFFF4F4F"/>
      </font>
    </dxf>
    <dxf>
      <font>
        <color theme="9"/>
      </font>
    </dxf>
    <dxf>
      <font>
        <color rgb="FFFF4F4F"/>
      </font>
    </dxf>
    <dxf>
      <font>
        <color theme="9"/>
      </font>
    </dxf>
  </dxfs>
  <tableStyles count="0" defaultTableStyle="TableStyleMedium2" defaultPivotStyle="PivotStyleLight16"/>
  <colors>
    <mruColors>
      <color rgb="FFB9EBED"/>
      <color rgb="FF5CC5DE"/>
      <color rgb="FF638EC6"/>
      <color rgb="FF54B3DE"/>
      <color rgb="FFFF4F4F"/>
      <color rgb="FF52C2DC"/>
      <color rgb="FF63C7DF"/>
      <color rgb="FF69CAE0"/>
      <color rgb="FF5FB1DF"/>
      <color rgb="FF5DB8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55E-2"/>
          <c:y val="0.16712216139938613"/>
          <c:w val="0.93888888888888888"/>
          <c:h val="0.731118494808245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Calculation!$AM$16</c:f>
              <c:strCache>
                <c:ptCount val="1"/>
                <c:pt idx="0">
                  <c:v>Actual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Calculation!$AL$17:$AL$22</c:f>
              <c:strCache>
                <c:ptCount val="6"/>
                <c:pt idx="0">
                  <c:v>Twenty20</c:v>
                </c:pt>
                <c:pt idx="1">
                  <c:v>Atmos</c:v>
                </c:pt>
                <c:pt idx="2">
                  <c:v>Strex</c:v>
                </c:pt>
                <c:pt idx="3">
                  <c:v>Misty Wash</c:v>
                </c:pt>
                <c:pt idx="4">
                  <c:v>Infic</c:v>
                </c:pt>
                <c:pt idx="5">
                  <c:v>Scrap</c:v>
                </c:pt>
              </c:strCache>
            </c:strRef>
          </c:cat>
          <c:val>
            <c:numRef>
              <c:f>Calculation!$AM$17:$AM$22</c:f>
              <c:numCache>
                <c:formatCode>#,##0</c:formatCode>
                <c:ptCount val="6"/>
                <c:pt idx="0">
                  <c:v>614.40000000000009</c:v>
                </c:pt>
                <c:pt idx="1">
                  <c:v>128</c:v>
                </c:pt>
                <c:pt idx="2">
                  <c:v>258</c:v>
                </c:pt>
                <c:pt idx="3">
                  <c:v>786.8</c:v>
                </c:pt>
                <c:pt idx="4">
                  <c:v>408</c:v>
                </c:pt>
                <c:pt idx="5">
                  <c:v>862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07734016"/>
        <c:axId val="2007743264"/>
      </c:barChart>
      <c:lineChart>
        <c:grouping val="standard"/>
        <c:varyColors val="0"/>
        <c:ser>
          <c:idx val="1"/>
          <c:order val="1"/>
          <c:tx>
            <c:strRef>
              <c:f>Calculation!$AN$16</c:f>
              <c:strCache>
                <c:ptCount val="1"/>
                <c:pt idx="0">
                  <c:v>Budget Profit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0" cap="flat" cmpd="sng" algn="ctr">
                <a:solidFill>
                  <a:srgbClr val="5CC5DE"/>
                </a:solidFill>
                <a:round/>
              </a:ln>
              <a:effectLst/>
            </c:spPr>
          </c:errBars>
          <c:cat>
            <c:strRef>
              <c:f>Calculation!$AL$17:$AL$22</c:f>
              <c:strCache>
                <c:ptCount val="6"/>
                <c:pt idx="0">
                  <c:v>Twenty20</c:v>
                </c:pt>
                <c:pt idx="1">
                  <c:v>Atmos</c:v>
                </c:pt>
                <c:pt idx="2">
                  <c:v>Strex</c:v>
                </c:pt>
                <c:pt idx="3">
                  <c:v>Misty Wash</c:v>
                </c:pt>
                <c:pt idx="4">
                  <c:v>Infic</c:v>
                </c:pt>
                <c:pt idx="5">
                  <c:v>Scrap</c:v>
                </c:pt>
              </c:strCache>
            </c:strRef>
          </c:cat>
          <c:val>
            <c:numRef>
              <c:f>Calculation!$AN$17:$AN$22</c:f>
              <c:numCache>
                <c:formatCode>#,##0</c:formatCode>
                <c:ptCount val="6"/>
                <c:pt idx="0">
                  <c:v>1120</c:v>
                </c:pt>
                <c:pt idx="1">
                  <c:v>190</c:v>
                </c:pt>
                <c:pt idx="2">
                  <c:v>350</c:v>
                </c:pt>
                <c:pt idx="3">
                  <c:v>932.4</c:v>
                </c:pt>
                <c:pt idx="4">
                  <c:v>461</c:v>
                </c:pt>
                <c:pt idx="5">
                  <c:v>905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Calculation!$AO$16</c:f>
              <c:strCache>
                <c:ptCount val="1"/>
                <c:pt idx="0">
                  <c:v>Data lbl 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9E410322-43A2-4BE9-B8A2-A3D13986E38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A4B7FADE-32C2-4AFB-97F1-EE4DF2E885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02C6C3C7-B522-4490-8BCF-2251148E99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0159B830-09E0-47A2-8DCD-FF353172FE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FCC8C734-F93C-4EBA-8A25-11838BC90D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49675D6F-FEB3-4792-98FC-8F5B7C3B0D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 w="9525">
                <a:solidFill>
                  <a:srgbClr val="638EC6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638EC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val>
            <c:numRef>
              <c:f>Calculation!$AO$17:$AO$22</c:f>
              <c:numCache>
                <c:formatCode>#,##0</c:formatCode>
                <c:ptCount val="6"/>
                <c:pt idx="0">
                  <c:v>1120</c:v>
                </c:pt>
                <c:pt idx="1">
                  <c:v>190</c:v>
                </c:pt>
                <c:pt idx="2">
                  <c:v>350</c:v>
                </c:pt>
                <c:pt idx="3">
                  <c:v>932.4</c:v>
                </c:pt>
                <c:pt idx="4">
                  <c:v>461</c:v>
                </c:pt>
                <c:pt idx="5">
                  <c:v>905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Calculation!$AP$17:$AP$22</c15:f>
                <c15:dlblRangeCache>
                  <c:ptCount val="6"/>
                  <c:pt idx="0">
                    <c:v>-45% | 614</c:v>
                  </c:pt>
                  <c:pt idx="1">
                    <c:v>-33% | 128</c:v>
                  </c:pt>
                  <c:pt idx="2">
                    <c:v>-26% | 258</c:v>
                  </c:pt>
                  <c:pt idx="3">
                    <c:v>-16% | 787</c:v>
                  </c:pt>
                  <c:pt idx="4">
                    <c:v>-11% | 408</c:v>
                  </c:pt>
                  <c:pt idx="5">
                    <c:v>-5% | 862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734016"/>
        <c:axId val="2007743264"/>
      </c:lineChart>
      <c:catAx>
        <c:axId val="200773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43264"/>
        <c:crosses val="autoZero"/>
        <c:auto val="1"/>
        <c:lblAlgn val="ctr"/>
        <c:lblOffset val="100"/>
        <c:noMultiLvlLbl val="0"/>
      </c:catAx>
      <c:valAx>
        <c:axId val="200774326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00773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06999125109361"/>
          <c:y val="0.16712962962962963"/>
          <c:w val="0.82148556430446207"/>
          <c:h val="0.62949292796733747"/>
        </c:manualLayout>
      </c:layout>
      <c:lineChart>
        <c:grouping val="standard"/>
        <c:varyColors val="0"/>
        <c:ser>
          <c:idx val="1"/>
          <c:order val="0"/>
          <c:tx>
            <c:v>PY</c:v>
          </c:tx>
          <c:spPr>
            <a:ln w="28575" cap="rnd">
              <a:solidFill>
                <a:srgbClr val="B9EBED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Calculation!$AY$17:$AY$28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Calculation!$BA$17:$BA$28</c:f>
              <c:numCache>
                <c:formatCode>#,##0</c:formatCode>
                <c:ptCount val="12"/>
                <c:pt idx="0">
                  <c:v>190.39999999999998</c:v>
                </c:pt>
                <c:pt idx="1">
                  <c:v>243.6</c:v>
                </c:pt>
                <c:pt idx="2">
                  <c:v>383.59999999999997</c:v>
                </c:pt>
                <c:pt idx="3">
                  <c:v>492.79999999999995</c:v>
                </c:pt>
                <c:pt idx="4">
                  <c:v>613.19999999999993</c:v>
                </c:pt>
                <c:pt idx="5">
                  <c:v>786.8</c:v>
                </c:pt>
                <c:pt idx="6">
                  <c:v>826</c:v>
                </c:pt>
                <c:pt idx="7">
                  <c:v>949.19999999999993</c:v>
                </c:pt>
                <c:pt idx="8">
                  <c:v>1000</c:v>
                </c:pt>
                <c:pt idx="9">
                  <c:v>1100</c:v>
                </c:pt>
                <c:pt idx="10">
                  <c:v>1300</c:v>
                </c:pt>
                <c:pt idx="11">
                  <c:v>1400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Calculation!$BB$16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rgbClr val="5CC5DE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Calculation!$AY$17:$AY$28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Calculation!$BB$17:$BB$28</c:f>
              <c:numCache>
                <c:formatCode>#,##0</c:formatCode>
                <c:ptCount val="12"/>
                <c:pt idx="0">
                  <c:v>196</c:v>
                </c:pt>
                <c:pt idx="1">
                  <c:v>327.59999999999997</c:v>
                </c:pt>
                <c:pt idx="2">
                  <c:v>422.79999999999995</c:v>
                </c:pt>
                <c:pt idx="3">
                  <c:v>599.19999999999993</c:v>
                </c:pt>
                <c:pt idx="4">
                  <c:v>739.19999999999993</c:v>
                </c:pt>
                <c:pt idx="5">
                  <c:v>932.4</c:v>
                </c:pt>
                <c:pt idx="6">
                  <c:v>1047.2</c:v>
                </c:pt>
                <c:pt idx="7">
                  <c:v>1083.5999999999999</c:v>
                </c:pt>
                <c:pt idx="8">
                  <c:v>1285.1999999999998</c:v>
                </c:pt>
                <c:pt idx="9">
                  <c:v>1489.6</c:v>
                </c:pt>
                <c:pt idx="10">
                  <c:v>1696.8</c:v>
                </c:pt>
                <c:pt idx="11">
                  <c:v>1744.3999999999999</c:v>
                </c:pt>
              </c:numCache>
            </c:numRef>
          </c:val>
          <c:smooth val="0"/>
        </c:ser>
        <c:ser>
          <c:idx val="3"/>
          <c:order val="2"/>
          <c:tx>
            <c:v>Actual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Calculation!$BC$17:$BC$28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786.8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</c:ser>
        <c:ser>
          <c:idx val="0"/>
          <c:order val="3"/>
          <c:tx>
            <c:v>Actual Line Chart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Calculation!$AY$17:$AY$28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Calculation!$AZ$17:$AZ$28</c:f>
              <c:numCache>
                <c:formatCode>#,##0</c:formatCode>
                <c:ptCount val="12"/>
                <c:pt idx="0">
                  <c:v>165.2</c:v>
                </c:pt>
                <c:pt idx="1">
                  <c:v>305.2</c:v>
                </c:pt>
                <c:pt idx="2">
                  <c:v>383.59999999999997</c:v>
                </c:pt>
                <c:pt idx="3">
                  <c:v>534.79999999999995</c:v>
                </c:pt>
                <c:pt idx="4">
                  <c:v>649.59999999999991</c:v>
                </c:pt>
                <c:pt idx="5">
                  <c:v>786.8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735104"/>
        <c:axId val="2007736192"/>
      </c:lineChart>
      <c:catAx>
        <c:axId val="200773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36192"/>
        <c:crosses val="autoZero"/>
        <c:auto val="1"/>
        <c:lblAlgn val="ctr"/>
        <c:lblOffset val="100"/>
        <c:noMultiLvlLbl val="0"/>
      </c:catAx>
      <c:valAx>
        <c:axId val="20077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3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20" fmlaLink="Calculation!$D$5" fmlaRange="Calculation!$C$18:$C$20" noThreeD="1" sel="3" val="0"/>
</file>

<file path=xl/ctrlProps/ctrlProp2.xml><?xml version="1.0" encoding="utf-8"?>
<formControlPr xmlns="http://schemas.microsoft.com/office/spreadsheetml/2009/9/main" objectType="Scroll" dx="26" fmlaLink="Calculation!$D$6" max="11" min="1" page="4"/>
</file>

<file path=xl/ctrlProps/ctrlProp3.xml><?xml version="1.0" encoding="utf-8"?>
<formControlPr xmlns="http://schemas.microsoft.com/office/spreadsheetml/2009/9/main" objectType="List" dx="26" fmlaLink="Calculation!$D$7" fmlaRange="Calculation!$D$18:$D$20" noThreeD="1" sel="2" val="0"/>
</file>

<file path=xl/ctrlProps/ctrlProp4.xml><?xml version="1.0" encoding="utf-8"?>
<formControlPr xmlns="http://schemas.microsoft.com/office/spreadsheetml/2009/9/main" objectType="Radio" firstButton="1" fmlaLink="Calculation!$D$8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Scroll" dx="26" fmlaLink="Calculation!$D$9" horiz="1" max="20" min="1" page="4" val="5"/>
</file>

<file path=xl/ctrlProps/ctrlProp7.xml><?xml version="1.0" encoding="utf-8"?>
<formControlPr xmlns="http://schemas.microsoft.com/office/spreadsheetml/2009/9/main" objectType="CheckBox" checked="Checked" fmlaLink="Calculation!$D$10" lockText="1" noThreeD="1"/>
</file>

<file path=xl/ctrlProps/ctrlProp8.xml><?xml version="1.0" encoding="utf-8"?>
<formControlPr xmlns="http://schemas.microsoft.com/office/spreadsheetml/2009/9/main" objectType="CheckBox" checked="Checked" fmlaLink="Calculation!$D$1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15240</xdr:colOff>
          <xdr:row>7</xdr:row>
          <xdr:rowOff>30480</xdr:rowOff>
        </xdr:from>
        <xdr:to>
          <xdr:col>7</xdr:col>
          <xdr:colOff>137160</xdr:colOff>
          <xdr:row>8</xdr:row>
          <xdr:rowOff>45720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30480</xdr:colOff>
      <xdr:row>0</xdr:row>
      <xdr:rowOff>45720</xdr:rowOff>
    </xdr:from>
    <xdr:to>
      <xdr:col>4</xdr:col>
      <xdr:colOff>99848</xdr:colOff>
      <xdr:row>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FAA81D4-F84F-4A29-8061-FB4E505748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30480" y="45720"/>
          <a:ext cx="816128" cy="59436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28</xdr:col>
          <xdr:colOff>99060</xdr:colOff>
          <xdr:row>11</xdr:row>
          <xdr:rowOff>38100</xdr:rowOff>
        </xdr:from>
        <xdr:to>
          <xdr:col>28</xdr:col>
          <xdr:colOff>350520</xdr:colOff>
          <xdr:row>22</xdr:row>
          <xdr:rowOff>167640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167640</xdr:colOff>
      <xdr:row>3</xdr:row>
      <xdr:rowOff>30480</xdr:rowOff>
    </xdr:from>
    <xdr:to>
      <xdr:col>21</xdr:col>
      <xdr:colOff>190500</xdr:colOff>
      <xdr:row>9</xdr:row>
      <xdr:rowOff>45720</xdr:rowOff>
    </xdr:to>
    <xdr:grpSp>
      <xdr:nvGrpSpPr>
        <xdr:cNvPr id="12" name="Group 11"/>
        <xdr:cNvGrpSpPr/>
      </xdr:nvGrpSpPr>
      <xdr:grpSpPr>
        <a:xfrm>
          <a:off x="7171555" y="200714"/>
          <a:ext cx="1765732" cy="947474"/>
          <a:chOff x="5958840" y="205740"/>
          <a:chExt cx="1760220" cy="937260"/>
        </a:xfrm>
      </xdr:grpSpPr>
      <xdr:sp macro="" textlink="">
        <xdr:nvSpPr>
          <xdr:cNvPr id="9" name="Rectangle 8"/>
          <xdr:cNvSpPr/>
        </xdr:nvSpPr>
        <xdr:spPr>
          <a:xfrm>
            <a:off x="5958840" y="213360"/>
            <a:ext cx="1760220" cy="929640"/>
          </a:xfrm>
          <a:prstGeom prst="rect">
            <a:avLst/>
          </a:prstGeom>
          <a:solidFill>
            <a:schemeClr val="bg1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Calculation!Q38">
        <xdr:nvSpPr>
          <xdr:cNvPr id="7" name="TextBox 6"/>
          <xdr:cNvSpPr txBox="1"/>
        </xdr:nvSpPr>
        <xdr:spPr>
          <a:xfrm>
            <a:off x="6522720" y="480060"/>
            <a:ext cx="1028700" cy="298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873C7E71-EC92-4A23-98D6-90F653589C9E}" type="TxLink">
              <a:rPr lang="en-US" sz="1400" b="0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$1,89,979</a:t>
            </a:fld>
            <a:endParaRPr lang="en-IN" sz="1400"/>
          </a:p>
        </xdr:txBody>
      </xdr:sp>
      <xdr:sp macro="" textlink="Calculation!R41">
        <xdr:nvSpPr>
          <xdr:cNvPr id="10" name="TextBox 9"/>
          <xdr:cNvSpPr txBox="1"/>
        </xdr:nvSpPr>
        <xdr:spPr>
          <a:xfrm>
            <a:off x="5996940" y="807720"/>
            <a:ext cx="800100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165DE928-4670-4E00-9436-3DB7A9945A82}" type="TxLink">
              <a:rPr lang="en-US" sz="900" b="0" i="0" u="none" strike="noStrike">
                <a:solidFill>
                  <a:srgbClr val="638EC6"/>
                </a:solidFill>
                <a:latin typeface="Arial"/>
                <a:cs typeface="Arial"/>
              </a:rPr>
              <a:pPr/>
              <a:t>$8,514</a:t>
            </a:fld>
            <a:endParaRPr lang="en-IN" sz="900">
              <a:solidFill>
                <a:srgbClr val="638EC6"/>
              </a:solidFill>
            </a:endParaRPr>
          </a:p>
        </xdr:txBody>
      </xdr:sp>
      <xdr:sp macro="" textlink="Calculation!S41">
        <xdr:nvSpPr>
          <xdr:cNvPr id="11" name="TextBox 10"/>
          <xdr:cNvSpPr txBox="1"/>
        </xdr:nvSpPr>
        <xdr:spPr>
          <a:xfrm>
            <a:off x="6781800" y="807720"/>
            <a:ext cx="830001" cy="2225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C7B7FD2F-67E0-4621-823F-102081CBE83F}" type="TxLink">
              <a:rPr lang="en-US" sz="900" b="0" i="0" u="none" strike="noStrike">
                <a:solidFill>
                  <a:srgbClr val="638EC6"/>
                </a:solidFill>
                <a:latin typeface="Arial"/>
                <a:cs typeface="Arial"/>
              </a:rPr>
              <a:pPr/>
              <a:t>Over Budget</a:t>
            </a:fld>
            <a:endParaRPr lang="en-IN" sz="900">
              <a:solidFill>
                <a:srgbClr val="638EC6"/>
              </a:solidFill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5996940" y="205740"/>
            <a:ext cx="879600" cy="2840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300" b="1"/>
              <a:t>Revenue</a:t>
            </a:r>
          </a:p>
        </xdr:txBody>
      </xdr:sp>
    </xdr:grpSp>
    <xdr:clientData/>
  </xdr:twoCellAnchor>
  <xdr:twoCellAnchor>
    <xdr:from>
      <xdr:col>21</xdr:col>
      <xdr:colOff>190500</xdr:colOff>
      <xdr:row>3</xdr:row>
      <xdr:rowOff>30480</xdr:rowOff>
    </xdr:from>
    <xdr:to>
      <xdr:col>24</xdr:col>
      <xdr:colOff>228600</xdr:colOff>
      <xdr:row>9</xdr:row>
      <xdr:rowOff>45720</xdr:rowOff>
    </xdr:to>
    <xdr:grpSp>
      <xdr:nvGrpSpPr>
        <xdr:cNvPr id="15" name="Group 14"/>
        <xdr:cNvGrpSpPr/>
      </xdr:nvGrpSpPr>
      <xdr:grpSpPr>
        <a:xfrm>
          <a:off x="8937287" y="200714"/>
          <a:ext cx="1764760" cy="947474"/>
          <a:chOff x="5958840" y="205740"/>
          <a:chExt cx="1760220" cy="937260"/>
        </a:xfrm>
        <a:solidFill>
          <a:srgbClr val="638EC6"/>
        </a:solidFill>
      </xdr:grpSpPr>
      <xdr:sp macro="" textlink="">
        <xdr:nvSpPr>
          <xdr:cNvPr id="16" name="Rectangle 15"/>
          <xdr:cNvSpPr/>
        </xdr:nvSpPr>
        <xdr:spPr>
          <a:xfrm>
            <a:off x="5958840" y="213360"/>
            <a:ext cx="1760220" cy="929640"/>
          </a:xfrm>
          <a:prstGeom prst="rect">
            <a:avLst/>
          </a:prstGeom>
          <a:grp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Calculation!R38">
        <xdr:nvSpPr>
          <xdr:cNvPr id="17" name="TextBox 16"/>
          <xdr:cNvSpPr txBox="1"/>
        </xdr:nvSpPr>
        <xdr:spPr>
          <a:xfrm>
            <a:off x="6522720" y="480060"/>
            <a:ext cx="1028700" cy="29880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B31BA4E7-28E3-4C49-8837-F88E7424E310}" type="TxLink">
              <a:rPr lang="en-US" sz="1400" b="0" i="0" u="none" strike="noStrike">
                <a:solidFill>
                  <a:schemeClr val="bg1"/>
                </a:solidFill>
                <a:latin typeface="Arial"/>
                <a:ea typeface="+mn-ea"/>
                <a:cs typeface="Arial"/>
              </a:rPr>
              <a:pPr marL="0" indent="0"/>
              <a:t>$8,869</a:t>
            </a:fld>
            <a:endParaRPr lang="en-IN" sz="1400" b="0" i="0" u="none" strike="noStrike">
              <a:solidFill>
                <a:schemeClr val="bg1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R42">
        <xdr:nvSpPr>
          <xdr:cNvPr id="18" name="TextBox 17"/>
          <xdr:cNvSpPr txBox="1"/>
        </xdr:nvSpPr>
        <xdr:spPr>
          <a:xfrm>
            <a:off x="5996940" y="807720"/>
            <a:ext cx="800100" cy="2249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F9E5DC9B-6D3C-44BD-A970-F6433226893B}" type="TxLink">
              <a:rPr lang="en-US" sz="900" b="0" i="0" u="none" strike="noStrike">
                <a:solidFill>
                  <a:schemeClr val="bg1"/>
                </a:solidFill>
                <a:latin typeface="Arial"/>
                <a:ea typeface="+mn-ea"/>
                <a:cs typeface="Arial"/>
              </a:rPr>
              <a:pPr marL="0" indent="0"/>
              <a:t>$747</a:t>
            </a:fld>
            <a:endParaRPr lang="en-IN" sz="900" b="0" i="0" u="none" strike="noStrike">
              <a:solidFill>
                <a:schemeClr val="bg1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S42">
        <xdr:nvSpPr>
          <xdr:cNvPr id="19" name="TextBox 18"/>
          <xdr:cNvSpPr txBox="1"/>
        </xdr:nvSpPr>
        <xdr:spPr>
          <a:xfrm>
            <a:off x="6781800" y="807720"/>
            <a:ext cx="904607" cy="2249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0104C933-40C3-4519-A3BB-C5FD8F3C9306}" type="TxLink">
              <a:rPr lang="en-US" sz="900" b="0" i="0" u="none" strike="noStrike">
                <a:solidFill>
                  <a:schemeClr val="bg1"/>
                </a:solidFill>
                <a:latin typeface="Arial"/>
                <a:ea typeface="+mn-ea"/>
                <a:cs typeface="Arial"/>
              </a:rPr>
              <a:pPr marL="0" indent="0"/>
              <a:t>Over Budget</a:t>
            </a:fld>
            <a:endParaRPr lang="en-IN" sz="900" b="0" i="0" u="none" strike="noStrike">
              <a:solidFill>
                <a:schemeClr val="bg1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5996940" y="205740"/>
            <a:ext cx="619913" cy="2840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300" b="1">
                <a:solidFill>
                  <a:schemeClr val="bg1"/>
                </a:solidFill>
              </a:rPr>
              <a:t>Profit</a:t>
            </a:r>
          </a:p>
        </xdr:txBody>
      </xdr:sp>
    </xdr:grpSp>
    <xdr:clientData/>
  </xdr:twoCellAnchor>
  <xdr:twoCellAnchor>
    <xdr:from>
      <xdr:col>24</xdr:col>
      <xdr:colOff>228600</xdr:colOff>
      <xdr:row>3</xdr:row>
      <xdr:rowOff>30480</xdr:rowOff>
    </xdr:from>
    <xdr:to>
      <xdr:col>29</xdr:col>
      <xdr:colOff>0</xdr:colOff>
      <xdr:row>9</xdr:row>
      <xdr:rowOff>45720</xdr:rowOff>
    </xdr:to>
    <xdr:grpSp>
      <xdr:nvGrpSpPr>
        <xdr:cNvPr id="21" name="Group 20"/>
        <xdr:cNvGrpSpPr/>
      </xdr:nvGrpSpPr>
      <xdr:grpSpPr>
        <a:xfrm>
          <a:off x="10702047" y="200714"/>
          <a:ext cx="1765570" cy="947474"/>
          <a:chOff x="5958840" y="205740"/>
          <a:chExt cx="1760220" cy="937260"/>
        </a:xfrm>
      </xdr:grpSpPr>
      <xdr:sp macro="" textlink="">
        <xdr:nvSpPr>
          <xdr:cNvPr id="22" name="Rectangle 21"/>
          <xdr:cNvSpPr/>
        </xdr:nvSpPr>
        <xdr:spPr>
          <a:xfrm>
            <a:off x="5958840" y="213360"/>
            <a:ext cx="1760220" cy="929640"/>
          </a:xfrm>
          <a:prstGeom prst="rect">
            <a:avLst/>
          </a:prstGeom>
          <a:solidFill>
            <a:schemeClr val="bg1"/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Calculation!S38">
        <xdr:nvSpPr>
          <xdr:cNvPr id="23" name="TextBox 22"/>
          <xdr:cNvSpPr txBox="1"/>
        </xdr:nvSpPr>
        <xdr:spPr>
          <a:xfrm>
            <a:off x="6522720" y="480060"/>
            <a:ext cx="1028700" cy="298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7FB6288F-9010-4DEE-9575-E60C5CDA8FAF}" type="TxLink">
              <a:rPr lang="en-US" sz="1400" b="0" i="0" u="none" strike="noStrike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/>
              <a:t>$91,467</a:t>
            </a:fld>
            <a:endParaRPr lang="en-IN" sz="1400" b="0" i="0" u="none" strike="noStrike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R43">
        <xdr:nvSpPr>
          <xdr:cNvPr id="24" name="TextBox 23"/>
          <xdr:cNvSpPr txBox="1"/>
        </xdr:nvSpPr>
        <xdr:spPr>
          <a:xfrm>
            <a:off x="5996940" y="807720"/>
            <a:ext cx="800100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71AF1BEA-BAD3-477D-B624-69D70BEA6930}" type="TxLink">
              <a:rPr lang="en-US" sz="900" b="0" i="0" u="none" strike="noStrike">
                <a:solidFill>
                  <a:srgbClr val="638EC6"/>
                </a:solidFill>
                <a:latin typeface="Arial"/>
                <a:ea typeface="+mn-ea"/>
                <a:cs typeface="Arial"/>
              </a:rPr>
              <a:pPr marL="0" indent="0"/>
              <a:t>-$3,314</a:t>
            </a:fld>
            <a:endParaRPr lang="en-IN" sz="900" b="0" i="0" u="none" strike="noStrike">
              <a:solidFill>
                <a:srgbClr val="638EC6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S43">
        <xdr:nvSpPr>
          <xdr:cNvPr id="25" name="TextBox 24"/>
          <xdr:cNvSpPr txBox="1"/>
        </xdr:nvSpPr>
        <xdr:spPr>
          <a:xfrm>
            <a:off x="6781800" y="807720"/>
            <a:ext cx="904607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67366966-F994-4D34-AD22-91305DD38D30}" type="TxLink">
              <a:rPr lang="en-US" sz="900" b="0" i="0" u="none" strike="noStrike">
                <a:solidFill>
                  <a:srgbClr val="638EC6"/>
                </a:solidFill>
                <a:latin typeface="Arial"/>
                <a:ea typeface="+mn-ea"/>
                <a:cs typeface="Arial"/>
              </a:rPr>
              <a:pPr marL="0" indent="0"/>
              <a:t>Under Budget</a:t>
            </a:fld>
            <a:endParaRPr lang="en-IN" sz="900" b="0" i="0" u="none" strike="noStrike">
              <a:solidFill>
                <a:srgbClr val="638EC6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5996940" y="205740"/>
            <a:ext cx="592342" cy="2840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300" b="1"/>
              <a:t>Cash</a:t>
            </a:r>
          </a:p>
        </xdr:txBody>
      </xdr:sp>
    </xdr:grpSp>
    <xdr:clientData/>
  </xdr:twoCellAnchor>
  <xdr:oneCellAnchor>
    <xdr:from>
      <xdr:col>11</xdr:col>
      <xdr:colOff>99060</xdr:colOff>
      <xdr:row>4</xdr:row>
      <xdr:rowOff>38100</xdr:rowOff>
    </xdr:from>
    <xdr:ext cx="1813560" cy="298800"/>
    <xdr:sp macro="" textlink="Calculation!P38">
      <xdr:nvSpPr>
        <xdr:cNvPr id="13" name="TextBox 12"/>
        <xdr:cNvSpPr txBox="1"/>
      </xdr:nvSpPr>
      <xdr:spPr>
        <a:xfrm>
          <a:off x="5084486" y="265079"/>
          <a:ext cx="181356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A2C612C-CE55-47B6-9EE2-79E250F7D77E}" type="TxLink">
            <a:rPr lang="en-US" sz="1400" b="1" i="0" u="none" strike="noStrike">
              <a:solidFill>
                <a:srgbClr val="000000"/>
              </a:solidFill>
              <a:latin typeface="Arial"/>
              <a:cs typeface="Arial"/>
            </a:rPr>
            <a:pPr/>
            <a:t>Utility Apps</a:t>
          </a:fld>
          <a:endParaRPr lang="en-IN" sz="1400" b="1"/>
        </a:p>
      </xdr:txBody>
    </xdr:sp>
    <xdr:clientData/>
  </xdr:oneCellAnchor>
  <xdr:twoCellAnchor editAs="absolute">
    <xdr:from>
      <xdr:col>5</xdr:col>
      <xdr:colOff>180703</xdr:colOff>
      <xdr:row>26</xdr:row>
      <xdr:rowOff>129539</xdr:rowOff>
    </xdr:from>
    <xdr:to>
      <xdr:col>16</xdr:col>
      <xdr:colOff>76200</xdr:colOff>
      <xdr:row>42</xdr:row>
      <xdr:rowOff>25875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144780</xdr:colOff>
          <xdr:row>26</xdr:row>
          <xdr:rowOff>144780</xdr:rowOff>
        </xdr:from>
        <xdr:to>
          <xdr:col>4</xdr:col>
          <xdr:colOff>868680</xdr:colOff>
          <xdr:row>30</xdr:row>
          <xdr:rowOff>137160</xdr:rowOff>
        </xdr:to>
        <xdr:sp macro="" textlink="">
          <xdr:nvSpPr>
            <xdr:cNvPr id="2053" name="List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144780</xdr:colOff>
          <xdr:row>32</xdr:row>
          <xdr:rowOff>30480</xdr:rowOff>
        </xdr:from>
        <xdr:to>
          <xdr:col>4</xdr:col>
          <xdr:colOff>830580</xdr:colOff>
          <xdr:row>33</xdr:row>
          <xdr:rowOff>76200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144780</xdr:colOff>
          <xdr:row>33</xdr:row>
          <xdr:rowOff>83820</xdr:rowOff>
        </xdr:from>
        <xdr:to>
          <xdr:col>4</xdr:col>
          <xdr:colOff>830580</xdr:colOff>
          <xdr:row>34</xdr:row>
          <xdr:rowOff>129540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6</a:t>
              </a:r>
            </a:p>
          </xdr:txBody>
        </xdr:sp>
        <xdr:clientData/>
      </xdr:twoCellAnchor>
    </mc:Choice>
    <mc:Fallback/>
  </mc:AlternateContent>
  <xdr:oneCellAnchor>
    <xdr:from>
      <xdr:col>3</xdr:col>
      <xdr:colOff>142355</xdr:colOff>
      <xdr:row>35</xdr:row>
      <xdr:rowOff>167472</xdr:rowOff>
    </xdr:from>
    <xdr:ext cx="1172308" cy="357662"/>
    <xdr:sp macro="" textlink="Calculation!AM14">
      <xdr:nvSpPr>
        <xdr:cNvPr id="2" name="TextBox 1"/>
        <xdr:cNvSpPr txBox="1"/>
      </xdr:nvSpPr>
      <xdr:spPr>
        <a:xfrm>
          <a:off x="669893" y="5635450"/>
          <a:ext cx="1172308" cy="357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E8B9059-1F51-4DB1-A1A4-B0386F6FE1EF}" type="TxLink">
            <a:rPr lang="en-US" sz="9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Bottom 6, sorted based on %Δ B</a:t>
          </a:fld>
          <a:endParaRPr lang="en-IN" sz="900"/>
        </a:p>
      </xdr:txBody>
    </xdr:sp>
    <xdr:clientData/>
  </xdr:oneCellAnchor>
  <xdr:twoCellAnchor>
    <xdr:from>
      <xdr:col>3</xdr:col>
      <xdr:colOff>0</xdr:colOff>
      <xdr:row>24</xdr:row>
      <xdr:rowOff>0</xdr:rowOff>
    </xdr:from>
    <xdr:to>
      <xdr:col>16</xdr:col>
      <xdr:colOff>0</xdr:colOff>
      <xdr:row>26</xdr:row>
      <xdr:rowOff>25121</xdr:rowOff>
    </xdr:to>
    <xdr:sp macro="" textlink="">
      <xdr:nvSpPr>
        <xdr:cNvPr id="3" name="Rectangle 2"/>
        <xdr:cNvSpPr/>
      </xdr:nvSpPr>
      <xdr:spPr>
        <a:xfrm>
          <a:off x="525780" y="3543300"/>
          <a:ext cx="6454140" cy="375641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</xdr:col>
      <xdr:colOff>142354</xdr:colOff>
      <xdr:row>24</xdr:row>
      <xdr:rowOff>45720</xdr:rowOff>
    </xdr:from>
    <xdr:ext cx="2565177" cy="269369"/>
    <xdr:sp macro="" textlink="Calculation!AM15">
      <xdr:nvSpPr>
        <xdr:cNvPr id="5" name="TextBox 4"/>
        <xdr:cNvSpPr txBox="1"/>
      </xdr:nvSpPr>
      <xdr:spPr>
        <a:xfrm>
          <a:off x="677375" y="3653060"/>
          <a:ext cx="2565177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FA35C17-1D89-470A-8013-B53D393853B4}" type="TxLink">
            <a:rPr lang="en-US" sz="1200" b="1" i="0" u="none" strike="noStrike">
              <a:solidFill>
                <a:schemeClr val="bg1"/>
              </a:solidFill>
              <a:latin typeface="Arial"/>
              <a:cs typeface="Arial"/>
            </a:rPr>
            <a:pPr/>
            <a:t>Actual Profit Vs. Budget</a:t>
          </a:fld>
          <a:endParaRPr lang="en-IN" sz="1200" b="1">
            <a:solidFill>
              <a:schemeClr val="bg1"/>
            </a:solidFill>
          </a:endParaRPr>
        </a:p>
      </xdr:txBody>
    </xdr:sp>
    <xdr:clientData/>
  </xdr:oneCellAnchor>
  <xdr:twoCellAnchor>
    <xdr:from>
      <xdr:col>18</xdr:col>
      <xdr:colOff>68580</xdr:colOff>
      <xdr:row>27</xdr:row>
      <xdr:rowOff>114300</xdr:rowOff>
    </xdr:from>
    <xdr:to>
      <xdr:col>28</xdr:col>
      <xdr:colOff>327660</xdr:colOff>
      <xdr:row>44</xdr:row>
      <xdr:rowOff>15240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24</xdr:row>
      <xdr:rowOff>0</xdr:rowOff>
    </xdr:from>
    <xdr:to>
      <xdr:col>29</xdr:col>
      <xdr:colOff>10260</xdr:colOff>
      <xdr:row>26</xdr:row>
      <xdr:rowOff>25121</xdr:rowOff>
    </xdr:to>
    <xdr:sp macro="" textlink="">
      <xdr:nvSpPr>
        <xdr:cNvPr id="35" name="Rectangle 34"/>
        <xdr:cNvSpPr/>
      </xdr:nvSpPr>
      <xdr:spPr>
        <a:xfrm>
          <a:off x="7650480" y="3543300"/>
          <a:ext cx="4788000" cy="375641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266700</xdr:colOff>
          <xdr:row>24</xdr:row>
          <xdr:rowOff>60960</xdr:rowOff>
        </xdr:from>
        <xdr:to>
          <xdr:col>28</xdr:col>
          <xdr:colOff>297180</xdr:colOff>
          <xdr:row>25</xdr:row>
          <xdr:rowOff>121920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17</xdr:col>
      <xdr:colOff>53339</xdr:colOff>
      <xdr:row>24</xdr:row>
      <xdr:rowOff>45720</xdr:rowOff>
    </xdr:from>
    <xdr:ext cx="1989469" cy="269369"/>
    <xdr:sp macro="" textlink="Calculation!AZ13">
      <xdr:nvSpPr>
        <xdr:cNvPr id="29" name="TextBox 28"/>
        <xdr:cNvSpPr txBox="1"/>
      </xdr:nvSpPr>
      <xdr:spPr>
        <a:xfrm>
          <a:off x="7730084" y="3653060"/>
          <a:ext cx="1989469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128045E8-04C5-460E-ABD2-F97B81757A00}" type="TxLink">
            <a:rPr lang="en-US" sz="1200" b="1" i="0" u="none" strike="noStrike">
              <a:solidFill>
                <a:schemeClr val="bg1"/>
              </a:solidFill>
              <a:latin typeface="Arial"/>
              <a:ea typeface="+mn-ea"/>
              <a:cs typeface="Arial"/>
            </a:rPr>
            <a:pPr marL="0" indent="0"/>
            <a:t>Profit for Misty Wash</a:t>
          </a:fld>
          <a:endParaRPr lang="en-IN" sz="1200" b="1" i="0" u="none" strike="noStrike">
            <a:solidFill>
              <a:schemeClr val="bg1"/>
            </a:solidFill>
            <a:latin typeface="Arial"/>
            <a:ea typeface="+mn-ea"/>
            <a:cs typeface="Arial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556260</xdr:colOff>
          <xdr:row>26</xdr:row>
          <xdr:rowOff>60960</xdr:rowOff>
        </xdr:from>
        <xdr:to>
          <xdr:col>28</xdr:col>
          <xdr:colOff>7620</xdr:colOff>
          <xdr:row>28</xdr:row>
          <xdr:rowOff>22860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182880</xdr:colOff>
          <xdr:row>26</xdr:row>
          <xdr:rowOff>60960</xdr:rowOff>
        </xdr:from>
        <xdr:to>
          <xdr:col>29</xdr:col>
          <xdr:colOff>60960</xdr:colOff>
          <xdr:row>28</xdr:row>
          <xdr:rowOff>22860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0.00985</cdr:x>
      <cdr:y>0.01608</cdr:y>
    </cdr:from>
    <cdr:to>
      <cdr:x>0.11881</cdr:x>
      <cdr:y>0.08988</cdr:y>
    </cdr:to>
    <cdr:pic>
      <cdr:nvPicPr>
        <cdr:cNvPr id="4" name="Picture 3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800" y="43577"/>
          <a:ext cx="561905" cy="20000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0.12351</cdr:x>
      <cdr:y>0.02184</cdr:y>
    </cdr:from>
    <cdr:to>
      <cdr:x>0.23617</cdr:x>
      <cdr:y>0.09916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636954" y="59174"/>
          <a:ext cx="580952" cy="209524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2</xdr:row>
      <xdr:rowOff>167640</xdr:rowOff>
    </xdr:from>
    <xdr:to>
      <xdr:col>3</xdr:col>
      <xdr:colOff>76200</xdr:colOff>
      <xdr:row>7</xdr:row>
      <xdr:rowOff>38100</xdr:rowOff>
    </xdr:to>
    <xdr:sp macro="" textlink="">
      <xdr:nvSpPr>
        <xdr:cNvPr id="2" name="Rectangle 1"/>
        <xdr:cNvSpPr/>
      </xdr:nvSpPr>
      <xdr:spPr>
        <a:xfrm>
          <a:off x="487680" y="533400"/>
          <a:ext cx="1417320" cy="78486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11430</xdr:colOff>
      <xdr:row>2</xdr:row>
      <xdr:rowOff>167640</xdr:rowOff>
    </xdr:from>
    <xdr:to>
      <xdr:col>8</xdr:col>
      <xdr:colOff>582930</xdr:colOff>
      <xdr:row>7</xdr:row>
      <xdr:rowOff>38100</xdr:rowOff>
    </xdr:to>
    <xdr:sp macro="" textlink="">
      <xdr:nvSpPr>
        <xdr:cNvPr id="5" name="Rectangle 4"/>
        <xdr:cNvSpPr/>
      </xdr:nvSpPr>
      <xdr:spPr>
        <a:xfrm>
          <a:off x="4278630" y="533400"/>
          <a:ext cx="1181100" cy="784860"/>
        </a:xfrm>
        <a:prstGeom prst="rect">
          <a:avLst/>
        </a:prstGeom>
        <a:solidFill>
          <a:schemeClr val="bg1">
            <a:lumMod val="85000"/>
            <a:alpha val="39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579120</xdr:colOff>
      <xdr:row>2</xdr:row>
      <xdr:rowOff>167640</xdr:rowOff>
    </xdr:from>
    <xdr:to>
      <xdr:col>6</xdr:col>
      <xdr:colOff>579120</xdr:colOff>
      <xdr:row>7</xdr:row>
      <xdr:rowOff>38100</xdr:rowOff>
    </xdr:to>
    <xdr:sp macro="" textlink="">
      <xdr:nvSpPr>
        <xdr:cNvPr id="4" name="Rectangle 3"/>
        <xdr:cNvSpPr/>
      </xdr:nvSpPr>
      <xdr:spPr>
        <a:xfrm>
          <a:off x="3017520" y="533400"/>
          <a:ext cx="1219200" cy="784860"/>
        </a:xfrm>
        <a:prstGeom prst="rect">
          <a:avLst/>
        </a:prstGeom>
        <a:solidFill>
          <a:schemeClr val="bg1">
            <a:lumMod val="85000"/>
            <a:alpha val="39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15240</xdr:colOff>
      <xdr:row>2</xdr:row>
      <xdr:rowOff>167640</xdr:rowOff>
    </xdr:from>
    <xdr:to>
      <xdr:col>10</xdr:col>
      <xdr:colOff>579120</xdr:colOff>
      <xdr:row>7</xdr:row>
      <xdr:rowOff>38100</xdr:rowOff>
    </xdr:to>
    <xdr:sp macro="" textlink="">
      <xdr:nvSpPr>
        <xdr:cNvPr id="6" name="Rectangle 5"/>
        <xdr:cNvSpPr/>
      </xdr:nvSpPr>
      <xdr:spPr>
        <a:xfrm>
          <a:off x="5501640" y="533400"/>
          <a:ext cx="1173480" cy="784860"/>
        </a:xfrm>
        <a:prstGeom prst="rect">
          <a:avLst/>
        </a:prstGeom>
        <a:solidFill>
          <a:schemeClr val="bg1">
            <a:lumMod val="85000"/>
            <a:alpha val="39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478155</xdr:colOff>
      <xdr:row>8</xdr:row>
      <xdr:rowOff>38100</xdr:rowOff>
    </xdr:from>
    <xdr:to>
      <xdr:col>10</xdr:col>
      <xdr:colOff>577215</xdr:colOff>
      <xdr:row>20</xdr:row>
      <xdr:rowOff>59267</xdr:rowOff>
    </xdr:to>
    <xdr:sp macro="" textlink="">
      <xdr:nvSpPr>
        <xdr:cNvPr id="7" name="Rectangle 6"/>
        <xdr:cNvSpPr/>
      </xdr:nvSpPr>
      <xdr:spPr>
        <a:xfrm>
          <a:off x="478155" y="1528233"/>
          <a:ext cx="6195060" cy="225636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160867</xdr:colOff>
      <xdr:row>11</xdr:row>
      <xdr:rowOff>33866</xdr:rowOff>
    </xdr:from>
    <xdr:to>
      <xdr:col>3</xdr:col>
      <xdr:colOff>287867</xdr:colOff>
      <xdr:row>11</xdr:row>
      <xdr:rowOff>160866</xdr:rowOff>
    </xdr:to>
    <xdr:sp macro="" textlink="">
      <xdr:nvSpPr>
        <xdr:cNvPr id="8" name="Isosceles Triangle 7"/>
        <xdr:cNvSpPr/>
      </xdr:nvSpPr>
      <xdr:spPr>
        <a:xfrm>
          <a:off x="1989667" y="1896533"/>
          <a:ext cx="127000" cy="12700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160867</xdr:colOff>
      <xdr:row>11</xdr:row>
      <xdr:rowOff>33866</xdr:rowOff>
    </xdr:from>
    <xdr:to>
      <xdr:col>4</xdr:col>
      <xdr:colOff>287867</xdr:colOff>
      <xdr:row>11</xdr:row>
      <xdr:rowOff>160866</xdr:rowOff>
    </xdr:to>
    <xdr:sp macro="" textlink="">
      <xdr:nvSpPr>
        <xdr:cNvPr id="10" name="Isosceles Triangle 9"/>
        <xdr:cNvSpPr/>
      </xdr:nvSpPr>
      <xdr:spPr>
        <a:xfrm>
          <a:off x="1989667" y="1896533"/>
          <a:ext cx="127000" cy="12700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160867</xdr:colOff>
      <xdr:row>11</xdr:row>
      <xdr:rowOff>33866</xdr:rowOff>
    </xdr:from>
    <xdr:to>
      <xdr:col>6</xdr:col>
      <xdr:colOff>287867</xdr:colOff>
      <xdr:row>11</xdr:row>
      <xdr:rowOff>160866</xdr:rowOff>
    </xdr:to>
    <xdr:sp macro="" textlink="">
      <xdr:nvSpPr>
        <xdr:cNvPr id="11" name="Isosceles Triangle 10"/>
        <xdr:cNvSpPr/>
      </xdr:nvSpPr>
      <xdr:spPr>
        <a:xfrm>
          <a:off x="1989667" y="1896533"/>
          <a:ext cx="127000" cy="12700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160867</xdr:colOff>
      <xdr:row>11</xdr:row>
      <xdr:rowOff>33866</xdr:rowOff>
    </xdr:from>
    <xdr:to>
      <xdr:col>7</xdr:col>
      <xdr:colOff>287867</xdr:colOff>
      <xdr:row>11</xdr:row>
      <xdr:rowOff>160866</xdr:rowOff>
    </xdr:to>
    <xdr:sp macro="" textlink="">
      <xdr:nvSpPr>
        <xdr:cNvPr id="12" name="Isosceles Triangle 11"/>
        <xdr:cNvSpPr/>
      </xdr:nvSpPr>
      <xdr:spPr>
        <a:xfrm>
          <a:off x="2599267" y="1896533"/>
          <a:ext cx="127000" cy="12700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160867</xdr:colOff>
      <xdr:row>11</xdr:row>
      <xdr:rowOff>33866</xdr:rowOff>
    </xdr:from>
    <xdr:to>
      <xdr:col>9</xdr:col>
      <xdr:colOff>287867</xdr:colOff>
      <xdr:row>11</xdr:row>
      <xdr:rowOff>160866</xdr:rowOff>
    </xdr:to>
    <xdr:sp macro="" textlink="">
      <xdr:nvSpPr>
        <xdr:cNvPr id="13" name="Isosceles Triangle 12"/>
        <xdr:cNvSpPr/>
      </xdr:nvSpPr>
      <xdr:spPr>
        <a:xfrm>
          <a:off x="1989667" y="1896533"/>
          <a:ext cx="127000" cy="12700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160867</xdr:colOff>
      <xdr:row>11</xdr:row>
      <xdr:rowOff>33866</xdr:rowOff>
    </xdr:from>
    <xdr:to>
      <xdr:col>10</xdr:col>
      <xdr:colOff>287867</xdr:colOff>
      <xdr:row>11</xdr:row>
      <xdr:rowOff>160866</xdr:rowOff>
    </xdr:to>
    <xdr:sp macro="" textlink="">
      <xdr:nvSpPr>
        <xdr:cNvPr id="14" name="Isosceles Triangle 13"/>
        <xdr:cNvSpPr/>
      </xdr:nvSpPr>
      <xdr:spPr>
        <a:xfrm>
          <a:off x="2599267" y="1896533"/>
          <a:ext cx="127000" cy="12700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482600</xdr:colOff>
      <xdr:row>20</xdr:row>
      <xdr:rowOff>143933</xdr:rowOff>
    </xdr:from>
    <xdr:to>
      <xdr:col>5</xdr:col>
      <xdr:colOff>431800</xdr:colOff>
      <xdr:row>32</xdr:row>
      <xdr:rowOff>33866</xdr:rowOff>
    </xdr:to>
    <xdr:sp macro="" textlink="">
      <xdr:nvSpPr>
        <xdr:cNvPr id="9" name="Rectangle 8"/>
        <xdr:cNvSpPr/>
      </xdr:nvSpPr>
      <xdr:spPr>
        <a:xfrm>
          <a:off x="482600" y="3869266"/>
          <a:ext cx="2997200" cy="212513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601134</xdr:colOff>
      <xdr:row>20</xdr:row>
      <xdr:rowOff>143933</xdr:rowOff>
    </xdr:from>
    <xdr:to>
      <xdr:col>10</xdr:col>
      <xdr:colOff>575734</xdr:colOff>
      <xdr:row>32</xdr:row>
      <xdr:rowOff>33866</xdr:rowOff>
    </xdr:to>
    <xdr:sp macro="" textlink="">
      <xdr:nvSpPr>
        <xdr:cNvPr id="16" name="Rectangle 15"/>
        <xdr:cNvSpPr/>
      </xdr:nvSpPr>
      <xdr:spPr>
        <a:xfrm>
          <a:off x="3649134" y="3869266"/>
          <a:ext cx="3022600" cy="212513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160867</xdr:colOff>
      <xdr:row>7</xdr:row>
      <xdr:rowOff>33866</xdr:rowOff>
    </xdr:from>
    <xdr:to>
      <xdr:col>13</xdr:col>
      <xdr:colOff>287867</xdr:colOff>
      <xdr:row>7</xdr:row>
      <xdr:rowOff>160866</xdr:rowOff>
    </xdr:to>
    <xdr:sp macro="" textlink="">
      <xdr:nvSpPr>
        <xdr:cNvPr id="17" name="Isosceles Triangle 16"/>
        <xdr:cNvSpPr/>
      </xdr:nvSpPr>
      <xdr:spPr>
        <a:xfrm>
          <a:off x="1989667" y="2082799"/>
          <a:ext cx="127000" cy="12700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160867</xdr:colOff>
      <xdr:row>6</xdr:row>
      <xdr:rowOff>33866</xdr:rowOff>
    </xdr:from>
    <xdr:to>
      <xdr:col>13</xdr:col>
      <xdr:colOff>287867</xdr:colOff>
      <xdr:row>6</xdr:row>
      <xdr:rowOff>160866</xdr:rowOff>
    </xdr:to>
    <xdr:sp macro="" textlink="">
      <xdr:nvSpPr>
        <xdr:cNvPr id="18" name="Isosceles Triangle 17"/>
        <xdr:cNvSpPr/>
      </xdr:nvSpPr>
      <xdr:spPr>
        <a:xfrm>
          <a:off x="2599267" y="2082799"/>
          <a:ext cx="127000" cy="12700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101600</xdr:colOff>
      <xdr:row>0</xdr:row>
      <xdr:rowOff>59267</xdr:rowOff>
    </xdr:from>
    <xdr:to>
      <xdr:col>1</xdr:col>
      <xdr:colOff>222748</xdr:colOff>
      <xdr:row>3</xdr:row>
      <xdr:rowOff>110063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4FAA81D4-F84F-4A29-8061-FB4E505748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101600" y="59267"/>
          <a:ext cx="790015" cy="58419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KPI Dashboard_Excel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5CC5DE"/>
      </a:accent2>
      <a:accent3>
        <a:srgbClr val="B9EBED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D46"/>
  <sheetViews>
    <sheetView showGridLines="0" showRowColHeaders="0" tabSelected="1" topLeftCell="A2" zoomScale="94" zoomScaleNormal="94" workbookViewId="0">
      <selection activeCell="A45" sqref="A45"/>
    </sheetView>
  </sheetViews>
  <sheetFormatPr defaultColWidth="0" defaultRowHeight="13.8" zeroHeight="1" x14ac:dyDescent="0.25"/>
  <cols>
    <col min="1" max="3" width="2.296875" customWidth="1"/>
    <col min="4" max="4" width="2.8984375" bestFit="1" customWidth="1"/>
    <col min="5" max="5" width="13.796875" customWidth="1"/>
    <col min="6" max="6" width="12.3984375" customWidth="1"/>
    <col min="7" max="7" width="1.3984375" customWidth="1"/>
    <col min="8" max="9" width="8.796875" customWidth="1"/>
    <col min="10" max="10" width="1.3984375" customWidth="1"/>
    <col min="11" max="11" width="8.796875" customWidth="1"/>
    <col min="12" max="12" width="2.3984375" customWidth="1"/>
    <col min="13" max="13" width="1.3984375" customWidth="1"/>
    <col min="14" max="14" width="12.3984375" customWidth="1"/>
    <col min="15" max="15" width="1.3984375" customWidth="1"/>
    <col min="16" max="17" width="8.796875" customWidth="1"/>
    <col min="18" max="18" width="1.3984375" customWidth="1"/>
    <col min="19" max="19" width="8.796875" customWidth="1"/>
    <col min="20" max="20" width="2.3984375" customWidth="1"/>
    <col min="21" max="21" width="1.3984375" customWidth="1"/>
    <col min="22" max="22" width="12.3984375" customWidth="1"/>
    <col min="23" max="23" width="1.3984375" customWidth="1"/>
    <col min="24" max="25" width="8.796875" customWidth="1"/>
    <col min="26" max="26" width="1.3984375" customWidth="1"/>
    <col min="27" max="27" width="8.796875" customWidth="1"/>
    <col min="28" max="28" width="2.3984375" customWidth="1"/>
    <col min="29" max="29" width="4.69921875" customWidth="1"/>
    <col min="30" max="30" width="5.8984375" customWidth="1"/>
    <col min="31" max="16384" width="8.796875" hidden="1"/>
  </cols>
  <sheetData>
    <row r="1" spans="2:30" ht="4.2" customHeight="1" x14ac:dyDescent="0.25"/>
    <row r="2" spans="2:30" ht="4.2" customHeight="1" x14ac:dyDescent="0.25"/>
    <row r="3" spans="2:30" ht="4.2" customHeight="1" x14ac:dyDescent="0.25"/>
    <row r="4" spans="2:30" ht="4.2" customHeight="1" x14ac:dyDescent="0.25"/>
    <row r="5" spans="2:30" x14ac:dyDescent="0.25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</row>
    <row r="6" spans="2:30" x14ac:dyDescent="0.25">
      <c r="B6" s="46"/>
      <c r="C6" s="46"/>
      <c r="D6" s="46"/>
      <c r="E6" s="46" t="s">
        <v>1</v>
      </c>
      <c r="F6" s="71">
        <v>2017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</row>
    <row r="7" spans="2:30" x14ac:dyDescent="0.25">
      <c r="B7" s="46"/>
      <c r="C7" s="46"/>
      <c r="D7" s="46"/>
      <c r="E7" s="46" t="s">
        <v>2</v>
      </c>
      <c r="F7" s="71" t="s">
        <v>79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</row>
    <row r="8" spans="2:30" ht="16.2" customHeight="1" x14ac:dyDescent="0.25">
      <c r="B8" s="46"/>
      <c r="C8" s="46"/>
      <c r="D8" s="46"/>
      <c r="E8" s="46" t="s">
        <v>3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55"/>
      <c r="U8" s="46"/>
      <c r="V8" s="46"/>
      <c r="W8" s="46"/>
      <c r="X8" s="46"/>
      <c r="Y8" s="46"/>
      <c r="Z8" s="46"/>
      <c r="AA8" s="46"/>
      <c r="AB8" s="46"/>
      <c r="AC8" s="46"/>
      <c r="AD8" s="46"/>
    </row>
    <row r="9" spans="2:30" ht="10.8" customHeight="1" x14ac:dyDescent="0.25"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</row>
    <row r="10" spans="2:30" ht="10.8" customHeight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</row>
    <row r="11" spans="2:30" x14ac:dyDescent="0.25">
      <c r="B11" s="46"/>
      <c r="C11" s="46"/>
      <c r="F11" s="53" t="s">
        <v>6</v>
      </c>
      <c r="G11" s="53"/>
      <c r="H11" s="53"/>
      <c r="I11" s="53"/>
      <c r="J11" s="53"/>
      <c r="K11" s="53"/>
      <c r="L11" s="53"/>
      <c r="N11" s="53" t="s">
        <v>7</v>
      </c>
      <c r="O11" s="53"/>
      <c r="P11" s="53"/>
      <c r="Q11" s="53"/>
      <c r="R11" s="53"/>
      <c r="S11" s="53"/>
      <c r="T11" s="53"/>
      <c r="V11" s="53" t="s">
        <v>9</v>
      </c>
      <c r="W11" s="53"/>
      <c r="X11" s="53"/>
      <c r="Y11" s="53"/>
      <c r="Z11" s="53"/>
      <c r="AA11" s="53"/>
      <c r="AB11" s="53"/>
      <c r="AD11" s="46"/>
    </row>
    <row r="12" spans="2:30" x14ac:dyDescent="0.25">
      <c r="B12" s="46"/>
      <c r="C12" s="46"/>
      <c r="F12" s="2" t="s">
        <v>19</v>
      </c>
      <c r="H12" t="s">
        <v>104</v>
      </c>
      <c r="K12" t="s">
        <v>103</v>
      </c>
      <c r="N12" s="2" t="s">
        <v>19</v>
      </c>
      <c r="P12" t="s">
        <v>104</v>
      </c>
      <c r="S12" t="s">
        <v>103</v>
      </c>
      <c r="V12" s="2" t="s">
        <v>19</v>
      </c>
      <c r="X12" t="s">
        <v>104</v>
      </c>
      <c r="AA12" t="s">
        <v>103</v>
      </c>
      <c r="AD12" s="46"/>
    </row>
    <row r="13" spans="2:30" ht="3.6" customHeight="1" x14ac:dyDescent="0.25">
      <c r="B13" s="46"/>
      <c r="C13" s="46"/>
      <c r="F13" s="4"/>
      <c r="H13" s="5"/>
      <c r="I13" s="5"/>
      <c r="K13" s="6"/>
      <c r="L13" s="6"/>
      <c r="N13" s="4"/>
      <c r="P13" s="5"/>
      <c r="Q13" s="5"/>
      <c r="S13" s="6"/>
      <c r="T13" s="6"/>
      <c r="V13" s="4"/>
      <c r="X13" s="5"/>
      <c r="Y13" s="5"/>
      <c r="AA13" s="6"/>
      <c r="AB13" s="6"/>
      <c r="AD13" s="46"/>
    </row>
    <row r="14" spans="2:30" x14ac:dyDescent="0.25">
      <c r="B14" s="46"/>
      <c r="C14" s="46"/>
      <c r="D14" s="54">
        <f>INDEX(Calculation!O17:O$36,Calculation!$D$6)</f>
        <v>1</v>
      </c>
      <c r="E14" s="54" t="str">
        <f>INDEX(Calculation!P17:P$36,Calculation!$D$6)</f>
        <v>Commuta</v>
      </c>
      <c r="F14" s="56">
        <f>INDEX(Calculation!Q17:Q$36,Calculation!$D$6)</f>
        <v>6353</v>
      </c>
      <c r="G14" s="54"/>
      <c r="H14" s="57">
        <f>INDEX(Calculation!Z17:Z$36,Calculation!$D$6)</f>
        <v>6.0070081762055728E-2</v>
      </c>
      <c r="I14" s="57">
        <f>H14</f>
        <v>6.0070081762055728E-2</v>
      </c>
      <c r="J14" s="54"/>
      <c r="K14" s="57">
        <f>INDEX(Calculation!AC17:AC$36,Calculation!$D$6)</f>
        <v>0.20436018957345972</v>
      </c>
      <c r="L14" s="58" t="str">
        <f>IF(K14="","",IF(K14&gt;=0.05,"▲",IF(K14&lt;=-0.05,"▼","")))</f>
        <v>▲</v>
      </c>
      <c r="M14" s="54"/>
      <c r="N14" s="56">
        <f>INDEX(Calculation!R17:R$36,Calculation!$D$6)</f>
        <v>762</v>
      </c>
      <c r="O14" s="54"/>
      <c r="P14" s="57">
        <f>INDEX(Calculation!AA17:AA$36,Calculation!$D$6)</f>
        <v>0.13056379821958458</v>
      </c>
      <c r="Q14" s="57">
        <f>P14</f>
        <v>0.13056379821958458</v>
      </c>
      <c r="R14" s="54"/>
      <c r="S14" s="57">
        <f>INDEX(Calculation!AD17:AD$36,Calculation!$D$6)</f>
        <v>0.34154929577464788</v>
      </c>
      <c r="T14" s="58" t="str">
        <f>IF(S14="","",IF(S14&gt;=0.05,"▲",IF(S14&lt;=-0.05,"▼","")))</f>
        <v>▲</v>
      </c>
      <c r="U14" s="54"/>
      <c r="V14" s="56">
        <f>INDEX(Calculation!S17:S$36,Calculation!$D$6)</f>
        <v>7332</v>
      </c>
      <c r="W14" s="54"/>
      <c r="X14" s="57">
        <f>INDEX(Calculation!AB17:AB$36,Calculation!$D$6)</f>
        <v>2.3022185014650483E-2</v>
      </c>
      <c r="Y14" s="57">
        <f>X14</f>
        <v>2.3022185014650483E-2</v>
      </c>
      <c r="Z14" s="54"/>
      <c r="AA14" s="57">
        <f>INDEX(Calculation!AE17:AE$36,Calculation!$D$6)</f>
        <v>1.4528850145288501E-2</v>
      </c>
      <c r="AB14" s="58" t="str">
        <f>IF(AA14="","",IF(AA14&gt;=0.05,"▲",IF(AA14&lt;=-0.05,"▼","")))</f>
        <v/>
      </c>
      <c r="AD14" s="46"/>
    </row>
    <row r="15" spans="2:30" x14ac:dyDescent="0.25">
      <c r="B15" s="46"/>
      <c r="C15" s="46"/>
      <c r="D15">
        <f>INDEX(Calculation!O18:O$36,Calculation!$D$6)</f>
        <v>2</v>
      </c>
      <c r="E15" t="str">
        <f>INDEX(Calculation!P18:P$36,Calculation!$D$6)</f>
        <v>Infic</v>
      </c>
      <c r="F15" s="50">
        <f>INDEX(Calculation!Q18:Q$36,Calculation!$D$6)</f>
        <v>12373</v>
      </c>
      <c r="H15" s="51">
        <f>INDEX(Calculation!Z18:Z$36,Calculation!$D$6)</f>
        <v>-2.0164542668172285E-3</v>
      </c>
      <c r="I15" s="51">
        <f t="shared" ref="I15:I23" si="0">H15</f>
        <v>-2.0164542668172285E-3</v>
      </c>
      <c r="K15" s="51">
        <f>INDEX(Calculation!AC18:AC$36,Calculation!$D$6)</f>
        <v>0.18153170359052712</v>
      </c>
      <c r="L15" s="52" t="str">
        <f t="shared" ref="L15:L23" si="1">IF(K15="","",IF(K15&gt;=0.05,"▲",IF(K15&lt;=-0.05,"▼","")))</f>
        <v>▲</v>
      </c>
      <c r="N15" s="50">
        <f>INDEX(Calculation!R18:R$36,Calculation!$D$6)</f>
        <v>408</v>
      </c>
      <c r="P15" s="51">
        <f>INDEX(Calculation!AA18:AA$36,Calculation!$D$6)</f>
        <v>0.19648093841642228</v>
      </c>
      <c r="Q15" s="51">
        <f t="shared" ref="Q15:Q23" si="2">P15</f>
        <v>0.19648093841642228</v>
      </c>
      <c r="S15" s="51">
        <f>INDEX(Calculation!AD18:AD$36,Calculation!$D$6)</f>
        <v>-0.11496746203904555</v>
      </c>
      <c r="T15" s="52" t="str">
        <f t="shared" ref="T15:T23" si="3">IF(S15="","",IF(S15&gt;=0.05,"▲",IF(S15&lt;=-0.05,"▼","")))</f>
        <v>▼</v>
      </c>
      <c r="V15" s="50">
        <f>INDEX(Calculation!S18:S$36,Calculation!$D$6)</f>
        <v>3054</v>
      </c>
      <c r="X15" s="51">
        <f>INDEX(Calculation!AB18:AB$36,Calculation!$D$6)</f>
        <v>6.923837784371909E-3</v>
      </c>
      <c r="Y15" s="51">
        <f t="shared" ref="Y15:Y23" si="4">X15</f>
        <v>6.923837784371909E-3</v>
      </c>
      <c r="AA15" s="51">
        <f>INDEX(Calculation!AE18:AE$36,Calculation!$D$6)</f>
        <v>4.9484536082474224E-2</v>
      </c>
      <c r="AB15" s="52" t="str">
        <f t="shared" ref="AB15:AB23" si="5">IF(AA15="","",IF(AA15&gt;=0.05,"▲",IF(AA15&lt;=-0.05,"▼","")))</f>
        <v/>
      </c>
      <c r="AD15" s="46"/>
    </row>
    <row r="16" spans="2:30" x14ac:dyDescent="0.25">
      <c r="B16" s="46"/>
      <c r="C16" s="46"/>
      <c r="D16" s="54">
        <f>INDEX(Calculation!O19:O$36,Calculation!$D$6)</f>
        <v>3</v>
      </c>
      <c r="E16" s="54" t="str">
        <f>INDEX(Calculation!P19:P$36,Calculation!$D$6)</f>
        <v>Accord</v>
      </c>
      <c r="F16" s="56">
        <f>INDEX(Calculation!Q19:Q$36,Calculation!$D$6)</f>
        <v>17760</v>
      </c>
      <c r="G16" s="54"/>
      <c r="H16" s="57">
        <f>INDEX(Calculation!Z19:Z$36,Calculation!$D$6)</f>
        <v>4.3171806167400878E-2</v>
      </c>
      <c r="I16" s="57">
        <f t="shared" si="0"/>
        <v>4.3171806167400878E-2</v>
      </c>
      <c r="J16" s="54"/>
      <c r="K16" s="57">
        <f>INDEX(Calculation!AC19:AC$36,Calculation!$D$6)</f>
        <v>5.3755784976860094E-2</v>
      </c>
      <c r="L16" s="58" t="str">
        <f t="shared" si="1"/>
        <v>▲</v>
      </c>
      <c r="M16" s="54"/>
      <c r="N16" s="56">
        <f>INDEX(Calculation!R19:R$36,Calculation!$D$6)</f>
        <v>800</v>
      </c>
      <c r="O16" s="54"/>
      <c r="P16" s="57">
        <f>INDEX(Calculation!AA19:AA$36,Calculation!$D$6)</f>
        <v>0.40845070422535212</v>
      </c>
      <c r="Q16" s="57">
        <f t="shared" si="2"/>
        <v>0.40845070422535212</v>
      </c>
      <c r="R16" s="54"/>
      <c r="S16" s="57">
        <f>INDEX(Calculation!AD19:AD$36,Calculation!$D$6)</f>
        <v>0.39860139860139859</v>
      </c>
      <c r="T16" s="58" t="str">
        <f t="shared" si="3"/>
        <v>▲</v>
      </c>
      <c r="U16" s="54"/>
      <c r="V16" s="56">
        <f>INDEX(Calculation!S19:S$36,Calculation!$D$6)</f>
        <v>6488</v>
      </c>
      <c r="W16" s="54"/>
      <c r="X16" s="57">
        <f>INDEX(Calculation!AB19:AB$36,Calculation!$D$6)</f>
        <v>-0.13134288392020352</v>
      </c>
      <c r="Y16" s="57">
        <f t="shared" si="4"/>
        <v>-0.13134288392020352</v>
      </c>
      <c r="Z16" s="54"/>
      <c r="AA16" s="57">
        <f>INDEX(Calculation!AE19:AE$36,Calculation!$D$6)</f>
        <v>-1.8605354711843897E-2</v>
      </c>
      <c r="AB16" s="58" t="str">
        <f t="shared" si="5"/>
        <v/>
      </c>
      <c r="AD16" s="46"/>
    </row>
    <row r="17" spans="2:30" x14ac:dyDescent="0.25">
      <c r="B17" s="46"/>
      <c r="C17" s="46"/>
      <c r="D17">
        <f>INDEX(Calculation!O20:O$36,Calculation!$D$6)</f>
        <v>4</v>
      </c>
      <c r="E17" t="str">
        <f>INDEX(Calculation!P20:P$36,Calculation!$D$6)</f>
        <v>Misty Wash</v>
      </c>
      <c r="F17" s="50">
        <f>INDEX(Calculation!Q20:Q$36,Calculation!$D$6)</f>
        <v>30399.599999999999</v>
      </c>
      <c r="H17" s="51">
        <f>INDEX(Calculation!Z20:Z$36,Calculation!$D$6)</f>
        <v>2.9392244240068269E-2</v>
      </c>
      <c r="I17" s="51">
        <f t="shared" si="0"/>
        <v>2.9392244240068269E-2</v>
      </c>
      <c r="K17" s="51">
        <f>INDEX(Calculation!AC20:AC$36,Calculation!$D$6)</f>
        <v>5.3708676729327274E-3</v>
      </c>
      <c r="L17" s="52" t="str">
        <f t="shared" si="1"/>
        <v/>
      </c>
      <c r="N17" s="50">
        <f>INDEX(Calculation!R20:R$36,Calculation!$D$6)</f>
        <v>786.8</v>
      </c>
      <c r="P17" s="51">
        <f>INDEX(Calculation!AA20:AA$36,Calculation!$D$6)</f>
        <v>0</v>
      </c>
      <c r="Q17" s="51">
        <f t="shared" si="2"/>
        <v>0</v>
      </c>
      <c r="S17" s="51">
        <f>INDEX(Calculation!AD20:AD$36,Calculation!$D$6)</f>
        <v>-0.15615615615615619</v>
      </c>
      <c r="T17" s="52" t="str">
        <f t="shared" si="3"/>
        <v>▼</v>
      </c>
      <c r="V17" s="50">
        <f>INDEX(Calculation!S20:S$36,Calculation!$D$6)</f>
        <v>12308.8</v>
      </c>
      <c r="X17" s="51">
        <f>INDEX(Calculation!AB20:AB$36,Calculation!$D$6)</f>
        <v>-0.11709178549909618</v>
      </c>
      <c r="Y17" s="51">
        <f t="shared" si="4"/>
        <v>-0.11709178549909618</v>
      </c>
      <c r="AA17" s="51">
        <f>INDEX(Calculation!AE20:AE$36,Calculation!$D$6)</f>
        <v>-8.014228918183719E-2</v>
      </c>
      <c r="AB17" s="52" t="str">
        <f t="shared" si="5"/>
        <v>▼</v>
      </c>
      <c r="AD17" s="46"/>
    </row>
    <row r="18" spans="2:30" x14ac:dyDescent="0.25">
      <c r="B18" s="46"/>
      <c r="C18" s="46"/>
      <c r="D18" s="54">
        <f>INDEX(Calculation!O21:O$36,Calculation!$D$6)</f>
        <v>5</v>
      </c>
      <c r="E18" s="54" t="str">
        <f>INDEX(Calculation!P21:P$36,Calculation!$D$6)</f>
        <v>Twenty20</v>
      </c>
      <c r="F18" s="56">
        <f>INDEX(Calculation!Q21:Q$36,Calculation!$D$6)</f>
        <v>20400</v>
      </c>
      <c r="G18" s="54"/>
      <c r="H18" s="57">
        <f>INDEX(Calculation!Z21:Z$36,Calculation!$D$6)</f>
        <v>-8.2073434125269976E-2</v>
      </c>
      <c r="I18" s="57">
        <f t="shared" si="0"/>
        <v>-8.2073434125269976E-2</v>
      </c>
      <c r="J18" s="54"/>
      <c r="K18" s="57">
        <f>INDEX(Calculation!AC21:AC$36,Calculation!$D$6)</f>
        <v>0.10408728784205061</v>
      </c>
      <c r="L18" s="58" t="str">
        <f t="shared" si="1"/>
        <v>▲</v>
      </c>
      <c r="M18" s="54"/>
      <c r="N18" s="56">
        <f>INDEX(Calculation!R21:R$36,Calculation!$D$6)</f>
        <v>614.40000000000009</v>
      </c>
      <c r="O18" s="54"/>
      <c r="P18" s="57">
        <f>INDEX(Calculation!AA21:AA$36,Calculation!$D$6)</f>
        <v>-0.37864077669902907</v>
      </c>
      <c r="Q18" s="57">
        <f t="shared" si="2"/>
        <v>-0.37864077669902907</v>
      </c>
      <c r="R18" s="54"/>
      <c r="S18" s="57">
        <f>INDEX(Calculation!AD21:AD$36,Calculation!$D$6)</f>
        <v>-0.45142857142857135</v>
      </c>
      <c r="T18" s="58" t="str">
        <f t="shared" si="3"/>
        <v>▼</v>
      </c>
      <c r="U18" s="54"/>
      <c r="V18" s="56">
        <f>INDEX(Calculation!S21:S$36,Calculation!$D$6)</f>
        <v>15171.2</v>
      </c>
      <c r="W18" s="54"/>
      <c r="X18" s="57">
        <f>INDEX(Calculation!AB21:AB$36,Calculation!$D$6)</f>
        <v>-5.2936476228525764E-2</v>
      </c>
      <c r="Y18" s="57">
        <f t="shared" si="4"/>
        <v>-5.2936476228525764E-2</v>
      </c>
      <c r="Z18" s="54"/>
      <c r="AA18" s="57">
        <f>INDEX(Calculation!AE21:AE$36,Calculation!$D$6)</f>
        <v>6.6111985608275178E-2</v>
      </c>
      <c r="AB18" s="58" t="str">
        <f t="shared" si="5"/>
        <v>▲</v>
      </c>
      <c r="AD18" s="46"/>
    </row>
    <row r="19" spans="2:30" x14ac:dyDescent="0.25">
      <c r="B19" s="46"/>
      <c r="C19" s="46"/>
      <c r="D19">
        <f>INDEX(Calculation!O22:O$36,Calculation!$D$6)</f>
        <v>6</v>
      </c>
      <c r="E19" t="str">
        <f>INDEX(Calculation!P22:P$36,Calculation!$D$6)</f>
        <v>Tanox</v>
      </c>
      <c r="F19" s="50">
        <f>INDEX(Calculation!Q22:Q$36,Calculation!$D$6)</f>
        <v>21088</v>
      </c>
      <c r="H19" s="51">
        <f>INDEX(Calculation!Z22:Z$36,Calculation!$D$6)</f>
        <v>6.8504256181597084E-2</v>
      </c>
      <c r="I19" s="51">
        <f t="shared" si="0"/>
        <v>6.8504256181597084E-2</v>
      </c>
      <c r="K19" s="51">
        <f>INDEX(Calculation!AC22:AC$36,Calculation!$D$6)</f>
        <v>0.10085612862810607</v>
      </c>
      <c r="L19" s="52" t="str">
        <f t="shared" si="1"/>
        <v>▲</v>
      </c>
      <c r="N19" s="50">
        <f>INDEX(Calculation!R22:R$36,Calculation!$D$6)</f>
        <v>1264</v>
      </c>
      <c r="P19" s="51">
        <f>INDEX(Calculation!AA22:AA$36,Calculation!$D$6)</f>
        <v>0.35622317596566522</v>
      </c>
      <c r="Q19" s="51">
        <f t="shared" si="2"/>
        <v>0.35622317596566522</v>
      </c>
      <c r="S19" s="51">
        <f>INDEX(Calculation!AD22:AD$36,Calculation!$D$6)</f>
        <v>0.4697674418604651</v>
      </c>
      <c r="T19" s="52" t="str">
        <f t="shared" si="3"/>
        <v>▲</v>
      </c>
      <c r="V19" s="50">
        <f>INDEX(Calculation!S22:S$36,Calculation!$D$6)</f>
        <v>4828</v>
      </c>
      <c r="X19" s="51">
        <f>INDEX(Calculation!AB22:AB$36,Calculation!$D$6)</f>
        <v>-0.18720538720538721</v>
      </c>
      <c r="Y19" s="51">
        <f t="shared" si="4"/>
        <v>-0.18720538720538721</v>
      </c>
      <c r="AA19" s="51">
        <f>INDEX(Calculation!AE22:AE$36,Calculation!$D$6)</f>
        <v>-0.37654958677685951</v>
      </c>
      <c r="AB19" s="52" t="str">
        <f t="shared" si="5"/>
        <v>▼</v>
      </c>
      <c r="AD19" s="46"/>
    </row>
    <row r="20" spans="2:30" x14ac:dyDescent="0.25">
      <c r="B20" s="46"/>
      <c r="C20" s="46"/>
      <c r="D20" s="54">
        <f>INDEX(Calculation!O23:O$36,Calculation!$D$6)</f>
        <v>7</v>
      </c>
      <c r="E20" s="54" t="str">
        <f>INDEX(Calculation!P23:P$36,Calculation!$D$6)</f>
        <v>Minor Liar</v>
      </c>
      <c r="F20" s="56">
        <f>INDEX(Calculation!Q23:Q$36,Calculation!$D$6)</f>
        <v>23736.9</v>
      </c>
      <c r="G20" s="54"/>
      <c r="H20" s="57">
        <f>INDEX(Calculation!Z23:Z$36,Calculation!$D$6)</f>
        <v>4.3169293241806017E-2</v>
      </c>
      <c r="I20" s="57">
        <f t="shared" si="0"/>
        <v>4.3169293241806017E-2</v>
      </c>
      <c r="J20" s="54"/>
      <c r="K20" s="57">
        <f>INDEX(Calculation!AC23:AC$36,Calculation!$D$6)</f>
        <v>5.3765016114854895E-2</v>
      </c>
      <c r="L20" s="58" t="str">
        <f t="shared" si="1"/>
        <v>▲</v>
      </c>
      <c r="M20" s="54"/>
      <c r="N20" s="56">
        <f>INDEX(Calculation!R23:R$36,Calculation!$D$6)</f>
        <v>1012.0000000000001</v>
      </c>
      <c r="O20" s="54"/>
      <c r="P20" s="57">
        <f>INDEX(Calculation!AA23:AA$36,Calculation!$D$6)</f>
        <v>0.40888208269525272</v>
      </c>
      <c r="Q20" s="57">
        <f t="shared" si="2"/>
        <v>0.40888208269525272</v>
      </c>
      <c r="R20" s="54"/>
      <c r="S20" s="57">
        <f>INDEX(Calculation!AD23:AD$36,Calculation!$D$6)</f>
        <v>0.3981762917933131</v>
      </c>
      <c r="T20" s="58" t="str">
        <f t="shared" si="3"/>
        <v>▲</v>
      </c>
      <c r="U20" s="54"/>
      <c r="V20" s="56">
        <f>INDEX(Calculation!S23:S$36,Calculation!$D$6)</f>
        <v>8207.1</v>
      </c>
      <c r="W20" s="54"/>
      <c r="X20" s="57">
        <f>INDEX(Calculation!AB23:AB$36,Calculation!$D$6)</f>
        <v>-0.13133077191756909</v>
      </c>
      <c r="Y20" s="57">
        <f t="shared" si="4"/>
        <v>-0.13133077191756909</v>
      </c>
      <c r="Z20" s="54"/>
      <c r="AA20" s="57">
        <f>INDEX(Calculation!AE23:AE$36,Calculation!$D$6)</f>
        <v>-1.8547750591949529E-2</v>
      </c>
      <c r="AB20" s="58" t="str">
        <f t="shared" si="5"/>
        <v/>
      </c>
      <c r="AD20" s="46"/>
    </row>
    <row r="21" spans="2:30" x14ac:dyDescent="0.25">
      <c r="B21" s="46"/>
      <c r="C21" s="46"/>
      <c r="D21">
        <f>INDEX(Calculation!O24:O$36,Calculation!$D$6)</f>
        <v>8</v>
      </c>
      <c r="E21" t="str">
        <f>INDEX(Calculation!P24:P$36,Calculation!$D$6)</f>
        <v>Mosquit</v>
      </c>
      <c r="F21" s="50">
        <f>INDEX(Calculation!Q24:Q$36,Calculation!$D$6)</f>
        <v>6302</v>
      </c>
      <c r="H21" s="51">
        <f>INDEX(Calculation!Z24:Z$36,Calculation!$D$6)</f>
        <v>0.16703703703703704</v>
      </c>
      <c r="I21" s="51">
        <f t="shared" si="0"/>
        <v>0.16703703703703704</v>
      </c>
      <c r="K21" s="51">
        <f>INDEX(Calculation!AC24:AC$36,Calculation!$D$6)</f>
        <v>0.19062913281692803</v>
      </c>
      <c r="L21" s="52" t="str">
        <f t="shared" si="1"/>
        <v>▲</v>
      </c>
      <c r="N21" s="50">
        <f>INDEX(Calculation!R24:R$36,Calculation!$D$6)</f>
        <v>240</v>
      </c>
      <c r="P21" s="51">
        <f>INDEX(Calculation!AA24:AA$36,Calculation!$D$6)</f>
        <v>0.26315789473684209</v>
      </c>
      <c r="Q21" s="51">
        <f t="shared" si="2"/>
        <v>0.26315789473684209</v>
      </c>
      <c r="S21" s="51">
        <f>INDEX(Calculation!AD24:AD$36,Calculation!$D$6)</f>
        <v>0.53846153846153844</v>
      </c>
      <c r="T21" s="52" t="str">
        <f t="shared" si="3"/>
        <v>▲</v>
      </c>
      <c r="V21" s="50">
        <f>INDEX(Calculation!S24:S$36,Calculation!$D$6)</f>
        <v>4655</v>
      </c>
      <c r="X21" s="51">
        <f>INDEX(Calculation!AB24:AB$36,Calculation!$D$6)</f>
        <v>0.136474609375</v>
      </c>
      <c r="Y21" s="51">
        <f t="shared" si="4"/>
        <v>0.136474609375</v>
      </c>
      <c r="AA21" s="51">
        <f>INDEX(Calculation!AE24:AE$36,Calculation!$D$6)</f>
        <v>3.1236154186973859E-2</v>
      </c>
      <c r="AB21" s="52" t="str">
        <f t="shared" si="5"/>
        <v/>
      </c>
      <c r="AD21" s="46"/>
    </row>
    <row r="22" spans="2:30" x14ac:dyDescent="0.25">
      <c r="B22" s="46"/>
      <c r="C22" s="46"/>
      <c r="D22" s="54">
        <f>INDEX(Calculation!O25:O$36,Calculation!$D$6)</f>
        <v>9</v>
      </c>
      <c r="E22" s="54" t="str">
        <f>INDEX(Calculation!P25:P$36,Calculation!$D$6)</f>
        <v>Atmos</v>
      </c>
      <c r="F22" s="56">
        <f>INDEX(Calculation!Q25:Q$36,Calculation!$D$6)</f>
        <v>10675</v>
      </c>
      <c r="G22" s="54"/>
      <c r="H22" s="57">
        <f>INDEX(Calculation!Z25:Z$36,Calculation!$D$6)</f>
        <v>5.34886015987368E-2</v>
      </c>
      <c r="I22" s="57">
        <f t="shared" si="0"/>
        <v>5.34886015987368E-2</v>
      </c>
      <c r="J22" s="54"/>
      <c r="K22" s="57">
        <f>INDEX(Calculation!AC25:AC$36,Calculation!$D$6)</f>
        <v>-4.4999105385578816E-2</v>
      </c>
      <c r="L22" s="58" t="str">
        <f t="shared" si="1"/>
        <v/>
      </c>
      <c r="M22" s="54"/>
      <c r="N22" s="56">
        <f>INDEX(Calculation!R25:R$36,Calculation!$D$6)</f>
        <v>128</v>
      </c>
      <c r="O22" s="54"/>
      <c r="P22" s="57">
        <f>INDEX(Calculation!AA25:AA$36,Calculation!$D$6)</f>
        <v>0.43820224719101125</v>
      </c>
      <c r="Q22" s="57">
        <f t="shared" si="2"/>
        <v>0.43820224719101125</v>
      </c>
      <c r="R22" s="54"/>
      <c r="S22" s="57">
        <f>INDEX(Calculation!AD25:AD$36,Calculation!$D$6)</f>
        <v>-0.32631578947368423</v>
      </c>
      <c r="T22" s="58" t="str">
        <f t="shared" si="3"/>
        <v>▼</v>
      </c>
      <c r="U22" s="54"/>
      <c r="V22" s="56">
        <f>INDEX(Calculation!S25:S$36,Calculation!$D$6)</f>
        <v>8210</v>
      </c>
      <c r="W22" s="54"/>
      <c r="X22" s="57">
        <f>INDEX(Calculation!AB25:AB$36,Calculation!$D$6)</f>
        <v>3.7901944002934345E-3</v>
      </c>
      <c r="Y22" s="57">
        <f t="shared" si="4"/>
        <v>3.7901944002934345E-3</v>
      </c>
      <c r="Z22" s="54"/>
      <c r="AA22" s="57">
        <f>INDEX(Calculation!AE25:AE$36,Calculation!$D$6)</f>
        <v>2.4968789013732832E-2</v>
      </c>
      <c r="AB22" s="58" t="str">
        <f t="shared" si="5"/>
        <v/>
      </c>
      <c r="AD22" s="46"/>
    </row>
    <row r="23" spans="2:30" x14ac:dyDescent="0.25">
      <c r="B23" s="46"/>
      <c r="C23" s="46"/>
      <c r="D23">
        <f>INDEX(Calculation!O26:O$36,Calculation!$D$6)</f>
        <v>10</v>
      </c>
      <c r="E23" t="str">
        <f>INDEX(Calculation!P26:P$36,Calculation!$D$6)</f>
        <v>Scrap</v>
      </c>
      <c r="F23" s="50">
        <f>INDEX(Calculation!Q26:Q$36,Calculation!$D$6)</f>
        <v>13307</v>
      </c>
      <c r="H23" s="51">
        <f>INDEX(Calculation!Z26:Z$36,Calculation!$D$6)</f>
        <v>9.730353756081471E-2</v>
      </c>
      <c r="I23" s="51">
        <f t="shared" si="0"/>
        <v>9.730353756081471E-2</v>
      </c>
      <c r="K23" s="51">
        <f>INDEX(Calculation!AC26:AC$36,Calculation!$D$6)</f>
        <v>-1.0484830458060678E-2</v>
      </c>
      <c r="L23" s="52" t="str">
        <f t="shared" si="1"/>
        <v/>
      </c>
      <c r="N23" s="50">
        <f>INDEX(Calculation!R26:R$36,Calculation!$D$6)</f>
        <v>862</v>
      </c>
      <c r="P23" s="51">
        <f>INDEX(Calculation!AA26:AA$36,Calculation!$D$6)</f>
        <v>0.16172506738544473</v>
      </c>
      <c r="Q23" s="51">
        <f t="shared" si="2"/>
        <v>0.16172506738544473</v>
      </c>
      <c r="S23" s="51">
        <f>INDEX(Calculation!AD26:AD$36,Calculation!$D$6)</f>
        <v>-4.7513812154696133E-2</v>
      </c>
      <c r="T23" s="52" t="str">
        <f t="shared" si="3"/>
        <v/>
      </c>
      <c r="V23" s="50">
        <f>INDEX(Calculation!S26:S$36,Calculation!$D$6)</f>
        <v>5279</v>
      </c>
      <c r="X23" s="51">
        <f>INDEX(Calculation!AB26:AB$36,Calculation!$D$6)</f>
        <v>-3.8608632307412127E-2</v>
      </c>
      <c r="Y23" s="51">
        <f t="shared" si="4"/>
        <v>-3.8608632307412127E-2</v>
      </c>
      <c r="AA23" s="51">
        <f>INDEX(Calculation!AE26:AE$36,Calculation!$D$6)</f>
        <v>-0.12916529198284393</v>
      </c>
      <c r="AB23" s="52" t="str">
        <f t="shared" si="5"/>
        <v>▼</v>
      </c>
      <c r="AD23" s="46"/>
    </row>
    <row r="24" spans="2:30" x14ac:dyDescent="0.25"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</row>
    <row r="25" spans="2:30" x14ac:dyDescent="0.25">
      <c r="B25" s="46"/>
      <c r="C25" s="46"/>
      <c r="D25" s="64"/>
      <c r="E25" s="65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46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46"/>
    </row>
    <row r="26" spans="2:30" x14ac:dyDescent="0.25">
      <c r="B26" s="46"/>
      <c r="C26" s="46"/>
      <c r="D26" s="64"/>
      <c r="E26" s="65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46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46"/>
    </row>
    <row r="27" spans="2:30" x14ac:dyDescent="0.25">
      <c r="B27" s="46"/>
      <c r="C27" s="46"/>
      <c r="D27" s="64"/>
      <c r="E27" s="65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46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46"/>
    </row>
    <row r="28" spans="2:30" x14ac:dyDescent="0.25">
      <c r="B28" s="46"/>
      <c r="C28" s="46"/>
      <c r="D28" s="64"/>
      <c r="E28" s="65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46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46"/>
    </row>
    <row r="29" spans="2:30" x14ac:dyDescent="0.25">
      <c r="B29" s="46"/>
      <c r="C29" s="46"/>
      <c r="D29" s="64"/>
      <c r="E29" s="65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46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46"/>
    </row>
    <row r="30" spans="2:30" x14ac:dyDescent="0.25">
      <c r="B30" s="46"/>
      <c r="C30" s="46"/>
      <c r="D30" s="64"/>
      <c r="E30" s="65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46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46"/>
    </row>
    <row r="31" spans="2:30" x14ac:dyDescent="0.25">
      <c r="B31" s="46"/>
      <c r="C31" s="46"/>
      <c r="D31" s="64"/>
      <c r="E31" s="65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46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46"/>
    </row>
    <row r="32" spans="2:30" x14ac:dyDescent="0.25">
      <c r="B32" s="46"/>
      <c r="C32" s="46"/>
      <c r="D32" s="64"/>
      <c r="E32" s="65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46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46"/>
    </row>
    <row r="33" spans="2:30" x14ac:dyDescent="0.25">
      <c r="B33" s="46"/>
      <c r="C33" s="46"/>
      <c r="D33" s="64"/>
      <c r="E33" s="65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46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46"/>
    </row>
    <row r="34" spans="2:30" x14ac:dyDescent="0.25">
      <c r="B34" s="46"/>
      <c r="C34" s="46"/>
      <c r="D34" s="64"/>
      <c r="E34" s="65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46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46"/>
    </row>
    <row r="35" spans="2:30" x14ac:dyDescent="0.25">
      <c r="B35" s="46"/>
      <c r="C35" s="46"/>
      <c r="D35" s="64"/>
      <c r="E35" s="65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46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46"/>
    </row>
    <row r="36" spans="2:30" x14ac:dyDescent="0.25">
      <c r="B36" s="46"/>
      <c r="C36" s="46"/>
      <c r="D36" s="64"/>
      <c r="E36" s="65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46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46"/>
    </row>
    <row r="37" spans="2:30" x14ac:dyDescent="0.25">
      <c r="B37" s="46"/>
      <c r="C37" s="46"/>
      <c r="D37" s="64"/>
      <c r="E37" s="65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46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46"/>
    </row>
    <row r="38" spans="2:30" x14ac:dyDescent="0.25">
      <c r="B38" s="46"/>
      <c r="C38" s="46"/>
      <c r="D38" s="64"/>
      <c r="E38" s="65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46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46"/>
    </row>
    <row r="39" spans="2:30" x14ac:dyDescent="0.25">
      <c r="B39" s="46"/>
      <c r="C39" s="46"/>
      <c r="D39" s="64"/>
      <c r="E39" s="65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46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46"/>
    </row>
    <row r="40" spans="2:30" x14ac:dyDescent="0.25">
      <c r="B40" s="46"/>
      <c r="C40" s="46"/>
      <c r="D40" s="64"/>
      <c r="E40" s="65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46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46"/>
    </row>
    <row r="41" spans="2:30" x14ac:dyDescent="0.25">
      <c r="B41" s="46"/>
      <c r="C41" s="46"/>
      <c r="D41" s="64"/>
      <c r="E41" s="65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46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46"/>
    </row>
    <row r="42" spans="2:30" x14ac:dyDescent="0.25">
      <c r="B42" s="46"/>
      <c r="C42" s="46"/>
      <c r="D42" s="64"/>
      <c r="E42" s="65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46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46"/>
    </row>
    <row r="43" spans="2:30" x14ac:dyDescent="0.25">
      <c r="B43" s="46"/>
      <c r="C43" s="46"/>
      <c r="D43" s="64"/>
      <c r="E43" s="65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46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46"/>
    </row>
    <row r="44" spans="2:30" x14ac:dyDescent="0.25"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</row>
    <row r="45" spans="2:30" x14ac:dyDescent="0.25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</row>
    <row r="46" spans="2:30" hidden="1" x14ac:dyDescent="0.25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</row>
  </sheetData>
  <conditionalFormatting sqref="T14:T23">
    <cfRule type="cellIs" dxfId="5" priority="5" operator="equal">
      <formula>"▲"</formula>
    </cfRule>
    <cfRule type="cellIs" dxfId="4" priority="6" operator="equal">
      <formula>"▼"</formula>
    </cfRule>
  </conditionalFormatting>
  <conditionalFormatting sqref="AB14:AB23">
    <cfRule type="cellIs" dxfId="3" priority="3" operator="equal">
      <formula>"▲"</formula>
    </cfRule>
    <cfRule type="cellIs" dxfId="2" priority="4" operator="equal">
      <formula>"▼"</formula>
    </cfRule>
  </conditionalFormatting>
  <conditionalFormatting sqref="L14:L23">
    <cfRule type="cellIs" dxfId="1" priority="1" operator="equal">
      <formula>"▲"</formula>
    </cfRule>
    <cfRule type="cellIs" dxfId="0" priority="2" operator="equal">
      <formula>"▼"</formula>
    </cfRule>
  </conditionalFormatting>
  <dataValidations count="1">
    <dataValidation type="textLength" operator="equal" allowBlank="1" showInputMessage="1" showErrorMessage="1" errorTitle="Error" error="Please enter year in YYYY format (4digit number)" prompt="Please enter year in YYYY format (4digit number, eg. 2017)" sqref="F6">
      <formula1>4</formula1>
    </dataValidation>
  </dataValidations>
  <pageMargins left="0.25" right="0.25" top="0.75" bottom="0.75" header="0.3" footer="0.3"/>
  <pageSetup scale="73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>
                  <from>
                    <xdr:col>5</xdr:col>
                    <xdr:colOff>15240</xdr:colOff>
                    <xdr:row>7</xdr:row>
                    <xdr:rowOff>30480</xdr:rowOff>
                  </from>
                  <to>
                    <xdr:col>7</xdr:col>
                    <xdr:colOff>137160</xdr:colOff>
                    <xdr:row>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Scroll Bar 4">
              <controlPr defaultSize="0" autoPict="0">
                <anchor>
                  <from>
                    <xdr:col>28</xdr:col>
                    <xdr:colOff>99060</xdr:colOff>
                    <xdr:row>11</xdr:row>
                    <xdr:rowOff>38100</xdr:rowOff>
                  </from>
                  <to>
                    <xdr:col>28</xdr:col>
                    <xdr:colOff>350520</xdr:colOff>
                    <xdr:row>22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List Box 5">
              <controlPr defaultSize="0" autoLine="0" autoPict="0">
                <anchor moveWithCells="1">
                  <from>
                    <xdr:col>3</xdr:col>
                    <xdr:colOff>144780</xdr:colOff>
                    <xdr:row>26</xdr:row>
                    <xdr:rowOff>144780</xdr:rowOff>
                  </from>
                  <to>
                    <xdr:col>4</xdr:col>
                    <xdr:colOff>868680</xdr:colOff>
                    <xdr:row>30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Option Button 6">
              <controlPr defaultSize="0" autoFill="0" autoLine="0" autoPict="0">
                <anchor moveWithCells="1">
                  <from>
                    <xdr:col>3</xdr:col>
                    <xdr:colOff>144780</xdr:colOff>
                    <xdr:row>32</xdr:row>
                    <xdr:rowOff>30480</xdr:rowOff>
                  </from>
                  <to>
                    <xdr:col>4</xdr:col>
                    <xdr:colOff>830580</xdr:colOff>
                    <xdr:row>33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Option Button 7">
              <controlPr defaultSize="0" autoFill="0" autoLine="0" autoPict="0">
                <anchor moveWithCells="1">
                  <from>
                    <xdr:col>3</xdr:col>
                    <xdr:colOff>144780</xdr:colOff>
                    <xdr:row>33</xdr:row>
                    <xdr:rowOff>83820</xdr:rowOff>
                  </from>
                  <to>
                    <xdr:col>4</xdr:col>
                    <xdr:colOff>830580</xdr:colOff>
                    <xdr:row>34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9" name="Scroll Bar 15">
              <controlPr defaultSize="0" autoPict="0">
                <anchor moveWithCells="1">
                  <from>
                    <xdr:col>23</xdr:col>
                    <xdr:colOff>266700</xdr:colOff>
                    <xdr:row>24</xdr:row>
                    <xdr:rowOff>60960</xdr:rowOff>
                  </from>
                  <to>
                    <xdr:col>28</xdr:col>
                    <xdr:colOff>297180</xdr:colOff>
                    <xdr:row>25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0" name="Check Box 16">
              <controlPr defaultSize="0" autoFill="0" autoLine="0" autoPict="0">
                <anchor moveWithCells="1">
                  <from>
                    <xdr:col>24</xdr:col>
                    <xdr:colOff>556260</xdr:colOff>
                    <xdr:row>26</xdr:row>
                    <xdr:rowOff>60960</xdr:rowOff>
                  </from>
                  <to>
                    <xdr:col>28</xdr:col>
                    <xdr:colOff>7620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1" name="Check Box 17">
              <controlPr defaultSize="0" autoFill="0" autoLine="0" autoPict="0">
                <anchor moveWithCells="1">
                  <from>
                    <xdr:col>26</xdr:col>
                    <xdr:colOff>182880</xdr:colOff>
                    <xdr:row>26</xdr:row>
                    <xdr:rowOff>60960</xdr:rowOff>
                  </from>
                  <to>
                    <xdr:col>29</xdr:col>
                    <xdr:colOff>60960</xdr:colOff>
                    <xdr:row>28</xdr:row>
                    <xdr:rowOff>22860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6" id="{BD023811-35B6-4398-805A-981847DCC8FE}">
            <x14:dataBar minLength="0" maxLength="100" showValue="0" gradient="0">
              <x14:cfvo type="num">
                <xm:f>Calculation!$Z$42</xm:f>
              </x14:cfvo>
              <x14:cfvo type="num">
                <xm:f>Calculation!$Z$43</xm:f>
              </x14:cfvo>
              <x14:fillColor rgb="FF638EC6"/>
              <x14:negativeFillColor theme="1" tint="0.499984740745262"/>
              <x14:axisColor theme="0"/>
            </x14:dataBar>
          </x14:cfRule>
          <xm:sqref>I14:I23</xm:sqref>
        </x14:conditionalFormatting>
        <x14:conditionalFormatting xmlns:xm="http://schemas.microsoft.com/office/excel/2006/main">
          <x14:cfRule type="dataBar" priority="17" id="{857FEE59-E9D5-4FAF-B9FC-713051E8E22A}">
            <x14:dataBar minLength="0" maxLength="100" showValue="0" gradient="0">
              <x14:cfvo type="num">
                <xm:f>Calculation!$AA$42</xm:f>
              </x14:cfvo>
              <x14:cfvo type="num">
                <xm:f>Calculation!$AA$43</xm:f>
              </x14:cfvo>
              <x14:fillColor rgb="FF638EC6"/>
              <x14:negativeFillColor theme="1" tint="0.499984740745262"/>
              <x14:axisColor theme="0"/>
            </x14:dataBar>
          </x14:cfRule>
          <xm:sqref>Q14:Q23</xm:sqref>
        </x14:conditionalFormatting>
        <x14:conditionalFormatting xmlns:xm="http://schemas.microsoft.com/office/excel/2006/main">
          <x14:cfRule type="dataBar" priority="18" id="{3B893A32-4112-4F14-B7DF-BEE1F722F421}">
            <x14:dataBar minLength="0" maxLength="100" showValue="0" gradient="0">
              <x14:cfvo type="num">
                <xm:f>Calculation!$AB$42</xm:f>
              </x14:cfvo>
              <x14:cfvo type="num">
                <xm:f>Calculation!$AB$43</xm:f>
              </x14:cfvo>
              <x14:fillColor rgb="FF638EC6"/>
              <x14:negativeFillColor theme="1" tint="0.499984740745262"/>
              <x14:axisColor theme="0"/>
            </x14:dataBar>
          </x14:cfRule>
          <xm:sqref>Y14:Y23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Calculation!$B$18:$B$29</xm:f>
          </x14:formula1>
          <xm:sqref>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BD43"/>
  <sheetViews>
    <sheetView workbookViewId="0">
      <selection activeCell="W24" sqref="W24"/>
    </sheetView>
  </sheetViews>
  <sheetFormatPr defaultRowHeight="13.8" x14ac:dyDescent="0.25"/>
  <cols>
    <col min="3" max="3" width="23.19921875" bestFit="1" customWidth="1"/>
    <col min="8" max="8" width="14.796875" bestFit="1" customWidth="1"/>
    <col min="9" max="9" width="10.19921875" bestFit="1" customWidth="1"/>
    <col min="10" max="10" width="9.796875" bestFit="1" customWidth="1"/>
    <col min="11" max="13" width="3.8984375" customWidth="1"/>
    <col min="16" max="16" width="10.19921875" bestFit="1" customWidth="1"/>
    <col min="26" max="26" width="9.5" customWidth="1"/>
    <col min="27" max="27" width="9.59765625" customWidth="1"/>
    <col min="29" max="29" width="9.3984375" customWidth="1"/>
    <col min="35" max="35" width="13.3984375" customWidth="1"/>
    <col min="36" max="36" width="1.3984375" style="46" customWidth="1"/>
    <col min="39" max="39" width="13.09765625" bestFit="1" customWidth="1"/>
    <col min="40" max="40" width="14.59765625" bestFit="1" customWidth="1"/>
    <col min="41" max="41" width="14" bestFit="1" customWidth="1"/>
    <col min="42" max="42" width="13" bestFit="1" customWidth="1"/>
    <col min="49" max="50" width="2.19921875" customWidth="1"/>
  </cols>
  <sheetData>
    <row r="3" spans="2:56" x14ac:dyDescent="0.25">
      <c r="B3" s="32" t="s">
        <v>87</v>
      </c>
      <c r="C3" s="33"/>
      <c r="D3" s="33"/>
      <c r="E3" s="33"/>
      <c r="N3" s="32" t="s">
        <v>93</v>
      </c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H3" s="32" t="s">
        <v>117</v>
      </c>
      <c r="AI3" s="32"/>
      <c r="AJ3" s="62"/>
      <c r="AK3" s="32"/>
      <c r="AS3" s="32" t="s">
        <v>122</v>
      </c>
      <c r="AT3" s="32"/>
      <c r="AU3" s="32"/>
      <c r="AV3" s="32"/>
      <c r="AY3" s="32" t="s">
        <v>122</v>
      </c>
      <c r="AZ3" s="32"/>
      <c r="BA3" s="32"/>
      <c r="BB3" s="32"/>
    </row>
    <row r="5" spans="2:56" x14ac:dyDescent="0.25">
      <c r="C5" t="s">
        <v>124</v>
      </c>
      <c r="D5">
        <v>3</v>
      </c>
    </row>
    <row r="6" spans="2:56" x14ac:dyDescent="0.25">
      <c r="C6" t="s">
        <v>105</v>
      </c>
      <c r="D6">
        <v>1</v>
      </c>
    </row>
    <row r="7" spans="2:56" x14ac:dyDescent="0.25">
      <c r="C7" t="s">
        <v>118</v>
      </c>
      <c r="D7">
        <v>2</v>
      </c>
    </row>
    <row r="8" spans="2:56" x14ac:dyDescent="0.25">
      <c r="C8" t="s">
        <v>119</v>
      </c>
      <c r="D8">
        <v>2</v>
      </c>
    </row>
    <row r="9" spans="2:56" x14ac:dyDescent="0.25">
      <c r="C9" t="s">
        <v>123</v>
      </c>
      <c r="D9">
        <v>5</v>
      </c>
    </row>
    <row r="10" spans="2:56" x14ac:dyDescent="0.25">
      <c r="C10" t="s">
        <v>125</v>
      </c>
      <c r="D10" t="b">
        <v>1</v>
      </c>
      <c r="Q10" t="str">
        <f>Q11&amp;Q12&amp;Q13&amp;Q14</f>
        <v>2017JunActualRevenue</v>
      </c>
      <c r="R10" t="str">
        <f t="shared" ref="R10:Y10" si="0">R11&amp;R12&amp;R13&amp;R14</f>
        <v>2017JunActualProfit</v>
      </c>
      <c r="S10" t="str">
        <f t="shared" si="0"/>
        <v>2017JunActualCash</v>
      </c>
      <c r="T10" t="str">
        <f t="shared" si="0"/>
        <v>2016JunActualRevenue</v>
      </c>
      <c r="U10" t="str">
        <f t="shared" si="0"/>
        <v>2016JunActualProfit</v>
      </c>
      <c r="V10" t="str">
        <f t="shared" si="0"/>
        <v>2016JunActualCash</v>
      </c>
      <c r="W10" t="str">
        <f t="shared" si="0"/>
        <v>2017JunBudgetRevenue</v>
      </c>
      <c r="X10" t="str">
        <f t="shared" si="0"/>
        <v>2017JunBudgetProfit</v>
      </c>
      <c r="Y10" t="str">
        <f t="shared" si="0"/>
        <v>2017JunBudgetCash</v>
      </c>
    </row>
    <row r="11" spans="2:56" x14ac:dyDescent="0.25">
      <c r="C11" t="s">
        <v>126</v>
      </c>
      <c r="D11" t="b">
        <v>1</v>
      </c>
      <c r="Q11">
        <f>cur_year</f>
        <v>2017</v>
      </c>
      <c r="R11">
        <f>cur_year</f>
        <v>2017</v>
      </c>
      <c r="S11">
        <f>cur_year</f>
        <v>2017</v>
      </c>
      <c r="T11">
        <f>cur_year-1</f>
        <v>2016</v>
      </c>
      <c r="U11">
        <f>cur_year-1</f>
        <v>2016</v>
      </c>
      <c r="V11">
        <f>cur_year-1</f>
        <v>2016</v>
      </c>
      <c r="W11">
        <f>cur_year</f>
        <v>2017</v>
      </c>
      <c r="X11">
        <f>cur_year</f>
        <v>2017</v>
      </c>
      <c r="Y11">
        <f>cur_year</f>
        <v>2017</v>
      </c>
    </row>
    <row r="12" spans="2:56" x14ac:dyDescent="0.25">
      <c r="Q12" t="str">
        <f t="shared" ref="Q12:Y12" si="1">cur_month</f>
        <v>Jun</v>
      </c>
      <c r="R12" t="str">
        <f t="shared" si="1"/>
        <v>Jun</v>
      </c>
      <c r="S12" t="str">
        <f t="shared" si="1"/>
        <v>Jun</v>
      </c>
      <c r="T12" t="str">
        <f t="shared" si="1"/>
        <v>Jun</v>
      </c>
      <c r="U12" t="str">
        <f t="shared" si="1"/>
        <v>Jun</v>
      </c>
      <c r="V12" t="str">
        <f t="shared" si="1"/>
        <v>Jun</v>
      </c>
      <c r="W12" t="str">
        <f t="shared" si="1"/>
        <v>Jun</v>
      </c>
      <c r="X12" t="str">
        <f t="shared" si="1"/>
        <v>Jun</v>
      </c>
      <c r="Y12" t="str">
        <f t="shared" si="1"/>
        <v>Jun</v>
      </c>
      <c r="AS12" s="63" t="str">
        <f>INDEX(H16:J36,D9,D5)</f>
        <v>Misty Wash</v>
      </c>
      <c r="AT12" s="63"/>
    </row>
    <row r="13" spans="2:56" x14ac:dyDescent="0.25"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72</v>
      </c>
      <c r="X13" t="s">
        <v>72</v>
      </c>
      <c r="Y13" t="s">
        <v>72</v>
      </c>
      <c r="AZ13" s="63" t="str">
        <f>"Profit for "&amp;AS12</f>
        <v>Profit for Misty Wash</v>
      </c>
      <c r="BA13" s="63"/>
      <c r="BB13" s="63"/>
    </row>
    <row r="14" spans="2:56" x14ac:dyDescent="0.25">
      <c r="Q14" t="str">
        <f>Q16</f>
        <v>Revenue</v>
      </c>
      <c r="R14" t="str">
        <f t="shared" ref="R14:Y14" si="2">R16</f>
        <v>Profit</v>
      </c>
      <c r="S14" t="str">
        <f t="shared" si="2"/>
        <v>Cash</v>
      </c>
      <c r="T14" t="str">
        <f t="shared" si="2"/>
        <v>Revenue</v>
      </c>
      <c r="U14" t="str">
        <f t="shared" si="2"/>
        <v>Profit</v>
      </c>
      <c r="V14" t="str">
        <f t="shared" si="2"/>
        <v>Cash</v>
      </c>
      <c r="W14" t="str">
        <f t="shared" si="2"/>
        <v>Revenue</v>
      </c>
      <c r="X14" t="str">
        <f t="shared" si="2"/>
        <v>Profit</v>
      </c>
      <c r="Y14" t="str">
        <f t="shared" si="2"/>
        <v>Cash</v>
      </c>
      <c r="AM14" t="str">
        <f>CHOOSE(D8,"Top 6,","Bottom 6,")&amp;" sorted based on %Δ B"</f>
        <v>Bottom 6, sorted based on %Δ B</v>
      </c>
    </row>
    <row r="15" spans="2:56" x14ac:dyDescent="0.25">
      <c r="H15" s="72" t="s">
        <v>89</v>
      </c>
      <c r="I15" s="72"/>
      <c r="J15" s="72"/>
      <c r="Q15" s="46" t="s">
        <v>19</v>
      </c>
      <c r="R15" s="46"/>
      <c r="S15" s="46"/>
      <c r="T15" s="46" t="s">
        <v>96</v>
      </c>
      <c r="U15" s="46"/>
      <c r="V15" s="46"/>
      <c r="W15" s="46" t="s">
        <v>97</v>
      </c>
      <c r="X15" s="46"/>
      <c r="Y15" s="46"/>
      <c r="Z15" t="s">
        <v>98</v>
      </c>
      <c r="AC15" t="s">
        <v>99</v>
      </c>
      <c r="AI15" t="s">
        <v>115</v>
      </c>
      <c r="AK15" t="s">
        <v>116</v>
      </c>
      <c r="AM15" s="63" t="str">
        <f>"Actual "&amp;INDEX(Q16:S16,D7)&amp;" Vs. Budget"</f>
        <v>Actual Profit Vs. Budget</v>
      </c>
      <c r="AN15" s="63"/>
      <c r="AT15" s="67">
        <f>cur_year</f>
        <v>2017</v>
      </c>
      <c r="AU15" s="69">
        <f>AT15-1</f>
        <v>2016</v>
      </c>
      <c r="AV15" s="68">
        <f>cur_year</f>
        <v>2017</v>
      </c>
      <c r="AW15" s="46"/>
      <c r="AX15" s="46"/>
      <c r="AZ15" s="67">
        <f t="shared" ref="AZ15:BB16" si="3">AT15</f>
        <v>2017</v>
      </c>
      <c r="BA15" s="69">
        <f t="shared" si="3"/>
        <v>2016</v>
      </c>
      <c r="BB15" s="68">
        <f t="shared" si="3"/>
        <v>2017</v>
      </c>
    </row>
    <row r="16" spans="2:56" x14ac:dyDescent="0.25">
      <c r="B16" s="32" t="s">
        <v>88</v>
      </c>
      <c r="C16" s="32"/>
      <c r="D16" s="34"/>
      <c r="E16" s="34"/>
      <c r="H16" s="35" t="str">
        <f t="array" ref="H16:J16">TRANSPOSE(C18:C20)</f>
        <v>Productivity Apps</v>
      </c>
      <c r="I16" s="35" t="str">
        <v>Game Apps</v>
      </c>
      <c r="J16" s="35" t="str">
        <v>Utility Apps</v>
      </c>
      <c r="O16" s="46" t="s">
        <v>94</v>
      </c>
      <c r="P16" s="46" t="s">
        <v>95</v>
      </c>
      <c r="Q16" s="4" t="s">
        <v>6</v>
      </c>
      <c r="R16" s="4" t="s">
        <v>7</v>
      </c>
      <c r="S16" s="4" t="s">
        <v>9</v>
      </c>
      <c r="T16" s="5" t="s">
        <v>6</v>
      </c>
      <c r="U16" s="5" t="s">
        <v>7</v>
      </c>
      <c r="V16" s="5" t="s">
        <v>9</v>
      </c>
      <c r="W16" s="6" t="s">
        <v>6</v>
      </c>
      <c r="X16" s="6" t="s">
        <v>7</v>
      </c>
      <c r="Y16" s="6" t="s">
        <v>9</v>
      </c>
      <c r="Z16" s="5" t="s">
        <v>100</v>
      </c>
      <c r="AA16" s="5" t="s">
        <v>101</v>
      </c>
      <c r="AB16" s="5" t="s">
        <v>102</v>
      </c>
      <c r="AC16" s="6" t="s">
        <v>100</v>
      </c>
      <c r="AD16" s="6" t="s">
        <v>101</v>
      </c>
      <c r="AE16" s="6" t="s">
        <v>102</v>
      </c>
      <c r="AH16" s="46" t="s">
        <v>95</v>
      </c>
      <c r="AI16" s="6" t="str">
        <f>INDEX(AC16:AE16,,D7)&amp;""&amp;" Δ B"</f>
        <v>Profit% Δ B</v>
      </c>
      <c r="AK16" s="46" t="s">
        <v>114</v>
      </c>
      <c r="AL16" s="46" t="s">
        <v>95</v>
      </c>
      <c r="AM16" s="4" t="str">
        <f>"Actual" &amp;" "&amp; INDEX(Q16:S16,,D7)</f>
        <v>Actual Profit</v>
      </c>
      <c r="AN16" s="6" t="str">
        <f>"Budget"&amp;" "&amp;INDEX(W16:Y16,D7)</f>
        <v>Budget Profit</v>
      </c>
      <c r="AO16" t="s">
        <v>120</v>
      </c>
      <c r="AP16" t="s">
        <v>121</v>
      </c>
      <c r="AS16" s="70" t="s">
        <v>2</v>
      </c>
      <c r="AT16" s="4" t="s">
        <v>19</v>
      </c>
      <c r="AU16" s="5" t="s">
        <v>19</v>
      </c>
      <c r="AV16" s="6" t="s">
        <v>72</v>
      </c>
      <c r="AW16" s="46"/>
      <c r="AX16" s="46"/>
      <c r="AY16" s="70" t="str">
        <f>AS16</f>
        <v>Month</v>
      </c>
      <c r="AZ16" s="4" t="str">
        <f t="shared" si="3"/>
        <v>Actual</v>
      </c>
      <c r="BA16" s="5" t="str">
        <f t="shared" si="3"/>
        <v>Actual</v>
      </c>
      <c r="BB16" s="6" t="str">
        <f t="shared" si="3"/>
        <v>Budget</v>
      </c>
      <c r="BC16" s="4" t="s">
        <v>127</v>
      </c>
      <c r="BD16" s="4"/>
    </row>
    <row r="17" spans="2:55" x14ac:dyDescent="0.25">
      <c r="B17" s="1" t="s">
        <v>91</v>
      </c>
      <c r="C17" s="1" t="s">
        <v>92</v>
      </c>
      <c r="D17" s="1" t="s">
        <v>90</v>
      </c>
      <c r="H17" s="36" t="s">
        <v>70</v>
      </c>
      <c r="I17" s="37" t="s">
        <v>54</v>
      </c>
      <c r="J17" s="38" t="s">
        <v>41</v>
      </c>
      <c r="O17">
        <f>IF(P17&lt;&gt;"",ROW(A1),"")</f>
        <v>1</v>
      </c>
      <c r="P17" t="str">
        <f>IF(INDEX(H17:J17,,$D$5)="","",INDEX(H17:J17,,$D$5))</f>
        <v>Commuta</v>
      </c>
      <c r="Q17" s="50">
        <f>IF($P17&lt;&gt;"",INDEX(Data!$B$9:$J$51,MATCH($P17,Data!$A$9:$A$51,0),MATCH(Q$10,Data!$B$4:$J$4,0)),"")</f>
        <v>6353</v>
      </c>
      <c r="R17" s="50">
        <f>IF($P17&lt;&gt;"",INDEX(Data!$B$9:$J$51,MATCH($P17,Data!$A$9:$A$51,0),MATCH(R$10,Data!$B$4:$J$4,0)),"")</f>
        <v>762</v>
      </c>
      <c r="S17" s="50">
        <f>IF($P17&lt;&gt;"",INDEX(Data!$B$9:$J$51,MATCH($P17,Data!$A$9:$A$51,0),MATCH(S$10,Data!$B$4:$J$4,0)),"")</f>
        <v>7332</v>
      </c>
      <c r="T17" s="50">
        <f>IF($P17&lt;&gt;"",INDEX(Data!$B$9:$J$51,MATCH($P17,Data!$A$9:$A$51,0),MATCH(T$10,Data!$B$4:$J$4,0)),"")</f>
        <v>5993</v>
      </c>
      <c r="U17" s="50">
        <f>IF($P17&lt;&gt;"",INDEX(Data!$B$9:$J$51,MATCH($P17,Data!$A$9:$A$51,0),MATCH(U$10,Data!$B$4:$J$4,0)),"")</f>
        <v>674</v>
      </c>
      <c r="V17" s="50">
        <f>IF($P17&lt;&gt;"",INDEX(Data!$B$9:$J$51,MATCH($P17,Data!$A$9:$A$51,0),MATCH(V$10,Data!$B$4:$J$4,0)),"")</f>
        <v>7167</v>
      </c>
      <c r="W17" s="50">
        <f>IF($P17&lt;&gt;"",INDEX(Data!$B$9:$J$51,MATCH($P17,Data!$A$9:$A$51,0),MATCH(W$10,Data!$B$4:$J$4,0)),"")</f>
        <v>5275</v>
      </c>
      <c r="X17" s="50">
        <f>IF($P17&lt;&gt;"",INDEX(Data!$B$9:$J$51,MATCH($P17,Data!$A$9:$A$51,0),MATCH(X$10,Data!$B$4:$J$4,0)),"")</f>
        <v>568</v>
      </c>
      <c r="Y17" s="50">
        <f>IF($P17&lt;&gt;"",INDEX(Data!$B$9:$J$51,MATCH($P17,Data!$A$9:$A$51,0),MATCH(Y$10,Data!$B$4:$J$4,0)),"")</f>
        <v>7227</v>
      </c>
      <c r="Z17" s="47">
        <f>IF($P17&lt;&gt;"",(Q17-T17)/T17,"")</f>
        <v>6.0070081762055728E-2</v>
      </c>
      <c r="AA17" s="47">
        <f t="shared" ref="AA17:AB17" si="4">IF($P17&lt;&gt;"",(R17-U17)/U17,"")</f>
        <v>0.13056379821958458</v>
      </c>
      <c r="AB17" s="47">
        <f t="shared" si="4"/>
        <v>2.3022185014650483E-2</v>
      </c>
      <c r="AC17" s="47">
        <f>IF($P17&lt;&gt;"",(Q17-W17)/W17,"")</f>
        <v>0.20436018957345972</v>
      </c>
      <c r="AD17" s="47">
        <f t="shared" ref="AD17:AD36" si="5">IF($P17&lt;&gt;"",(R17-X17)/X17,"")</f>
        <v>0.34154929577464788</v>
      </c>
      <c r="AE17" s="47">
        <f t="shared" ref="AE17:AE36" si="6">IF($P17&lt;&gt;"",(S17-Y17)/Y17,"")</f>
        <v>1.4528850145288501E-2</v>
      </c>
      <c r="AH17" t="str">
        <f>P17</f>
        <v>Commuta</v>
      </c>
      <c r="AI17" s="48">
        <f>IF(AH17&lt;&gt;"",INDEX(AC17:AE17,,$D$7)+(ROW(A1)/100000000),"")</f>
        <v>0.34154930577464787</v>
      </c>
      <c r="AK17" s="48">
        <f>CHOOSE($D$8,LARGE($AI$17:$AI$36,ROW(A1)),SMALL($AI$17:$AI$36,ROW(A1)))</f>
        <v>-0.45142852142857137</v>
      </c>
      <c r="AL17" t="str">
        <f>INDEX($AH$17:$AH$36,MATCH(AK17,$AI$17:$AI$36,0))</f>
        <v>Twenty20</v>
      </c>
      <c r="AM17" s="50">
        <f>INDEX($Q$17:$S$36,MATCH($AL17,$P$17:$P$36,0),$D$7)</f>
        <v>614.40000000000009</v>
      </c>
      <c r="AN17" s="50">
        <f>INDEX($W$17:$Y$36,MATCH($AL17,$P$17:$P$36,0),$D$7)</f>
        <v>1120</v>
      </c>
      <c r="AO17" s="50">
        <f>MAX(AM17:AN17)</f>
        <v>1120</v>
      </c>
      <c r="AP17" s="66" t="str">
        <f>TEXT(AK17,"#%")&amp;" | "&amp;TEXT(AM17,"#,##0")</f>
        <v>-45% | 614</v>
      </c>
      <c r="AS17" t="s">
        <v>84</v>
      </c>
      <c r="AT17">
        <f>INDEX(Data!$K$9:$AT$51,MATCH($AS$12,Data!$A$9:$A$51,0),MATCH(AT$15&amp;$AS17&amp;AT$16,INDEX(Data!$K$5:$AT$5&amp;Data!$K$6:$AT$6&amp;Data!$K$7:$AT$7,,),0))</f>
        <v>165.2</v>
      </c>
      <c r="AU17">
        <f>INDEX(Data!$K$9:$AT$51,MATCH($AS$12,Data!$A$9:$A$51,0),MATCH(AU$15&amp;$AS17&amp;AU$16,INDEX(Data!$K$5:$AT$5&amp;Data!$K$6:$AT$6&amp;Data!$K$7:$AT$7,,),0))</f>
        <v>190.39999999999998</v>
      </c>
      <c r="AV17">
        <f>INDEX(Data!$K$9:$AT$51,MATCH($AS$12,Data!$A$9:$A$51,0),MATCH(AV$15&amp;$AS17&amp;AV$16,INDEX(Data!$K$5:$AT$5&amp;Data!$K$6:$AT$6&amp;Data!$K$7:$AT$7,,),0))</f>
        <v>196</v>
      </c>
      <c r="AW17" s="46"/>
      <c r="AX17" s="46"/>
      <c r="AY17" t="str">
        <f>AS17</f>
        <v>Jan</v>
      </c>
      <c r="AZ17" s="50">
        <f t="shared" ref="AZ17:AZ28" si="7">IF(MATCH(cur_month,$AS$17:$AS$28,0)&gt;=ROW(AS17)-ROW($AS$16),AT17,NA())</f>
        <v>165.2</v>
      </c>
      <c r="BA17" s="50">
        <f>IF($D$10=TRUE,AU17,NA())</f>
        <v>190.39999999999998</v>
      </c>
      <c r="BB17" s="50">
        <f>IF($D$11,AV17,NA())</f>
        <v>196</v>
      </c>
      <c r="BC17" t="e">
        <f t="shared" ref="BC17:BC28" si="8">IF(cur_month=AS17,AZ17,NA())</f>
        <v>#N/A</v>
      </c>
    </row>
    <row r="18" spans="2:55" x14ac:dyDescent="0.25">
      <c r="B18" t="s">
        <v>84</v>
      </c>
      <c r="C18" t="s">
        <v>71</v>
      </c>
      <c r="D18" t="s">
        <v>6</v>
      </c>
      <c r="H18" s="39" t="s">
        <v>69</v>
      </c>
      <c r="I18" s="10" t="s">
        <v>53</v>
      </c>
      <c r="J18" s="40" t="s">
        <v>40</v>
      </c>
      <c r="O18">
        <f t="shared" ref="O18:O36" si="9">IF(P18&lt;&gt;"",ROW(A2),"")</f>
        <v>2</v>
      </c>
      <c r="P18" t="str">
        <f t="shared" ref="P18:P36" si="10">IF(INDEX(H18:J18,,$D$5)="","",INDEX(H18:J18,,$D$5))</f>
        <v>Infic</v>
      </c>
      <c r="Q18" s="50">
        <f>IF($P18&lt;&gt;"",INDEX(Data!$B$9:$J$51,MATCH($P18,Data!$A$9:$A$51,0),MATCH(Q$10,Data!$B$4:$J$4,0)),"")</f>
        <v>12373</v>
      </c>
      <c r="R18" s="50">
        <f>IF($P18&lt;&gt;"",INDEX(Data!$B$9:$J$51,MATCH($P18,Data!$A$9:$A$51,0),MATCH(R$10,Data!$B$4:$J$4,0)),"")</f>
        <v>408</v>
      </c>
      <c r="S18" s="50">
        <f>IF($P18&lt;&gt;"",INDEX(Data!$B$9:$J$51,MATCH($P18,Data!$A$9:$A$51,0),MATCH(S$10,Data!$B$4:$J$4,0)),"")</f>
        <v>3054</v>
      </c>
      <c r="T18" s="50">
        <f>IF($P18&lt;&gt;"",INDEX(Data!$B$9:$J$51,MATCH($P18,Data!$A$9:$A$51,0),MATCH(T$10,Data!$B$4:$J$4,0)),"")</f>
        <v>12398</v>
      </c>
      <c r="U18" s="50">
        <f>IF($P18&lt;&gt;"",INDEX(Data!$B$9:$J$51,MATCH($P18,Data!$A$9:$A$51,0),MATCH(U$10,Data!$B$4:$J$4,0)),"")</f>
        <v>341</v>
      </c>
      <c r="V18" s="50">
        <f>IF($P18&lt;&gt;"",INDEX(Data!$B$9:$J$51,MATCH($P18,Data!$A$9:$A$51,0),MATCH(V$10,Data!$B$4:$J$4,0)),"")</f>
        <v>3033</v>
      </c>
      <c r="W18" s="50">
        <f>IF($P18&lt;&gt;"",INDEX(Data!$B$9:$J$51,MATCH($P18,Data!$A$9:$A$51,0),MATCH(W$10,Data!$B$4:$J$4,0)),"")</f>
        <v>10472</v>
      </c>
      <c r="X18" s="50">
        <f>IF($P18&lt;&gt;"",INDEX(Data!$B$9:$J$51,MATCH($P18,Data!$A$9:$A$51,0),MATCH(X$10,Data!$B$4:$J$4,0)),"")</f>
        <v>461</v>
      </c>
      <c r="Y18" s="50">
        <f>IF($P18&lt;&gt;"",INDEX(Data!$B$9:$J$51,MATCH($P18,Data!$A$9:$A$51,0),MATCH(Y$10,Data!$B$4:$J$4,0)),"")</f>
        <v>2910</v>
      </c>
      <c r="Z18" s="47">
        <f t="shared" ref="Z18:Z36" si="11">IF($P18&lt;&gt;"",(Q18-T18)/T18,"")</f>
        <v>-2.0164542668172285E-3</v>
      </c>
      <c r="AA18" s="47">
        <f t="shared" ref="AA18:AA36" si="12">IF($P18&lt;&gt;"",(R18-U18)/U18,"")</f>
        <v>0.19648093841642228</v>
      </c>
      <c r="AB18" s="47">
        <f t="shared" ref="AB18:AB36" si="13">IF($P18&lt;&gt;"",(S18-V18)/V18,"")</f>
        <v>6.923837784371909E-3</v>
      </c>
      <c r="AC18" s="48">
        <f t="shared" ref="AC18:AC36" si="14">IF($P18&lt;&gt;"",(Q18-W18)/W18,"")</f>
        <v>0.18153170359052712</v>
      </c>
      <c r="AD18" s="48">
        <f t="shared" si="5"/>
        <v>-0.11496746203904555</v>
      </c>
      <c r="AE18" s="48">
        <f t="shared" si="6"/>
        <v>4.9484536082474224E-2</v>
      </c>
      <c r="AH18" t="str">
        <f t="shared" ref="AH18:AH36" si="15">P18</f>
        <v>Infic</v>
      </c>
      <c r="AI18" s="48">
        <f t="shared" ref="AI18:AI36" si="16">IF(AH18&lt;&gt;"",INDEX(AC18:AE18,,$D$7)+(ROW(A2)/100000000),"")</f>
        <v>-0.11496744203904555</v>
      </c>
      <c r="AK18" s="48">
        <f t="shared" ref="AK18:AK22" si="17">CHOOSE($D$8,LARGE($AI$17:$AI$36,ROW(A2)),SMALL($AI$17:$AI$36,ROW(A2)))</f>
        <v>-0.32631569947368422</v>
      </c>
      <c r="AL18" t="str">
        <f t="shared" ref="AL18:AL22" si="18">INDEX($AH$17:$AH$36,MATCH(AK18,$AI$17:$AI$36,0))</f>
        <v>Atmos</v>
      </c>
      <c r="AM18" s="50">
        <f t="shared" ref="AM18:AM22" si="19">INDEX($Q$17:$S$36,MATCH($AL18,$P$17:$P$36,0),$D$7)</f>
        <v>128</v>
      </c>
      <c r="AN18" s="50">
        <f t="shared" ref="AN18:AN22" si="20">INDEX($W$17:$Y$36,MATCH($AL18,$P$17:$P$36,0),$D$7)</f>
        <v>190</v>
      </c>
      <c r="AO18" s="50">
        <f t="shared" ref="AO18:AO22" si="21">MAX(AM18:AN18)</f>
        <v>190</v>
      </c>
      <c r="AP18" s="66" t="str">
        <f t="shared" ref="AP18:AP22" si="22">TEXT(AK18,"#%")&amp;" | "&amp;TEXT(AM18,"#,##0")</f>
        <v>-33% | 128</v>
      </c>
      <c r="AS18" t="s">
        <v>83</v>
      </c>
      <c r="AT18">
        <f>INDEX(Data!$K$9:$AT$51,MATCH($AS$12,Data!$A$9:$A$51,0),MATCH(AT$15&amp;$AS18&amp;AT$16,INDEX(Data!$K$5:$AT$5&amp;Data!$K$6:$AT$6&amp;Data!$K$7:$AT$7,,),0))</f>
        <v>305.2</v>
      </c>
      <c r="AU18">
        <f>INDEX(Data!$K$9:$AT$51,MATCH($AS$12,Data!$A$9:$A$51,0),MATCH(AU$15&amp;$AS18&amp;AU$16,INDEX(Data!$K$5:$AT$5&amp;Data!$K$6:$AT$6&amp;Data!$K$7:$AT$7,,),0))</f>
        <v>243.6</v>
      </c>
      <c r="AV18">
        <f>INDEX(Data!$K$9:$AT$51,MATCH($AS$12,Data!$A$9:$A$51,0),MATCH(AV$15&amp;$AS18&amp;AV$16,INDEX(Data!$K$5:$AT$5&amp;Data!$K$6:$AT$6&amp;Data!$K$7:$AT$7,,),0))</f>
        <v>327.59999999999997</v>
      </c>
      <c r="AW18" s="46"/>
      <c r="AX18" s="46"/>
      <c r="AY18" t="str">
        <f t="shared" ref="AY18:AY28" si="23">AS18</f>
        <v>Feb</v>
      </c>
      <c r="AZ18" s="50">
        <f t="shared" si="7"/>
        <v>305.2</v>
      </c>
      <c r="BA18" s="50">
        <f t="shared" ref="BA18:BA28" si="24">IF($D$10=TRUE,AU18,NA())</f>
        <v>243.6</v>
      </c>
      <c r="BB18" s="50">
        <f t="shared" ref="BB18:BB28" si="25">IF($D$11,AV18,NA())</f>
        <v>327.59999999999997</v>
      </c>
      <c r="BC18" t="e">
        <f t="shared" si="8"/>
        <v>#N/A</v>
      </c>
    </row>
    <row r="19" spans="2:55" x14ac:dyDescent="0.25">
      <c r="B19" t="s">
        <v>83</v>
      </c>
      <c r="C19" t="s">
        <v>55</v>
      </c>
      <c r="D19" t="s">
        <v>7</v>
      </c>
      <c r="H19" s="39" t="s">
        <v>68</v>
      </c>
      <c r="I19" s="10" t="s">
        <v>52</v>
      </c>
      <c r="J19" s="40" t="s">
        <v>39</v>
      </c>
      <c r="O19">
        <f t="shared" si="9"/>
        <v>3</v>
      </c>
      <c r="P19" t="str">
        <f t="shared" si="10"/>
        <v>Accord</v>
      </c>
      <c r="Q19" s="50">
        <f>IF($P19&lt;&gt;"",INDEX(Data!$B$9:$J$51,MATCH($P19,Data!$A$9:$A$51,0),MATCH(Q$10,Data!$B$4:$J$4,0)),"")</f>
        <v>17760</v>
      </c>
      <c r="R19" s="50">
        <f>IF($P19&lt;&gt;"",INDEX(Data!$B$9:$J$51,MATCH($P19,Data!$A$9:$A$51,0),MATCH(R$10,Data!$B$4:$J$4,0)),"")</f>
        <v>800</v>
      </c>
      <c r="S19" s="50">
        <f>IF($P19&lt;&gt;"",INDEX(Data!$B$9:$J$51,MATCH($P19,Data!$A$9:$A$51,0),MATCH(S$10,Data!$B$4:$J$4,0)),"")</f>
        <v>6488</v>
      </c>
      <c r="T19" s="50">
        <f>IF($P19&lt;&gt;"",INDEX(Data!$B$9:$J$51,MATCH($P19,Data!$A$9:$A$51,0),MATCH(T$10,Data!$B$4:$J$4,0)),"")</f>
        <v>17025</v>
      </c>
      <c r="U19" s="50">
        <f>IF($P19&lt;&gt;"",INDEX(Data!$B$9:$J$51,MATCH($P19,Data!$A$9:$A$51,0),MATCH(U$10,Data!$B$4:$J$4,0)),"")</f>
        <v>568</v>
      </c>
      <c r="V19" s="50">
        <f>IF($P19&lt;&gt;"",INDEX(Data!$B$9:$J$51,MATCH($P19,Data!$A$9:$A$51,0),MATCH(V$10,Data!$B$4:$J$4,0)),"")</f>
        <v>7469</v>
      </c>
      <c r="W19" s="50">
        <f>IF($P19&lt;&gt;"",INDEX(Data!$B$9:$J$51,MATCH($P19,Data!$A$9:$A$51,0),MATCH(W$10,Data!$B$4:$J$4,0)),"")</f>
        <v>16854</v>
      </c>
      <c r="X19" s="50">
        <f>IF($P19&lt;&gt;"",INDEX(Data!$B$9:$J$51,MATCH($P19,Data!$A$9:$A$51,0),MATCH(X$10,Data!$B$4:$J$4,0)),"")</f>
        <v>572</v>
      </c>
      <c r="Y19" s="50">
        <f>IF($P19&lt;&gt;"",INDEX(Data!$B$9:$J$51,MATCH($P19,Data!$A$9:$A$51,0),MATCH(Y$10,Data!$B$4:$J$4,0)),"")</f>
        <v>6611</v>
      </c>
      <c r="Z19" s="47">
        <f t="shared" si="11"/>
        <v>4.3171806167400878E-2</v>
      </c>
      <c r="AA19" s="47">
        <f t="shared" si="12"/>
        <v>0.40845070422535212</v>
      </c>
      <c r="AB19" s="47">
        <f t="shared" si="13"/>
        <v>-0.13134288392020352</v>
      </c>
      <c r="AC19" s="48">
        <f t="shared" si="14"/>
        <v>5.3755784976860094E-2</v>
      </c>
      <c r="AD19" s="48">
        <f t="shared" si="5"/>
        <v>0.39860139860139859</v>
      </c>
      <c r="AE19" s="48">
        <f t="shared" si="6"/>
        <v>-1.8605354711843897E-2</v>
      </c>
      <c r="AH19" t="str">
        <f t="shared" si="15"/>
        <v>Accord</v>
      </c>
      <c r="AI19" s="48">
        <f t="shared" si="16"/>
        <v>0.39860142860139858</v>
      </c>
      <c r="AK19" s="48">
        <f t="shared" si="17"/>
        <v>-0.26285701285714286</v>
      </c>
      <c r="AL19" t="str">
        <f t="shared" si="18"/>
        <v>Strex</v>
      </c>
      <c r="AM19" s="50">
        <f t="shared" si="19"/>
        <v>258</v>
      </c>
      <c r="AN19" s="50">
        <f t="shared" si="20"/>
        <v>350</v>
      </c>
      <c r="AO19" s="50">
        <f t="shared" si="21"/>
        <v>350</v>
      </c>
      <c r="AP19" s="66" t="str">
        <f t="shared" si="22"/>
        <v>-26% | 258</v>
      </c>
      <c r="AS19" t="s">
        <v>82</v>
      </c>
      <c r="AT19">
        <f>INDEX(Data!$K$9:$AT$51,MATCH($AS$12,Data!$A$9:$A$51,0),MATCH(AT$15&amp;$AS19&amp;AT$16,INDEX(Data!$K$5:$AT$5&amp;Data!$K$6:$AT$6&amp;Data!$K$7:$AT$7,,),0))</f>
        <v>383.59999999999997</v>
      </c>
      <c r="AU19">
        <f>INDEX(Data!$K$9:$AT$51,MATCH($AS$12,Data!$A$9:$A$51,0),MATCH(AU$15&amp;$AS19&amp;AU$16,INDEX(Data!$K$5:$AT$5&amp;Data!$K$6:$AT$6&amp;Data!$K$7:$AT$7,,),0))</f>
        <v>383.59999999999997</v>
      </c>
      <c r="AV19">
        <f>INDEX(Data!$K$9:$AT$51,MATCH($AS$12,Data!$A$9:$A$51,0),MATCH(AV$15&amp;$AS19&amp;AV$16,INDEX(Data!$K$5:$AT$5&amp;Data!$K$6:$AT$6&amp;Data!$K$7:$AT$7,,),0))</f>
        <v>422.79999999999995</v>
      </c>
      <c r="AW19" s="46"/>
      <c r="AX19" s="46"/>
      <c r="AY19" t="str">
        <f t="shared" si="23"/>
        <v>Mar</v>
      </c>
      <c r="AZ19" s="50">
        <f t="shared" si="7"/>
        <v>383.59999999999997</v>
      </c>
      <c r="BA19" s="50">
        <f t="shared" si="24"/>
        <v>383.59999999999997</v>
      </c>
      <c r="BB19" s="50">
        <f t="shared" si="25"/>
        <v>422.79999999999995</v>
      </c>
      <c r="BC19" t="e">
        <f t="shared" si="8"/>
        <v>#N/A</v>
      </c>
    </row>
    <row r="20" spans="2:55" x14ac:dyDescent="0.25">
      <c r="B20" t="s">
        <v>82</v>
      </c>
      <c r="C20" t="s">
        <v>42</v>
      </c>
      <c r="D20" t="s">
        <v>9</v>
      </c>
      <c r="H20" s="39" t="s">
        <v>67</v>
      </c>
      <c r="I20" s="10" t="s">
        <v>51</v>
      </c>
      <c r="J20" s="40" t="s">
        <v>38</v>
      </c>
      <c r="O20">
        <f t="shared" si="9"/>
        <v>4</v>
      </c>
      <c r="P20" t="str">
        <f t="shared" si="10"/>
        <v>Misty Wash</v>
      </c>
      <c r="Q20" s="50">
        <f>IF($P20&lt;&gt;"",INDEX(Data!$B$9:$J$51,MATCH($P20,Data!$A$9:$A$51,0),MATCH(Q$10,Data!$B$4:$J$4,0)),"")</f>
        <v>30399.599999999999</v>
      </c>
      <c r="R20" s="50">
        <f>IF($P20&lt;&gt;"",INDEX(Data!$B$9:$J$51,MATCH($P20,Data!$A$9:$A$51,0),MATCH(R$10,Data!$B$4:$J$4,0)),"")</f>
        <v>786.8</v>
      </c>
      <c r="S20" s="50">
        <f>IF($P20&lt;&gt;"",INDEX(Data!$B$9:$J$51,MATCH($P20,Data!$A$9:$A$51,0),MATCH(S$10,Data!$B$4:$J$4,0)),"")</f>
        <v>12308.8</v>
      </c>
      <c r="T20" s="50">
        <f>IF($P20&lt;&gt;"",INDEX(Data!$B$9:$J$51,MATCH($P20,Data!$A$9:$A$51,0),MATCH(T$10,Data!$B$4:$J$4,0)),"")</f>
        <v>29531.599999999999</v>
      </c>
      <c r="U20" s="50">
        <f>IF($P20&lt;&gt;"",INDEX(Data!$B$9:$J$51,MATCH($P20,Data!$A$9:$A$51,0),MATCH(U$10,Data!$B$4:$J$4,0)),"")</f>
        <v>786.8</v>
      </c>
      <c r="V20" s="50">
        <f>IF($P20&lt;&gt;"",INDEX(Data!$B$9:$J$51,MATCH($P20,Data!$A$9:$A$51,0),MATCH(V$10,Data!$B$4:$J$4,0)),"")</f>
        <v>13941.199999999999</v>
      </c>
      <c r="W20" s="50">
        <f>IF($P20&lt;&gt;"",INDEX(Data!$B$9:$J$51,MATCH($P20,Data!$A$9:$A$51,0),MATCH(W$10,Data!$B$4:$J$4,0)),"")</f>
        <v>30237.199999999997</v>
      </c>
      <c r="X20" s="50">
        <f>IF($P20&lt;&gt;"",INDEX(Data!$B$9:$J$51,MATCH($P20,Data!$A$9:$A$51,0),MATCH(X$10,Data!$B$4:$J$4,0)),"")</f>
        <v>932.4</v>
      </c>
      <c r="Y20" s="50">
        <f>IF($P20&lt;&gt;"",INDEX(Data!$B$9:$J$51,MATCH($P20,Data!$A$9:$A$51,0),MATCH(Y$10,Data!$B$4:$J$4,0)),"")</f>
        <v>13381.199999999999</v>
      </c>
      <c r="Z20" s="47">
        <f t="shared" si="11"/>
        <v>2.9392244240068269E-2</v>
      </c>
      <c r="AA20" s="47">
        <f t="shared" si="12"/>
        <v>0</v>
      </c>
      <c r="AB20" s="47">
        <f t="shared" si="13"/>
        <v>-0.11709178549909618</v>
      </c>
      <c r="AC20" s="48">
        <f t="shared" si="14"/>
        <v>5.3708676729327274E-3</v>
      </c>
      <c r="AD20" s="48">
        <f t="shared" si="5"/>
        <v>-0.15615615615615619</v>
      </c>
      <c r="AE20" s="48">
        <f t="shared" si="6"/>
        <v>-8.014228918183719E-2</v>
      </c>
      <c r="AH20" t="str">
        <f t="shared" si="15"/>
        <v>Misty Wash</v>
      </c>
      <c r="AI20" s="48">
        <f t="shared" si="16"/>
        <v>-0.15615611615615618</v>
      </c>
      <c r="AK20" s="48">
        <f t="shared" si="17"/>
        <v>-0.15615611615615618</v>
      </c>
      <c r="AL20" t="str">
        <f t="shared" si="18"/>
        <v>Misty Wash</v>
      </c>
      <c r="AM20" s="50">
        <f t="shared" si="19"/>
        <v>786.8</v>
      </c>
      <c r="AN20" s="50">
        <f t="shared" si="20"/>
        <v>932.4</v>
      </c>
      <c r="AO20" s="50">
        <f t="shared" si="21"/>
        <v>932.4</v>
      </c>
      <c r="AP20" s="66" t="str">
        <f t="shared" si="22"/>
        <v>-16% | 787</v>
      </c>
      <c r="AS20" t="s">
        <v>81</v>
      </c>
      <c r="AT20">
        <f>INDEX(Data!$K$9:$AT$51,MATCH($AS$12,Data!$A$9:$A$51,0),MATCH(AT$15&amp;$AS20&amp;AT$16,INDEX(Data!$K$5:$AT$5&amp;Data!$K$6:$AT$6&amp;Data!$K$7:$AT$7,,),0))</f>
        <v>534.79999999999995</v>
      </c>
      <c r="AU20">
        <f>INDEX(Data!$K$9:$AT$51,MATCH($AS$12,Data!$A$9:$A$51,0),MATCH(AU$15&amp;$AS20&amp;AU$16,INDEX(Data!$K$5:$AT$5&amp;Data!$K$6:$AT$6&amp;Data!$K$7:$AT$7,,),0))</f>
        <v>492.79999999999995</v>
      </c>
      <c r="AV20">
        <f>INDEX(Data!$K$9:$AT$51,MATCH($AS$12,Data!$A$9:$A$51,0),MATCH(AV$15&amp;$AS20&amp;AV$16,INDEX(Data!$K$5:$AT$5&amp;Data!$K$6:$AT$6&amp;Data!$K$7:$AT$7,,),0))</f>
        <v>599.19999999999993</v>
      </c>
      <c r="AW20" s="46"/>
      <c r="AX20" s="46"/>
      <c r="AY20" t="str">
        <f t="shared" si="23"/>
        <v>Apr</v>
      </c>
      <c r="AZ20" s="50">
        <f t="shared" si="7"/>
        <v>534.79999999999995</v>
      </c>
      <c r="BA20" s="50">
        <f t="shared" si="24"/>
        <v>492.79999999999995</v>
      </c>
      <c r="BB20" s="50">
        <f t="shared" si="25"/>
        <v>599.19999999999993</v>
      </c>
      <c r="BC20" t="e">
        <f t="shared" si="8"/>
        <v>#N/A</v>
      </c>
    </row>
    <row r="21" spans="2:55" x14ac:dyDescent="0.25">
      <c r="B21" t="s">
        <v>81</v>
      </c>
      <c r="H21" s="39" t="s">
        <v>66</v>
      </c>
      <c r="I21" s="10" t="s">
        <v>50</v>
      </c>
      <c r="J21" s="40" t="s">
        <v>37</v>
      </c>
      <c r="O21">
        <f t="shared" si="9"/>
        <v>5</v>
      </c>
      <c r="P21" t="str">
        <f t="shared" si="10"/>
        <v>Twenty20</v>
      </c>
      <c r="Q21" s="50">
        <f>IF($P21&lt;&gt;"",INDEX(Data!$B$9:$J$51,MATCH($P21,Data!$A$9:$A$51,0),MATCH(Q$10,Data!$B$4:$J$4,0)),"")</f>
        <v>20400</v>
      </c>
      <c r="R21" s="50">
        <f>IF($P21&lt;&gt;"",INDEX(Data!$B$9:$J$51,MATCH($P21,Data!$A$9:$A$51,0),MATCH(R$10,Data!$B$4:$J$4,0)),"")</f>
        <v>614.40000000000009</v>
      </c>
      <c r="S21" s="50">
        <f>IF($P21&lt;&gt;"",INDEX(Data!$B$9:$J$51,MATCH($P21,Data!$A$9:$A$51,0),MATCH(S$10,Data!$B$4:$J$4,0)),"")</f>
        <v>15171.2</v>
      </c>
      <c r="T21" s="50">
        <f>IF($P21&lt;&gt;"",INDEX(Data!$B$9:$J$51,MATCH($P21,Data!$A$9:$A$51,0),MATCH(T$10,Data!$B$4:$J$4,0)),"")</f>
        <v>22224</v>
      </c>
      <c r="U21" s="50">
        <f>IF($P21&lt;&gt;"",INDEX(Data!$B$9:$J$51,MATCH($P21,Data!$A$9:$A$51,0),MATCH(U$10,Data!$B$4:$J$4,0)),"")</f>
        <v>988.80000000000007</v>
      </c>
      <c r="V21" s="50">
        <f>IF($P21&lt;&gt;"",INDEX(Data!$B$9:$J$51,MATCH($P21,Data!$A$9:$A$51,0),MATCH(V$10,Data!$B$4:$J$4,0)),"")</f>
        <v>16019.2</v>
      </c>
      <c r="W21" s="50">
        <f>IF($P21&lt;&gt;"",INDEX(Data!$B$9:$J$51,MATCH($P21,Data!$A$9:$A$51,0),MATCH(W$10,Data!$B$4:$J$4,0)),"")</f>
        <v>18476.8</v>
      </c>
      <c r="X21" s="50">
        <f>IF($P21&lt;&gt;"",INDEX(Data!$B$9:$J$51,MATCH($P21,Data!$A$9:$A$51,0),MATCH(X$10,Data!$B$4:$J$4,0)),"")</f>
        <v>1120</v>
      </c>
      <c r="Y21" s="50">
        <f>IF($P21&lt;&gt;"",INDEX(Data!$B$9:$J$51,MATCH($P21,Data!$A$9:$A$51,0),MATCH(Y$10,Data!$B$4:$J$4,0)),"")</f>
        <v>14230.400000000001</v>
      </c>
      <c r="Z21" s="47">
        <f t="shared" si="11"/>
        <v>-8.2073434125269976E-2</v>
      </c>
      <c r="AA21" s="47">
        <f t="shared" si="12"/>
        <v>-0.37864077669902907</v>
      </c>
      <c r="AB21" s="47">
        <f t="shared" si="13"/>
        <v>-5.2936476228525764E-2</v>
      </c>
      <c r="AC21" s="48">
        <f t="shared" si="14"/>
        <v>0.10408728784205061</v>
      </c>
      <c r="AD21" s="48">
        <f t="shared" si="5"/>
        <v>-0.45142857142857135</v>
      </c>
      <c r="AE21" s="48">
        <f t="shared" si="6"/>
        <v>6.6111985608275178E-2</v>
      </c>
      <c r="AH21" t="str">
        <f t="shared" si="15"/>
        <v>Twenty20</v>
      </c>
      <c r="AI21" s="48">
        <f t="shared" si="16"/>
        <v>-0.45142852142857137</v>
      </c>
      <c r="AK21" s="48">
        <f t="shared" si="17"/>
        <v>-0.11496744203904555</v>
      </c>
      <c r="AL21" t="str">
        <f t="shared" si="18"/>
        <v>Infic</v>
      </c>
      <c r="AM21" s="50">
        <f t="shared" si="19"/>
        <v>408</v>
      </c>
      <c r="AN21" s="50">
        <f t="shared" si="20"/>
        <v>461</v>
      </c>
      <c r="AO21" s="50">
        <f t="shared" si="21"/>
        <v>461</v>
      </c>
      <c r="AP21" s="66" t="str">
        <f t="shared" si="22"/>
        <v>-11% | 408</v>
      </c>
      <c r="AS21" t="s">
        <v>80</v>
      </c>
      <c r="AT21">
        <f>INDEX(Data!$K$9:$AT$51,MATCH($AS$12,Data!$A$9:$A$51,0),MATCH(AT$15&amp;$AS21&amp;AT$16,INDEX(Data!$K$5:$AT$5&amp;Data!$K$6:$AT$6&amp;Data!$K$7:$AT$7,,),0))</f>
        <v>649.59999999999991</v>
      </c>
      <c r="AU21">
        <f>INDEX(Data!$K$9:$AT$51,MATCH($AS$12,Data!$A$9:$A$51,0),MATCH(AU$15&amp;$AS21&amp;AU$16,INDEX(Data!$K$5:$AT$5&amp;Data!$K$6:$AT$6&amp;Data!$K$7:$AT$7,,),0))</f>
        <v>613.19999999999993</v>
      </c>
      <c r="AV21">
        <f>INDEX(Data!$K$9:$AT$51,MATCH($AS$12,Data!$A$9:$A$51,0),MATCH(AV$15&amp;$AS21&amp;AV$16,INDEX(Data!$K$5:$AT$5&amp;Data!$K$6:$AT$6&amp;Data!$K$7:$AT$7,,),0))</f>
        <v>739.19999999999993</v>
      </c>
      <c r="AW21" s="46"/>
      <c r="AX21" s="46"/>
      <c r="AY21" t="str">
        <f t="shared" si="23"/>
        <v>May</v>
      </c>
      <c r="AZ21" s="50">
        <f t="shared" si="7"/>
        <v>649.59999999999991</v>
      </c>
      <c r="BA21" s="50">
        <f t="shared" si="24"/>
        <v>613.19999999999993</v>
      </c>
      <c r="BB21" s="50">
        <f t="shared" si="25"/>
        <v>739.19999999999993</v>
      </c>
      <c r="BC21" t="e">
        <f t="shared" si="8"/>
        <v>#N/A</v>
      </c>
    </row>
    <row r="22" spans="2:55" x14ac:dyDescent="0.25">
      <c r="B22" t="s">
        <v>80</v>
      </c>
      <c r="H22" s="39" t="s">
        <v>65</v>
      </c>
      <c r="I22" s="10" t="s">
        <v>49</v>
      </c>
      <c r="J22" s="40" t="s">
        <v>36</v>
      </c>
      <c r="O22">
        <f t="shared" si="9"/>
        <v>6</v>
      </c>
      <c r="P22" t="str">
        <f t="shared" si="10"/>
        <v>Tanox</v>
      </c>
      <c r="Q22" s="50">
        <f>IF($P22&lt;&gt;"",INDEX(Data!$B$9:$J$51,MATCH($P22,Data!$A$9:$A$51,0),MATCH(Q$10,Data!$B$4:$J$4,0)),"")</f>
        <v>21088</v>
      </c>
      <c r="R22" s="50">
        <f>IF($P22&lt;&gt;"",INDEX(Data!$B$9:$J$51,MATCH($P22,Data!$A$9:$A$51,0),MATCH(R$10,Data!$B$4:$J$4,0)),"")</f>
        <v>1264</v>
      </c>
      <c r="S22" s="50">
        <f>IF($P22&lt;&gt;"",INDEX(Data!$B$9:$J$51,MATCH($P22,Data!$A$9:$A$51,0),MATCH(S$10,Data!$B$4:$J$4,0)),"")</f>
        <v>4828</v>
      </c>
      <c r="T22" s="50">
        <f>IF($P22&lt;&gt;"",INDEX(Data!$B$9:$J$51,MATCH($P22,Data!$A$9:$A$51,0),MATCH(T$10,Data!$B$4:$J$4,0)),"")</f>
        <v>19736</v>
      </c>
      <c r="U22" s="50">
        <f>IF($P22&lt;&gt;"",INDEX(Data!$B$9:$J$51,MATCH($P22,Data!$A$9:$A$51,0),MATCH(U$10,Data!$B$4:$J$4,0)),"")</f>
        <v>932</v>
      </c>
      <c r="V22" s="50">
        <f>IF($P22&lt;&gt;"",INDEX(Data!$B$9:$J$51,MATCH($P22,Data!$A$9:$A$51,0),MATCH(V$10,Data!$B$4:$J$4,0)),"")</f>
        <v>5940</v>
      </c>
      <c r="W22" s="50">
        <f>IF($P22&lt;&gt;"",INDEX(Data!$B$9:$J$51,MATCH($P22,Data!$A$9:$A$51,0),MATCH(W$10,Data!$B$4:$J$4,0)),"")</f>
        <v>19156</v>
      </c>
      <c r="X22" s="50">
        <f>IF($P22&lt;&gt;"",INDEX(Data!$B$9:$J$51,MATCH($P22,Data!$A$9:$A$51,0),MATCH(X$10,Data!$B$4:$J$4,0)),"")</f>
        <v>860</v>
      </c>
      <c r="Y22" s="50">
        <f>IF($P22&lt;&gt;"",INDEX(Data!$B$9:$J$51,MATCH($P22,Data!$A$9:$A$51,0),MATCH(Y$10,Data!$B$4:$J$4,0)),"")</f>
        <v>7744</v>
      </c>
      <c r="Z22" s="47">
        <f t="shared" si="11"/>
        <v>6.8504256181597084E-2</v>
      </c>
      <c r="AA22" s="47">
        <f t="shared" si="12"/>
        <v>0.35622317596566522</v>
      </c>
      <c r="AB22" s="47">
        <f t="shared" si="13"/>
        <v>-0.18720538720538721</v>
      </c>
      <c r="AC22" s="48">
        <f t="shared" si="14"/>
        <v>0.10085612862810607</v>
      </c>
      <c r="AD22" s="48">
        <f t="shared" si="5"/>
        <v>0.4697674418604651</v>
      </c>
      <c r="AE22" s="48">
        <f t="shared" si="6"/>
        <v>-0.37654958677685951</v>
      </c>
      <c r="AH22" t="str">
        <f t="shared" si="15"/>
        <v>Tanox</v>
      </c>
      <c r="AI22" s="48">
        <f t="shared" si="16"/>
        <v>0.46976750186046512</v>
      </c>
      <c r="AK22" s="48">
        <f t="shared" si="17"/>
        <v>-4.7513712154696131E-2</v>
      </c>
      <c r="AL22" t="str">
        <f t="shared" si="18"/>
        <v>Scrap</v>
      </c>
      <c r="AM22" s="50">
        <f t="shared" si="19"/>
        <v>862</v>
      </c>
      <c r="AN22" s="50">
        <f t="shared" si="20"/>
        <v>905</v>
      </c>
      <c r="AO22" s="50">
        <f t="shared" si="21"/>
        <v>905</v>
      </c>
      <c r="AP22" s="66" t="str">
        <f t="shared" si="22"/>
        <v>-5% | 862</v>
      </c>
      <c r="AS22" t="s">
        <v>79</v>
      </c>
      <c r="AT22">
        <f>INDEX(Data!$K$9:$AT$51,MATCH($AS$12,Data!$A$9:$A$51,0),MATCH(AT$15&amp;$AS22&amp;AT$16,INDEX(Data!$K$5:$AT$5&amp;Data!$K$6:$AT$6&amp;Data!$K$7:$AT$7,,),0))</f>
        <v>786.8</v>
      </c>
      <c r="AU22">
        <f>INDEX(Data!$K$9:$AT$51,MATCH($AS$12,Data!$A$9:$A$51,0),MATCH(AU$15&amp;$AS22&amp;AU$16,INDEX(Data!$K$5:$AT$5&amp;Data!$K$6:$AT$6&amp;Data!$K$7:$AT$7,,),0))</f>
        <v>786.8</v>
      </c>
      <c r="AV22">
        <f>INDEX(Data!$K$9:$AT$51,MATCH($AS$12,Data!$A$9:$A$51,0),MATCH(AV$15&amp;$AS22&amp;AV$16,INDEX(Data!$K$5:$AT$5&amp;Data!$K$6:$AT$6&amp;Data!$K$7:$AT$7,,),0))</f>
        <v>932.4</v>
      </c>
      <c r="AW22" s="46"/>
      <c r="AX22" s="46"/>
      <c r="AY22" t="str">
        <f t="shared" si="23"/>
        <v>Jun</v>
      </c>
      <c r="AZ22" s="50">
        <f t="shared" si="7"/>
        <v>786.8</v>
      </c>
      <c r="BA22" s="50">
        <f t="shared" si="24"/>
        <v>786.8</v>
      </c>
      <c r="BB22" s="50">
        <f t="shared" si="25"/>
        <v>932.4</v>
      </c>
      <c r="BC22">
        <f t="shared" si="8"/>
        <v>786.8</v>
      </c>
    </row>
    <row r="23" spans="2:55" x14ac:dyDescent="0.25">
      <c r="B23" t="s">
        <v>79</v>
      </c>
      <c r="H23" s="39" t="s">
        <v>64</v>
      </c>
      <c r="I23" s="10" t="s">
        <v>48</v>
      </c>
      <c r="J23" s="41" t="s">
        <v>35</v>
      </c>
      <c r="O23">
        <f t="shared" si="9"/>
        <v>7</v>
      </c>
      <c r="P23" t="str">
        <f t="shared" si="10"/>
        <v>Minor Liar</v>
      </c>
      <c r="Q23" s="50">
        <f>IF($P23&lt;&gt;"",INDEX(Data!$B$9:$J$51,MATCH($P23,Data!$A$9:$A$51,0),MATCH(Q$10,Data!$B$4:$J$4,0)),"")</f>
        <v>23736.9</v>
      </c>
      <c r="R23" s="50">
        <f>IF($P23&lt;&gt;"",INDEX(Data!$B$9:$J$51,MATCH($P23,Data!$A$9:$A$51,0),MATCH(R$10,Data!$B$4:$J$4,0)),"")</f>
        <v>1012.0000000000001</v>
      </c>
      <c r="S23" s="50">
        <f>IF($P23&lt;&gt;"",INDEX(Data!$B$9:$J$51,MATCH($P23,Data!$A$9:$A$51,0),MATCH(S$10,Data!$B$4:$J$4,0)),"")</f>
        <v>8207.1</v>
      </c>
      <c r="T23" s="50">
        <f>IF($P23&lt;&gt;"",INDEX(Data!$B$9:$J$51,MATCH($P23,Data!$A$9:$A$51,0),MATCH(T$10,Data!$B$4:$J$4,0)),"")</f>
        <v>22754.600000000002</v>
      </c>
      <c r="U23" s="50">
        <f>IF($P23&lt;&gt;"",INDEX(Data!$B$9:$J$51,MATCH($P23,Data!$A$9:$A$51,0),MATCH(U$10,Data!$B$4:$J$4,0)),"")</f>
        <v>718.30000000000007</v>
      </c>
      <c r="V23" s="50">
        <f>IF($P23&lt;&gt;"",INDEX(Data!$B$9:$J$51,MATCH($P23,Data!$A$9:$A$51,0),MATCH(V$10,Data!$B$4:$J$4,0)),"")</f>
        <v>9447.9000000000015</v>
      </c>
      <c r="W23" s="50">
        <f>IF($P23&lt;&gt;"",INDEX(Data!$B$9:$J$51,MATCH($P23,Data!$A$9:$A$51,0),MATCH(W$10,Data!$B$4:$J$4,0)),"")</f>
        <v>22525.800000000003</v>
      </c>
      <c r="X23" s="50">
        <f>IF($P23&lt;&gt;"",INDEX(Data!$B$9:$J$51,MATCH($P23,Data!$A$9:$A$51,0),MATCH(X$10,Data!$B$4:$J$4,0)),"")</f>
        <v>723.80000000000007</v>
      </c>
      <c r="Y23" s="50">
        <f>IF($P23&lt;&gt;"",INDEX(Data!$B$9:$J$51,MATCH($P23,Data!$A$9:$A$51,0),MATCH(Y$10,Data!$B$4:$J$4,0)),"")</f>
        <v>8362.2000000000007</v>
      </c>
      <c r="Z23" s="47">
        <f t="shared" si="11"/>
        <v>4.3169293241806017E-2</v>
      </c>
      <c r="AA23" s="47">
        <f t="shared" si="12"/>
        <v>0.40888208269525272</v>
      </c>
      <c r="AB23" s="47">
        <f t="shared" si="13"/>
        <v>-0.13133077191756909</v>
      </c>
      <c r="AC23" s="48">
        <f t="shared" si="14"/>
        <v>5.3765016114854895E-2</v>
      </c>
      <c r="AD23" s="48">
        <f t="shared" si="5"/>
        <v>0.3981762917933131</v>
      </c>
      <c r="AE23" s="48">
        <f t="shared" si="6"/>
        <v>-1.8547750591949529E-2</v>
      </c>
      <c r="AH23" t="str">
        <f t="shared" si="15"/>
        <v>Minor Liar</v>
      </c>
      <c r="AI23" s="48">
        <f t="shared" si="16"/>
        <v>0.39817636179331312</v>
      </c>
      <c r="AS23" t="s">
        <v>78</v>
      </c>
      <c r="AT23">
        <f>INDEX(Data!$K$9:$AT$51,MATCH($AS$12,Data!$A$9:$A$51,0),MATCH(AT$15&amp;$AS23&amp;AT$16,INDEX(Data!$K$5:$AT$5&amp;Data!$K$6:$AT$6&amp;Data!$K$7:$AT$7,,),0))</f>
        <v>0</v>
      </c>
      <c r="AU23">
        <f>INDEX(Data!$K$9:$AT$51,MATCH($AS$12,Data!$A$9:$A$51,0),MATCH(AU$15&amp;$AS23&amp;AU$16,INDEX(Data!$K$5:$AT$5&amp;Data!$K$6:$AT$6&amp;Data!$K$7:$AT$7,,),0))</f>
        <v>826</v>
      </c>
      <c r="AV23">
        <f>INDEX(Data!$K$9:$AT$51,MATCH($AS$12,Data!$A$9:$A$51,0),MATCH(AV$15&amp;$AS23&amp;AV$16,INDEX(Data!$K$5:$AT$5&amp;Data!$K$6:$AT$6&amp;Data!$K$7:$AT$7,,),0))</f>
        <v>1047.2</v>
      </c>
      <c r="AW23" s="46"/>
      <c r="AX23" s="46"/>
      <c r="AY23" t="str">
        <f t="shared" si="23"/>
        <v>Jul</v>
      </c>
      <c r="AZ23" s="50" t="e">
        <f t="shared" si="7"/>
        <v>#N/A</v>
      </c>
      <c r="BA23" s="50">
        <f t="shared" si="24"/>
        <v>826</v>
      </c>
      <c r="BB23" s="50">
        <f t="shared" si="25"/>
        <v>1047.2</v>
      </c>
      <c r="BC23" t="e">
        <f t="shared" si="8"/>
        <v>#N/A</v>
      </c>
    </row>
    <row r="24" spans="2:55" x14ac:dyDescent="0.25">
      <c r="B24" t="s">
        <v>78</v>
      </c>
      <c r="H24" s="39" t="s">
        <v>63</v>
      </c>
      <c r="I24" s="10" t="s">
        <v>47</v>
      </c>
      <c r="J24" s="40" t="s">
        <v>34</v>
      </c>
      <c r="O24">
        <f t="shared" si="9"/>
        <v>8</v>
      </c>
      <c r="P24" t="str">
        <f t="shared" si="10"/>
        <v>Mosquit</v>
      </c>
      <c r="Q24" s="50">
        <f>IF($P24&lt;&gt;"",INDEX(Data!$B$9:$J$51,MATCH($P24,Data!$A$9:$A$51,0),MATCH(Q$10,Data!$B$4:$J$4,0)),"")</f>
        <v>6302</v>
      </c>
      <c r="R24" s="50">
        <f>IF($P24&lt;&gt;"",INDEX(Data!$B$9:$J$51,MATCH($P24,Data!$A$9:$A$51,0),MATCH(R$10,Data!$B$4:$J$4,0)),"")</f>
        <v>240</v>
      </c>
      <c r="S24" s="50">
        <f>IF($P24&lt;&gt;"",INDEX(Data!$B$9:$J$51,MATCH($P24,Data!$A$9:$A$51,0),MATCH(S$10,Data!$B$4:$J$4,0)),"")</f>
        <v>4655</v>
      </c>
      <c r="T24" s="50">
        <f>IF($P24&lt;&gt;"",INDEX(Data!$B$9:$J$51,MATCH($P24,Data!$A$9:$A$51,0),MATCH(T$10,Data!$B$4:$J$4,0)),"")</f>
        <v>5400</v>
      </c>
      <c r="U24" s="50">
        <f>IF($P24&lt;&gt;"",INDEX(Data!$B$9:$J$51,MATCH($P24,Data!$A$9:$A$51,0),MATCH(U$10,Data!$B$4:$J$4,0)),"")</f>
        <v>190</v>
      </c>
      <c r="V24" s="50">
        <f>IF($P24&lt;&gt;"",INDEX(Data!$B$9:$J$51,MATCH($P24,Data!$A$9:$A$51,0),MATCH(V$10,Data!$B$4:$J$4,0)),"")</f>
        <v>4096</v>
      </c>
      <c r="W24" s="50">
        <f>IF($P24&lt;&gt;"",INDEX(Data!$B$9:$J$51,MATCH($P24,Data!$A$9:$A$51,0),MATCH(W$10,Data!$B$4:$J$4,0)),"")</f>
        <v>5293</v>
      </c>
      <c r="X24" s="50">
        <f>IF($P24&lt;&gt;"",INDEX(Data!$B$9:$J$51,MATCH($P24,Data!$A$9:$A$51,0),MATCH(X$10,Data!$B$4:$J$4,0)),"")</f>
        <v>156</v>
      </c>
      <c r="Y24" s="50">
        <f>IF($P24&lt;&gt;"",INDEX(Data!$B$9:$J$51,MATCH($P24,Data!$A$9:$A$51,0),MATCH(Y$10,Data!$B$4:$J$4,0)),"")</f>
        <v>4514</v>
      </c>
      <c r="Z24" s="47">
        <f t="shared" si="11"/>
        <v>0.16703703703703704</v>
      </c>
      <c r="AA24" s="47">
        <f t="shared" si="12"/>
        <v>0.26315789473684209</v>
      </c>
      <c r="AB24" s="47">
        <f t="shared" si="13"/>
        <v>0.136474609375</v>
      </c>
      <c r="AC24" s="48">
        <f t="shared" si="14"/>
        <v>0.19062913281692803</v>
      </c>
      <c r="AD24" s="48">
        <f t="shared" si="5"/>
        <v>0.53846153846153844</v>
      </c>
      <c r="AE24" s="48">
        <f t="shared" si="6"/>
        <v>3.1236154186973859E-2</v>
      </c>
      <c r="AH24" t="str">
        <f t="shared" si="15"/>
        <v>Mosquit</v>
      </c>
      <c r="AI24" s="48">
        <f t="shared" si="16"/>
        <v>0.53846161846153839</v>
      </c>
      <c r="AS24" t="s">
        <v>77</v>
      </c>
      <c r="AT24">
        <f>INDEX(Data!$K$9:$AT$51,MATCH($AS$12,Data!$A$9:$A$51,0),MATCH(AT$15&amp;$AS24&amp;AT$16,INDEX(Data!$K$5:$AT$5&amp;Data!$K$6:$AT$6&amp;Data!$K$7:$AT$7,,),0))</f>
        <v>0</v>
      </c>
      <c r="AU24">
        <f>INDEX(Data!$K$9:$AT$51,MATCH($AS$12,Data!$A$9:$A$51,0),MATCH(AU$15&amp;$AS24&amp;AU$16,INDEX(Data!$K$5:$AT$5&amp;Data!$K$6:$AT$6&amp;Data!$K$7:$AT$7,,),0))</f>
        <v>949.19999999999993</v>
      </c>
      <c r="AV24">
        <f>INDEX(Data!$K$9:$AT$51,MATCH($AS$12,Data!$A$9:$A$51,0),MATCH(AV$15&amp;$AS24&amp;AV$16,INDEX(Data!$K$5:$AT$5&amp;Data!$K$6:$AT$6&amp;Data!$K$7:$AT$7,,),0))</f>
        <v>1083.5999999999999</v>
      </c>
      <c r="AW24" s="46"/>
      <c r="AX24" s="46"/>
      <c r="AY24" t="str">
        <f t="shared" si="23"/>
        <v>Aug</v>
      </c>
      <c r="AZ24" s="50" t="e">
        <f t="shared" si="7"/>
        <v>#N/A</v>
      </c>
      <c r="BA24" s="50">
        <f t="shared" si="24"/>
        <v>949.19999999999993</v>
      </c>
      <c r="BB24" s="50">
        <f t="shared" si="25"/>
        <v>1083.5999999999999</v>
      </c>
      <c r="BC24" t="e">
        <f t="shared" si="8"/>
        <v>#N/A</v>
      </c>
    </row>
    <row r="25" spans="2:55" x14ac:dyDescent="0.25">
      <c r="B25" t="s">
        <v>77</v>
      </c>
      <c r="H25" s="39" t="s">
        <v>62</v>
      </c>
      <c r="I25" s="10" t="s">
        <v>46</v>
      </c>
      <c r="J25" s="40" t="s">
        <v>33</v>
      </c>
      <c r="O25">
        <f t="shared" si="9"/>
        <v>9</v>
      </c>
      <c r="P25" t="str">
        <f t="shared" si="10"/>
        <v>Atmos</v>
      </c>
      <c r="Q25" s="50">
        <f>IF($P25&lt;&gt;"",INDEX(Data!$B$9:$J$51,MATCH($P25,Data!$A$9:$A$51,0),MATCH(Q$10,Data!$B$4:$J$4,0)),"")</f>
        <v>10675</v>
      </c>
      <c r="R25" s="50">
        <f>IF($P25&lt;&gt;"",INDEX(Data!$B$9:$J$51,MATCH($P25,Data!$A$9:$A$51,0),MATCH(R$10,Data!$B$4:$J$4,0)),"")</f>
        <v>128</v>
      </c>
      <c r="S25" s="50">
        <f>IF($P25&lt;&gt;"",INDEX(Data!$B$9:$J$51,MATCH($P25,Data!$A$9:$A$51,0),MATCH(S$10,Data!$B$4:$J$4,0)),"")</f>
        <v>8210</v>
      </c>
      <c r="T25" s="50">
        <f>IF($P25&lt;&gt;"",INDEX(Data!$B$9:$J$51,MATCH($P25,Data!$A$9:$A$51,0),MATCH(T$10,Data!$B$4:$J$4,0)),"")</f>
        <v>10133</v>
      </c>
      <c r="U25" s="50">
        <f>IF($P25&lt;&gt;"",INDEX(Data!$B$9:$J$51,MATCH($P25,Data!$A$9:$A$51,0),MATCH(U$10,Data!$B$4:$J$4,0)),"")</f>
        <v>89</v>
      </c>
      <c r="V25" s="50">
        <f>IF($P25&lt;&gt;"",INDEX(Data!$B$9:$J$51,MATCH($P25,Data!$A$9:$A$51,0),MATCH(V$10,Data!$B$4:$J$4,0)),"")</f>
        <v>8179</v>
      </c>
      <c r="W25" s="50">
        <f>IF($P25&lt;&gt;"",INDEX(Data!$B$9:$J$51,MATCH($P25,Data!$A$9:$A$51,0),MATCH(W$10,Data!$B$4:$J$4,0)),"")</f>
        <v>11178</v>
      </c>
      <c r="X25" s="50">
        <f>IF($P25&lt;&gt;"",INDEX(Data!$B$9:$J$51,MATCH($P25,Data!$A$9:$A$51,0),MATCH(X$10,Data!$B$4:$J$4,0)),"")</f>
        <v>190</v>
      </c>
      <c r="Y25" s="50">
        <f>IF($P25&lt;&gt;"",INDEX(Data!$B$9:$J$51,MATCH($P25,Data!$A$9:$A$51,0),MATCH(Y$10,Data!$B$4:$J$4,0)),"")</f>
        <v>8010</v>
      </c>
      <c r="Z25" s="47">
        <f t="shared" si="11"/>
        <v>5.34886015987368E-2</v>
      </c>
      <c r="AA25" s="47">
        <f t="shared" si="12"/>
        <v>0.43820224719101125</v>
      </c>
      <c r="AB25" s="47">
        <f t="shared" si="13"/>
        <v>3.7901944002934345E-3</v>
      </c>
      <c r="AC25" s="48">
        <f t="shared" si="14"/>
        <v>-4.4999105385578816E-2</v>
      </c>
      <c r="AD25" s="48">
        <f t="shared" si="5"/>
        <v>-0.32631578947368423</v>
      </c>
      <c r="AE25" s="48">
        <f t="shared" si="6"/>
        <v>2.4968789013732832E-2</v>
      </c>
      <c r="AH25" t="str">
        <f t="shared" si="15"/>
        <v>Atmos</v>
      </c>
      <c r="AI25" s="48">
        <f t="shared" si="16"/>
        <v>-0.32631569947368422</v>
      </c>
      <c r="AS25" t="s">
        <v>76</v>
      </c>
      <c r="AT25">
        <f>INDEX(Data!$K$9:$AT$51,MATCH($AS$12,Data!$A$9:$A$51,0),MATCH(AT$15&amp;$AS25&amp;AT$16,INDEX(Data!$K$5:$AT$5&amp;Data!$K$6:$AT$6&amp;Data!$K$7:$AT$7,,),0))</f>
        <v>0</v>
      </c>
      <c r="AU25">
        <f>INDEX(Data!$K$9:$AT$51,MATCH($AS$12,Data!$A$9:$A$51,0),MATCH(AU$15&amp;$AS25&amp;AU$16,INDEX(Data!$K$5:$AT$5&amp;Data!$K$6:$AT$6&amp;Data!$K$7:$AT$7,,),0))</f>
        <v>1000</v>
      </c>
      <c r="AV25">
        <f>INDEX(Data!$K$9:$AT$51,MATCH($AS$12,Data!$A$9:$A$51,0),MATCH(AV$15&amp;$AS25&amp;AV$16,INDEX(Data!$K$5:$AT$5&amp;Data!$K$6:$AT$6&amp;Data!$K$7:$AT$7,,),0))</f>
        <v>1285.1999999999998</v>
      </c>
      <c r="AW25" s="46"/>
      <c r="AX25" s="46"/>
      <c r="AY25" t="str">
        <f t="shared" si="23"/>
        <v>Sep</v>
      </c>
      <c r="AZ25" s="50" t="e">
        <f t="shared" si="7"/>
        <v>#N/A</v>
      </c>
      <c r="BA25" s="50">
        <f t="shared" si="24"/>
        <v>1000</v>
      </c>
      <c r="BB25" s="50">
        <f t="shared" si="25"/>
        <v>1285.1999999999998</v>
      </c>
      <c r="BC25" t="e">
        <f t="shared" si="8"/>
        <v>#N/A</v>
      </c>
    </row>
    <row r="26" spans="2:55" x14ac:dyDescent="0.25">
      <c r="B26" t="s">
        <v>76</v>
      </c>
      <c r="H26" s="39" t="s">
        <v>61</v>
      </c>
      <c r="I26" s="10" t="s">
        <v>45</v>
      </c>
      <c r="J26" s="40" t="s">
        <v>32</v>
      </c>
      <c r="O26">
        <f t="shared" si="9"/>
        <v>10</v>
      </c>
      <c r="P26" t="str">
        <f t="shared" si="10"/>
        <v>Scrap</v>
      </c>
      <c r="Q26" s="50">
        <f>IF($P26&lt;&gt;"",INDEX(Data!$B$9:$J$51,MATCH($P26,Data!$A$9:$A$51,0),MATCH(Q$10,Data!$B$4:$J$4,0)),"")</f>
        <v>13307</v>
      </c>
      <c r="R26" s="50">
        <f>IF($P26&lt;&gt;"",INDEX(Data!$B$9:$J$51,MATCH($P26,Data!$A$9:$A$51,0),MATCH(R$10,Data!$B$4:$J$4,0)),"")</f>
        <v>862</v>
      </c>
      <c r="S26" s="50">
        <f>IF($P26&lt;&gt;"",INDEX(Data!$B$9:$J$51,MATCH($P26,Data!$A$9:$A$51,0),MATCH(S$10,Data!$B$4:$J$4,0)),"")</f>
        <v>5279</v>
      </c>
      <c r="T26" s="50">
        <f>IF($P26&lt;&gt;"",INDEX(Data!$B$9:$J$51,MATCH($P26,Data!$A$9:$A$51,0),MATCH(T$10,Data!$B$4:$J$4,0)),"")</f>
        <v>12127</v>
      </c>
      <c r="U26" s="50">
        <f>IF($P26&lt;&gt;"",INDEX(Data!$B$9:$J$51,MATCH($P26,Data!$A$9:$A$51,0),MATCH(U$10,Data!$B$4:$J$4,0)),"")</f>
        <v>742</v>
      </c>
      <c r="V26" s="50">
        <f>IF($P26&lt;&gt;"",INDEX(Data!$B$9:$J$51,MATCH($P26,Data!$A$9:$A$51,0),MATCH(V$10,Data!$B$4:$J$4,0)),"")</f>
        <v>5491</v>
      </c>
      <c r="W26" s="50">
        <f>IF($P26&lt;&gt;"",INDEX(Data!$B$9:$J$51,MATCH($P26,Data!$A$9:$A$51,0),MATCH(W$10,Data!$B$4:$J$4,0)),"")</f>
        <v>13448</v>
      </c>
      <c r="X26" s="50">
        <f>IF($P26&lt;&gt;"",INDEX(Data!$B$9:$J$51,MATCH($P26,Data!$A$9:$A$51,0),MATCH(X$10,Data!$B$4:$J$4,0)),"")</f>
        <v>905</v>
      </c>
      <c r="Y26" s="50">
        <f>IF($P26&lt;&gt;"",INDEX(Data!$B$9:$J$51,MATCH($P26,Data!$A$9:$A$51,0),MATCH(Y$10,Data!$B$4:$J$4,0)),"")</f>
        <v>6062</v>
      </c>
      <c r="Z26" s="47">
        <f t="shared" si="11"/>
        <v>9.730353756081471E-2</v>
      </c>
      <c r="AA26" s="47">
        <f t="shared" si="12"/>
        <v>0.16172506738544473</v>
      </c>
      <c r="AB26" s="47">
        <f t="shared" si="13"/>
        <v>-3.8608632307412127E-2</v>
      </c>
      <c r="AC26" s="48">
        <f t="shared" si="14"/>
        <v>-1.0484830458060678E-2</v>
      </c>
      <c r="AD26" s="48">
        <f t="shared" si="5"/>
        <v>-4.7513812154696133E-2</v>
      </c>
      <c r="AE26" s="48">
        <f t="shared" si="6"/>
        <v>-0.12916529198284393</v>
      </c>
      <c r="AH26" t="str">
        <f t="shared" si="15"/>
        <v>Scrap</v>
      </c>
      <c r="AI26" s="48">
        <f t="shared" si="16"/>
        <v>-4.7513712154696131E-2</v>
      </c>
      <c r="AS26" t="s">
        <v>75</v>
      </c>
      <c r="AT26">
        <f>INDEX(Data!$K$9:$AT$51,MATCH($AS$12,Data!$A$9:$A$51,0),MATCH(AT$15&amp;$AS26&amp;AT$16,INDEX(Data!$K$5:$AT$5&amp;Data!$K$6:$AT$6&amp;Data!$K$7:$AT$7,,),0))</f>
        <v>0</v>
      </c>
      <c r="AU26">
        <f>INDEX(Data!$K$9:$AT$51,MATCH($AS$12,Data!$A$9:$A$51,0),MATCH(AU$15&amp;$AS26&amp;AU$16,INDEX(Data!$K$5:$AT$5&amp;Data!$K$6:$AT$6&amp;Data!$K$7:$AT$7,,),0))</f>
        <v>1100</v>
      </c>
      <c r="AV26">
        <f>INDEX(Data!$K$9:$AT$51,MATCH($AS$12,Data!$A$9:$A$51,0),MATCH(AV$15&amp;$AS26&amp;AV$16,INDEX(Data!$K$5:$AT$5&amp;Data!$K$6:$AT$6&amp;Data!$K$7:$AT$7,,),0))</f>
        <v>1489.6</v>
      </c>
      <c r="AW26" s="46"/>
      <c r="AX26" s="46"/>
      <c r="AY26" t="str">
        <f t="shared" si="23"/>
        <v>Oct</v>
      </c>
      <c r="AZ26" s="50" t="e">
        <f t="shared" si="7"/>
        <v>#N/A</v>
      </c>
      <c r="BA26" s="50">
        <f t="shared" si="24"/>
        <v>1100</v>
      </c>
      <c r="BB26" s="50">
        <f t="shared" si="25"/>
        <v>1489.6</v>
      </c>
      <c r="BC26" t="e">
        <f t="shared" si="8"/>
        <v>#N/A</v>
      </c>
    </row>
    <row r="27" spans="2:55" x14ac:dyDescent="0.25">
      <c r="B27" t="s">
        <v>75</v>
      </c>
      <c r="H27" s="42" t="s">
        <v>60</v>
      </c>
      <c r="I27" s="10" t="s">
        <v>44</v>
      </c>
      <c r="J27" s="40" t="s">
        <v>31</v>
      </c>
      <c r="O27">
        <f t="shared" si="9"/>
        <v>11</v>
      </c>
      <c r="P27" t="str">
        <f t="shared" si="10"/>
        <v>Motocyco</v>
      </c>
      <c r="Q27" s="50">
        <f>IF($P27&lt;&gt;"",INDEX(Data!$B$9:$J$51,MATCH($P27,Data!$A$9:$A$51,0),MATCH(Q$10,Data!$B$4:$J$4,0)),"")</f>
        <v>11182</v>
      </c>
      <c r="R27" s="50">
        <f>IF($P27&lt;&gt;"",INDEX(Data!$B$9:$J$51,MATCH($P27,Data!$A$9:$A$51,0),MATCH(R$10,Data!$B$4:$J$4,0)),"")</f>
        <v>1193</v>
      </c>
      <c r="S27" s="50">
        <f>IF($P27&lt;&gt;"",INDEX(Data!$B$9:$J$51,MATCH($P27,Data!$A$9:$A$51,0),MATCH(S$10,Data!$B$4:$J$4,0)),"")</f>
        <v>4311</v>
      </c>
      <c r="T27" s="50">
        <f>IF($P27&lt;&gt;"",INDEX(Data!$B$9:$J$51,MATCH($P27,Data!$A$9:$A$51,0),MATCH(T$10,Data!$B$4:$J$4,0)),"")</f>
        <v>10457</v>
      </c>
      <c r="U27" s="50">
        <f>IF($P27&lt;&gt;"",INDEX(Data!$B$9:$J$51,MATCH($P27,Data!$A$9:$A$51,0),MATCH(U$10,Data!$B$4:$J$4,0)),"")</f>
        <v>890</v>
      </c>
      <c r="V27" s="50">
        <f>IF($P27&lt;&gt;"",INDEX(Data!$B$9:$J$51,MATCH($P27,Data!$A$9:$A$51,0),MATCH(V$10,Data!$B$4:$J$4,0)),"")</f>
        <v>4595</v>
      </c>
      <c r="W27" s="50">
        <f>IF($P27&lt;&gt;"",INDEX(Data!$B$9:$J$51,MATCH($P27,Data!$A$9:$A$51,0),MATCH(W$10,Data!$B$4:$J$4,0)),"")</f>
        <v>9952</v>
      </c>
      <c r="X27" s="50">
        <f>IF($P27&lt;&gt;"",INDEX(Data!$B$9:$J$51,MATCH($P27,Data!$A$9:$A$51,0),MATCH(X$10,Data!$B$4:$J$4,0)),"")</f>
        <v>810</v>
      </c>
      <c r="Y27" s="50">
        <f>IF($P27&lt;&gt;"",INDEX(Data!$B$9:$J$51,MATCH($P27,Data!$A$9:$A$51,0),MATCH(Y$10,Data!$B$4:$J$4,0)),"")</f>
        <v>4298</v>
      </c>
      <c r="Z27" s="47">
        <f t="shared" si="11"/>
        <v>6.9331548245194607E-2</v>
      </c>
      <c r="AA27" s="47">
        <f t="shared" si="12"/>
        <v>0.34044943820224721</v>
      </c>
      <c r="AB27" s="47">
        <f t="shared" si="13"/>
        <v>-6.1806311207834599E-2</v>
      </c>
      <c r="AC27" s="48">
        <f t="shared" si="14"/>
        <v>0.12359324758842444</v>
      </c>
      <c r="AD27" s="48">
        <f t="shared" si="5"/>
        <v>0.47283950617283949</v>
      </c>
      <c r="AE27" s="48">
        <f t="shared" si="6"/>
        <v>3.0246626337831549E-3</v>
      </c>
      <c r="AH27" t="str">
        <f t="shared" si="15"/>
        <v>Motocyco</v>
      </c>
      <c r="AI27" s="48">
        <f t="shared" si="16"/>
        <v>0.47283961617283948</v>
      </c>
      <c r="AS27" t="s">
        <v>74</v>
      </c>
      <c r="AT27">
        <f>INDEX(Data!$K$9:$AT$51,MATCH($AS$12,Data!$A$9:$A$51,0),MATCH(AT$15&amp;$AS27&amp;AT$16,INDEX(Data!$K$5:$AT$5&amp;Data!$K$6:$AT$6&amp;Data!$K$7:$AT$7,,),0))</f>
        <v>0</v>
      </c>
      <c r="AU27">
        <f>INDEX(Data!$K$9:$AT$51,MATCH($AS$12,Data!$A$9:$A$51,0),MATCH(AU$15&amp;$AS27&amp;AU$16,INDEX(Data!$K$5:$AT$5&amp;Data!$K$6:$AT$6&amp;Data!$K$7:$AT$7,,),0))</f>
        <v>1300</v>
      </c>
      <c r="AV27">
        <f>INDEX(Data!$K$9:$AT$51,MATCH($AS$12,Data!$A$9:$A$51,0),MATCH(AV$15&amp;$AS27&amp;AV$16,INDEX(Data!$K$5:$AT$5&amp;Data!$K$6:$AT$6&amp;Data!$K$7:$AT$7,,),0))</f>
        <v>1696.8</v>
      </c>
      <c r="AW27" s="46"/>
      <c r="AX27" s="46"/>
      <c r="AY27" t="str">
        <f t="shared" si="23"/>
        <v>Nov</v>
      </c>
      <c r="AZ27" s="50" t="e">
        <f t="shared" si="7"/>
        <v>#N/A</v>
      </c>
      <c r="BA27" s="50">
        <f t="shared" si="24"/>
        <v>1300</v>
      </c>
      <c r="BB27" s="50">
        <f t="shared" si="25"/>
        <v>1696.8</v>
      </c>
      <c r="BC27" t="e">
        <f t="shared" si="8"/>
        <v>#N/A</v>
      </c>
    </row>
    <row r="28" spans="2:55" x14ac:dyDescent="0.25">
      <c r="B28" t="s">
        <v>74</v>
      </c>
      <c r="H28" s="39" t="s">
        <v>59</v>
      </c>
      <c r="I28" s="10" t="s">
        <v>43</v>
      </c>
      <c r="J28" s="40" t="s">
        <v>30</v>
      </c>
      <c r="O28">
        <f t="shared" si="9"/>
        <v>12</v>
      </c>
      <c r="P28" t="str">
        <f t="shared" si="10"/>
        <v>Amplefio</v>
      </c>
      <c r="Q28" s="50">
        <f>IF($P28&lt;&gt;"",INDEX(Data!$B$9:$J$51,MATCH($P28,Data!$A$9:$A$51,0),MATCH(Q$10,Data!$B$4:$J$4,0)),"")</f>
        <v>8250</v>
      </c>
      <c r="R28" s="50">
        <f>IF($P28&lt;&gt;"",INDEX(Data!$B$9:$J$51,MATCH($P28,Data!$A$9:$A$51,0),MATCH(R$10,Data!$B$4:$J$4,0)),"")</f>
        <v>541</v>
      </c>
      <c r="S28" s="50">
        <f>IF($P28&lt;&gt;"",INDEX(Data!$B$9:$J$51,MATCH($P28,Data!$A$9:$A$51,0),MATCH(S$10,Data!$B$4:$J$4,0)),"")</f>
        <v>5923</v>
      </c>
      <c r="T28" s="50">
        <f>IF($P28&lt;&gt;"",INDEX(Data!$B$9:$J$51,MATCH($P28,Data!$A$9:$A$51,0),MATCH(T$10,Data!$B$4:$J$4,0)),"")</f>
        <v>8507</v>
      </c>
      <c r="U28" s="50">
        <f>IF($P28&lt;&gt;"",INDEX(Data!$B$9:$J$51,MATCH($P28,Data!$A$9:$A$51,0),MATCH(U$10,Data!$B$4:$J$4,0)),"")</f>
        <v>369</v>
      </c>
      <c r="V28" s="50">
        <f>IF($P28&lt;&gt;"",INDEX(Data!$B$9:$J$51,MATCH($P28,Data!$A$9:$A$51,0),MATCH(V$10,Data!$B$4:$J$4,0)),"")</f>
        <v>6622</v>
      </c>
      <c r="W28" s="50">
        <f>IF($P28&lt;&gt;"",INDEX(Data!$B$9:$J$51,MATCH($P28,Data!$A$9:$A$51,0),MATCH(W$10,Data!$B$4:$J$4,0)),"")</f>
        <v>8899</v>
      </c>
      <c r="X28" s="50">
        <f>IF($P28&lt;&gt;"",INDEX(Data!$B$9:$J$51,MATCH($P28,Data!$A$9:$A$51,0),MATCH(X$10,Data!$B$4:$J$4,0)),"")</f>
        <v>474</v>
      </c>
      <c r="Y28" s="50">
        <f>IF($P28&lt;&gt;"",INDEX(Data!$B$9:$J$51,MATCH($P28,Data!$A$9:$A$51,0),MATCH(Y$10,Data!$B$4:$J$4,0)),"")</f>
        <v>6231</v>
      </c>
      <c r="Z28" s="47">
        <f t="shared" si="11"/>
        <v>-3.0210414952392149E-2</v>
      </c>
      <c r="AA28" s="47">
        <f t="shared" si="12"/>
        <v>0.46612466124661245</v>
      </c>
      <c r="AB28" s="47">
        <f t="shared" si="13"/>
        <v>-0.10555723346421021</v>
      </c>
      <c r="AC28" s="48">
        <f t="shared" si="14"/>
        <v>-7.2929542645241041E-2</v>
      </c>
      <c r="AD28" s="48">
        <f t="shared" si="5"/>
        <v>0.14135021097046413</v>
      </c>
      <c r="AE28" s="48">
        <f t="shared" si="6"/>
        <v>-4.9430268014764883E-2</v>
      </c>
      <c r="AH28" t="str">
        <f t="shared" si="15"/>
        <v>Amplefio</v>
      </c>
      <c r="AI28" s="48">
        <f t="shared" si="16"/>
        <v>0.14135033097046412</v>
      </c>
      <c r="AS28" t="s">
        <v>73</v>
      </c>
      <c r="AT28">
        <f>INDEX(Data!$K$9:$AT$51,MATCH($AS$12,Data!$A$9:$A$51,0),MATCH(AT$15&amp;$AS28&amp;AT$16,INDEX(Data!$K$5:$AT$5&amp;Data!$K$6:$AT$6&amp;Data!$K$7:$AT$7,,),0))</f>
        <v>0</v>
      </c>
      <c r="AU28">
        <f>INDEX(Data!$K$9:$AT$51,MATCH($AS$12,Data!$A$9:$A$51,0),MATCH(AU$15&amp;$AS28&amp;AU$16,INDEX(Data!$K$5:$AT$5&amp;Data!$K$6:$AT$6&amp;Data!$K$7:$AT$7,,),0))</f>
        <v>1400</v>
      </c>
      <c r="AV28">
        <f>INDEX(Data!$K$9:$AT$51,MATCH($AS$12,Data!$A$9:$A$51,0),MATCH(AV$15&amp;$AS28&amp;AV$16,INDEX(Data!$K$5:$AT$5&amp;Data!$K$6:$AT$6&amp;Data!$K$7:$AT$7,,),0))</f>
        <v>1744.3999999999999</v>
      </c>
      <c r="AW28" s="46"/>
      <c r="AX28" s="46"/>
      <c r="AY28" t="str">
        <f t="shared" si="23"/>
        <v>Dec</v>
      </c>
      <c r="AZ28" s="50" t="e">
        <f t="shared" si="7"/>
        <v>#N/A</v>
      </c>
      <c r="BA28" s="50">
        <f t="shared" si="24"/>
        <v>1400</v>
      </c>
      <c r="BB28" s="50">
        <f t="shared" si="25"/>
        <v>1744.3999999999999</v>
      </c>
      <c r="BC28" t="e">
        <f t="shared" si="8"/>
        <v>#N/A</v>
      </c>
    </row>
    <row r="29" spans="2:55" x14ac:dyDescent="0.25">
      <c r="B29" t="s">
        <v>73</v>
      </c>
      <c r="H29" s="39" t="s">
        <v>58</v>
      </c>
      <c r="I29" s="10"/>
      <c r="J29" s="40" t="s">
        <v>29</v>
      </c>
      <c r="O29">
        <f t="shared" si="9"/>
        <v>13</v>
      </c>
      <c r="P29" t="str">
        <f t="shared" si="10"/>
        <v>Strex</v>
      </c>
      <c r="Q29" s="50">
        <f>IF($P29&lt;&gt;"",INDEX(Data!$B$9:$J$51,MATCH($P29,Data!$A$9:$A$51,0),MATCH(Q$10,Data!$B$4:$J$4,0)),"")</f>
        <v>8152</v>
      </c>
      <c r="R29" s="50">
        <f>IF($P29&lt;&gt;"",INDEX(Data!$B$9:$J$51,MATCH($P29,Data!$A$9:$A$51,0),MATCH(R$10,Data!$B$4:$J$4,0)),"")</f>
        <v>258</v>
      </c>
      <c r="S29" s="50">
        <f>IF($P29&lt;&gt;"",INDEX(Data!$B$9:$J$51,MATCH($P29,Data!$A$9:$A$51,0),MATCH(S$10,Data!$B$4:$J$4,0)),"")</f>
        <v>5700</v>
      </c>
      <c r="T29" s="50">
        <f>IF($P29&lt;&gt;"",INDEX(Data!$B$9:$J$51,MATCH($P29,Data!$A$9:$A$51,0),MATCH(T$10,Data!$B$4:$J$4,0)),"")</f>
        <v>10832</v>
      </c>
      <c r="U29" s="50">
        <f>IF($P29&lt;&gt;"",INDEX(Data!$B$9:$J$51,MATCH($P29,Data!$A$9:$A$51,0),MATCH(U$10,Data!$B$4:$J$4,0)),"")</f>
        <v>577</v>
      </c>
      <c r="V29" s="50">
        <f>IF($P29&lt;&gt;"",INDEX(Data!$B$9:$J$51,MATCH($P29,Data!$A$9:$A$51,0),MATCH(V$10,Data!$B$4:$J$4,0)),"")</f>
        <v>5100</v>
      </c>
      <c r="W29" s="50">
        <f>IF($P29&lt;&gt;"",INDEX(Data!$B$9:$J$51,MATCH($P29,Data!$A$9:$A$51,0),MATCH(W$10,Data!$B$4:$J$4,0)),"")</f>
        <v>9698</v>
      </c>
      <c r="X29" s="50">
        <f>IF($P29&lt;&gt;"",INDEX(Data!$B$9:$J$51,MATCH($P29,Data!$A$9:$A$51,0),MATCH(X$10,Data!$B$4:$J$4,0)),"")</f>
        <v>350</v>
      </c>
      <c r="Y29" s="50">
        <f>IF($P29&lt;&gt;"",INDEX(Data!$B$9:$J$51,MATCH($P29,Data!$A$9:$A$51,0),MATCH(Y$10,Data!$B$4:$J$4,0)),"")</f>
        <v>5200</v>
      </c>
      <c r="Z29" s="47">
        <f t="shared" si="11"/>
        <v>-0.24741506646971936</v>
      </c>
      <c r="AA29" s="47">
        <f t="shared" si="12"/>
        <v>-0.55285961871750433</v>
      </c>
      <c r="AB29" s="47">
        <f t="shared" si="13"/>
        <v>0.11764705882352941</v>
      </c>
      <c r="AC29" s="48">
        <f t="shared" si="14"/>
        <v>-0.15941431222932564</v>
      </c>
      <c r="AD29" s="48">
        <f t="shared" si="5"/>
        <v>-0.26285714285714284</v>
      </c>
      <c r="AE29" s="48">
        <f t="shared" si="6"/>
        <v>9.6153846153846159E-2</v>
      </c>
      <c r="AH29" t="str">
        <f t="shared" si="15"/>
        <v>Strex</v>
      </c>
      <c r="AI29" s="48">
        <f t="shared" si="16"/>
        <v>-0.26285701285714286</v>
      </c>
    </row>
    <row r="30" spans="2:55" x14ac:dyDescent="0.25">
      <c r="H30" s="39" t="s">
        <v>57</v>
      </c>
      <c r="I30" s="10"/>
      <c r="J30" s="41"/>
      <c r="O30" t="str">
        <f t="shared" si="9"/>
        <v/>
      </c>
      <c r="P30" t="str">
        <f t="shared" si="10"/>
        <v/>
      </c>
      <c r="Q30" s="50" t="str">
        <f>IF($P30&lt;&gt;"",INDEX(Data!$B$9:$J$51,MATCH($P30,Data!$A$9:$A$51,0),MATCH(Q$10,Data!$B$4:$J$4,0)),"")</f>
        <v/>
      </c>
      <c r="R30" s="50" t="str">
        <f>IF($P30&lt;&gt;"",INDEX(Data!$B$9:$J$51,MATCH($P30,Data!$A$9:$A$51,0),MATCH(R$10,Data!$B$4:$J$4,0)),"")</f>
        <v/>
      </c>
      <c r="S30" s="50" t="str">
        <f>IF($P30&lt;&gt;"",INDEX(Data!$B$9:$J$51,MATCH($P30,Data!$A$9:$A$51,0),MATCH(S$10,Data!$B$4:$J$4,0)),"")</f>
        <v/>
      </c>
      <c r="T30" s="50" t="str">
        <f>IF($P30&lt;&gt;"",INDEX(Data!$B$9:$J$51,MATCH($P30,Data!$A$9:$A$51,0),MATCH(T$10,Data!$B$4:$J$4,0)),"")</f>
        <v/>
      </c>
      <c r="U30" s="50" t="str">
        <f>IF($P30&lt;&gt;"",INDEX(Data!$B$9:$J$51,MATCH($P30,Data!$A$9:$A$51,0),MATCH(U$10,Data!$B$4:$J$4,0)),"")</f>
        <v/>
      </c>
      <c r="V30" s="50" t="str">
        <f>IF($P30&lt;&gt;"",INDEX(Data!$B$9:$J$51,MATCH($P30,Data!$A$9:$A$51,0),MATCH(V$10,Data!$B$4:$J$4,0)),"")</f>
        <v/>
      </c>
      <c r="W30" s="50" t="str">
        <f>IF($P30&lt;&gt;"",INDEX(Data!$B$9:$J$51,MATCH($P30,Data!$A$9:$A$51,0),MATCH(W$10,Data!$B$4:$J$4,0)),"")</f>
        <v/>
      </c>
      <c r="X30" s="50" t="str">
        <f>IF($P30&lt;&gt;"",INDEX(Data!$B$9:$J$51,MATCH($P30,Data!$A$9:$A$51,0),MATCH(X$10,Data!$B$4:$J$4,0)),"")</f>
        <v/>
      </c>
      <c r="Y30" s="50" t="str">
        <f>IF($P30&lt;&gt;"",INDEX(Data!$B$9:$J$51,MATCH($P30,Data!$A$9:$A$51,0),MATCH(Y$10,Data!$B$4:$J$4,0)),"")</f>
        <v/>
      </c>
      <c r="Z30" s="47" t="str">
        <f t="shared" si="11"/>
        <v/>
      </c>
      <c r="AA30" s="47" t="str">
        <f t="shared" si="12"/>
        <v/>
      </c>
      <c r="AB30" s="47" t="str">
        <f t="shared" si="13"/>
        <v/>
      </c>
      <c r="AC30" s="48" t="str">
        <f t="shared" si="14"/>
        <v/>
      </c>
      <c r="AD30" s="48" t="str">
        <f t="shared" si="5"/>
        <v/>
      </c>
      <c r="AE30" s="48" t="str">
        <f t="shared" si="6"/>
        <v/>
      </c>
      <c r="AH30" t="str">
        <f t="shared" si="15"/>
        <v/>
      </c>
      <c r="AI30" s="48" t="str">
        <f t="shared" si="16"/>
        <v/>
      </c>
    </row>
    <row r="31" spans="2:55" x14ac:dyDescent="0.25">
      <c r="H31" s="39" t="s">
        <v>56</v>
      </c>
      <c r="I31" s="10"/>
      <c r="J31" s="41"/>
      <c r="O31" t="str">
        <f t="shared" si="9"/>
        <v/>
      </c>
      <c r="P31" t="str">
        <f t="shared" si="10"/>
        <v/>
      </c>
      <c r="Q31" s="50" t="str">
        <f>IF($P31&lt;&gt;"",INDEX(Data!$B$9:$J$51,MATCH($P31,Data!$A$9:$A$51,0),MATCH(Q$10,Data!$B$4:$J$4,0)),"")</f>
        <v/>
      </c>
      <c r="R31" s="50" t="str">
        <f>IF($P31&lt;&gt;"",INDEX(Data!$B$9:$J$51,MATCH($P31,Data!$A$9:$A$51,0),MATCH(R$10,Data!$B$4:$J$4,0)),"")</f>
        <v/>
      </c>
      <c r="S31" s="50" t="str">
        <f>IF($P31&lt;&gt;"",INDEX(Data!$B$9:$J$51,MATCH($P31,Data!$A$9:$A$51,0),MATCH(S$10,Data!$B$4:$J$4,0)),"")</f>
        <v/>
      </c>
      <c r="T31" s="50" t="str">
        <f>IF($P31&lt;&gt;"",INDEX(Data!$B$9:$J$51,MATCH($P31,Data!$A$9:$A$51,0),MATCH(T$10,Data!$B$4:$J$4,0)),"")</f>
        <v/>
      </c>
      <c r="U31" s="50" t="str">
        <f>IF($P31&lt;&gt;"",INDEX(Data!$B$9:$J$51,MATCH($P31,Data!$A$9:$A$51,0),MATCH(U$10,Data!$B$4:$J$4,0)),"")</f>
        <v/>
      </c>
      <c r="V31" s="50" t="str">
        <f>IF($P31&lt;&gt;"",INDEX(Data!$B$9:$J$51,MATCH($P31,Data!$A$9:$A$51,0),MATCH(V$10,Data!$B$4:$J$4,0)),"")</f>
        <v/>
      </c>
      <c r="W31" s="50" t="str">
        <f>IF($P31&lt;&gt;"",INDEX(Data!$B$9:$J$51,MATCH($P31,Data!$A$9:$A$51,0),MATCH(W$10,Data!$B$4:$J$4,0)),"")</f>
        <v/>
      </c>
      <c r="X31" s="50" t="str">
        <f>IF($P31&lt;&gt;"",INDEX(Data!$B$9:$J$51,MATCH($P31,Data!$A$9:$A$51,0),MATCH(X$10,Data!$B$4:$J$4,0)),"")</f>
        <v/>
      </c>
      <c r="Y31" s="50" t="str">
        <f>IF($P31&lt;&gt;"",INDEX(Data!$B$9:$J$51,MATCH($P31,Data!$A$9:$A$51,0),MATCH(Y$10,Data!$B$4:$J$4,0)),"")</f>
        <v/>
      </c>
      <c r="Z31" s="47" t="str">
        <f t="shared" si="11"/>
        <v/>
      </c>
      <c r="AA31" s="47" t="str">
        <f t="shared" si="12"/>
        <v/>
      </c>
      <c r="AB31" s="47" t="str">
        <f t="shared" si="13"/>
        <v/>
      </c>
      <c r="AC31" s="48" t="str">
        <f t="shared" si="14"/>
        <v/>
      </c>
      <c r="AD31" s="48" t="str">
        <f t="shared" si="5"/>
        <v/>
      </c>
      <c r="AE31" s="48" t="str">
        <f t="shared" si="6"/>
        <v/>
      </c>
      <c r="AH31" t="str">
        <f t="shared" si="15"/>
        <v/>
      </c>
      <c r="AI31" s="48" t="str">
        <f t="shared" si="16"/>
        <v/>
      </c>
    </row>
    <row r="32" spans="2:55" x14ac:dyDescent="0.25">
      <c r="H32" s="42"/>
      <c r="I32" s="10"/>
      <c r="J32" s="41"/>
      <c r="O32" t="str">
        <f t="shared" si="9"/>
        <v/>
      </c>
      <c r="P32" t="str">
        <f t="shared" si="10"/>
        <v/>
      </c>
      <c r="Q32" s="50" t="str">
        <f>IF($P32&lt;&gt;"",INDEX(Data!$B$9:$J$51,MATCH($P32,Data!$A$9:$A$51,0),MATCH(Q$10,Data!$B$4:$J$4,0)),"")</f>
        <v/>
      </c>
      <c r="R32" s="50" t="str">
        <f>IF($P32&lt;&gt;"",INDEX(Data!$B$9:$J$51,MATCH($P32,Data!$A$9:$A$51,0),MATCH(R$10,Data!$B$4:$J$4,0)),"")</f>
        <v/>
      </c>
      <c r="S32" s="50" t="str">
        <f>IF($P32&lt;&gt;"",INDEX(Data!$B$9:$J$51,MATCH($P32,Data!$A$9:$A$51,0),MATCH(S$10,Data!$B$4:$J$4,0)),"")</f>
        <v/>
      </c>
      <c r="T32" s="50" t="str">
        <f>IF($P32&lt;&gt;"",INDEX(Data!$B$9:$J$51,MATCH($P32,Data!$A$9:$A$51,0),MATCH(T$10,Data!$B$4:$J$4,0)),"")</f>
        <v/>
      </c>
      <c r="U32" s="50" t="str">
        <f>IF($P32&lt;&gt;"",INDEX(Data!$B$9:$J$51,MATCH($P32,Data!$A$9:$A$51,0),MATCH(U$10,Data!$B$4:$J$4,0)),"")</f>
        <v/>
      </c>
      <c r="V32" s="50" t="str">
        <f>IF($P32&lt;&gt;"",INDEX(Data!$B$9:$J$51,MATCH($P32,Data!$A$9:$A$51,0),MATCH(V$10,Data!$B$4:$J$4,0)),"")</f>
        <v/>
      </c>
      <c r="W32" s="50" t="str">
        <f>IF($P32&lt;&gt;"",INDEX(Data!$B$9:$J$51,MATCH($P32,Data!$A$9:$A$51,0),MATCH(W$10,Data!$B$4:$J$4,0)),"")</f>
        <v/>
      </c>
      <c r="X32" s="50" t="str">
        <f>IF($P32&lt;&gt;"",INDEX(Data!$B$9:$J$51,MATCH($P32,Data!$A$9:$A$51,0),MATCH(X$10,Data!$B$4:$J$4,0)),"")</f>
        <v/>
      </c>
      <c r="Y32" s="50" t="str">
        <f>IF($P32&lt;&gt;"",INDEX(Data!$B$9:$J$51,MATCH($P32,Data!$A$9:$A$51,0),MATCH(Y$10,Data!$B$4:$J$4,0)),"")</f>
        <v/>
      </c>
      <c r="Z32" s="47" t="str">
        <f t="shared" si="11"/>
        <v/>
      </c>
      <c r="AA32" s="47" t="str">
        <f t="shared" si="12"/>
        <v/>
      </c>
      <c r="AB32" s="47" t="str">
        <f t="shared" si="13"/>
        <v/>
      </c>
      <c r="AC32" s="48" t="str">
        <f t="shared" si="14"/>
        <v/>
      </c>
      <c r="AD32" s="48" t="str">
        <f t="shared" si="5"/>
        <v/>
      </c>
      <c r="AE32" s="48" t="str">
        <f t="shared" si="6"/>
        <v/>
      </c>
      <c r="AH32" t="str">
        <f t="shared" si="15"/>
        <v/>
      </c>
      <c r="AI32" s="48" t="str">
        <f t="shared" si="16"/>
        <v/>
      </c>
    </row>
    <row r="33" spans="8:40" x14ac:dyDescent="0.25">
      <c r="H33" s="42"/>
      <c r="I33" s="10"/>
      <c r="J33" s="41"/>
      <c r="O33" t="str">
        <f t="shared" si="9"/>
        <v/>
      </c>
      <c r="P33" t="str">
        <f t="shared" si="10"/>
        <v/>
      </c>
      <c r="Q33" s="50" t="str">
        <f>IF($P33&lt;&gt;"",INDEX(Data!$B$9:$J$51,MATCH($P33,Data!$A$9:$A$51,0),MATCH(Q$10,Data!$B$4:$J$4,0)),"")</f>
        <v/>
      </c>
      <c r="R33" s="50" t="str">
        <f>IF($P33&lt;&gt;"",INDEX(Data!$B$9:$J$51,MATCH($P33,Data!$A$9:$A$51,0),MATCH(R$10,Data!$B$4:$J$4,0)),"")</f>
        <v/>
      </c>
      <c r="S33" s="50" t="str">
        <f>IF($P33&lt;&gt;"",INDEX(Data!$B$9:$J$51,MATCH($P33,Data!$A$9:$A$51,0),MATCH(S$10,Data!$B$4:$J$4,0)),"")</f>
        <v/>
      </c>
      <c r="T33" s="50" t="str">
        <f>IF($P33&lt;&gt;"",INDEX(Data!$B$9:$J$51,MATCH($P33,Data!$A$9:$A$51,0),MATCH(T$10,Data!$B$4:$J$4,0)),"")</f>
        <v/>
      </c>
      <c r="U33" s="50" t="str">
        <f>IF($P33&lt;&gt;"",INDEX(Data!$B$9:$J$51,MATCH($P33,Data!$A$9:$A$51,0),MATCH(U$10,Data!$B$4:$J$4,0)),"")</f>
        <v/>
      </c>
      <c r="V33" s="50" t="str">
        <f>IF($P33&lt;&gt;"",INDEX(Data!$B$9:$J$51,MATCH($P33,Data!$A$9:$A$51,0),MATCH(V$10,Data!$B$4:$J$4,0)),"")</f>
        <v/>
      </c>
      <c r="W33" s="50" t="str">
        <f>IF($P33&lt;&gt;"",INDEX(Data!$B$9:$J$51,MATCH($P33,Data!$A$9:$A$51,0),MATCH(W$10,Data!$B$4:$J$4,0)),"")</f>
        <v/>
      </c>
      <c r="X33" s="50" t="str">
        <f>IF($P33&lt;&gt;"",INDEX(Data!$B$9:$J$51,MATCH($P33,Data!$A$9:$A$51,0),MATCH(X$10,Data!$B$4:$J$4,0)),"")</f>
        <v/>
      </c>
      <c r="Y33" s="50" t="str">
        <f>IF($P33&lt;&gt;"",INDEX(Data!$B$9:$J$51,MATCH($P33,Data!$A$9:$A$51,0),MATCH(Y$10,Data!$B$4:$J$4,0)),"")</f>
        <v/>
      </c>
      <c r="Z33" s="47" t="str">
        <f t="shared" si="11"/>
        <v/>
      </c>
      <c r="AA33" s="47" t="str">
        <f t="shared" si="12"/>
        <v/>
      </c>
      <c r="AB33" s="47" t="str">
        <f t="shared" si="13"/>
        <v/>
      </c>
      <c r="AC33" s="48" t="str">
        <f t="shared" si="14"/>
        <v/>
      </c>
      <c r="AD33" s="48" t="str">
        <f t="shared" si="5"/>
        <v/>
      </c>
      <c r="AE33" s="48" t="str">
        <f t="shared" si="6"/>
        <v/>
      </c>
      <c r="AH33" t="str">
        <f t="shared" si="15"/>
        <v/>
      </c>
      <c r="AI33" s="48" t="str">
        <f t="shared" si="16"/>
        <v/>
      </c>
    </row>
    <row r="34" spans="8:40" x14ac:dyDescent="0.25">
      <c r="H34" s="42"/>
      <c r="I34" s="10"/>
      <c r="J34" s="41"/>
      <c r="O34" t="str">
        <f t="shared" si="9"/>
        <v/>
      </c>
      <c r="P34" t="str">
        <f t="shared" si="10"/>
        <v/>
      </c>
      <c r="Q34" s="50" t="str">
        <f>IF($P34&lt;&gt;"",INDEX(Data!$B$9:$J$51,MATCH($P34,Data!$A$9:$A$51,0),MATCH(Q$10,Data!$B$4:$J$4,0)),"")</f>
        <v/>
      </c>
      <c r="R34" s="50" t="str">
        <f>IF($P34&lt;&gt;"",INDEX(Data!$B$9:$J$51,MATCH($P34,Data!$A$9:$A$51,0),MATCH(R$10,Data!$B$4:$J$4,0)),"")</f>
        <v/>
      </c>
      <c r="S34" s="50" t="str">
        <f>IF($P34&lt;&gt;"",INDEX(Data!$B$9:$J$51,MATCH($P34,Data!$A$9:$A$51,0),MATCH(S$10,Data!$B$4:$J$4,0)),"")</f>
        <v/>
      </c>
      <c r="T34" s="50" t="str">
        <f>IF($P34&lt;&gt;"",INDEX(Data!$B$9:$J$51,MATCH($P34,Data!$A$9:$A$51,0),MATCH(T$10,Data!$B$4:$J$4,0)),"")</f>
        <v/>
      </c>
      <c r="U34" s="50" t="str">
        <f>IF($P34&lt;&gt;"",INDEX(Data!$B$9:$J$51,MATCH($P34,Data!$A$9:$A$51,0),MATCH(U$10,Data!$B$4:$J$4,0)),"")</f>
        <v/>
      </c>
      <c r="V34" s="50" t="str">
        <f>IF($P34&lt;&gt;"",INDEX(Data!$B$9:$J$51,MATCH($P34,Data!$A$9:$A$51,0),MATCH(V$10,Data!$B$4:$J$4,0)),"")</f>
        <v/>
      </c>
      <c r="W34" s="50" t="str">
        <f>IF($P34&lt;&gt;"",INDEX(Data!$B$9:$J$51,MATCH($P34,Data!$A$9:$A$51,0),MATCH(W$10,Data!$B$4:$J$4,0)),"")</f>
        <v/>
      </c>
      <c r="X34" s="50" t="str">
        <f>IF($P34&lt;&gt;"",INDEX(Data!$B$9:$J$51,MATCH($P34,Data!$A$9:$A$51,0),MATCH(X$10,Data!$B$4:$J$4,0)),"")</f>
        <v/>
      </c>
      <c r="Y34" s="50" t="str">
        <f>IF($P34&lt;&gt;"",INDEX(Data!$B$9:$J$51,MATCH($P34,Data!$A$9:$A$51,0),MATCH(Y$10,Data!$B$4:$J$4,0)),"")</f>
        <v/>
      </c>
      <c r="Z34" s="47" t="str">
        <f t="shared" si="11"/>
        <v/>
      </c>
      <c r="AA34" s="47" t="str">
        <f t="shared" si="12"/>
        <v/>
      </c>
      <c r="AB34" s="47" t="str">
        <f t="shared" si="13"/>
        <v/>
      </c>
      <c r="AC34" s="48" t="str">
        <f t="shared" si="14"/>
        <v/>
      </c>
      <c r="AD34" s="48" t="str">
        <f t="shared" si="5"/>
        <v/>
      </c>
      <c r="AE34" s="48" t="str">
        <f t="shared" si="6"/>
        <v/>
      </c>
      <c r="AH34" t="str">
        <f t="shared" si="15"/>
        <v/>
      </c>
      <c r="AI34" s="48" t="str">
        <f t="shared" si="16"/>
        <v/>
      </c>
    </row>
    <row r="35" spans="8:40" x14ac:dyDescent="0.25">
      <c r="H35" s="42"/>
      <c r="I35" s="10"/>
      <c r="J35" s="41"/>
      <c r="O35" t="str">
        <f t="shared" si="9"/>
        <v/>
      </c>
      <c r="P35" t="str">
        <f t="shared" si="10"/>
        <v/>
      </c>
      <c r="Q35" s="50" t="str">
        <f>IF($P35&lt;&gt;"",INDEX(Data!$B$9:$J$51,MATCH($P35,Data!$A$9:$A$51,0),MATCH(Q$10,Data!$B$4:$J$4,0)),"")</f>
        <v/>
      </c>
      <c r="R35" s="50" t="str">
        <f>IF($P35&lt;&gt;"",INDEX(Data!$B$9:$J$51,MATCH($P35,Data!$A$9:$A$51,0),MATCH(R$10,Data!$B$4:$J$4,0)),"")</f>
        <v/>
      </c>
      <c r="S35" s="50" t="str">
        <f>IF($P35&lt;&gt;"",INDEX(Data!$B$9:$J$51,MATCH($P35,Data!$A$9:$A$51,0),MATCH(S$10,Data!$B$4:$J$4,0)),"")</f>
        <v/>
      </c>
      <c r="T35" s="50" t="str">
        <f>IF($P35&lt;&gt;"",INDEX(Data!$B$9:$J$51,MATCH($P35,Data!$A$9:$A$51,0),MATCH(T$10,Data!$B$4:$J$4,0)),"")</f>
        <v/>
      </c>
      <c r="U35" s="50" t="str">
        <f>IF($P35&lt;&gt;"",INDEX(Data!$B$9:$J$51,MATCH($P35,Data!$A$9:$A$51,0),MATCH(U$10,Data!$B$4:$J$4,0)),"")</f>
        <v/>
      </c>
      <c r="V35" s="50" t="str">
        <f>IF($P35&lt;&gt;"",INDEX(Data!$B$9:$J$51,MATCH($P35,Data!$A$9:$A$51,0),MATCH(V$10,Data!$B$4:$J$4,0)),"")</f>
        <v/>
      </c>
      <c r="W35" s="50" t="str">
        <f>IF($P35&lt;&gt;"",INDEX(Data!$B$9:$J$51,MATCH($P35,Data!$A$9:$A$51,0),MATCH(W$10,Data!$B$4:$J$4,0)),"")</f>
        <v/>
      </c>
      <c r="X35" s="50" t="str">
        <f>IF($P35&lt;&gt;"",INDEX(Data!$B$9:$J$51,MATCH($P35,Data!$A$9:$A$51,0),MATCH(X$10,Data!$B$4:$J$4,0)),"")</f>
        <v/>
      </c>
      <c r="Y35" s="50" t="str">
        <f>IF($P35&lt;&gt;"",INDEX(Data!$B$9:$J$51,MATCH($P35,Data!$A$9:$A$51,0),MATCH(Y$10,Data!$B$4:$J$4,0)),"")</f>
        <v/>
      </c>
      <c r="Z35" s="47" t="str">
        <f t="shared" si="11"/>
        <v/>
      </c>
      <c r="AA35" s="47" t="str">
        <f t="shared" si="12"/>
        <v/>
      </c>
      <c r="AB35" s="47" t="str">
        <f t="shared" si="13"/>
        <v/>
      </c>
      <c r="AC35" s="48" t="str">
        <f t="shared" si="14"/>
        <v/>
      </c>
      <c r="AD35" s="48" t="str">
        <f t="shared" si="5"/>
        <v/>
      </c>
      <c r="AE35" s="48" t="str">
        <f t="shared" si="6"/>
        <v/>
      </c>
      <c r="AH35" t="str">
        <f t="shared" si="15"/>
        <v/>
      </c>
      <c r="AI35" s="48" t="str">
        <f t="shared" si="16"/>
        <v/>
      </c>
    </row>
    <row r="36" spans="8:40" ht="14.4" thickBot="1" x14ac:dyDescent="0.3">
      <c r="H36" s="43"/>
      <c r="I36" s="16"/>
      <c r="J36" s="44"/>
      <c r="O36" s="45" t="str">
        <f t="shared" si="9"/>
        <v/>
      </c>
      <c r="P36" s="45" t="str">
        <f t="shared" si="10"/>
        <v/>
      </c>
      <c r="Q36" s="59" t="str">
        <f>IF($P36&lt;&gt;"",INDEX(Data!$B$9:$J$51,MATCH($P36,Data!$A$9:$A$51,0),MATCH(Q$10,Data!$B$4:$J$4,0)),"")</f>
        <v/>
      </c>
      <c r="R36" s="59" t="str">
        <f>IF($P36&lt;&gt;"",INDEX(Data!$B$9:$J$51,MATCH($P36,Data!$A$9:$A$51,0),MATCH(R$10,Data!$B$4:$J$4,0)),"")</f>
        <v/>
      </c>
      <c r="S36" s="59" t="str">
        <f>IF($P36&lt;&gt;"",INDEX(Data!$B$9:$J$51,MATCH($P36,Data!$A$9:$A$51,0),MATCH(S$10,Data!$B$4:$J$4,0)),"")</f>
        <v/>
      </c>
      <c r="T36" s="59" t="str">
        <f>IF($P36&lt;&gt;"",INDEX(Data!$B$9:$J$51,MATCH($P36,Data!$A$9:$A$51,0),MATCH(T$10,Data!$B$4:$J$4,0)),"")</f>
        <v/>
      </c>
      <c r="U36" s="59" t="str">
        <f>IF($P36&lt;&gt;"",INDEX(Data!$B$9:$J$51,MATCH($P36,Data!$A$9:$A$51,0),MATCH(U$10,Data!$B$4:$J$4,0)),"")</f>
        <v/>
      </c>
      <c r="V36" s="59" t="str">
        <f>IF($P36&lt;&gt;"",INDEX(Data!$B$9:$J$51,MATCH($P36,Data!$A$9:$A$51,0),MATCH(V$10,Data!$B$4:$J$4,0)),"")</f>
        <v/>
      </c>
      <c r="W36" s="59" t="str">
        <f>IF($P36&lt;&gt;"",INDEX(Data!$B$9:$J$51,MATCH($P36,Data!$A$9:$A$51,0),MATCH(W$10,Data!$B$4:$J$4,0)),"")</f>
        <v/>
      </c>
      <c r="X36" s="59" t="str">
        <f>IF($P36&lt;&gt;"",INDEX(Data!$B$9:$J$51,MATCH($P36,Data!$A$9:$A$51,0),MATCH(X$10,Data!$B$4:$J$4,0)),"")</f>
        <v/>
      </c>
      <c r="Y36" s="59" t="str">
        <f>IF($P36&lt;&gt;"",INDEX(Data!$B$9:$J$51,MATCH($P36,Data!$A$9:$A$51,0),MATCH(Y$10,Data!$B$4:$J$4,0)),"")</f>
        <v/>
      </c>
      <c r="Z36" s="49" t="str">
        <f t="shared" si="11"/>
        <v/>
      </c>
      <c r="AA36" s="49" t="str">
        <f t="shared" si="12"/>
        <v/>
      </c>
      <c r="AB36" s="49" t="str">
        <f t="shared" si="13"/>
        <v/>
      </c>
      <c r="AC36" s="49" t="str">
        <f t="shared" si="14"/>
        <v/>
      </c>
      <c r="AD36" s="49" t="str">
        <f t="shared" si="5"/>
        <v/>
      </c>
      <c r="AE36" s="49" t="str">
        <f t="shared" si="6"/>
        <v/>
      </c>
      <c r="AH36" s="45" t="str">
        <f t="shared" si="15"/>
        <v/>
      </c>
      <c r="AI36" s="48" t="str">
        <f t="shared" si="16"/>
        <v/>
      </c>
      <c r="AK36" s="45"/>
      <c r="AL36" s="45"/>
      <c r="AM36" s="45"/>
      <c r="AN36" s="45"/>
    </row>
    <row r="37" spans="8:40" x14ac:dyDescent="0.25">
      <c r="Q37" s="4" t="s">
        <v>19</v>
      </c>
      <c r="R37" s="4"/>
      <c r="S37" s="4"/>
      <c r="T37" s="5" t="s">
        <v>96</v>
      </c>
      <c r="U37" s="5"/>
      <c r="V37" s="5"/>
      <c r="W37" s="6" t="s">
        <v>97</v>
      </c>
      <c r="X37" s="6"/>
      <c r="Y37" s="6"/>
      <c r="Z37" s="5" t="s">
        <v>98</v>
      </c>
      <c r="AA37" s="5"/>
      <c r="AB37" s="5"/>
      <c r="AC37" s="6" t="s">
        <v>99</v>
      </c>
      <c r="AD37" s="6"/>
      <c r="AE37" s="6"/>
    </row>
    <row r="38" spans="8:40" x14ac:dyDescent="0.25">
      <c r="P38" t="str">
        <f>INDEX(H16:$J$16,,$D$5)</f>
        <v>Utility Apps</v>
      </c>
      <c r="Q38" s="61">
        <f>IF($P38&lt;&gt;"",INDEX(Data!$B$9:$J$51,MATCH($P38,Data!$A$9:$A$51,0),MATCH(Q$10,Data!$B$4:$J$4,0)),"")</f>
        <v>189978.5</v>
      </c>
      <c r="R38" s="61">
        <f>IF($P38&lt;&gt;"",INDEX(Data!$B$9:$J$51,MATCH($P38,Data!$A$9:$A$51,0),MATCH(R$10,Data!$B$4:$J$4,0)),"")</f>
        <v>8869.2000000000007</v>
      </c>
      <c r="S38" s="61">
        <f>IF($P38&lt;&gt;"",INDEX(Data!$B$9:$J$51,MATCH($P38,Data!$A$9:$A$51,0),MATCH(S$10,Data!$B$4:$J$4,0)),"")</f>
        <v>91467.1</v>
      </c>
      <c r="T38" s="50">
        <f>IF($P38&lt;&gt;"",INDEX(Data!$B$9:$J$51,MATCH($P38,Data!$A$9:$A$51,0),MATCH(T$10,Data!$B$4:$J$4,0)),"")</f>
        <v>187118.2</v>
      </c>
      <c r="U38" s="50">
        <f>IF($P38&lt;&gt;"",INDEX(Data!$B$9:$J$51,MATCH($P38,Data!$A$9:$A$51,0),MATCH(U$10,Data!$B$4:$J$4,0)),"")</f>
        <v>7865.9000000000005</v>
      </c>
      <c r="V38" s="50">
        <f>IF($P38&lt;&gt;"",INDEX(Data!$B$9:$J$51,MATCH($P38,Data!$A$9:$A$51,0),MATCH(V$10,Data!$B$4:$J$4,0)),"")</f>
        <v>97100.299999999988</v>
      </c>
      <c r="W38" s="50">
        <f>IF($P38&lt;&gt;"",INDEX(Data!$B$9:$J$51,MATCH($P38,Data!$A$9:$A$51,0),MATCH(W$10,Data!$B$4:$J$4,0)),"")</f>
        <v>181464.8</v>
      </c>
      <c r="X38" s="50">
        <f>IF($P38&lt;&gt;"",INDEX(Data!$B$9:$J$51,MATCH($P38,Data!$A$9:$A$51,0),MATCH(X$10,Data!$B$4:$J$4,0)),"")</f>
        <v>8122.2</v>
      </c>
      <c r="Y38" s="50">
        <f>IF($P38&lt;&gt;"",INDEX(Data!$B$9:$J$51,MATCH($P38,Data!$A$9:$A$51,0),MATCH(Y$10,Data!$B$4:$J$4,0)),"")</f>
        <v>94780.800000000003</v>
      </c>
      <c r="Z38" s="47">
        <f t="shared" ref="Z38" si="26">IF($P38&lt;&gt;"",(Q38-T38)/T38,"")</f>
        <v>1.5286059827424528E-2</v>
      </c>
      <c r="AA38" s="47">
        <f t="shared" ref="AA38" si="27">IF($P38&lt;&gt;"",(R38-U38)/U38,"")</f>
        <v>0.12755056636875628</v>
      </c>
      <c r="AB38" s="47">
        <f t="shared" ref="AB38" si="28">IF($P38&lt;&gt;"",(S38-V38)/V38,"")</f>
        <v>-5.8014238884946633E-2</v>
      </c>
      <c r="AC38" s="48">
        <f t="shared" ref="AC38" si="29">IF($P38&lt;&gt;"",(Q38-W38)/W38,"")</f>
        <v>4.6916536981276874E-2</v>
      </c>
      <c r="AD38" s="48">
        <f t="shared" ref="AD38" si="30">IF($P38&lt;&gt;"",(R38-X38)/X38,"")</f>
        <v>9.1970155869099623E-2</v>
      </c>
      <c r="AE38" s="48">
        <f t="shared" ref="AE38" si="31">IF($P38&lt;&gt;"",(S38-Y38)/Y38,"")</f>
        <v>-3.4961722205341134E-2</v>
      </c>
    </row>
    <row r="40" spans="8:40" x14ac:dyDescent="0.25">
      <c r="P40" s="60"/>
      <c r="Q40" s="60" t="s">
        <v>110</v>
      </c>
      <c r="R40" s="60"/>
      <c r="S40" s="60"/>
      <c r="Y40" s="32" t="s">
        <v>109</v>
      </c>
      <c r="Z40" s="32"/>
      <c r="AA40" s="32"/>
    </row>
    <row r="41" spans="8:40" x14ac:dyDescent="0.25">
      <c r="P41" t="s">
        <v>6</v>
      </c>
      <c r="Q41" t="s">
        <v>111</v>
      </c>
      <c r="R41" s="61">
        <f>Q38-W38</f>
        <v>8513.7000000000116</v>
      </c>
      <c r="S41" t="str">
        <f>IF(R41&gt;0,"Over Budget",IF(R41&lt;0,"Under Budget","On Budget"))</f>
        <v>Over Budget</v>
      </c>
    </row>
    <row r="42" spans="8:40" x14ac:dyDescent="0.25">
      <c r="P42" t="s">
        <v>7</v>
      </c>
      <c r="Q42" t="s">
        <v>112</v>
      </c>
      <c r="R42" s="61">
        <f>R38-X38</f>
        <v>747.00000000000091</v>
      </c>
      <c r="S42" t="str">
        <f t="shared" ref="S42:S43" si="32">IF(R42&gt;0,"Over Budget",IF(R42&lt;0,"Under Budget","On Budget"))</f>
        <v>Over Budget</v>
      </c>
      <c r="Y42" t="s">
        <v>106</v>
      </c>
      <c r="Z42" s="48">
        <f>MIN(Z17:Z36)</f>
        <v>-0.24741506646971936</v>
      </c>
      <c r="AA42" s="48">
        <f>MIN(AA17:AA36)</f>
        <v>-0.55285961871750433</v>
      </c>
      <c r="AB42" s="48">
        <f>MIN(AB17:AB36)</f>
        <v>-0.18720538720538721</v>
      </c>
    </row>
    <row r="43" spans="8:40" x14ac:dyDescent="0.25">
      <c r="P43" t="s">
        <v>9</v>
      </c>
      <c r="Q43" t="s">
        <v>113</v>
      </c>
      <c r="R43" s="61">
        <f>S38-Y38</f>
        <v>-3313.6999999999971</v>
      </c>
      <c r="S43" t="str">
        <f t="shared" si="32"/>
        <v>Under Budget</v>
      </c>
      <c r="Y43" t="s">
        <v>107</v>
      </c>
      <c r="Z43" s="48">
        <f>MAX(Z17:Z36)</f>
        <v>0.16703703703703704</v>
      </c>
      <c r="AA43" s="48">
        <f>MAX(AA17:AA36)</f>
        <v>0.46612466124661245</v>
      </c>
      <c r="AB43" s="48">
        <f>MAX(AB17:AB36)</f>
        <v>0.136474609375</v>
      </c>
    </row>
  </sheetData>
  <mergeCells count="1">
    <mergeCell ref="H15:J15"/>
  </mergeCells>
  <pageMargins left="0.7" right="0.7" top="0.75" bottom="0.75" header="0.3" footer="0.3"/>
  <ignoredErrors>
    <ignoredError sqref="AU15 AZ17:AZ2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51"/>
  <sheetViews>
    <sheetView workbookViewId="0">
      <selection activeCell="D10" sqref="D10"/>
    </sheetView>
  </sheetViews>
  <sheetFormatPr defaultRowHeight="13.8" x14ac:dyDescent="0.25"/>
  <cols>
    <col min="1" max="1" width="27.8984375" customWidth="1"/>
  </cols>
  <sheetData>
    <row r="1" spans="1:46" x14ac:dyDescent="0.25">
      <c r="A1" t="s">
        <v>86</v>
      </c>
    </row>
    <row r="2" spans="1:46" x14ac:dyDescent="0.25">
      <c r="A2" s="35">
        <f>cur_year</f>
        <v>2017</v>
      </c>
      <c r="B2" s="35">
        <f>$A$2-1</f>
        <v>2016</v>
      </c>
    </row>
    <row r="3" spans="1:46" x14ac:dyDescent="0.25">
      <c r="B3" s="27" t="s">
        <v>19</v>
      </c>
      <c r="C3" s="26"/>
      <c r="D3" s="31"/>
      <c r="E3" s="25" t="s">
        <v>85</v>
      </c>
      <c r="F3" s="30"/>
      <c r="G3" s="29"/>
      <c r="H3" s="23" t="s">
        <v>72</v>
      </c>
      <c r="I3" s="23"/>
      <c r="J3" s="28"/>
      <c r="K3" s="27" t="s">
        <v>19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 t="s">
        <v>85</v>
      </c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4"/>
      <c r="AI3" s="23" t="s">
        <v>72</v>
      </c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</row>
    <row r="4" spans="1:46" x14ac:dyDescent="0.25">
      <c r="A4" t="s">
        <v>108</v>
      </c>
      <c r="B4" t="str">
        <f>B5&amp;B6&amp;B7&amp;B8</f>
        <v>2017JunActualRevenue</v>
      </c>
      <c r="C4" t="str">
        <f t="shared" ref="C4:I4" si="0">C5&amp;C6&amp;C7&amp;C8</f>
        <v>2017JunActualProfit</v>
      </c>
      <c r="D4" t="str">
        <f t="shared" si="0"/>
        <v>2017JunActualCash</v>
      </c>
      <c r="E4" t="str">
        <f t="shared" si="0"/>
        <v>2016JunActualRevenue</v>
      </c>
      <c r="F4" t="str">
        <f t="shared" si="0"/>
        <v>2016JunActualProfit</v>
      </c>
      <c r="G4" t="str">
        <f t="shared" si="0"/>
        <v>2016JunActualCash</v>
      </c>
      <c r="H4" t="str">
        <f t="shared" si="0"/>
        <v>2017JunBudgetRevenue</v>
      </c>
      <c r="I4" t="str">
        <f t="shared" si="0"/>
        <v>2017JunBudgetProfit</v>
      </c>
      <c r="J4" t="str">
        <f>J5&amp;J6&amp;J7&amp;J8</f>
        <v>2017JunBudgetCash</v>
      </c>
      <c r="K4" t="str">
        <f t="shared" ref="K4:T4" si="1">K5&amp;K6&amp;K7&amp;K8</f>
        <v>2017JanActualProfit</v>
      </c>
      <c r="L4" t="str">
        <f t="shared" si="1"/>
        <v>2017FebActualProfit</v>
      </c>
      <c r="M4" t="str">
        <f t="shared" si="1"/>
        <v>2017MarActualProfit</v>
      </c>
      <c r="N4" t="str">
        <f t="shared" si="1"/>
        <v>2017AprActualProfit</v>
      </c>
      <c r="O4" t="str">
        <f t="shared" si="1"/>
        <v>2017MayActualProfit</v>
      </c>
      <c r="P4" t="str">
        <f t="shared" si="1"/>
        <v>2017JunActualProfit</v>
      </c>
      <c r="Q4" t="str">
        <f t="shared" si="1"/>
        <v>2017JulActualProfit</v>
      </c>
      <c r="R4" t="str">
        <f t="shared" si="1"/>
        <v>2017AugActualProfit</v>
      </c>
      <c r="S4" t="str">
        <f t="shared" si="1"/>
        <v>2017SepActualProfit</v>
      </c>
      <c r="T4" t="str">
        <f t="shared" si="1"/>
        <v>2017OctActualProfit</v>
      </c>
      <c r="U4" t="str">
        <f t="shared" ref="U4" si="2">U5&amp;U6&amp;U7&amp;U8</f>
        <v>2017NovActualProfit</v>
      </c>
      <c r="V4" t="str">
        <f t="shared" ref="V4" si="3">V5&amp;V6&amp;V7&amp;V8</f>
        <v>2017DecActualProfit</v>
      </c>
      <c r="W4" t="str">
        <f t="shared" ref="W4" si="4">W5&amp;W6&amp;W7&amp;W8</f>
        <v>2016JanActualProfit</v>
      </c>
      <c r="X4" t="str">
        <f t="shared" ref="X4" si="5">X5&amp;X6&amp;X7&amp;X8</f>
        <v>2016FebActualProfit</v>
      </c>
      <c r="Y4" t="str">
        <f t="shared" ref="Y4" si="6">Y5&amp;Y6&amp;Y7&amp;Y8</f>
        <v>2016MarActualProfit</v>
      </c>
      <c r="Z4" t="str">
        <f t="shared" ref="Z4" si="7">Z5&amp;Z6&amp;Z7&amp;Z8</f>
        <v>2016AprActualProfit</v>
      </c>
      <c r="AA4" t="str">
        <f t="shared" ref="AA4" si="8">AA5&amp;AA6&amp;AA7&amp;AA8</f>
        <v>2016MayActualProfit</v>
      </c>
      <c r="AB4" t="str">
        <f t="shared" ref="AB4" si="9">AB5&amp;AB6&amp;AB7&amp;AB8</f>
        <v>2016JunActualProfit</v>
      </c>
      <c r="AC4" t="str">
        <f t="shared" ref="AC4:AD4" si="10">AC5&amp;AC6&amp;AC7&amp;AC8</f>
        <v>2016JulActualProfit</v>
      </c>
      <c r="AD4" t="str">
        <f t="shared" si="10"/>
        <v>2016AugActualProfit</v>
      </c>
      <c r="AE4" t="str">
        <f t="shared" ref="AE4" si="11">AE5&amp;AE6&amp;AE7&amp;AE8</f>
        <v>2016SepActualProfit</v>
      </c>
      <c r="AF4" t="str">
        <f t="shared" ref="AF4" si="12">AF5&amp;AF6&amp;AF7&amp;AF8</f>
        <v>2016OctActualProfit</v>
      </c>
      <c r="AG4" t="str">
        <f t="shared" ref="AG4" si="13">AG5&amp;AG6&amp;AG7&amp;AG8</f>
        <v>2016NovActualProfit</v>
      </c>
      <c r="AH4" t="str">
        <f t="shared" ref="AH4" si="14">AH5&amp;AH6&amp;AH7&amp;AH8</f>
        <v>2016DecActualProfit</v>
      </c>
      <c r="AI4" t="str">
        <f t="shared" ref="AI4" si="15">AI5&amp;AI6&amp;AI7&amp;AI8</f>
        <v>2017JanBudgetProfit</v>
      </c>
      <c r="AJ4" t="str">
        <f t="shared" ref="AJ4" si="16">AJ5&amp;AJ6&amp;AJ7&amp;AJ8</f>
        <v>2017FebBudgetProfit</v>
      </c>
      <c r="AK4" t="str">
        <f t="shared" ref="AK4" si="17">AK5&amp;AK6&amp;AK7&amp;AK8</f>
        <v>2017MarBudgetProfit</v>
      </c>
      <c r="AL4" t="str">
        <f t="shared" ref="AL4" si="18">AL5&amp;AL6&amp;AL7&amp;AL8</f>
        <v>2017AprBudgetProfit</v>
      </c>
      <c r="AM4" t="str">
        <f t="shared" ref="AM4:AN4" si="19">AM5&amp;AM6&amp;AM7&amp;AM8</f>
        <v>2017MayBudgetProfit</v>
      </c>
      <c r="AN4" t="str">
        <f t="shared" si="19"/>
        <v>2017JunBudgetProfit</v>
      </c>
      <c r="AO4" t="str">
        <f t="shared" ref="AO4" si="20">AO5&amp;AO6&amp;AO7&amp;AO8</f>
        <v>2017JulBudgetProfit</v>
      </c>
      <c r="AP4" t="str">
        <f t="shared" ref="AP4" si="21">AP5&amp;AP6&amp;AP7&amp;AP8</f>
        <v>2017AugBudgetProfit</v>
      </c>
      <c r="AQ4" t="str">
        <f t="shared" ref="AQ4" si="22">AQ5&amp;AQ6&amp;AQ7&amp;AQ8</f>
        <v>2017SepBudgetProfit</v>
      </c>
      <c r="AR4" t="str">
        <f t="shared" ref="AR4" si="23">AR5&amp;AR6&amp;AR7&amp;AR8</f>
        <v>2017OctBudgetProfit</v>
      </c>
      <c r="AS4" t="str">
        <f t="shared" ref="AS4" si="24">AS5&amp;AS6&amp;AS7&amp;AS8</f>
        <v>2017NovBudgetProfit</v>
      </c>
      <c r="AT4" t="str">
        <f t="shared" ref="AT4" si="25">AT5&amp;AT6&amp;AT7&amp;AT8</f>
        <v>2017DecBudgetProfit</v>
      </c>
    </row>
    <row r="5" spans="1:46" x14ac:dyDescent="0.25">
      <c r="B5" s="21">
        <f t="shared" ref="B5:D5" si="26">$A$2</f>
        <v>2017</v>
      </c>
      <c r="C5" s="21">
        <f t="shared" si="26"/>
        <v>2017</v>
      </c>
      <c r="D5" s="20">
        <f t="shared" si="26"/>
        <v>2017</v>
      </c>
      <c r="E5" s="21">
        <f t="shared" ref="E5:G5" si="27">$B$2</f>
        <v>2016</v>
      </c>
      <c r="F5" s="21">
        <f t="shared" si="27"/>
        <v>2016</v>
      </c>
      <c r="G5" s="20">
        <f t="shared" si="27"/>
        <v>2016</v>
      </c>
      <c r="H5" s="21">
        <f t="shared" ref="H5:J5" si="28">$A$2</f>
        <v>2017</v>
      </c>
      <c r="I5" s="21">
        <f t="shared" si="28"/>
        <v>2017</v>
      </c>
      <c r="J5" s="20">
        <f t="shared" si="28"/>
        <v>2017</v>
      </c>
      <c r="K5" s="17">
        <f t="shared" ref="K5:V5" si="29">$A$2</f>
        <v>2017</v>
      </c>
      <c r="L5" s="17">
        <f t="shared" si="29"/>
        <v>2017</v>
      </c>
      <c r="M5" s="17">
        <f t="shared" si="29"/>
        <v>2017</v>
      </c>
      <c r="N5" s="17">
        <f t="shared" si="29"/>
        <v>2017</v>
      </c>
      <c r="O5" s="17">
        <f t="shared" si="29"/>
        <v>2017</v>
      </c>
      <c r="P5" s="17">
        <f t="shared" si="29"/>
        <v>2017</v>
      </c>
      <c r="Q5" s="17">
        <f t="shared" si="29"/>
        <v>2017</v>
      </c>
      <c r="R5" s="17">
        <f t="shared" si="29"/>
        <v>2017</v>
      </c>
      <c r="S5" s="17">
        <f t="shared" si="29"/>
        <v>2017</v>
      </c>
      <c r="T5" s="17">
        <f t="shared" si="29"/>
        <v>2017</v>
      </c>
      <c r="U5" s="17">
        <f t="shared" si="29"/>
        <v>2017</v>
      </c>
      <c r="V5" s="17">
        <f t="shared" si="29"/>
        <v>2017</v>
      </c>
      <c r="W5" s="19">
        <f t="shared" ref="W5:AH5" si="30">$B$2</f>
        <v>2016</v>
      </c>
      <c r="X5" s="17">
        <f t="shared" si="30"/>
        <v>2016</v>
      </c>
      <c r="Y5" s="17">
        <f t="shared" si="30"/>
        <v>2016</v>
      </c>
      <c r="Z5" s="17">
        <f t="shared" si="30"/>
        <v>2016</v>
      </c>
      <c r="AA5" s="17">
        <f t="shared" si="30"/>
        <v>2016</v>
      </c>
      <c r="AB5" s="17">
        <f t="shared" si="30"/>
        <v>2016</v>
      </c>
      <c r="AC5" s="17">
        <f t="shared" si="30"/>
        <v>2016</v>
      </c>
      <c r="AD5" s="17">
        <f t="shared" si="30"/>
        <v>2016</v>
      </c>
      <c r="AE5" s="17">
        <f t="shared" si="30"/>
        <v>2016</v>
      </c>
      <c r="AF5" s="17">
        <f t="shared" si="30"/>
        <v>2016</v>
      </c>
      <c r="AG5" s="17">
        <f t="shared" si="30"/>
        <v>2016</v>
      </c>
      <c r="AH5" s="17">
        <f t="shared" si="30"/>
        <v>2016</v>
      </c>
      <c r="AI5" s="17">
        <f t="shared" ref="AI5:AT5" si="31">$A$2</f>
        <v>2017</v>
      </c>
      <c r="AJ5" s="17">
        <f t="shared" si="31"/>
        <v>2017</v>
      </c>
      <c r="AK5" s="17">
        <f t="shared" si="31"/>
        <v>2017</v>
      </c>
      <c r="AL5" s="17">
        <f t="shared" si="31"/>
        <v>2017</v>
      </c>
      <c r="AM5" s="17">
        <f t="shared" si="31"/>
        <v>2017</v>
      </c>
      <c r="AN5" s="17">
        <f t="shared" si="31"/>
        <v>2017</v>
      </c>
      <c r="AO5" s="17">
        <f t="shared" si="31"/>
        <v>2017</v>
      </c>
      <c r="AP5" s="17">
        <f t="shared" si="31"/>
        <v>2017</v>
      </c>
      <c r="AQ5" s="17">
        <f t="shared" si="31"/>
        <v>2017</v>
      </c>
      <c r="AR5" s="17">
        <f t="shared" si="31"/>
        <v>2017</v>
      </c>
      <c r="AS5" s="17">
        <f t="shared" si="31"/>
        <v>2017</v>
      </c>
      <c r="AT5" s="17">
        <f t="shared" si="31"/>
        <v>2017</v>
      </c>
    </row>
    <row r="6" spans="1:46" x14ac:dyDescent="0.25">
      <c r="B6" s="21" t="str">
        <f t="shared" ref="B6:J6" si="32">cur_month</f>
        <v>Jun</v>
      </c>
      <c r="C6" s="21" t="str">
        <f t="shared" si="32"/>
        <v>Jun</v>
      </c>
      <c r="D6" s="20" t="str">
        <f t="shared" si="32"/>
        <v>Jun</v>
      </c>
      <c r="E6" s="21" t="str">
        <f t="shared" si="32"/>
        <v>Jun</v>
      </c>
      <c r="F6" s="21" t="str">
        <f t="shared" si="32"/>
        <v>Jun</v>
      </c>
      <c r="G6" s="20" t="str">
        <f t="shared" si="32"/>
        <v>Jun</v>
      </c>
      <c r="H6" s="21" t="str">
        <f t="shared" si="32"/>
        <v>Jun</v>
      </c>
      <c r="I6" s="21" t="str">
        <f t="shared" si="32"/>
        <v>Jun</v>
      </c>
      <c r="J6" s="20" t="str">
        <f t="shared" si="32"/>
        <v>Jun</v>
      </c>
      <c r="K6" s="17" t="s">
        <v>84</v>
      </c>
      <c r="L6" s="17" t="s">
        <v>83</v>
      </c>
      <c r="M6" s="17" t="s">
        <v>82</v>
      </c>
      <c r="N6" s="17" t="s">
        <v>81</v>
      </c>
      <c r="O6" s="17" t="s">
        <v>80</v>
      </c>
      <c r="P6" s="17" t="s">
        <v>79</v>
      </c>
      <c r="Q6" s="17" t="s">
        <v>78</v>
      </c>
      <c r="R6" s="17" t="s">
        <v>77</v>
      </c>
      <c r="S6" s="17" t="s">
        <v>76</v>
      </c>
      <c r="T6" s="17" t="s">
        <v>75</v>
      </c>
      <c r="U6" s="17" t="s">
        <v>74</v>
      </c>
      <c r="V6" s="18" t="s">
        <v>73</v>
      </c>
      <c r="W6" s="17" t="s">
        <v>84</v>
      </c>
      <c r="X6" s="17" t="s">
        <v>83</v>
      </c>
      <c r="Y6" s="17" t="s">
        <v>82</v>
      </c>
      <c r="Z6" s="17" t="s">
        <v>81</v>
      </c>
      <c r="AA6" s="17" t="s">
        <v>80</v>
      </c>
      <c r="AB6" s="17" t="s">
        <v>79</v>
      </c>
      <c r="AC6" s="17" t="s">
        <v>78</v>
      </c>
      <c r="AD6" s="17" t="s">
        <v>77</v>
      </c>
      <c r="AE6" s="17" t="s">
        <v>76</v>
      </c>
      <c r="AF6" s="17" t="s">
        <v>75</v>
      </c>
      <c r="AG6" s="17" t="s">
        <v>74</v>
      </c>
      <c r="AH6" s="18" t="s">
        <v>73</v>
      </c>
      <c r="AI6" s="17" t="s">
        <v>84</v>
      </c>
      <c r="AJ6" s="17" t="s">
        <v>83</v>
      </c>
      <c r="AK6" s="17" t="s">
        <v>82</v>
      </c>
      <c r="AL6" s="17" t="s">
        <v>81</v>
      </c>
      <c r="AM6" s="17" t="s">
        <v>80</v>
      </c>
      <c r="AN6" s="17" t="s">
        <v>79</v>
      </c>
      <c r="AO6" s="17" t="s">
        <v>78</v>
      </c>
      <c r="AP6" s="17" t="s">
        <v>77</v>
      </c>
      <c r="AQ6" s="17" t="s">
        <v>76</v>
      </c>
      <c r="AR6" s="17" t="s">
        <v>75</v>
      </c>
      <c r="AS6" s="17" t="s">
        <v>74</v>
      </c>
      <c r="AT6" s="17" t="s">
        <v>73</v>
      </c>
    </row>
    <row r="7" spans="1:46" x14ac:dyDescent="0.25">
      <c r="B7" s="21" t="s">
        <v>19</v>
      </c>
      <c r="C7" s="21" t="s">
        <v>19</v>
      </c>
      <c r="D7" s="20" t="s">
        <v>19</v>
      </c>
      <c r="E7" s="21" t="s">
        <v>19</v>
      </c>
      <c r="F7" s="21" t="s">
        <v>19</v>
      </c>
      <c r="G7" s="20" t="s">
        <v>19</v>
      </c>
      <c r="H7" s="21" t="s">
        <v>72</v>
      </c>
      <c r="I7" s="21" t="s">
        <v>72</v>
      </c>
      <c r="J7" s="20" t="s">
        <v>72</v>
      </c>
      <c r="K7" s="17" t="s">
        <v>19</v>
      </c>
      <c r="L7" s="17" t="s">
        <v>19</v>
      </c>
      <c r="M7" s="17" t="s">
        <v>19</v>
      </c>
      <c r="N7" s="17" t="s">
        <v>19</v>
      </c>
      <c r="O7" s="17" t="s">
        <v>19</v>
      </c>
      <c r="P7" s="17" t="s">
        <v>19</v>
      </c>
      <c r="Q7" s="17" t="s">
        <v>19</v>
      </c>
      <c r="R7" s="17" t="s">
        <v>19</v>
      </c>
      <c r="S7" s="17" t="s">
        <v>19</v>
      </c>
      <c r="T7" s="17" t="s">
        <v>19</v>
      </c>
      <c r="U7" s="17" t="s">
        <v>19</v>
      </c>
      <c r="V7" s="17" t="s">
        <v>19</v>
      </c>
      <c r="W7" s="19" t="s">
        <v>19</v>
      </c>
      <c r="X7" s="17" t="s">
        <v>19</v>
      </c>
      <c r="Y7" s="17" t="s">
        <v>19</v>
      </c>
      <c r="Z7" s="17" t="s">
        <v>19</v>
      </c>
      <c r="AA7" s="17" t="s">
        <v>19</v>
      </c>
      <c r="AB7" s="17" t="s">
        <v>19</v>
      </c>
      <c r="AC7" s="17" t="s">
        <v>19</v>
      </c>
      <c r="AD7" s="17" t="s">
        <v>19</v>
      </c>
      <c r="AE7" s="17" t="s">
        <v>19</v>
      </c>
      <c r="AF7" s="17" t="s">
        <v>19</v>
      </c>
      <c r="AG7" s="17" t="s">
        <v>19</v>
      </c>
      <c r="AH7" s="18" t="s">
        <v>19</v>
      </c>
      <c r="AI7" s="17" t="s">
        <v>72</v>
      </c>
      <c r="AJ7" s="17" t="s">
        <v>72</v>
      </c>
      <c r="AK7" s="17" t="s">
        <v>72</v>
      </c>
      <c r="AL7" s="17" t="s">
        <v>72</v>
      </c>
      <c r="AM7" s="17" t="s">
        <v>72</v>
      </c>
      <c r="AN7" s="17" t="s">
        <v>72</v>
      </c>
      <c r="AO7" s="17" t="s">
        <v>72</v>
      </c>
      <c r="AP7" s="17" t="s">
        <v>72</v>
      </c>
      <c r="AQ7" s="17" t="s">
        <v>72</v>
      </c>
      <c r="AR7" s="17" t="s">
        <v>72</v>
      </c>
      <c r="AS7" s="17" t="s">
        <v>72</v>
      </c>
      <c r="AT7" s="17" t="s">
        <v>72</v>
      </c>
    </row>
    <row r="8" spans="1:46" x14ac:dyDescent="0.25">
      <c r="A8" s="16"/>
      <c r="B8" s="15" t="s">
        <v>6</v>
      </c>
      <c r="C8" s="15" t="s">
        <v>7</v>
      </c>
      <c r="D8" s="14" t="s">
        <v>9</v>
      </c>
      <c r="E8" s="15" t="s">
        <v>6</v>
      </c>
      <c r="F8" s="15" t="s">
        <v>7</v>
      </c>
      <c r="G8" s="14" t="s">
        <v>9</v>
      </c>
      <c r="H8" s="15" t="s">
        <v>6</v>
      </c>
      <c r="I8" s="15" t="s">
        <v>7</v>
      </c>
      <c r="J8" s="14" t="s">
        <v>9</v>
      </c>
      <c r="K8" s="11" t="s">
        <v>7</v>
      </c>
      <c r="L8" s="11" t="s">
        <v>7</v>
      </c>
      <c r="M8" s="11" t="s">
        <v>7</v>
      </c>
      <c r="N8" s="11" t="s">
        <v>7</v>
      </c>
      <c r="O8" s="11" t="s">
        <v>7</v>
      </c>
      <c r="P8" s="11" t="s">
        <v>7</v>
      </c>
      <c r="Q8" s="11" t="s">
        <v>7</v>
      </c>
      <c r="R8" s="11" t="s">
        <v>7</v>
      </c>
      <c r="S8" s="11" t="s">
        <v>7</v>
      </c>
      <c r="T8" s="11" t="s">
        <v>7</v>
      </c>
      <c r="U8" s="11" t="s">
        <v>7</v>
      </c>
      <c r="V8" s="11" t="s">
        <v>7</v>
      </c>
      <c r="W8" s="13" t="s">
        <v>7</v>
      </c>
      <c r="X8" s="11" t="s">
        <v>7</v>
      </c>
      <c r="Y8" s="11" t="s">
        <v>7</v>
      </c>
      <c r="Z8" s="11" t="s">
        <v>7</v>
      </c>
      <c r="AA8" s="11" t="s">
        <v>7</v>
      </c>
      <c r="AB8" s="11" t="s">
        <v>7</v>
      </c>
      <c r="AC8" s="11" t="s">
        <v>7</v>
      </c>
      <c r="AD8" s="11" t="s">
        <v>7</v>
      </c>
      <c r="AE8" s="11" t="s">
        <v>7</v>
      </c>
      <c r="AF8" s="11" t="s">
        <v>7</v>
      </c>
      <c r="AG8" s="11" t="s">
        <v>7</v>
      </c>
      <c r="AH8" s="12" t="s">
        <v>7</v>
      </c>
      <c r="AI8" s="11" t="s">
        <v>7</v>
      </c>
      <c r="AJ8" s="11" t="s">
        <v>7</v>
      </c>
      <c r="AK8" s="11" t="s">
        <v>7</v>
      </c>
      <c r="AL8" s="11" t="s">
        <v>7</v>
      </c>
      <c r="AM8" s="11" t="s">
        <v>7</v>
      </c>
      <c r="AN8" s="11" t="s">
        <v>7</v>
      </c>
      <c r="AO8" s="11" t="s">
        <v>7</v>
      </c>
      <c r="AP8" s="11" t="s">
        <v>7</v>
      </c>
      <c r="AQ8" s="11" t="s">
        <v>7</v>
      </c>
      <c r="AR8" s="11" t="s">
        <v>7</v>
      </c>
      <c r="AS8" s="11" t="s">
        <v>7</v>
      </c>
      <c r="AT8" s="11" t="s">
        <v>7</v>
      </c>
    </row>
    <row r="9" spans="1:46" x14ac:dyDescent="0.25">
      <c r="A9" t="s">
        <v>71</v>
      </c>
      <c r="B9">
        <v>162643</v>
      </c>
      <c r="C9">
        <v>9359</v>
      </c>
      <c r="D9" s="7">
        <v>103058</v>
      </c>
      <c r="E9">
        <v>159773</v>
      </c>
      <c r="F9">
        <v>9241</v>
      </c>
      <c r="G9" s="7">
        <v>103723</v>
      </c>
      <c r="H9">
        <v>164760</v>
      </c>
      <c r="I9">
        <v>9443</v>
      </c>
      <c r="J9" s="7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8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7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25">
      <c r="A10" s="9" t="s">
        <v>70</v>
      </c>
      <c r="B10">
        <v>14432</v>
      </c>
      <c r="C10">
        <v>240</v>
      </c>
      <c r="D10" s="7">
        <v>11099</v>
      </c>
      <c r="E10">
        <v>13699</v>
      </c>
      <c r="F10">
        <v>210</v>
      </c>
      <c r="G10" s="7">
        <v>12058</v>
      </c>
      <c r="H10">
        <v>15113</v>
      </c>
      <c r="I10">
        <v>363</v>
      </c>
      <c r="J10" s="7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8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7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25">
      <c r="A11" s="9" t="s">
        <v>69</v>
      </c>
      <c r="B11">
        <v>17990</v>
      </c>
      <c r="C11">
        <v>1166</v>
      </c>
      <c r="D11" s="7">
        <v>7137</v>
      </c>
      <c r="E11">
        <v>16395</v>
      </c>
      <c r="F11">
        <v>1003</v>
      </c>
      <c r="G11" s="7">
        <v>7423</v>
      </c>
      <c r="H11">
        <v>18181</v>
      </c>
      <c r="I11">
        <v>1223</v>
      </c>
      <c r="J11" s="7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8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7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25">
      <c r="A12" s="9" t="s">
        <v>68</v>
      </c>
      <c r="B12">
        <v>15117</v>
      </c>
      <c r="C12">
        <v>1613</v>
      </c>
      <c r="D12" s="7">
        <v>5828</v>
      </c>
      <c r="E12">
        <v>14138</v>
      </c>
      <c r="F12">
        <v>1200</v>
      </c>
      <c r="G12" s="7">
        <v>6212</v>
      </c>
      <c r="H12">
        <v>13455</v>
      </c>
      <c r="I12">
        <v>1400</v>
      </c>
      <c r="J12" s="7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8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7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25">
      <c r="A13" s="9" t="s">
        <v>67</v>
      </c>
      <c r="B13">
        <v>11154</v>
      </c>
      <c r="C13">
        <v>731</v>
      </c>
      <c r="D13" s="7">
        <v>8008</v>
      </c>
      <c r="E13">
        <v>11502</v>
      </c>
      <c r="F13">
        <v>499</v>
      </c>
      <c r="G13" s="7">
        <v>8953</v>
      </c>
      <c r="H13">
        <v>12031</v>
      </c>
      <c r="I13">
        <v>641</v>
      </c>
      <c r="J13" s="7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8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7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25">
      <c r="A14" s="9" t="s">
        <v>66</v>
      </c>
      <c r="B14">
        <v>11022</v>
      </c>
      <c r="C14">
        <v>550</v>
      </c>
      <c r="D14" s="7">
        <v>9000</v>
      </c>
      <c r="E14">
        <v>14644</v>
      </c>
      <c r="F14">
        <v>780</v>
      </c>
      <c r="G14" s="7">
        <v>8670</v>
      </c>
      <c r="H14">
        <v>13112</v>
      </c>
      <c r="I14">
        <v>474</v>
      </c>
      <c r="J14" s="7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8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7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25">
      <c r="A15" s="9" t="s">
        <v>65</v>
      </c>
      <c r="B15">
        <v>8905</v>
      </c>
      <c r="C15">
        <v>469</v>
      </c>
      <c r="D15" s="7">
        <v>6026</v>
      </c>
      <c r="E15">
        <v>8796</v>
      </c>
      <c r="F15">
        <v>316</v>
      </c>
      <c r="G15" s="7">
        <v>6251</v>
      </c>
      <c r="H15">
        <v>9096</v>
      </c>
      <c r="I15">
        <v>620</v>
      </c>
      <c r="J15" s="7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8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7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25">
      <c r="A16" s="9" t="s">
        <v>64</v>
      </c>
      <c r="B16">
        <v>16735</v>
      </c>
      <c r="C16">
        <v>800</v>
      </c>
      <c r="D16" s="7">
        <v>10149</v>
      </c>
      <c r="E16">
        <v>17503</v>
      </c>
      <c r="F16">
        <v>1083</v>
      </c>
      <c r="G16" s="7">
        <v>10507</v>
      </c>
      <c r="H16">
        <v>18207</v>
      </c>
      <c r="I16">
        <v>1176</v>
      </c>
      <c r="J16" s="7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8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7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25">
      <c r="A17" s="9" t="s">
        <v>63</v>
      </c>
      <c r="B17">
        <v>3635</v>
      </c>
      <c r="C17">
        <v>96</v>
      </c>
      <c r="D17" s="7">
        <v>2050</v>
      </c>
      <c r="E17">
        <v>2337</v>
      </c>
      <c r="F17">
        <v>90</v>
      </c>
      <c r="G17" s="7">
        <v>1585</v>
      </c>
      <c r="H17">
        <v>3579</v>
      </c>
      <c r="I17">
        <v>184</v>
      </c>
      <c r="J17" s="7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8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7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25">
      <c r="A18" s="9" t="s">
        <v>62</v>
      </c>
      <c r="B18">
        <v>15627</v>
      </c>
      <c r="C18">
        <v>1996</v>
      </c>
      <c r="D18" s="7">
        <v>9397</v>
      </c>
      <c r="E18">
        <v>15357</v>
      </c>
      <c r="F18">
        <v>1908</v>
      </c>
      <c r="G18" s="7">
        <v>9702</v>
      </c>
      <c r="H18">
        <v>14634</v>
      </c>
      <c r="I18">
        <v>1584</v>
      </c>
      <c r="J18" s="7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8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7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25">
      <c r="A19" s="9" t="s">
        <v>61</v>
      </c>
      <c r="B19">
        <v>7270</v>
      </c>
      <c r="C19">
        <v>150</v>
      </c>
      <c r="D19" s="7">
        <v>8948</v>
      </c>
      <c r="E19">
        <v>7119</v>
      </c>
      <c r="F19">
        <v>349</v>
      </c>
      <c r="G19" s="7">
        <v>8520</v>
      </c>
      <c r="H19">
        <v>7158</v>
      </c>
      <c r="I19">
        <v>120</v>
      </c>
      <c r="J19" s="7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8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7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25">
      <c r="A20" t="s">
        <v>60</v>
      </c>
      <c r="B20">
        <v>5955</v>
      </c>
      <c r="C20">
        <v>260</v>
      </c>
      <c r="D20" s="7">
        <v>5931</v>
      </c>
      <c r="E20">
        <v>5612</v>
      </c>
      <c r="F20">
        <v>233</v>
      </c>
      <c r="G20" s="7">
        <v>5128</v>
      </c>
      <c r="H20">
        <v>5977</v>
      </c>
      <c r="I20">
        <v>210</v>
      </c>
      <c r="J20" s="7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8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7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25">
      <c r="A21" s="9" t="s">
        <v>59</v>
      </c>
      <c r="B21">
        <v>7666</v>
      </c>
      <c r="C21">
        <v>274</v>
      </c>
      <c r="D21" s="7">
        <v>6624</v>
      </c>
      <c r="E21">
        <v>5060</v>
      </c>
      <c r="F21">
        <v>369</v>
      </c>
      <c r="G21" s="7">
        <v>5174</v>
      </c>
      <c r="H21">
        <v>7099</v>
      </c>
      <c r="I21">
        <v>230</v>
      </c>
      <c r="J21" s="7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8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7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25">
      <c r="A22" s="9" t="s">
        <v>58</v>
      </c>
      <c r="B22">
        <v>10857</v>
      </c>
      <c r="C22">
        <v>281</v>
      </c>
      <c r="D22" s="7">
        <v>4396</v>
      </c>
      <c r="E22">
        <v>10547</v>
      </c>
      <c r="F22">
        <v>281</v>
      </c>
      <c r="G22" s="7">
        <v>4979</v>
      </c>
      <c r="H22">
        <v>10799</v>
      </c>
      <c r="I22">
        <v>333</v>
      </c>
      <c r="J22" s="7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8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7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25">
      <c r="A23" s="9" t="s">
        <v>57</v>
      </c>
      <c r="B23">
        <v>9873</v>
      </c>
      <c r="C23">
        <v>370</v>
      </c>
      <c r="D23" s="7">
        <v>7076</v>
      </c>
      <c r="E23">
        <v>11069</v>
      </c>
      <c r="F23">
        <v>652</v>
      </c>
      <c r="G23" s="7">
        <v>6853</v>
      </c>
      <c r="H23">
        <v>10500</v>
      </c>
      <c r="I23">
        <v>637</v>
      </c>
      <c r="J23" s="7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8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7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25">
      <c r="A24" s="9" t="s">
        <v>56</v>
      </c>
      <c r="B24">
        <v>6405</v>
      </c>
      <c r="C24">
        <v>363</v>
      </c>
      <c r="D24" s="7">
        <v>1389</v>
      </c>
      <c r="E24">
        <v>5995</v>
      </c>
      <c r="F24">
        <v>268</v>
      </c>
      <c r="G24" s="7">
        <v>1708</v>
      </c>
      <c r="H24">
        <v>5819</v>
      </c>
      <c r="I24">
        <v>248</v>
      </c>
      <c r="J24" s="7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8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7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25">
      <c r="A25" t="s">
        <v>55</v>
      </c>
      <c r="B25">
        <v>210616</v>
      </c>
      <c r="C25">
        <v>12324.3</v>
      </c>
      <c r="D25" s="7">
        <v>95902.1</v>
      </c>
      <c r="E25">
        <v>199893.6</v>
      </c>
      <c r="F25">
        <v>9835.9000000000015</v>
      </c>
      <c r="G25" s="7">
        <v>101383.6</v>
      </c>
      <c r="H25">
        <v>198526.40000000002</v>
      </c>
      <c r="I25">
        <v>11343.8</v>
      </c>
      <c r="J25" s="7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8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7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25">
      <c r="A26" s="10" t="s">
        <v>54</v>
      </c>
      <c r="B26">
        <v>11649</v>
      </c>
      <c r="C26">
        <v>802</v>
      </c>
      <c r="D26" s="7">
        <v>5956</v>
      </c>
      <c r="E26">
        <v>10414</v>
      </c>
      <c r="F26">
        <v>536</v>
      </c>
      <c r="G26" s="7">
        <v>6713</v>
      </c>
      <c r="H26">
        <v>10593</v>
      </c>
      <c r="I26">
        <v>554</v>
      </c>
      <c r="J26" s="7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8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7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25">
      <c r="A27" s="10" t="s">
        <v>53</v>
      </c>
      <c r="B27">
        <v>7718</v>
      </c>
      <c r="C27">
        <v>876</v>
      </c>
      <c r="D27" s="7">
        <v>8432</v>
      </c>
      <c r="E27">
        <v>7282</v>
      </c>
      <c r="F27">
        <v>775</v>
      </c>
      <c r="G27" s="7">
        <v>8242</v>
      </c>
      <c r="H27">
        <v>6409</v>
      </c>
      <c r="I27">
        <v>654</v>
      </c>
      <c r="J27" s="7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8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7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25">
      <c r="A28" s="10" t="s">
        <v>52</v>
      </c>
      <c r="B28">
        <v>15033</v>
      </c>
      <c r="C28">
        <v>469</v>
      </c>
      <c r="D28" s="7">
        <v>3512</v>
      </c>
      <c r="E28">
        <v>15064</v>
      </c>
      <c r="F28">
        <v>392</v>
      </c>
      <c r="G28" s="7">
        <v>3488</v>
      </c>
      <c r="H28">
        <v>12724</v>
      </c>
      <c r="I28">
        <v>530</v>
      </c>
      <c r="J28" s="7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8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7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25">
      <c r="A29" s="10" t="s">
        <v>51</v>
      </c>
      <c r="B29">
        <v>21579</v>
      </c>
      <c r="C29">
        <v>920</v>
      </c>
      <c r="D29" s="7">
        <v>7461</v>
      </c>
      <c r="E29">
        <v>20686</v>
      </c>
      <c r="F29">
        <v>653</v>
      </c>
      <c r="G29" s="7">
        <v>8589</v>
      </c>
      <c r="H29">
        <v>20478</v>
      </c>
      <c r="I29">
        <v>658</v>
      </c>
      <c r="J29" s="7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8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7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25">
      <c r="A30" s="10" t="s">
        <v>50</v>
      </c>
      <c r="B30">
        <v>27210.600000000002</v>
      </c>
      <c r="C30">
        <v>2903.4</v>
      </c>
      <c r="D30" s="7">
        <v>10490.4</v>
      </c>
      <c r="E30">
        <v>25448.400000000001</v>
      </c>
      <c r="F30">
        <v>2160</v>
      </c>
      <c r="G30" s="7">
        <v>11181.6</v>
      </c>
      <c r="H30">
        <v>24219</v>
      </c>
      <c r="I30">
        <v>2520</v>
      </c>
      <c r="J30" s="7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8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7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25">
      <c r="A31" s="10" t="s">
        <v>49</v>
      </c>
      <c r="B31">
        <v>18700.5</v>
      </c>
      <c r="C31">
        <v>984.90000000000009</v>
      </c>
      <c r="D31" s="7">
        <v>12654.6</v>
      </c>
      <c r="E31">
        <v>18471.600000000002</v>
      </c>
      <c r="F31">
        <v>663.6</v>
      </c>
      <c r="G31" s="7">
        <v>13127.1</v>
      </c>
      <c r="H31">
        <v>19101.600000000002</v>
      </c>
      <c r="I31">
        <v>1302</v>
      </c>
      <c r="J31" s="7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8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7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25">
      <c r="A32" s="10" t="s">
        <v>48</v>
      </c>
      <c r="B32">
        <v>45315.9</v>
      </c>
      <c r="C32">
        <v>1932</v>
      </c>
      <c r="D32" s="7">
        <v>15668.1</v>
      </c>
      <c r="E32">
        <v>43440.6</v>
      </c>
      <c r="F32">
        <v>1371.3</v>
      </c>
      <c r="G32" s="7">
        <v>18036.900000000001</v>
      </c>
      <c r="H32">
        <v>43003.8</v>
      </c>
      <c r="I32">
        <v>1381.8</v>
      </c>
      <c r="J32" s="7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8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7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25">
      <c r="A33" s="10" t="s">
        <v>47</v>
      </c>
      <c r="B33">
        <v>35980</v>
      </c>
      <c r="C33">
        <v>2332</v>
      </c>
      <c r="D33" s="7">
        <v>14274</v>
      </c>
      <c r="E33">
        <v>32790</v>
      </c>
      <c r="F33">
        <v>2006</v>
      </c>
      <c r="G33" s="7">
        <v>14846</v>
      </c>
      <c r="H33">
        <v>36362</v>
      </c>
      <c r="I33">
        <v>2446</v>
      </c>
      <c r="J33" s="7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8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7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25">
      <c r="A34" s="10" t="s">
        <v>46</v>
      </c>
      <c r="B34">
        <v>7657</v>
      </c>
      <c r="C34">
        <v>276</v>
      </c>
      <c r="D34" s="7">
        <v>5353</v>
      </c>
      <c r="E34">
        <v>5307</v>
      </c>
      <c r="F34">
        <v>170</v>
      </c>
      <c r="G34" s="7">
        <v>4710</v>
      </c>
      <c r="H34">
        <v>6431</v>
      </c>
      <c r="I34">
        <v>179</v>
      </c>
      <c r="J34" s="7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8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7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25">
      <c r="A35" s="10" t="s">
        <v>45</v>
      </c>
      <c r="B35">
        <v>8126</v>
      </c>
      <c r="C35">
        <v>321</v>
      </c>
      <c r="D35" s="7">
        <v>6153</v>
      </c>
      <c r="E35">
        <v>9111</v>
      </c>
      <c r="F35">
        <v>567</v>
      </c>
      <c r="G35" s="7">
        <v>5959</v>
      </c>
      <c r="H35">
        <v>8642</v>
      </c>
      <c r="I35">
        <v>554</v>
      </c>
      <c r="J35" s="7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8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7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25">
      <c r="A36" s="10" t="s">
        <v>44</v>
      </c>
      <c r="B36">
        <v>5272</v>
      </c>
      <c r="C36">
        <v>316</v>
      </c>
      <c r="D36" s="7">
        <v>1207</v>
      </c>
      <c r="E36">
        <v>4934</v>
      </c>
      <c r="F36">
        <v>233</v>
      </c>
      <c r="G36" s="7">
        <v>1485</v>
      </c>
      <c r="H36">
        <v>4789</v>
      </c>
      <c r="I36">
        <v>215</v>
      </c>
      <c r="J36" s="7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8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7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25">
      <c r="A37" s="10" t="s">
        <v>43</v>
      </c>
      <c r="B37">
        <v>6375</v>
      </c>
      <c r="C37">
        <v>192</v>
      </c>
      <c r="D37" s="7">
        <v>4741</v>
      </c>
      <c r="E37">
        <v>6945</v>
      </c>
      <c r="F37">
        <v>309</v>
      </c>
      <c r="G37" s="7">
        <v>5006</v>
      </c>
      <c r="H37">
        <v>5774</v>
      </c>
      <c r="I37">
        <v>350</v>
      </c>
      <c r="J37" s="7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8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7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25">
      <c r="A38" t="s">
        <v>42</v>
      </c>
      <c r="B38">
        <v>189978.5</v>
      </c>
      <c r="C38">
        <v>8869.2000000000007</v>
      </c>
      <c r="D38" s="7">
        <v>91467.1</v>
      </c>
      <c r="E38">
        <v>187118.2</v>
      </c>
      <c r="F38">
        <v>7865.9000000000005</v>
      </c>
      <c r="G38" s="7">
        <v>97100.299999999988</v>
      </c>
      <c r="H38">
        <v>181464.8</v>
      </c>
      <c r="I38">
        <v>8122.2</v>
      </c>
      <c r="J38" s="7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8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7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25">
      <c r="A39" s="9" t="s">
        <v>41</v>
      </c>
      <c r="B39">
        <v>6353</v>
      </c>
      <c r="C39">
        <v>762</v>
      </c>
      <c r="D39" s="7">
        <v>7332</v>
      </c>
      <c r="E39">
        <v>5993</v>
      </c>
      <c r="F39">
        <v>674</v>
      </c>
      <c r="G39" s="7">
        <v>7167</v>
      </c>
      <c r="H39">
        <v>5275</v>
      </c>
      <c r="I39">
        <v>568</v>
      </c>
      <c r="J39" s="7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8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7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25">
      <c r="A40" s="9" t="s">
        <v>40</v>
      </c>
      <c r="B40">
        <v>12373</v>
      </c>
      <c r="C40">
        <v>408</v>
      </c>
      <c r="D40" s="7">
        <v>3054</v>
      </c>
      <c r="E40">
        <v>12398</v>
      </c>
      <c r="F40">
        <v>341</v>
      </c>
      <c r="G40" s="7">
        <v>3033</v>
      </c>
      <c r="H40">
        <v>10472</v>
      </c>
      <c r="I40">
        <v>461</v>
      </c>
      <c r="J40" s="7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8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7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25">
      <c r="A41" s="9" t="s">
        <v>39</v>
      </c>
      <c r="B41">
        <v>17760</v>
      </c>
      <c r="C41">
        <v>800</v>
      </c>
      <c r="D41" s="7">
        <v>6488</v>
      </c>
      <c r="E41">
        <v>17025</v>
      </c>
      <c r="F41">
        <v>568</v>
      </c>
      <c r="G41" s="7">
        <v>7469</v>
      </c>
      <c r="H41">
        <v>16854</v>
      </c>
      <c r="I41">
        <v>572</v>
      </c>
      <c r="J41" s="7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8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7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25">
      <c r="A42" s="9" t="s">
        <v>38</v>
      </c>
      <c r="B42">
        <v>30399.599999999999</v>
      </c>
      <c r="C42">
        <v>786.8</v>
      </c>
      <c r="D42" s="7">
        <v>12308.8</v>
      </c>
      <c r="E42">
        <v>29531.599999999999</v>
      </c>
      <c r="F42">
        <v>786.8</v>
      </c>
      <c r="G42" s="7">
        <v>13941.199999999999</v>
      </c>
      <c r="H42">
        <v>30237.199999999997</v>
      </c>
      <c r="I42">
        <v>932.4</v>
      </c>
      <c r="J42" s="7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8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7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25">
      <c r="A43" s="9" t="s">
        <v>37</v>
      </c>
      <c r="B43">
        <v>20400</v>
      </c>
      <c r="C43">
        <v>614.40000000000009</v>
      </c>
      <c r="D43" s="7">
        <v>15171.2</v>
      </c>
      <c r="E43">
        <v>22224</v>
      </c>
      <c r="F43">
        <v>988.80000000000007</v>
      </c>
      <c r="G43" s="7">
        <v>16019.2</v>
      </c>
      <c r="H43">
        <v>18476.8</v>
      </c>
      <c r="I43">
        <v>1120</v>
      </c>
      <c r="J43" s="7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8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7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25">
      <c r="A44" s="9" t="s">
        <v>36</v>
      </c>
      <c r="B44">
        <v>21088</v>
      </c>
      <c r="C44">
        <v>1264</v>
      </c>
      <c r="D44" s="7">
        <v>4828</v>
      </c>
      <c r="E44">
        <v>19736</v>
      </c>
      <c r="F44">
        <v>932</v>
      </c>
      <c r="G44" s="7">
        <v>5940</v>
      </c>
      <c r="H44">
        <v>19156</v>
      </c>
      <c r="I44">
        <v>860</v>
      </c>
      <c r="J44" s="7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8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7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25">
      <c r="A45" t="s">
        <v>35</v>
      </c>
      <c r="B45">
        <v>23736.9</v>
      </c>
      <c r="C45">
        <v>1012.0000000000001</v>
      </c>
      <c r="D45" s="7">
        <v>8207.1</v>
      </c>
      <c r="E45">
        <v>22754.600000000002</v>
      </c>
      <c r="F45">
        <v>718.30000000000007</v>
      </c>
      <c r="G45" s="7">
        <v>9447.9000000000015</v>
      </c>
      <c r="H45">
        <v>22525.800000000003</v>
      </c>
      <c r="I45">
        <v>723.80000000000007</v>
      </c>
      <c r="J45" s="7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8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7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25">
      <c r="A46" s="9" t="s">
        <v>34</v>
      </c>
      <c r="B46">
        <v>6302</v>
      </c>
      <c r="C46">
        <v>240</v>
      </c>
      <c r="D46" s="7">
        <v>4655</v>
      </c>
      <c r="E46">
        <v>5400</v>
      </c>
      <c r="F46">
        <v>190</v>
      </c>
      <c r="G46" s="7">
        <v>4096</v>
      </c>
      <c r="H46">
        <v>5293</v>
      </c>
      <c r="I46">
        <v>156</v>
      </c>
      <c r="J46" s="7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8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7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25">
      <c r="A47" s="9" t="s">
        <v>33</v>
      </c>
      <c r="B47">
        <v>10675</v>
      </c>
      <c r="C47">
        <v>128</v>
      </c>
      <c r="D47" s="7">
        <v>8210</v>
      </c>
      <c r="E47">
        <v>10133</v>
      </c>
      <c r="F47">
        <v>89</v>
      </c>
      <c r="G47" s="7">
        <v>8179</v>
      </c>
      <c r="H47">
        <v>11178</v>
      </c>
      <c r="I47">
        <v>190</v>
      </c>
      <c r="J47" s="7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8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7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25">
      <c r="A48" s="9" t="s">
        <v>32</v>
      </c>
      <c r="B48">
        <v>13307</v>
      </c>
      <c r="C48">
        <v>862</v>
      </c>
      <c r="D48" s="7">
        <v>5279</v>
      </c>
      <c r="E48">
        <v>12127</v>
      </c>
      <c r="F48">
        <v>742</v>
      </c>
      <c r="G48" s="7">
        <v>5491</v>
      </c>
      <c r="H48">
        <v>13448</v>
      </c>
      <c r="I48">
        <v>905</v>
      </c>
      <c r="J48" s="7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8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7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25">
      <c r="A49" s="9" t="s">
        <v>31</v>
      </c>
      <c r="B49">
        <v>11182</v>
      </c>
      <c r="C49">
        <v>1193</v>
      </c>
      <c r="D49" s="7">
        <v>4311</v>
      </c>
      <c r="E49">
        <v>10457</v>
      </c>
      <c r="F49">
        <v>890</v>
      </c>
      <c r="G49" s="7">
        <v>4595</v>
      </c>
      <c r="H49">
        <v>9952</v>
      </c>
      <c r="I49">
        <v>810</v>
      </c>
      <c r="J49" s="7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8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7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25">
      <c r="A50" s="9" t="s">
        <v>30</v>
      </c>
      <c r="B50">
        <v>8250</v>
      </c>
      <c r="C50">
        <v>541</v>
      </c>
      <c r="D50" s="7">
        <v>5923</v>
      </c>
      <c r="E50">
        <v>8507</v>
      </c>
      <c r="F50">
        <v>369</v>
      </c>
      <c r="G50" s="7">
        <v>6622</v>
      </c>
      <c r="H50">
        <v>8899</v>
      </c>
      <c r="I50">
        <v>474</v>
      </c>
      <c r="J50" s="7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8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7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25">
      <c r="A51" s="9" t="s">
        <v>29</v>
      </c>
      <c r="B51">
        <v>8152</v>
      </c>
      <c r="C51">
        <v>258</v>
      </c>
      <c r="D51" s="7">
        <v>5700</v>
      </c>
      <c r="E51">
        <v>10832</v>
      </c>
      <c r="F51">
        <v>577</v>
      </c>
      <c r="G51" s="7">
        <v>5100</v>
      </c>
      <c r="H51">
        <v>9698</v>
      </c>
      <c r="I51">
        <v>350</v>
      </c>
      <c r="J51" s="7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8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7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4:Q22"/>
  <sheetViews>
    <sheetView workbookViewId="0">
      <selection activeCell="N25" sqref="N25"/>
    </sheetView>
  </sheetViews>
  <sheetFormatPr defaultRowHeight="13.8" x14ac:dyDescent="0.25"/>
  <sheetData>
    <row r="4" spans="2:17" x14ac:dyDescent="0.25">
      <c r="B4" s="1" t="s">
        <v>0</v>
      </c>
    </row>
    <row r="5" spans="2:17" x14ac:dyDescent="0.25">
      <c r="B5" t="s">
        <v>1</v>
      </c>
      <c r="F5" s="1" t="s">
        <v>4</v>
      </c>
      <c r="H5" t="s">
        <v>12</v>
      </c>
      <c r="J5" s="1" t="s">
        <v>5</v>
      </c>
      <c r="N5" s="1" t="s">
        <v>25</v>
      </c>
    </row>
    <row r="6" spans="2:17" x14ac:dyDescent="0.25">
      <c r="B6" t="s">
        <v>2</v>
      </c>
      <c r="F6" t="s">
        <v>11</v>
      </c>
      <c r="H6" s="1" t="s">
        <v>8</v>
      </c>
      <c r="J6" s="1" t="s">
        <v>10</v>
      </c>
      <c r="N6" t="s">
        <v>19</v>
      </c>
      <c r="O6" t="s">
        <v>26</v>
      </c>
      <c r="Q6" s="4"/>
    </row>
    <row r="7" spans="2:17" x14ac:dyDescent="0.25">
      <c r="B7" t="s">
        <v>3</v>
      </c>
      <c r="N7" t="s">
        <v>21</v>
      </c>
      <c r="O7" t="s">
        <v>27</v>
      </c>
      <c r="Q7" s="6"/>
    </row>
    <row r="8" spans="2:17" x14ac:dyDescent="0.25">
      <c r="N8" t="s">
        <v>20</v>
      </c>
      <c r="O8" t="s">
        <v>28</v>
      </c>
      <c r="Q8" s="5"/>
    </row>
    <row r="10" spans="2:17" x14ac:dyDescent="0.25">
      <c r="E10" s="73" t="s">
        <v>22</v>
      </c>
      <c r="F10" s="73"/>
    </row>
    <row r="11" spans="2:17" x14ac:dyDescent="0.25">
      <c r="B11" t="s">
        <v>13</v>
      </c>
      <c r="D11" s="1" t="s">
        <v>6</v>
      </c>
      <c r="G11" s="1" t="s">
        <v>7</v>
      </c>
      <c r="J11" s="1" t="s">
        <v>9</v>
      </c>
    </row>
    <row r="12" spans="2:17" x14ac:dyDescent="0.25">
      <c r="C12" s="2" t="s">
        <v>19</v>
      </c>
      <c r="D12" t="s">
        <v>20</v>
      </c>
      <c r="E12" t="s">
        <v>21</v>
      </c>
      <c r="F12" s="2" t="s">
        <v>19</v>
      </c>
      <c r="G12" t="s">
        <v>20</v>
      </c>
      <c r="H12" t="s">
        <v>21</v>
      </c>
      <c r="I12" s="2" t="s">
        <v>19</v>
      </c>
      <c r="J12" t="s">
        <v>20</v>
      </c>
      <c r="K12" t="s">
        <v>21</v>
      </c>
    </row>
    <row r="13" spans="2:17" x14ac:dyDescent="0.25">
      <c r="B13" t="s">
        <v>14</v>
      </c>
    </row>
    <row r="14" spans="2:17" x14ac:dyDescent="0.25">
      <c r="B14" t="s">
        <v>15</v>
      </c>
    </row>
    <row r="15" spans="2:17" x14ac:dyDescent="0.25">
      <c r="B15" t="s">
        <v>16</v>
      </c>
    </row>
    <row r="16" spans="2:17" x14ac:dyDescent="0.25">
      <c r="B16" t="s">
        <v>18</v>
      </c>
    </row>
    <row r="17" spans="2:9" x14ac:dyDescent="0.25">
      <c r="B17" t="s">
        <v>18</v>
      </c>
    </row>
    <row r="18" spans="2:9" x14ac:dyDescent="0.25">
      <c r="B18" t="s">
        <v>18</v>
      </c>
    </row>
    <row r="19" spans="2:9" x14ac:dyDescent="0.25">
      <c r="B19" t="s">
        <v>18</v>
      </c>
    </row>
    <row r="20" spans="2:9" x14ac:dyDescent="0.25">
      <c r="B20" t="s">
        <v>17</v>
      </c>
    </row>
    <row r="21" spans="2:9" x14ac:dyDescent="0.25">
      <c r="B21" s="73" t="s">
        <v>24</v>
      </c>
      <c r="C21" s="73"/>
      <c r="D21" s="73"/>
      <c r="E21" s="73"/>
    </row>
    <row r="22" spans="2:9" x14ac:dyDescent="0.25">
      <c r="B22" s="73"/>
      <c r="C22" s="73"/>
      <c r="D22" s="73"/>
      <c r="E22" s="73"/>
      <c r="F22" s="3"/>
      <c r="H22" s="73" t="s">
        <v>23</v>
      </c>
      <c r="I22" s="73"/>
    </row>
  </sheetData>
  <mergeCells count="3">
    <mergeCell ref="E10:F10"/>
    <mergeCell ref="H22:I22"/>
    <mergeCell ref="B21: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Calculation</vt:lpstr>
      <vt:lpstr>Data</vt:lpstr>
      <vt:lpstr>Wireframe Model</vt:lpstr>
      <vt:lpstr>cur_month</vt:lpstr>
      <vt:lpstr>cur_year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rosettastoned</dc:creator>
  <cp:lastModifiedBy>rosettastoned</cp:lastModifiedBy>
  <cp:lastPrinted>2021-10-24T09:32:08Z</cp:lastPrinted>
  <dcterms:created xsi:type="dcterms:W3CDTF">2021-10-19T12:58:22Z</dcterms:created>
  <dcterms:modified xsi:type="dcterms:W3CDTF">2021-10-24T10:03:38Z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</mso:documentControls>
    </mso:qat>
  </mso:ribbon>
</mso:customUI>
</file>